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-15" windowWidth="26310" windowHeight="6825" firstSheet="1" activeTab="1"/>
  </bookViews>
  <sheets>
    <sheet name="Table 1" sheetId="2" r:id="rId1"/>
    <sheet name="Attachment 2" sheetId="7" r:id="rId2"/>
  </sheets>
  <externalReferences>
    <externalReference r:id="rId3"/>
  </externalReferences>
  <definedNames>
    <definedName name="___INDEX_SHEET___ASAP_Utilities">#REF!</definedName>
    <definedName name="Nbr_Units">'[1]Summary Table 8.8MW'!$E$5</definedName>
  </definedNames>
  <calcPr calcId="145621"/>
</workbook>
</file>

<file path=xl/calcChain.xml><?xml version="1.0" encoding="utf-8"?>
<calcChain xmlns="http://schemas.openxmlformats.org/spreadsheetml/2006/main">
  <c r="G10" i="7" l="1"/>
  <c r="F10" i="7"/>
  <c r="E10" i="7"/>
  <c r="D10" i="7"/>
  <c r="C10" i="7"/>
  <c r="C19" i="7"/>
  <c r="G12" i="7" l="1"/>
  <c r="F12" i="7"/>
  <c r="E12" i="7"/>
  <c r="D12" i="7"/>
  <c r="C12" i="7"/>
  <c r="C7" i="7"/>
  <c r="C11" i="7" l="1"/>
  <c r="D19" i="7"/>
  <c r="E19" i="7"/>
  <c r="F19" i="7"/>
  <c r="G19" i="7"/>
  <c r="G20" i="7"/>
  <c r="C20" i="7"/>
  <c r="C25" i="7" s="1"/>
  <c r="D20" i="7"/>
  <c r="D25" i="7" s="1"/>
  <c r="E20" i="7"/>
  <c r="E25" i="7" s="1"/>
  <c r="F20" i="7"/>
  <c r="F25" i="7" s="1"/>
  <c r="G21" i="7" l="1"/>
  <c r="G25" i="7"/>
  <c r="E21" i="7"/>
  <c r="F21" i="7"/>
  <c r="D21" i="7"/>
  <c r="C21" i="7"/>
  <c r="C13" i="7" l="1"/>
  <c r="C24" i="7" s="1"/>
  <c r="C26" i="7" s="1"/>
  <c r="D7" i="7"/>
  <c r="D11" i="7" l="1"/>
  <c r="D13" i="7" s="1"/>
  <c r="E7" i="7"/>
  <c r="E11" i="7" s="1"/>
  <c r="E13" i="7" l="1"/>
  <c r="E24" i="7" s="1"/>
  <c r="E26" i="7" s="1"/>
  <c r="F7" i="7"/>
  <c r="F11" i="7" s="1"/>
  <c r="D24" i="7"/>
  <c r="D26" i="7" s="1"/>
  <c r="F13" i="7" l="1"/>
  <c r="F24" i="7" s="1"/>
  <c r="F26" i="7" s="1"/>
  <c r="G7" i="7"/>
  <c r="G11" i="7" s="1"/>
  <c r="G13" i="7" l="1"/>
  <c r="G24" i="7" s="1"/>
  <c r="G26" i="7" s="1"/>
  <c r="H26" i="7" s="1"/>
  <c r="C28" i="2" l="1"/>
  <c r="C9" i="2" s="1"/>
  <c r="C40" i="2"/>
  <c r="C14" i="2" s="1"/>
  <c r="C29" i="2"/>
  <c r="C11" i="2"/>
  <c r="B11" i="2"/>
  <c r="B9" i="2"/>
  <c r="B14" i="2" l="1"/>
  <c r="D11" i="2"/>
  <c r="C10" i="2"/>
  <c r="C15" i="2" s="1"/>
  <c r="B10" i="2"/>
  <c r="D9" i="2"/>
  <c r="D14" i="2"/>
  <c r="B15" i="2" l="1"/>
  <c r="C12" i="2"/>
  <c r="B12" i="2"/>
  <c r="D10" i="2"/>
  <c r="D12" i="2" s="1"/>
  <c r="D15" i="2" l="1"/>
</calcChain>
</file>

<file path=xl/sharedStrings.xml><?xml version="1.0" encoding="utf-8"?>
<sst xmlns="http://schemas.openxmlformats.org/spreadsheetml/2006/main" count="76" uniqueCount="66">
  <si>
    <t>Application for an Energy Project Certificate and
An Energy Operation Certificate Regarding
The Proposed Whitehorse Diesel-Natural Gas
Conversion Project</t>
  </si>
  <si>
    <t>Total</t>
  </si>
  <si>
    <t xml:space="preserve">LNG </t>
  </si>
  <si>
    <t>Net</t>
  </si>
  <si>
    <t>Annual Capital Cost ($million)</t>
  </si>
  <si>
    <t>Deprec</t>
  </si>
  <si>
    <t>Return</t>
  </si>
  <si>
    <t>Annual Fuel Cost ($million)</t>
  </si>
  <si>
    <t>Fuel Cost</t>
  </si>
  <si>
    <t>Net Ratepayer Impact ($million)</t>
  </si>
  <si>
    <t>Notes:</t>
  </si>
  <si>
    <t>Yukon Energy Corporation
YUB-YEC-1-13 (a) Attachment 1
February 27, 2014</t>
  </si>
  <si>
    <t>Table 1 Updated Business Case  - First and Second Year Ratepayer Cost for 8.8 MW of</t>
  </si>
  <si>
    <t>LNG  versus New Diesel versus Life Extension Diesels (1st and 2nd Year Impacts)</t>
  </si>
  <si>
    <t xml:space="preserve">(Costs standardized for 8.8 MW assumed capacity for each option) </t>
  </si>
  <si>
    <t>LNG</t>
  </si>
  <si>
    <t>New Diesel</t>
  </si>
  <si>
    <t>Refurb Diesel</t>
  </si>
  <si>
    <t>Annual Depreciation</t>
  </si>
  <si>
    <t>Annual Return</t>
  </si>
  <si>
    <t>Annual Fuel Expense</t>
  </si>
  <si>
    <t>2015 Annual costs</t>
  </si>
  <si>
    <t>2016 Annual fuel costs</t>
  </si>
  <si>
    <t>2016 Annual costs</t>
  </si>
  <si>
    <t>LNG cap costs assumed to be $36.5M for 8.8 MW</t>
  </si>
  <si>
    <t xml:space="preserve">Refurbished diesel cap cost assumed to be $6.75M for 9 MW </t>
  </si>
  <si>
    <t>Salvage costs for LNG assumed to be $0.553 million</t>
  </si>
  <si>
    <t>Salvage costs for new diesel assumed to be $0.950 million</t>
  </si>
  <si>
    <t>Annual depreciation and return costs are for 2015</t>
  </si>
  <si>
    <t>Annual generation 2015 &amp; 2016 (LTA default diesel - Base Case)</t>
  </si>
  <si>
    <t xml:space="preserve">2016 return costs were assumed to be the same as 2015 </t>
  </si>
  <si>
    <t>Diesel fuel price (Whitehorse) assumed to be $1.1265 per litre</t>
  </si>
  <si>
    <t>LNG price (Whitehorse) assumed to be $4.5 per  MMBTU</t>
  </si>
  <si>
    <t>New diesel capital cost adj to 8.8 MW</t>
  </si>
  <si>
    <t>Refurb diesel capital cost adj to 8.8 MW</t>
  </si>
  <si>
    <t>LNG 8.8 MW cost</t>
  </si>
  <si>
    <t>Amortization period for LNG &amp; New Diesel</t>
  </si>
  <si>
    <t>years</t>
  </si>
  <si>
    <t>Amortization period for Refurbished Diesel</t>
  </si>
  <si>
    <t>Annual Return on rate base</t>
  </si>
  <si>
    <t>2015 Annual Generation  in GWh</t>
  </si>
  <si>
    <t>2016 Annual Generation in GWh</t>
  </si>
  <si>
    <t>Displacement of old diesel: 2015</t>
  </si>
  <si>
    <t>Displacement of old diesel: 2016</t>
  </si>
  <si>
    <t>LNG fuel costs per kWh</t>
  </si>
  <si>
    <t>New diesel fuel costs per kWh (Whitehorse)</t>
  </si>
  <si>
    <t>Refurb diesel costs per kWh (grid average)</t>
  </si>
  <si>
    <t xml:space="preserve">New diesel cap costs assumed to be $21.6M  for 6.7 MW </t>
  </si>
  <si>
    <t>O&amp;M</t>
  </si>
  <si>
    <t>Forecast Generation (GWh)</t>
  </si>
  <si>
    <t>Diesel</t>
  </si>
  <si>
    <t>Difference</t>
  </si>
  <si>
    <t>LNG + Diesel</t>
  </si>
  <si>
    <t>% Diesel Displaced by LNG</t>
  </si>
  <si>
    <t>Capital Cost ($million) at yr end</t>
  </si>
  <si>
    <t>Cost (Savings)</t>
  </si>
  <si>
    <t>Ratepayer Impacts from Watson Lake Bi-Fuel Project ($million)</t>
  </si>
  <si>
    <t>2. All capital costs depreciated over 20 years; return on mid-year rate base at 8.5%/year</t>
  </si>
  <si>
    <t>3. Diesel fuel costs at  30.8 c/kWh other diesel (grid average) (consistent with YEC)</t>
  </si>
  <si>
    <t>4. LNG delivered fuel costs at 14.0 c/kWh (assumes supply from Fortis at Tilbury, BC at an AECO gas price of $4.50 per MMBtu plus $0.30/MMBtu [to reflect Sumas equivalent price], using A-Train units for delivery to Watson Lake on route to Whitehorse with updated haul cost of $6.59/MMBtu [$5.99/MMBtu plus 10% for initial low utilization] (consistent with YEC)), adjusted for change in efficiency of units, resulting in total cost of LNG of 16.4 c/kWh</t>
  </si>
  <si>
    <t>6. GWh represent total forecast generation at the Watson Lake Plant.</t>
  </si>
  <si>
    <t>7. O&amp;M costs assume only Storage and Vapourization maintenance costs; transportation-related costs are included in the 16.4c/kWh rate for LNG FOB Watson Lake.</t>
  </si>
  <si>
    <t>1. Presentation and fuel cost assumptions are consistent with those presented by YEC and accepted by the Board in the YEC LNG Project proceeding (Exhibit B-13, YEC LNG Part 3 Update Filing Appendices, March 27, 2014, Table 1)</t>
  </si>
  <si>
    <t>5. Capital includes cost of purchasing storage and vapourization equipment from ATCO Gas for $2.025 million</t>
  </si>
  <si>
    <t>Total Cost (Savings)</t>
  </si>
  <si>
    <t>8. Assumed commissioned September 1 2015, displacing 70% of diesel for one 750 kW (95% availabilty) engine.  Utilization ramps up to full plant converted at 50% displacement by mid-2016.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</si>
</sst>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"/>
    <numFmt numFmtId="168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mediumGray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6" fillId="2" borderId="0" applyNumberFormat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3">
      <alignment horizontal="center"/>
    </xf>
    <xf numFmtId="3" fontId="11" fillId="0" borderId="0" applyFont="0" applyFill="0" applyBorder="0" applyAlignment="0" applyProtection="0"/>
    <xf numFmtId="0" fontId="11" fillId="3" borderId="0" applyNumberFormat="0" applyFont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5" fillId="0" borderId="1" xfId="0" applyFont="1" applyBorder="1"/>
    <xf numFmtId="0" fontId="3" fillId="0" borderId="1" xfId="0" applyFont="1" applyBorder="1"/>
    <xf numFmtId="2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Border="1"/>
    <xf numFmtId="0" fontId="5" fillId="0" borderId="0" xfId="0" applyFont="1"/>
    <xf numFmtId="9" fontId="3" fillId="0" borderId="0" xfId="1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68" fontId="0" fillId="0" borderId="0" xfId="0" applyNumberFormat="1"/>
    <xf numFmtId="168" fontId="15" fillId="0" borderId="0" xfId="0" applyNumberFormat="1" applyFont="1"/>
    <xf numFmtId="168" fontId="13" fillId="0" borderId="0" xfId="0" applyNumberFormat="1" applyFont="1"/>
    <xf numFmtId="10" fontId="0" fillId="0" borderId="0" xfId="0" applyNumberFormat="1"/>
    <xf numFmtId="9" fontId="0" fillId="0" borderId="0" xfId="1" applyFont="1"/>
    <xf numFmtId="166" fontId="0" fillId="0" borderId="0" xfId="0" applyNumberFormat="1"/>
    <xf numFmtId="167" fontId="16" fillId="0" borderId="0" xfId="0" applyNumberFormat="1" applyFont="1"/>
    <xf numFmtId="167" fontId="5" fillId="0" borderId="0" xfId="0" applyNumberFormat="1" applyFont="1" applyBorder="1"/>
    <xf numFmtId="167" fontId="16" fillId="0" borderId="0" xfId="0" applyNumberFormat="1" applyFont="1" applyBorder="1"/>
    <xf numFmtId="43" fontId="3" fillId="0" borderId="0" xfId="42" applyFont="1"/>
    <xf numFmtId="43" fontId="3" fillId="0" borderId="0" xfId="42" applyFont="1" applyBorder="1"/>
    <xf numFmtId="43" fontId="5" fillId="0" borderId="2" xfId="42" applyFont="1" applyBorder="1"/>
    <xf numFmtId="0" fontId="5" fillId="0" borderId="1" xfId="0" applyFont="1" applyBorder="1" applyAlignment="1">
      <alignment horizontal="center"/>
    </xf>
    <xf numFmtId="43" fontId="3" fillId="0" borderId="1" xfId="42" applyFont="1" applyBorder="1"/>
    <xf numFmtId="43" fontId="17" fillId="0" borderId="0" xfId="42" applyFont="1" applyBorder="1"/>
    <xf numFmtId="0" fontId="19" fillId="0" borderId="0" xfId="0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43">
    <cellStyle name="60% - Accent4 2" xfId="2"/>
    <cellStyle name="Comma" xfId="42" builtinId="3"/>
    <cellStyle name="Comma 2" xfId="3"/>
    <cellStyle name="Comma 3" xfId="4"/>
    <cellStyle name="Comma 3 2" xfId="5"/>
    <cellStyle name="Comma 4" xfId="6"/>
    <cellStyle name="Comma 5" xfId="7"/>
    <cellStyle name="Comma 6" xfId="8"/>
    <cellStyle name="Comma 7" xfId="9"/>
    <cellStyle name="Currency 2" xfId="10"/>
    <cellStyle name="Currency 2 2" xfId="11"/>
    <cellStyle name="Currency 3" xfId="12"/>
    <cellStyle name="Hyperlink 2" xfId="13"/>
    <cellStyle name="Normal" xfId="0" builtinId="0"/>
    <cellStyle name="Normal 10" xfId="14"/>
    <cellStyle name="Normal 11" xfId="15"/>
    <cellStyle name="Normal 12" xfId="16"/>
    <cellStyle name="Normal 13" xfId="17"/>
    <cellStyle name="Normal 2" xfId="18"/>
    <cellStyle name="Normal 2 2" xfId="19"/>
    <cellStyle name="Normal 2 2 2" xfId="20"/>
    <cellStyle name="Normal 3" xfId="21"/>
    <cellStyle name="Normal 3 2" xfId="22"/>
    <cellStyle name="Normal 4" xfId="23"/>
    <cellStyle name="Normal 4 2" xfId="24"/>
    <cellStyle name="Normal 5" xfId="25"/>
    <cellStyle name="Normal 5 2" xfId="26"/>
    <cellStyle name="Normal 6" xfId="27"/>
    <cellStyle name="Normal 7" xfId="28"/>
    <cellStyle name="Normal 8" xfId="29"/>
    <cellStyle name="Normal 9" xfId="30"/>
    <cellStyle name="Percent" xfId="1" builtinId="5"/>
    <cellStyle name="Percent 2" xfId="31"/>
    <cellStyle name="Percent 3" xfId="32"/>
    <cellStyle name="Percent 4" xfId="33"/>
    <cellStyle name="Percent 5" xfId="34"/>
    <cellStyle name="Percent 6" xfId="35"/>
    <cellStyle name="PSChar" xfId="36"/>
    <cellStyle name="PSDate" xfId="37"/>
    <cellStyle name="PSDec" xfId="38"/>
    <cellStyle name="PSHeading" xfId="39"/>
    <cellStyle name="PSInt" xfId="40"/>
    <cellStyle name="PSSpacer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\LNG\Finance\TAB-2013-05-03-LNG%20Storage%20Generation%20and%20BOP%20Budget%20Trapezoid%20v5-C137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 (6)"/>
      <sheetName val="LNG Job Numbers"/>
      <sheetName val="GP Job numbers"/>
      <sheetName val="Sheet5 (5)"/>
      <sheetName val="Sheet5 (4)"/>
      <sheetName val="Sheet5 (3)"/>
      <sheetName val="Data for GP W.Orders"/>
      <sheetName val="Summary for GP W.Orders"/>
      <sheetName val="Summary Table 8.8MW"/>
      <sheetName val="Dev Costs 8.8MW"/>
      <sheetName val="Cashflow 8.8MW"/>
      <sheetName val="substn costs"/>
      <sheetName val="Costs to 130728"/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E5">
            <v>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view="pageBreakPreview" topLeftCell="A10" zoomScale="115" zoomScaleNormal="100" zoomScaleSheetLayoutView="115" workbookViewId="0">
      <selection activeCell="C29" sqref="C29"/>
    </sheetView>
  </sheetViews>
  <sheetFormatPr defaultRowHeight="15" x14ac:dyDescent="0.25"/>
  <cols>
    <col min="1" max="1" width="20.140625" customWidth="1"/>
    <col min="2" max="2" width="18.140625" customWidth="1"/>
    <col min="3" max="3" width="18.42578125" customWidth="1"/>
    <col min="4" max="4" width="20" customWidth="1"/>
  </cols>
  <sheetData>
    <row r="1" spans="1:5" ht="54.75" customHeight="1" x14ac:dyDescent="0.25">
      <c r="A1" s="29" t="s">
        <v>0</v>
      </c>
      <c r="B1" s="29"/>
      <c r="C1" s="29"/>
      <c r="D1" s="30" t="s">
        <v>11</v>
      </c>
      <c r="E1" s="30"/>
    </row>
    <row r="4" spans="1:5" x14ac:dyDescent="0.25">
      <c r="A4" s="10" t="s">
        <v>12</v>
      </c>
    </row>
    <row r="5" spans="1:5" x14ac:dyDescent="0.25">
      <c r="A5" s="10" t="s">
        <v>13</v>
      </c>
    </row>
    <row r="6" spans="1:5" x14ac:dyDescent="0.25">
      <c r="A6" t="s">
        <v>14</v>
      </c>
    </row>
    <row r="8" spans="1:5" s="11" customFormat="1" x14ac:dyDescent="0.25">
      <c r="B8" s="12" t="s">
        <v>15</v>
      </c>
      <c r="C8" s="12" t="s">
        <v>16</v>
      </c>
      <c r="D8" s="12" t="s">
        <v>17</v>
      </c>
    </row>
    <row r="9" spans="1:5" x14ac:dyDescent="0.25">
      <c r="A9" t="s">
        <v>18</v>
      </c>
      <c r="B9" s="13">
        <f>(C30-553000)/C31</f>
        <v>898675</v>
      </c>
      <c r="C9" s="13">
        <f>(C28-950000)/C31</f>
        <v>685503.73134328367</v>
      </c>
      <c r="D9" s="13">
        <f>C29/C32</f>
        <v>660000.00000000012</v>
      </c>
    </row>
    <row r="10" spans="1:5" x14ac:dyDescent="0.25">
      <c r="A10" t="s">
        <v>19</v>
      </c>
      <c r="B10" s="13">
        <f>(C30*2-B9)/2*C33</f>
        <v>1964761.10625</v>
      </c>
      <c r="C10" s="13">
        <f>(C28*2-C9)/2*C33</f>
        <v>1527493.157649254</v>
      </c>
      <c r="D10" s="13">
        <f>(C29*2-D9)/2*C33</f>
        <v>341715.00000000006</v>
      </c>
    </row>
    <row r="11" spans="1:5" x14ac:dyDescent="0.25">
      <c r="A11" t="s">
        <v>20</v>
      </c>
      <c r="B11" s="14">
        <f>C34*C38*10000*C36</f>
        <v>2397000</v>
      </c>
      <c r="C11" s="14">
        <f>C34*C39*10000*C36</f>
        <v>4464200</v>
      </c>
      <c r="D11" s="14">
        <f>C34*C40*10000*C36</f>
        <v>5227997.2415105058</v>
      </c>
    </row>
    <row r="12" spans="1:5" x14ac:dyDescent="0.25">
      <c r="A12" s="10" t="s">
        <v>21</v>
      </c>
      <c r="B12" s="15">
        <f>SUM(B9:B11)</f>
        <v>5260436.1062500002</v>
      </c>
      <c r="C12" s="15">
        <f t="shared" ref="C12:D12" si="0">SUM(C9:C11)</f>
        <v>6677196.8889925377</v>
      </c>
      <c r="D12" s="15">
        <f t="shared" si="0"/>
        <v>6229712.2415105058</v>
      </c>
    </row>
    <row r="14" spans="1:5" x14ac:dyDescent="0.25">
      <c r="A14" t="s">
        <v>22</v>
      </c>
      <c r="B14" s="14">
        <f>C35*C38*10000*C37+C35*C40*10000*(1-C37)</f>
        <v>3419575.9906782079</v>
      </c>
      <c r="C14" s="14">
        <f>C35*C39*10000*C37+C35*C40*10000*(1-C37)</f>
        <v>6064983.9906782079</v>
      </c>
      <c r="D14" s="14">
        <f>C35*C40*10000*C37</f>
        <v>6690298.8228859436</v>
      </c>
    </row>
    <row r="15" spans="1:5" x14ac:dyDescent="0.25">
      <c r="A15" s="10" t="s">
        <v>23</v>
      </c>
      <c r="B15" s="15">
        <f>B9+B10+B14</f>
        <v>6283012.0969282081</v>
      </c>
      <c r="C15" s="15">
        <f t="shared" ref="C15:D15" si="1">C9+C10+C14</f>
        <v>8277980.8796707457</v>
      </c>
      <c r="D15" s="15">
        <f t="shared" si="1"/>
        <v>7692013.8228859436</v>
      </c>
    </row>
    <row r="17" spans="1:4" x14ac:dyDescent="0.25">
      <c r="A17" t="s">
        <v>10</v>
      </c>
      <c r="B17" t="s">
        <v>24</v>
      </c>
    </row>
    <row r="18" spans="1:4" x14ac:dyDescent="0.25">
      <c r="B18" t="s">
        <v>47</v>
      </c>
    </row>
    <row r="19" spans="1:4" x14ac:dyDescent="0.25">
      <c r="B19" t="s">
        <v>25</v>
      </c>
    </row>
    <row r="20" spans="1:4" x14ac:dyDescent="0.25">
      <c r="B20" t="s">
        <v>26</v>
      </c>
    </row>
    <row r="21" spans="1:4" x14ac:dyDescent="0.25">
      <c r="B21" t="s">
        <v>27</v>
      </c>
    </row>
    <row r="22" spans="1:4" x14ac:dyDescent="0.25">
      <c r="B22" t="s">
        <v>28</v>
      </c>
    </row>
    <row r="23" spans="1:4" x14ac:dyDescent="0.25">
      <c r="B23" t="s">
        <v>29</v>
      </c>
    </row>
    <row r="24" spans="1:4" x14ac:dyDescent="0.25">
      <c r="B24" t="s">
        <v>30</v>
      </c>
    </row>
    <row r="25" spans="1:4" x14ac:dyDescent="0.25">
      <c r="B25" t="s">
        <v>31</v>
      </c>
    </row>
    <row r="26" spans="1:4" x14ac:dyDescent="0.25">
      <c r="B26" t="s">
        <v>32</v>
      </c>
    </row>
    <row r="28" spans="1:4" x14ac:dyDescent="0.25">
      <c r="A28" t="s">
        <v>33</v>
      </c>
      <c r="C28" s="13">
        <f>21600000*8.8/6.7</f>
        <v>28370149.253731348</v>
      </c>
    </row>
    <row r="29" spans="1:4" x14ac:dyDescent="0.25">
      <c r="A29" t="s">
        <v>34</v>
      </c>
      <c r="C29" s="13">
        <f>6750000*8.8/9</f>
        <v>6600000.0000000009</v>
      </c>
    </row>
    <row r="30" spans="1:4" x14ac:dyDescent="0.25">
      <c r="A30" t="s">
        <v>35</v>
      </c>
      <c r="C30" s="13">
        <v>36500000</v>
      </c>
    </row>
    <row r="31" spans="1:4" x14ac:dyDescent="0.25">
      <c r="A31" t="s">
        <v>36</v>
      </c>
      <c r="C31">
        <v>40</v>
      </c>
      <c r="D31" t="s">
        <v>37</v>
      </c>
    </row>
    <row r="32" spans="1:4" x14ac:dyDescent="0.25">
      <c r="A32" t="s">
        <v>38</v>
      </c>
      <c r="C32">
        <v>10</v>
      </c>
      <c r="D32" t="s">
        <v>37</v>
      </c>
    </row>
    <row r="33" spans="1:3" x14ac:dyDescent="0.25">
      <c r="A33" t="s">
        <v>39</v>
      </c>
      <c r="C33" s="16">
        <v>5.45E-2</v>
      </c>
    </row>
    <row r="34" spans="1:3" x14ac:dyDescent="0.25">
      <c r="A34" t="s">
        <v>40</v>
      </c>
      <c r="C34">
        <v>17</v>
      </c>
    </row>
    <row r="35" spans="1:3" x14ac:dyDescent="0.25">
      <c r="A35" t="s">
        <v>41</v>
      </c>
      <c r="C35">
        <v>22.9</v>
      </c>
    </row>
    <row r="36" spans="1:3" x14ac:dyDescent="0.25">
      <c r="A36" t="s">
        <v>42</v>
      </c>
      <c r="C36" s="17">
        <v>1</v>
      </c>
    </row>
    <row r="37" spans="1:3" x14ac:dyDescent="0.25">
      <c r="A37" t="s">
        <v>43</v>
      </c>
      <c r="C37" s="17">
        <v>0.95</v>
      </c>
    </row>
    <row r="38" spans="1:3" x14ac:dyDescent="0.25">
      <c r="A38" t="s">
        <v>44</v>
      </c>
      <c r="C38">
        <v>14.1</v>
      </c>
    </row>
    <row r="39" spans="1:3" x14ac:dyDescent="0.25">
      <c r="A39" t="s">
        <v>45</v>
      </c>
      <c r="C39" s="18">
        <v>26.26</v>
      </c>
    </row>
    <row r="40" spans="1:3" x14ac:dyDescent="0.25">
      <c r="A40" t="s">
        <v>46</v>
      </c>
      <c r="C40" s="18">
        <f>30.7529249500618</f>
        <v>30.7529249500618</v>
      </c>
    </row>
  </sheetData>
  <mergeCells count="2">
    <mergeCell ref="A1:C1"/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85" zoomScaleNormal="85" workbookViewId="0">
      <selection activeCell="A38" sqref="A38"/>
    </sheetView>
  </sheetViews>
  <sheetFormatPr defaultRowHeight="14.25" x14ac:dyDescent="0.2"/>
  <cols>
    <col min="1" max="1" width="10.7109375" style="1" customWidth="1"/>
    <col min="2" max="2" width="27.42578125" style="1" bestFit="1" customWidth="1"/>
    <col min="3" max="5" width="13.28515625" style="1" customWidth="1"/>
    <col min="6" max="6" width="13" style="1" customWidth="1"/>
    <col min="7" max="7" width="12.5703125" style="1" customWidth="1"/>
    <col min="8" max="8" width="11.85546875" style="1" customWidth="1"/>
    <col min="9" max="16384" width="9.140625" style="1"/>
  </cols>
  <sheetData>
    <row r="1" spans="1:8" s="28" customFormat="1" ht="15.75" customHeight="1" x14ac:dyDescent="0.25">
      <c r="A1" s="33" t="s">
        <v>56</v>
      </c>
      <c r="B1" s="33"/>
      <c r="C1" s="33"/>
      <c r="D1" s="33"/>
      <c r="E1" s="33"/>
      <c r="F1" s="33"/>
      <c r="G1" s="33"/>
      <c r="H1" s="33"/>
    </row>
    <row r="2" spans="1:8" ht="16.5" customHeight="1" x14ac:dyDescent="0.25">
      <c r="A2" s="34"/>
      <c r="B2" s="34"/>
      <c r="C2" s="34"/>
      <c r="D2" s="34"/>
      <c r="E2" s="34"/>
      <c r="F2" s="34"/>
    </row>
    <row r="3" spans="1:8" ht="15" customHeight="1" x14ac:dyDescent="0.2">
      <c r="H3" s="35" t="s">
        <v>64</v>
      </c>
    </row>
    <row r="4" spans="1:8" ht="15" x14ac:dyDescent="0.25">
      <c r="C4" s="25">
        <v>2015</v>
      </c>
      <c r="D4" s="25">
        <v>2016</v>
      </c>
      <c r="E4" s="25">
        <v>2017</v>
      </c>
      <c r="F4" s="25">
        <v>2018</v>
      </c>
      <c r="G4" s="25">
        <v>2019</v>
      </c>
      <c r="H4" s="36"/>
    </row>
    <row r="5" spans="1:8" ht="15" x14ac:dyDescent="0.25">
      <c r="A5" s="2" t="s">
        <v>54</v>
      </c>
      <c r="B5" s="3"/>
    </row>
    <row r="6" spans="1:8" x14ac:dyDescent="0.2">
      <c r="A6" s="1" t="s">
        <v>1</v>
      </c>
      <c r="B6" s="1" t="s">
        <v>2</v>
      </c>
      <c r="C6" s="22">
        <v>2.85</v>
      </c>
      <c r="D6" s="22">
        <v>0</v>
      </c>
      <c r="E6" s="22">
        <v>0</v>
      </c>
      <c r="F6" s="22">
        <v>0</v>
      </c>
      <c r="G6" s="22">
        <v>0</v>
      </c>
    </row>
    <row r="7" spans="1:8" x14ac:dyDescent="0.2">
      <c r="A7" s="1" t="s">
        <v>3</v>
      </c>
      <c r="B7" s="1" t="s">
        <v>2</v>
      </c>
      <c r="C7" s="22">
        <f>C6-C10</f>
        <v>2.7787500000000001</v>
      </c>
      <c r="D7" s="22">
        <f>C7+D6-D10</f>
        <v>2.63625</v>
      </c>
      <c r="E7" s="22">
        <f>D7+E6-E10</f>
        <v>2.4937499999999999</v>
      </c>
      <c r="F7" s="22">
        <f>E7+F6-F10</f>
        <v>2.3512499999999998</v>
      </c>
      <c r="G7" s="22">
        <f t="shared" ref="G7" si="0">F7+G6-G10</f>
        <v>2.2087499999999998</v>
      </c>
      <c r="H7" s="5"/>
    </row>
    <row r="8" spans="1:8" x14ac:dyDescent="0.2">
      <c r="C8" s="4"/>
      <c r="D8" s="4"/>
      <c r="E8" s="4"/>
      <c r="F8" s="4"/>
      <c r="G8" s="4"/>
      <c r="H8" s="4"/>
    </row>
    <row r="9" spans="1:8" ht="15" x14ac:dyDescent="0.25">
      <c r="A9" s="2" t="s">
        <v>4</v>
      </c>
      <c r="B9" s="3"/>
    </row>
    <row r="10" spans="1:8" x14ac:dyDescent="0.2">
      <c r="A10" s="1" t="s">
        <v>5</v>
      </c>
      <c r="B10" s="1" t="s">
        <v>2</v>
      </c>
      <c r="C10" s="22">
        <f>$C$6/20*0.5</f>
        <v>7.1250000000000008E-2</v>
      </c>
      <c r="D10" s="22">
        <f>$C$6/20</f>
        <v>0.14250000000000002</v>
      </c>
      <c r="E10" s="22">
        <f>$C$6/20</f>
        <v>0.14250000000000002</v>
      </c>
      <c r="F10" s="22">
        <f>$C$6/20</f>
        <v>0.14250000000000002</v>
      </c>
      <c r="G10" s="22">
        <f>$C$6/20</f>
        <v>0.14250000000000002</v>
      </c>
      <c r="H10" s="6"/>
    </row>
    <row r="11" spans="1:8" x14ac:dyDescent="0.2">
      <c r="A11" s="1" t="s">
        <v>6</v>
      </c>
      <c r="B11" s="1" t="s">
        <v>2</v>
      </c>
      <c r="C11" s="23">
        <f>(C7)*0.5*0.085</f>
        <v>0.118096875</v>
      </c>
      <c r="D11" s="23">
        <f>(C7+D7)*0.5*0.085</f>
        <v>0.23013750000000002</v>
      </c>
      <c r="E11" s="23">
        <f>(D7+E7)*0.5*0.085</f>
        <v>0.21802500000000002</v>
      </c>
      <c r="F11" s="23">
        <f>(E7+F7)*0.5*0.085</f>
        <v>0.2059125</v>
      </c>
      <c r="G11" s="23">
        <f>(F7+G7)*0.5*0.085</f>
        <v>0.1938</v>
      </c>
      <c r="H11" s="7"/>
    </row>
    <row r="12" spans="1:8" x14ac:dyDescent="0.2">
      <c r="A12" s="1" t="s">
        <v>48</v>
      </c>
      <c r="B12" s="1" t="s">
        <v>2</v>
      </c>
      <c r="C12" s="23">
        <f>0.041/12*4</f>
        <v>1.3666666666666667E-2</v>
      </c>
      <c r="D12" s="23">
        <f>0.041/12*8+0.04182/12*4</f>
        <v>4.1273333333333335E-2</v>
      </c>
      <c r="E12" s="23">
        <f>0.04182/12*8+0.0426564/12*4</f>
        <v>4.2098799999999999E-2</v>
      </c>
      <c r="F12" s="23">
        <f>0.0426564/12*8+0.04350953/12*4</f>
        <v>4.2940776666666666E-2</v>
      </c>
      <c r="G12" s="23">
        <f>0.04350953/12*8+0.04437972/12*4</f>
        <v>4.3799593333333331E-2</v>
      </c>
      <c r="H12" s="7"/>
    </row>
    <row r="13" spans="1:8" s="8" customFormat="1" ht="15.75" thickBot="1" x14ac:dyDescent="0.3">
      <c r="A13" s="8" t="s">
        <v>1</v>
      </c>
      <c r="B13" s="8" t="s">
        <v>2</v>
      </c>
      <c r="C13" s="24">
        <f>C10+C11+C12</f>
        <v>0.20301354166666669</v>
      </c>
      <c r="D13" s="24">
        <f>D10+D11+D12</f>
        <v>0.41391083333333339</v>
      </c>
      <c r="E13" s="24">
        <f>E10+E11+E12</f>
        <v>0.40262380000000003</v>
      </c>
      <c r="F13" s="24">
        <f>F10+F11+F12</f>
        <v>0.39135327666666669</v>
      </c>
      <c r="G13" s="24">
        <f t="shared" ref="G13" si="1">G10+G11+G12</f>
        <v>0.38009959333333337</v>
      </c>
      <c r="H13" s="20"/>
    </row>
    <row r="14" spans="1:8" ht="15" thickTop="1" x14ac:dyDescent="0.2"/>
    <row r="15" spans="1:8" ht="15" x14ac:dyDescent="0.25">
      <c r="A15" s="2" t="s">
        <v>7</v>
      </c>
      <c r="B15" s="3"/>
    </row>
    <row r="16" spans="1:8" x14ac:dyDescent="0.2">
      <c r="A16" s="1" t="s">
        <v>49</v>
      </c>
      <c r="C16" s="5">
        <v>15.3</v>
      </c>
      <c r="D16" s="5">
        <v>15.3</v>
      </c>
      <c r="E16" s="5">
        <v>15.3</v>
      </c>
      <c r="F16" s="5">
        <v>15.3</v>
      </c>
      <c r="G16" s="5">
        <v>15.3</v>
      </c>
    </row>
    <row r="17" spans="1:8" x14ac:dyDescent="0.2">
      <c r="B17" s="1" t="s">
        <v>53</v>
      </c>
      <c r="C17" s="9">
        <v>7.0000000000000007E-2</v>
      </c>
      <c r="D17" s="9">
        <v>0.32</v>
      </c>
      <c r="E17" s="9">
        <v>0.5</v>
      </c>
      <c r="F17" s="9">
        <v>0.5</v>
      </c>
      <c r="G17" s="9">
        <v>0.5</v>
      </c>
      <c r="H17" s="9"/>
    </row>
    <row r="18" spans="1:8" x14ac:dyDescent="0.2">
      <c r="A18" s="1" t="s">
        <v>8</v>
      </c>
      <c r="C18" s="19"/>
      <c r="D18" s="19"/>
      <c r="E18" s="19"/>
      <c r="F18" s="19"/>
      <c r="G18" s="19"/>
      <c r="H18" s="6"/>
    </row>
    <row r="19" spans="1:8" x14ac:dyDescent="0.2">
      <c r="B19" s="1" t="s">
        <v>2</v>
      </c>
      <c r="C19" s="27">
        <f>C$16*C17*0.14*30.8/26.3</f>
        <v>0.17559513307984795</v>
      </c>
      <c r="D19" s="27">
        <f t="shared" ref="D19:G19" si="2">D$16*D17*0.14*30.8/26.3</f>
        <v>0.80272060836501913</v>
      </c>
      <c r="E19" s="27">
        <f t="shared" si="2"/>
        <v>1.2542509505703425</v>
      </c>
      <c r="F19" s="27">
        <f t="shared" si="2"/>
        <v>1.2542509505703425</v>
      </c>
      <c r="G19" s="27">
        <f t="shared" si="2"/>
        <v>1.2542509505703425</v>
      </c>
      <c r="H19" s="21"/>
    </row>
    <row r="20" spans="1:8" x14ac:dyDescent="0.2">
      <c r="B20" s="1" t="s">
        <v>50</v>
      </c>
      <c r="C20" s="26">
        <f>C$16*(C17)*0.3075</f>
        <v>0.32933250000000003</v>
      </c>
      <c r="D20" s="26">
        <f t="shared" ref="D20:F20" si="3">D$16*(D17)*0.3075</f>
        <v>1.50552</v>
      </c>
      <c r="E20" s="26">
        <f t="shared" si="3"/>
        <v>2.3523749999999999</v>
      </c>
      <c r="F20" s="26">
        <f t="shared" si="3"/>
        <v>2.3523749999999999</v>
      </c>
      <c r="G20" s="26">
        <f t="shared" ref="G20" si="4">G$16*(G17)*0.3075</f>
        <v>2.3523749999999999</v>
      </c>
      <c r="H20" s="7"/>
    </row>
    <row r="21" spans="1:8" ht="15.75" thickBot="1" x14ac:dyDescent="0.3">
      <c r="A21" s="8" t="s">
        <v>51</v>
      </c>
      <c r="C21" s="24">
        <f>C19-C20</f>
        <v>-0.15373736692015208</v>
      </c>
      <c r="D21" s="24">
        <f t="shared" ref="D21:F21" si="5">D19-D20</f>
        <v>-0.70279939163498084</v>
      </c>
      <c r="E21" s="24">
        <f t="shared" si="5"/>
        <v>-1.0981240494296574</v>
      </c>
      <c r="F21" s="24">
        <f t="shared" si="5"/>
        <v>-1.0981240494296574</v>
      </c>
      <c r="G21" s="24">
        <f t="shared" ref="G21" si="6">G19-G20</f>
        <v>-1.0981240494296574</v>
      </c>
      <c r="H21" s="20"/>
    </row>
    <row r="22" spans="1:8" ht="15" thickTop="1" x14ac:dyDescent="0.2">
      <c r="C22" s="6"/>
      <c r="D22" s="6"/>
      <c r="E22" s="6"/>
      <c r="F22" s="6"/>
      <c r="G22" s="6"/>
      <c r="H22" s="6"/>
    </row>
    <row r="23" spans="1:8" ht="15" x14ac:dyDescent="0.25">
      <c r="A23" s="2" t="s">
        <v>9</v>
      </c>
      <c r="B23" s="3"/>
      <c r="C23" s="6"/>
      <c r="D23" s="6"/>
      <c r="E23" s="6"/>
      <c r="F23" s="6"/>
      <c r="G23" s="6"/>
      <c r="H23" s="6"/>
    </row>
    <row r="24" spans="1:8" x14ac:dyDescent="0.2">
      <c r="B24" s="1" t="s">
        <v>52</v>
      </c>
      <c r="C24" s="23">
        <f>C13+C19</f>
        <v>0.37860867474651461</v>
      </c>
      <c r="D24" s="23">
        <f>D13+D19</f>
        <v>1.2166314416983526</v>
      </c>
      <c r="E24" s="23">
        <f>E13+E19</f>
        <v>1.6568747505703425</v>
      </c>
      <c r="F24" s="23">
        <f>F13+F19</f>
        <v>1.6456042272370093</v>
      </c>
      <c r="G24" s="23">
        <f>G13+G19</f>
        <v>1.6343505439036758</v>
      </c>
      <c r="H24" s="7"/>
    </row>
    <row r="25" spans="1:8" ht="15" x14ac:dyDescent="0.25">
      <c r="A25" s="8"/>
      <c r="B25" s="1" t="s">
        <v>50</v>
      </c>
      <c r="C25" s="23">
        <f>C20</f>
        <v>0.32933250000000003</v>
      </c>
      <c r="D25" s="23">
        <f>D20</f>
        <v>1.50552</v>
      </c>
      <c r="E25" s="23">
        <f>E20</f>
        <v>2.3523749999999999</v>
      </c>
      <c r="F25" s="23">
        <f>F20</f>
        <v>2.3523749999999999</v>
      </c>
      <c r="G25" s="23">
        <f>G20</f>
        <v>2.3523749999999999</v>
      </c>
      <c r="H25" s="7"/>
    </row>
    <row r="26" spans="1:8" ht="16.5" customHeight="1" thickBot="1" x14ac:dyDescent="0.3">
      <c r="A26" s="8" t="s">
        <v>55</v>
      </c>
      <c r="C26" s="24">
        <f>C24-C25</f>
        <v>4.9276174746514578E-2</v>
      </c>
      <c r="D26" s="24">
        <f t="shared" ref="D26:F26" si="7">D24-D25</f>
        <v>-0.28888855830164739</v>
      </c>
      <c r="E26" s="24">
        <f t="shared" si="7"/>
        <v>-0.69550024942965738</v>
      </c>
      <c r="F26" s="24">
        <f t="shared" si="7"/>
        <v>-0.70677077276299061</v>
      </c>
      <c r="G26" s="24">
        <f t="shared" ref="G26" si="8">G24-G25</f>
        <v>-0.71802445609632404</v>
      </c>
      <c r="H26" s="24">
        <f>SUM(C26:G26)</f>
        <v>-2.3599078618441047</v>
      </c>
    </row>
    <row r="27" spans="1:8" ht="16.5" customHeight="1" thickTop="1" x14ac:dyDescent="0.2">
      <c r="C27" s="6"/>
      <c r="D27" s="6"/>
      <c r="E27" s="6"/>
      <c r="F27" s="6"/>
    </row>
    <row r="28" spans="1:8" ht="16.5" customHeight="1" x14ac:dyDescent="0.2">
      <c r="C28" s="6"/>
      <c r="D28" s="6"/>
      <c r="E28" s="6"/>
      <c r="F28" s="6"/>
    </row>
    <row r="29" spans="1:8" x14ac:dyDescent="0.2">
      <c r="A29" s="1" t="s">
        <v>10</v>
      </c>
    </row>
    <row r="30" spans="1:8" ht="44.25" customHeight="1" x14ac:dyDescent="0.25">
      <c r="A30" s="31" t="s">
        <v>62</v>
      </c>
      <c r="B30" s="31"/>
      <c r="C30" s="31"/>
      <c r="D30" s="31"/>
      <c r="E30" s="31"/>
      <c r="F30" s="31"/>
      <c r="G30" s="32"/>
    </row>
    <row r="31" spans="1:8" x14ac:dyDescent="0.2">
      <c r="A31" s="31" t="s">
        <v>57</v>
      </c>
      <c r="B31" s="31"/>
      <c r="C31" s="31"/>
      <c r="D31" s="31"/>
      <c r="E31" s="31"/>
      <c r="F31" s="31"/>
    </row>
    <row r="32" spans="1:8" x14ac:dyDescent="0.2">
      <c r="A32" s="31" t="s">
        <v>58</v>
      </c>
      <c r="B32" s="31"/>
      <c r="C32" s="31"/>
      <c r="D32" s="31"/>
      <c r="E32" s="31"/>
      <c r="F32" s="31"/>
    </row>
    <row r="33" spans="1:7" ht="72" customHeight="1" x14ac:dyDescent="0.25">
      <c r="A33" s="31" t="s">
        <v>59</v>
      </c>
      <c r="B33" s="31"/>
      <c r="C33" s="31"/>
      <c r="D33" s="31"/>
      <c r="E33" s="31"/>
      <c r="F33" s="31"/>
      <c r="G33" s="32"/>
    </row>
    <row r="34" spans="1:7" ht="15" x14ac:dyDescent="0.25">
      <c r="A34" s="31" t="s">
        <v>63</v>
      </c>
      <c r="B34" s="31"/>
      <c r="C34" s="31"/>
      <c r="D34" s="31"/>
      <c r="E34" s="31"/>
      <c r="F34" s="31"/>
      <c r="G34" s="32"/>
    </row>
    <row r="35" spans="1:7" ht="15" x14ac:dyDescent="0.25">
      <c r="A35" s="31" t="s">
        <v>60</v>
      </c>
      <c r="B35" s="31"/>
      <c r="C35" s="31"/>
      <c r="D35" s="31"/>
      <c r="E35" s="31"/>
      <c r="F35" s="31"/>
      <c r="G35" s="32"/>
    </row>
    <row r="36" spans="1:7" ht="33.75" customHeight="1" x14ac:dyDescent="0.25">
      <c r="A36" s="31" t="s">
        <v>61</v>
      </c>
      <c r="B36" s="31"/>
      <c r="C36" s="31"/>
      <c r="D36" s="31"/>
      <c r="E36" s="31"/>
      <c r="F36" s="31"/>
      <c r="G36" s="32"/>
    </row>
    <row r="37" spans="1:7" ht="34.5" customHeight="1" x14ac:dyDescent="0.25">
      <c r="A37" s="31" t="s">
        <v>65</v>
      </c>
      <c r="B37" s="31"/>
      <c r="C37" s="31"/>
      <c r="D37" s="31"/>
      <c r="E37" s="31"/>
      <c r="F37" s="31"/>
      <c r="G37" s="32"/>
    </row>
  </sheetData>
  <mergeCells count="11">
    <mergeCell ref="A36:G36"/>
    <mergeCell ref="A37:G37"/>
    <mergeCell ref="A32:F32"/>
    <mergeCell ref="A31:F31"/>
    <mergeCell ref="A1:H1"/>
    <mergeCell ref="A2:F2"/>
    <mergeCell ref="A30:G30"/>
    <mergeCell ref="A33:G33"/>
    <mergeCell ref="A34:G34"/>
    <mergeCell ref="A35:G35"/>
    <mergeCell ref="H3:H4"/>
  </mergeCells>
  <pageMargins left="0.7" right="0.7" top="0.75" bottom="0.75" header="0.3" footer="0.3"/>
  <pageSetup scale="78" orientation="portrait" r:id="rId1"/>
  <headerFooter>
    <oddHeader>&amp;R&amp;"Arial,Regular"&amp;10Yukon Electrical Company Limited Application for Review and Variance
of Board Order 2014-06
Attachment 2 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Attachment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2014-02-27T00:12:33Z</dcterms:created>
  <dcterms:modified xsi:type="dcterms:W3CDTF">2014-10-24T20:21:25Z</dcterms:modified>
</cp:coreProperties>
</file>