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filterPrivacy="1" defaultThemeVersion="166925"/>
  <xr:revisionPtr revIDLastSave="3" documentId="8_{D6128739-CE67-4139-AC82-923E3F2D7311}" xr6:coauthVersionLast="47" xr6:coauthVersionMax="47" xr10:uidLastSave="{3910C67A-01DF-4896-A7F3-849949989426}"/>
  <bookViews>
    <workbookView xWindow="-110" yWindow="-110" windowWidth="19420" windowHeight="10420" xr2:uid="{D9B56934-4C1B-47CF-B827-B61157430291}"/>
  </bookViews>
  <sheets>
    <sheet name="5 MW Faro rental (15 years)" sheetId="1" r:id="rId1"/>
    <sheet name="5 MW - Faro (15 years)" sheetId="3" r:id="rId2"/>
  </sheets>
  <definedNames>
    <definedName name="BTU" localSheetId="1">#REF!</definedName>
    <definedName name="BTU">#REF!</definedName>
    <definedName name="D_RATE" localSheetId="1">'5 MW - Faro (15 years)'!#REF!</definedName>
    <definedName name="D_RATE" localSheetId="0">'5 MW Faro rental (15 years)'!#REF!</definedName>
    <definedName name="EFF" localSheetId="1">#REF!</definedName>
    <definedName name="EFF">#REF!</definedName>
    <definedName name="END_CAPEX_YEAR" localSheetId="1">'5 MW - Faro (15 years)'!#REF!</definedName>
    <definedName name="END_CAPEX_YEAR" localSheetId="0">'5 MW Faro rental (15 years)'!#REF!</definedName>
    <definedName name="END_CAPEX_YEAR">#REF!</definedName>
    <definedName name="GWH" localSheetId="1">'5 MW - Faro (15 years)'!#REF!</definedName>
    <definedName name="GWH" localSheetId="0">'5 MW Faro rental (15 years)'!#REF!</definedName>
    <definedName name="ID" localSheetId="1">#REF!</definedName>
    <definedName name="ID">#REF!</definedName>
    <definedName name="INFL" localSheetId="1">'5 MW - Faro (15 years)'!$J$7</definedName>
    <definedName name="INFL" localSheetId="0">'5 MW Faro rental (15 years)'!$I$7</definedName>
    <definedName name="LIFE" localSheetId="1">'5 MW - Faro (15 years)'!$C$10</definedName>
    <definedName name="LIFE" localSheetId="0">'5 MW Faro rental (15 years)'!$D$12</definedName>
    <definedName name="List" localSheetId="1">#REF!</definedName>
    <definedName name="List">#REF!</definedName>
    <definedName name="LOSSES" localSheetId="1">#REF!</definedName>
    <definedName name="LOSSES">#REF!</definedName>
    <definedName name="_xlnm.Print_Area" localSheetId="1">'5 MW - Faro (15 years)'!$A$1:$K$38</definedName>
    <definedName name="_xlnm.Print_Area" localSheetId="0">'5 MW Faro rental (15 years)'!$A$1:$J$40</definedName>
    <definedName name="REAL_D_RATE" localSheetId="1">'5 MW - Faro (15 years)'!$J$8</definedName>
    <definedName name="REAL_D_RATE" localSheetId="0">'5 MW Faro rental (15 years)'!$I$8</definedName>
    <definedName name="REAL_D_RATE">#REF!</definedName>
    <definedName name="Sc_ID" localSheetId="1">#REF!</definedName>
    <definedName name="Sc_ID">#REF!</definedName>
    <definedName name="USG" localSheetId="1">#REF!</definedName>
    <definedName name="USG">#REF!</definedName>
    <definedName name="WACC" localSheetId="1">'5 MW - Faro (15 years)'!$J$6</definedName>
    <definedName name="WACC" localSheetId="0">'5 MW Faro rental (15 years)'!$I$6</definedName>
    <definedName name="WACC">#REF!</definedName>
    <definedName name="WACC2" localSheetId="1">'5 MW - Faro (15 years)'!#REF!</definedName>
    <definedName name="WACC2" localSheetId="0">'5 MW Faro rental (15 years)'!#REF!</definedName>
    <definedName name="WACC2">#REF!</definedName>
    <definedName name="WACC3" localSheetId="1">'5 MW - Faro (15 years)'!#REF!</definedName>
    <definedName name="WACC3" localSheetId="0">'5 MW Faro rental (15 years)'!#REF!</definedName>
    <definedName name="WACC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C7" i="1" l="1"/>
  <c r="I10" i="3"/>
  <c r="I12" i="3"/>
  <c r="I19" i="3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I30" i="3" s="1"/>
  <c r="I31" i="3" s="1"/>
  <c r="I32" i="3" s="1"/>
  <c r="J18" i="3"/>
  <c r="A18" i="3"/>
  <c r="A19" i="3" s="1"/>
  <c r="F17" i="3"/>
  <c r="E17" i="3"/>
  <c r="D17" i="3"/>
  <c r="C17" i="3"/>
  <c r="B17" i="3"/>
  <c r="J15" i="3"/>
  <c r="B15" i="3"/>
  <c r="C9" i="3"/>
  <c r="E18" i="3" s="1"/>
  <c r="C18" i="3"/>
  <c r="J6" i="3"/>
  <c r="A20" i="3" l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J8" i="3"/>
  <c r="B18" i="3"/>
  <c r="D18" i="3" l="1"/>
  <c r="B19" i="3"/>
  <c r="E19" i="3" s="1"/>
  <c r="D19" i="3" l="1"/>
  <c r="C19" i="3"/>
  <c r="B20" i="3" s="1"/>
  <c r="E20" i="3" s="1"/>
  <c r="F18" i="3"/>
  <c r="D20" i="3" l="1"/>
  <c r="C20" i="3"/>
  <c r="B21" i="3" s="1"/>
  <c r="E21" i="3" s="1"/>
  <c r="F19" i="3"/>
  <c r="J19" i="3"/>
  <c r="D21" i="3" l="1"/>
  <c r="C21" i="3"/>
  <c r="B22" i="3" s="1"/>
  <c r="E22" i="3" s="1"/>
  <c r="F20" i="3"/>
  <c r="J20" i="3"/>
  <c r="D22" i="3" l="1"/>
  <c r="C22" i="3"/>
  <c r="B23" i="3" s="1"/>
  <c r="E23" i="3" s="1"/>
  <c r="F21" i="3"/>
  <c r="J21" i="3"/>
  <c r="D23" i="3" l="1"/>
  <c r="C23" i="3"/>
  <c r="B24" i="3" s="1"/>
  <c r="E24" i="3" s="1"/>
  <c r="F22" i="3"/>
  <c r="J22" i="3"/>
  <c r="D24" i="3" l="1"/>
  <c r="C24" i="3"/>
  <c r="B25" i="3" s="1"/>
  <c r="E25" i="3" s="1"/>
  <c r="F23" i="3"/>
  <c r="J23" i="3"/>
  <c r="D25" i="3" l="1"/>
  <c r="C25" i="3"/>
  <c r="B26" i="3" s="1"/>
  <c r="E26" i="3" s="1"/>
  <c r="F24" i="3"/>
  <c r="J24" i="3"/>
  <c r="D26" i="3" l="1"/>
  <c r="C26" i="3"/>
  <c r="B27" i="3" s="1"/>
  <c r="E27" i="3" s="1"/>
  <c r="F25" i="3"/>
  <c r="J25" i="3"/>
  <c r="D27" i="3" l="1"/>
  <c r="C27" i="3"/>
  <c r="B28" i="3" s="1"/>
  <c r="E28" i="3" s="1"/>
  <c r="F26" i="3"/>
  <c r="J26" i="3"/>
  <c r="D28" i="3" l="1"/>
  <c r="C28" i="3"/>
  <c r="B29" i="3" s="1"/>
  <c r="E29" i="3" s="1"/>
  <c r="F27" i="3"/>
  <c r="J27" i="3"/>
  <c r="D29" i="3" l="1"/>
  <c r="C29" i="3"/>
  <c r="B30" i="3" s="1"/>
  <c r="E30" i="3" s="1"/>
  <c r="F28" i="3"/>
  <c r="J28" i="3"/>
  <c r="D30" i="3" l="1"/>
  <c r="C30" i="3"/>
  <c r="B31" i="3" s="1"/>
  <c r="E31" i="3" s="1"/>
  <c r="F29" i="3"/>
  <c r="J29" i="3"/>
  <c r="D31" i="3" l="1"/>
  <c r="C31" i="3"/>
  <c r="B32" i="3" s="1"/>
  <c r="E32" i="3" s="1"/>
  <c r="F30" i="3"/>
  <c r="J30" i="3"/>
  <c r="D32" i="3" l="1"/>
  <c r="C32" i="3"/>
  <c r="F31" i="3"/>
  <c r="J31" i="3"/>
  <c r="F32" i="3" l="1"/>
  <c r="F34" i="3" s="1"/>
  <c r="J32" i="3"/>
  <c r="G20" i="1" l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E18" i="1"/>
  <c r="D18" i="1"/>
  <c r="C18" i="1"/>
  <c r="B18" i="1"/>
  <c r="D10" i="1"/>
  <c r="H19" i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I6" i="1"/>
  <c r="I8" i="1" l="1"/>
  <c r="A20" i="1"/>
  <c r="E19" i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J10" i="3"/>
  <c r="J12" i="3" s="1"/>
  <c r="H16" i="1"/>
  <c r="E35" i="1" l="1"/>
  <c r="I10" i="1" s="1"/>
  <c r="A21" i="1"/>
  <c r="A22" i="1" s="1"/>
  <c r="A23" i="1" l="1"/>
  <c r="A24" i="1" l="1"/>
  <c r="A25" i="1" l="1"/>
  <c r="A26" i="1" l="1"/>
  <c r="A27" i="1" l="1"/>
  <c r="A28" i="1" l="1"/>
  <c r="A29" i="1" l="1"/>
  <c r="A30" i="1" l="1"/>
  <c r="A31" i="1" l="1"/>
  <c r="A32" i="1" l="1"/>
  <c r="A33" i="1" l="1"/>
  <c r="I11" i="1" l="1"/>
</calcChain>
</file>

<file path=xl/sharedStrings.xml><?xml version="1.0" encoding="utf-8"?>
<sst xmlns="http://schemas.openxmlformats.org/spreadsheetml/2006/main" count="51" uniqueCount="34">
  <si>
    <t>Weighted Average Cost of Capital</t>
  </si>
  <si>
    <t>Winter MW</t>
  </si>
  <si>
    <t>Inflation Rate</t>
  </si>
  <si>
    <t>Capital  ($000)</t>
  </si>
  <si>
    <t>Real Weighted Average Cost of Capital</t>
  </si>
  <si>
    <t>O&amp;M (Fixed)</t>
  </si>
  <si>
    <t xml:space="preserve">$000/yr </t>
  </si>
  <si>
    <t>Project LCOC ($/MW)</t>
  </si>
  <si>
    <t>Life</t>
  </si>
  <si>
    <t xml:space="preserve"> </t>
  </si>
  <si>
    <t>years</t>
  </si>
  <si>
    <t>Rental escalation</t>
  </si>
  <si>
    <t>per yr</t>
  </si>
  <si>
    <t>Year</t>
  </si>
  <si>
    <t>Year from In-service</t>
  </si>
  <si>
    <t>Year-End Balance</t>
  </si>
  <si>
    <t>Depr</t>
  </si>
  <si>
    <t>Return</t>
  </si>
  <si>
    <t>O&amp;M</t>
  </si>
  <si>
    <t>Total</t>
  </si>
  <si>
    <t>Fixed O&amp;M</t>
  </si>
  <si>
    <t>$000/MW</t>
  </si>
  <si>
    <t>NPV</t>
  </si>
  <si>
    <t>Notes:</t>
  </si>
  <si>
    <t>Assumed Life</t>
  </si>
  <si>
    <t>O&amp;M (Fixed) per MW</t>
  </si>
  <si>
    <t>Faro Diesel Rental LCOC</t>
  </si>
  <si>
    <t>Diesel Replacement Options - Faro 5 MW</t>
  </si>
  <si>
    <t>1. Diesel rental cost is based on forecast for 2024, includes equipment rental cost, transportation cost and commissioning cost.</t>
  </si>
  <si>
    <t>2. Weighted average cost of capital is based on proposed ROE at 8.70% and new long term debt cost at 4.23%.</t>
  </si>
  <si>
    <t>1. Faro diesel replacement cost as per Table 5.1A-1.1 in Tab 5.</t>
  </si>
  <si>
    <t>YUB-YEC-1-48 Attachment 1</t>
  </si>
  <si>
    <t>YEC 2023/24 GRA</t>
  </si>
  <si>
    <t>Faro Diesel Rental LCOC for 3 units 1.8 MW each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</si>
</sst>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0.000%"/>
    <numFmt numFmtId="166" formatCode="[Blue]&quot;$&quot;#,##0;\(&quot;$&quot;#,##0\)"/>
    <numFmt numFmtId="167" formatCode="0.0"/>
    <numFmt numFmtId="168" formatCode="0.0%"/>
    <numFmt numFmtId="169" formatCode="&quot;$&quot;#,##0_);[Red]\(&quot;$&quot;#,##0\)"/>
    <numFmt numFmtId="170" formatCode="_-* #,##0_-;\-* #,##0_-;_-* &quot;-&quot;??_-;_-@_-"/>
    <numFmt numFmtId="171" formatCode="_-&quot;$&quot;* #,##0_-;\-&quot;$&quot;* #,##0_-;_-&quot;$&quot;* &quot;-&quot;??_-;_-@_-"/>
    <numFmt numFmtId="172" formatCode="&quot;$&quot;#,##0.00;[Red]&quot;$&quot;#,##0.00"/>
    <numFmt numFmtId="173" formatCode=";;;"/>
    <numFmt numFmtId="174" formatCode="&quot;$&quot;#,##0.00_);[Red]\(&quot;$&quot;#,##0.00\)"/>
    <numFmt numFmtId="175" formatCode="&quot;$&quot;0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8"/>
      <name val="Helv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b/>
      <sz val="8"/>
      <color rgb="FF3333FF"/>
      <name val="Calibri"/>
      <family val="2"/>
      <scheme val="minor"/>
    </font>
    <font>
      <sz val="11"/>
      <color theme="1"/>
      <name val="Calibri"/>
      <family val="2"/>
    </font>
    <font>
      <b/>
      <i/>
      <sz val="8"/>
      <name val="Calibri"/>
      <family val="2"/>
      <scheme val="minor"/>
    </font>
    <font>
      <b/>
      <sz val="8"/>
      <color theme="9" tint="-0.249977111117893"/>
      <name val="Calibri"/>
      <family val="2"/>
      <scheme val="minor"/>
    </font>
    <font>
      <sz val="9"/>
      <name val="Arial"/>
      <family val="2"/>
    </font>
    <font>
      <i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3" fontId="8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1" fontId="4" fillId="0" borderId="0" xfId="2" applyNumberFormat="1" applyFont="1" applyAlignment="1">
      <alignment vertical="center"/>
    </xf>
    <xf numFmtId="0" fontId="6" fillId="0" borderId="0" xfId="2" applyFont="1" applyAlignment="1">
      <alignment vertical="center"/>
    </xf>
    <xf numFmtId="3" fontId="5" fillId="0" borderId="0" xfId="2" applyNumberFormat="1" applyFont="1" applyAlignment="1">
      <alignment vertical="center"/>
    </xf>
    <xf numFmtId="164" fontId="5" fillId="0" borderId="0" xfId="2" applyNumberFormat="1" applyFont="1" applyAlignment="1">
      <alignment vertical="center"/>
    </xf>
    <xf numFmtId="0" fontId="4" fillId="0" borderId="0" xfId="2" applyFont="1" applyAlignment="1">
      <alignment horizontal="right" vertical="center"/>
    </xf>
    <xf numFmtId="165" fontId="7" fillId="0" borderId="0" xfId="3" applyNumberFormat="1" applyFont="1" applyFill="1" applyAlignment="1" applyProtection="1">
      <alignment horizontal="center" vertical="center"/>
    </xf>
    <xf numFmtId="9" fontId="5" fillId="0" borderId="0" xfId="2" applyNumberFormat="1" applyFont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9" fontId="7" fillId="2" borderId="1" xfId="3" applyFont="1" applyFill="1" applyBorder="1" applyAlignment="1">
      <alignment horizontal="center" vertical="center"/>
    </xf>
    <xf numFmtId="166" fontId="4" fillId="0" borderId="2" xfId="2" applyNumberFormat="1" applyFont="1" applyBorder="1" applyAlignment="1">
      <alignment horizontal="right" vertical="center"/>
    </xf>
    <xf numFmtId="0" fontId="4" fillId="0" borderId="0" xfId="2" applyFont="1" applyAlignment="1">
      <alignment horizontal="left" vertical="center"/>
    </xf>
    <xf numFmtId="1" fontId="5" fillId="2" borderId="3" xfId="3" applyNumberFormat="1" applyFont="1" applyFill="1" applyBorder="1" applyAlignment="1">
      <alignment horizontal="center" vertical="center"/>
    </xf>
    <xf numFmtId="43" fontId="4" fillId="0" borderId="2" xfId="1" applyFont="1" applyFill="1" applyBorder="1" applyAlignment="1" applyProtection="1">
      <alignment horizontal="right" vertical="center"/>
    </xf>
    <xf numFmtId="10" fontId="7" fillId="0" borderId="0" xfId="3" applyNumberFormat="1" applyFont="1" applyFill="1" applyAlignment="1" applyProtection="1">
      <alignment horizontal="center" vertical="center"/>
    </xf>
    <xf numFmtId="167" fontId="5" fillId="0" borderId="0" xfId="2" applyNumberFormat="1" applyFont="1" applyAlignment="1">
      <alignment vertical="center"/>
    </xf>
    <xf numFmtId="0" fontId="5" fillId="0" borderId="0" xfId="2" applyFont="1" applyAlignment="1">
      <alignment horizontal="center" vertical="center"/>
    </xf>
    <xf numFmtId="1" fontId="5" fillId="2" borderId="1" xfId="3" applyNumberFormat="1" applyFont="1" applyFill="1" applyBorder="1" applyAlignment="1">
      <alignment horizontal="center" vertical="center"/>
    </xf>
    <xf numFmtId="1" fontId="5" fillId="0" borderId="0" xfId="2" applyNumberFormat="1" applyFont="1" applyAlignment="1">
      <alignment vertical="center"/>
    </xf>
    <xf numFmtId="0" fontId="9" fillId="0" borderId="5" xfId="2" applyFont="1" applyBorder="1" applyAlignment="1">
      <alignment vertical="center" wrapText="1"/>
    </xf>
    <xf numFmtId="9" fontId="5" fillId="0" borderId="0" xfId="2" applyNumberFormat="1" applyFont="1" applyAlignment="1">
      <alignment vertical="center"/>
    </xf>
    <xf numFmtId="0" fontId="9" fillId="0" borderId="0" xfId="2" applyFont="1" applyAlignment="1">
      <alignment horizontal="right" vertical="center"/>
    </xf>
    <xf numFmtId="3" fontId="10" fillId="3" borderId="1" xfId="4" applyNumberFormat="1" applyFont="1" applyFill="1" applyAlignment="1">
      <alignment horizontal="center" vertical="center"/>
    </xf>
    <xf numFmtId="169" fontId="10" fillId="3" borderId="1" xfId="4" applyNumberFormat="1" applyFont="1" applyFill="1" applyAlignment="1">
      <alignment horizontal="center" vertical="center"/>
    </xf>
    <xf numFmtId="170" fontId="4" fillId="0" borderId="0" xfId="1" applyNumberFormat="1" applyFont="1" applyFill="1" applyAlignment="1" applyProtection="1">
      <alignment horizontal="right" vertical="center"/>
    </xf>
    <xf numFmtId="0" fontId="6" fillId="0" borderId="0" xfId="2" applyFont="1" applyAlignment="1">
      <alignment horizontal="center" vertical="center"/>
    </xf>
    <xf numFmtId="171" fontId="11" fillId="0" borderId="0" xfId="5" applyNumberFormat="1" applyFont="1"/>
    <xf numFmtId="0" fontId="11" fillId="0" borderId="0" xfId="6" applyFont="1"/>
    <xf numFmtId="10" fontId="4" fillId="0" borderId="0" xfId="2" applyNumberFormat="1" applyFont="1" applyAlignment="1">
      <alignment vertical="center"/>
    </xf>
    <xf numFmtId="172" fontId="5" fillId="0" borderId="0" xfId="2" applyNumberFormat="1" applyFont="1" applyAlignme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 wrapText="1"/>
    </xf>
    <xf numFmtId="3" fontId="4" fillId="0" borderId="10" xfId="2" applyNumberFormat="1" applyFont="1" applyBorder="1" applyAlignment="1">
      <alignment horizontal="center" vertical="center"/>
    </xf>
    <xf numFmtId="164" fontId="4" fillId="0" borderId="4" xfId="2" applyNumberFormat="1" applyFont="1" applyBorder="1" applyAlignment="1">
      <alignment horizontal="center" vertical="center"/>
    </xf>
    <xf numFmtId="1" fontId="6" fillId="0" borderId="0" xfId="2" applyNumberFormat="1" applyFont="1" applyAlignment="1">
      <alignment vertical="center"/>
    </xf>
    <xf numFmtId="1" fontId="5" fillId="0" borderId="4" xfId="2" applyNumberFormat="1" applyFont="1" applyBorder="1" applyAlignment="1">
      <alignment horizontal="center" vertical="center"/>
    </xf>
    <xf numFmtId="3" fontId="5" fillId="0" borderId="4" xfId="2" applyNumberFormat="1" applyFont="1" applyBorder="1" applyAlignment="1">
      <alignment vertical="center"/>
    </xf>
    <xf numFmtId="1" fontId="5" fillId="0" borderId="2" xfId="2" applyNumberFormat="1" applyFont="1" applyBorder="1" applyAlignment="1">
      <alignment horizontal="center" vertical="center"/>
    </xf>
    <xf numFmtId="2" fontId="5" fillId="0" borderId="2" xfId="2" applyNumberFormat="1" applyFont="1" applyBorder="1" applyAlignment="1">
      <alignment horizontal="center" vertical="center"/>
    </xf>
    <xf numFmtId="3" fontId="5" fillId="0" borderId="2" xfId="2" applyNumberFormat="1" applyFont="1" applyBorder="1" applyAlignment="1">
      <alignment vertical="center"/>
    </xf>
    <xf numFmtId="0" fontId="5" fillId="0" borderId="4" xfId="2" applyFont="1" applyBorder="1" applyAlignment="1">
      <alignment horizontal="right" vertical="center"/>
    </xf>
    <xf numFmtId="170" fontId="5" fillId="0" borderId="4" xfId="7" applyNumberFormat="1" applyFont="1" applyFill="1" applyBorder="1" applyAlignment="1">
      <alignment vertical="center"/>
    </xf>
    <xf numFmtId="3" fontId="12" fillId="0" borderId="0" xfId="2" applyNumberFormat="1" applyFont="1" applyAlignment="1">
      <alignment horizontal="right" vertical="center"/>
    </xf>
    <xf numFmtId="3" fontId="5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173" fontId="5" fillId="0" borderId="0" xfId="2" applyNumberFormat="1" applyFont="1" applyAlignment="1">
      <alignment vertical="center"/>
    </xf>
    <xf numFmtId="170" fontId="5" fillId="0" borderId="0" xfId="7" applyNumberFormat="1" applyFont="1" applyFill="1" applyAlignment="1">
      <alignment vertical="center"/>
    </xf>
    <xf numFmtId="0" fontId="12" fillId="0" borderId="0" xfId="2" applyFont="1" applyAlignment="1">
      <alignment horizontal="right" vertical="center"/>
    </xf>
    <xf numFmtId="1" fontId="5" fillId="0" borderId="0" xfId="2" applyNumberFormat="1" applyFont="1" applyAlignment="1">
      <alignment horizontal="center" vertical="center"/>
    </xf>
    <xf numFmtId="174" fontId="6" fillId="0" borderId="0" xfId="2" applyNumberFormat="1" applyFont="1" applyAlignment="1">
      <alignment vertical="center"/>
    </xf>
    <xf numFmtId="175" fontId="5" fillId="0" borderId="0" xfId="2" applyNumberFormat="1" applyFont="1" applyAlignment="1">
      <alignment vertical="center"/>
    </xf>
    <xf numFmtId="2" fontId="5" fillId="0" borderId="0" xfId="2" applyNumberFormat="1" applyFont="1" applyAlignment="1">
      <alignment vertical="center"/>
    </xf>
    <xf numFmtId="168" fontId="5" fillId="0" borderId="0" xfId="2" applyNumberFormat="1" applyFont="1" applyAlignment="1">
      <alignment vertical="center"/>
    </xf>
    <xf numFmtId="43" fontId="4" fillId="0" borderId="0" xfId="1" applyFont="1" applyFill="1" applyBorder="1" applyAlignment="1" applyProtection="1">
      <alignment horizontal="right" vertical="center"/>
    </xf>
    <xf numFmtId="3" fontId="4" fillId="0" borderId="0" xfId="2" applyNumberFormat="1" applyFont="1" applyAlignment="1">
      <alignment horizontal="center" vertical="center"/>
    </xf>
    <xf numFmtId="164" fontId="4" fillId="0" borderId="0" xfId="2" applyNumberFormat="1" applyFont="1" applyAlignment="1">
      <alignment horizontal="center" vertical="center"/>
    </xf>
    <xf numFmtId="170" fontId="5" fillId="0" borderId="0" xfId="7" applyNumberFormat="1" applyFont="1" applyFill="1" applyBorder="1" applyAlignment="1">
      <alignment vertical="center"/>
    </xf>
    <xf numFmtId="1" fontId="5" fillId="0" borderId="0" xfId="2" applyNumberFormat="1" applyFont="1" applyAlignment="1">
      <alignment horizontal="left" vertical="center"/>
    </xf>
    <xf numFmtId="2" fontId="5" fillId="0" borderId="0" xfId="2" applyNumberFormat="1" applyFont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</cellXfs>
  <cellStyles count="8">
    <cellStyle name="Calculation 2" xfId="4" xr:uid="{D0FB9A59-D86C-4EDE-A581-813994E33042}"/>
    <cellStyle name="Comma" xfId="1" builtinId="3"/>
    <cellStyle name="Comma 2" xfId="7" xr:uid="{302A9064-7953-47EA-BA37-E682F7C32343}"/>
    <cellStyle name="Currency 2" xfId="5" xr:uid="{BD24B0FC-B96B-4BCF-9263-158D489E1BB3}"/>
    <cellStyle name="Normal" xfId="0" builtinId="0"/>
    <cellStyle name="Normal 2" xfId="6" xr:uid="{14C47E0A-8F88-4962-B630-7B95DED89CC5}"/>
    <cellStyle name="Normal_Infrastructure plan economic Spreadsheet draft 2" xfId="2" xr:uid="{AE2B0026-0254-4295-8F7F-8B6A94E9325F}"/>
    <cellStyle name="Percent 2" xfId="3" xr:uid="{2A0CA3C1-759F-4809-AAA1-F1D899BCDD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CAF8C-779D-43C4-AC8E-957F74C64E58}">
  <sheetPr>
    <pageSetUpPr fitToPage="1"/>
  </sheetPr>
  <dimension ref="A1:N78"/>
  <sheetViews>
    <sheetView tabSelected="1" view="pageBreakPreview" zoomScale="115" zoomScaleNormal="115" zoomScaleSheetLayoutView="115" workbookViewId="0"/>
  </sheetViews>
  <sheetFormatPr defaultColWidth="6" defaultRowHeight="10.5" x14ac:dyDescent="0.35"/>
  <cols>
    <col min="1" max="1" width="7" style="2" customWidth="1"/>
    <col min="2" max="5" width="8" style="2" customWidth="1"/>
    <col min="6" max="6" width="4.1796875" style="2" customWidth="1"/>
    <col min="7" max="7" width="9.54296875" style="2" customWidth="1"/>
    <col min="8" max="8" width="10.81640625" style="2" customWidth="1"/>
    <col min="9" max="9" width="9.453125" style="2" customWidth="1"/>
    <col min="10" max="10" width="4.1796875" style="2" customWidth="1"/>
    <col min="11" max="11" width="6" style="4"/>
    <col min="12" max="12" width="9.1796875" style="4" bestFit="1" customWidth="1"/>
    <col min="13" max="13" width="6" style="4"/>
    <col min="14" max="14" width="7.54296875" style="4" bestFit="1" customWidth="1"/>
    <col min="15" max="16" width="6" style="4"/>
    <col min="17" max="17" width="8.08984375" style="4" bestFit="1" customWidth="1"/>
    <col min="18" max="16384" width="6" style="4"/>
  </cols>
  <sheetData>
    <row r="1" spans="1:10" x14ac:dyDescent="0.35">
      <c r="I1" s="47" t="s">
        <v>32</v>
      </c>
    </row>
    <row r="2" spans="1:10" x14ac:dyDescent="0.35">
      <c r="I2" s="47" t="s">
        <v>31</v>
      </c>
    </row>
    <row r="5" spans="1:10" x14ac:dyDescent="0.35">
      <c r="A5" s="1" t="s">
        <v>33</v>
      </c>
      <c r="E5" s="3"/>
      <c r="F5" s="3"/>
      <c r="G5" s="3"/>
      <c r="H5" s="3"/>
    </row>
    <row r="6" spans="1:10" x14ac:dyDescent="0.35">
      <c r="H6" s="7" t="s">
        <v>0</v>
      </c>
      <c r="I6" s="8">
        <f>8.7%*0.4+4.23%*0.6</f>
        <v>6.0179999999999997E-2</v>
      </c>
      <c r="J6" s="9"/>
    </row>
    <row r="7" spans="1:10" ht="12.75" customHeight="1" x14ac:dyDescent="0.35">
      <c r="A7" s="14" t="s">
        <v>1</v>
      </c>
      <c r="C7" s="16">
        <f>3*1.8</f>
        <v>5.4</v>
      </c>
      <c r="H7" s="7" t="s">
        <v>2</v>
      </c>
      <c r="I7" s="12">
        <v>0.02</v>
      </c>
    </row>
    <row r="8" spans="1:10" x14ac:dyDescent="0.35">
      <c r="H8" s="7" t="s">
        <v>4</v>
      </c>
      <c r="I8" s="17">
        <f>(1+I6)/(1+I7)-1</f>
        <v>3.9392156862744887E-2</v>
      </c>
      <c r="J8" s="4"/>
    </row>
    <row r="9" spans="1:10" x14ac:dyDescent="0.35">
      <c r="A9" s="14" t="s">
        <v>25</v>
      </c>
      <c r="C9" s="20">
        <v>2024</v>
      </c>
      <c r="D9" s="42">
        <v>220.46968672811062</v>
      </c>
      <c r="E9" s="10" t="s">
        <v>21</v>
      </c>
      <c r="F9" s="19"/>
      <c r="G9" s="4"/>
      <c r="I9" s="22"/>
    </row>
    <row r="10" spans="1:10" x14ac:dyDescent="0.35">
      <c r="A10" s="14" t="s">
        <v>5</v>
      </c>
      <c r="C10" s="15">
        <v>2024</v>
      </c>
      <c r="D10" s="39">
        <f>D9*C7</f>
        <v>1190.5363083317975</v>
      </c>
      <c r="E10" s="10" t="s">
        <v>6</v>
      </c>
      <c r="F10" s="19"/>
      <c r="G10" s="4"/>
      <c r="H10" s="24" t="str">
        <f>CONCATENATE("PV of 15 Year Cost at ",C9,"$", " ($000)")</f>
        <v>PV of 15 Year Cost at 2024$ ($000)</v>
      </c>
      <c r="I10" s="25">
        <f>$E$35</f>
        <v>15664.121456265606</v>
      </c>
      <c r="J10" s="4"/>
    </row>
    <row r="11" spans="1:10" x14ac:dyDescent="0.35">
      <c r="A11" s="14"/>
      <c r="B11" s="14"/>
      <c r="C11" s="14"/>
      <c r="D11" s="14"/>
      <c r="E11" s="14"/>
      <c r="F11" s="19"/>
      <c r="G11" s="4"/>
      <c r="H11" s="24" t="s">
        <v>7</v>
      </c>
      <c r="I11" s="26">
        <f>(I10)/(NPV(REAL_D_RATE,H20:H33)+H19)*1000</f>
        <v>249944.31880120395</v>
      </c>
      <c r="J11" s="4"/>
    </row>
    <row r="12" spans="1:10" x14ac:dyDescent="0.35">
      <c r="A12" s="14" t="s">
        <v>8</v>
      </c>
      <c r="B12" s="2" t="s">
        <v>9</v>
      </c>
      <c r="D12" s="27">
        <v>15</v>
      </c>
      <c r="E12" s="2" t="s">
        <v>10</v>
      </c>
      <c r="F12" s="19"/>
      <c r="G12" s="4"/>
      <c r="H12" s="4"/>
      <c r="I12" s="4"/>
      <c r="J12" s="4"/>
    </row>
    <row r="13" spans="1:10" x14ac:dyDescent="0.35">
      <c r="A13" s="14" t="s">
        <v>11</v>
      </c>
      <c r="D13" s="55">
        <v>0.04</v>
      </c>
      <c r="E13" s="23" t="s">
        <v>12</v>
      </c>
      <c r="J13" s="4"/>
    </row>
    <row r="14" spans="1:10" ht="11.5" x14ac:dyDescent="0.25">
      <c r="B14" s="11"/>
      <c r="C14" s="1"/>
      <c r="F14" s="29"/>
      <c r="G14" s="30"/>
      <c r="H14" s="31"/>
      <c r="I14" s="32"/>
    </row>
    <row r="15" spans="1:10" ht="12.75" customHeight="1" x14ac:dyDescent="0.35">
      <c r="H15" s="31"/>
    </row>
    <row r="16" spans="1:10" ht="21.75" customHeight="1" x14ac:dyDescent="0.35">
      <c r="A16" s="62" t="s">
        <v>13</v>
      </c>
      <c r="B16" s="66" t="s">
        <v>26</v>
      </c>
      <c r="C16" s="67"/>
      <c r="D16" s="67"/>
      <c r="E16" s="68"/>
      <c r="F16" s="7"/>
      <c r="G16" s="65" t="s">
        <v>14</v>
      </c>
      <c r="H16" s="65" t="str">
        <f>CONCATENATE("Annual Winter Capacity MW, ",C7)</f>
        <v>Annual Winter Capacity MW, 5.4</v>
      </c>
      <c r="J16" s="28"/>
    </row>
    <row r="17" spans="1:10" ht="21.75" customHeight="1" x14ac:dyDescent="0.35">
      <c r="A17" s="63"/>
      <c r="B17" s="34" t="s">
        <v>15</v>
      </c>
      <c r="C17" s="33" t="s">
        <v>16</v>
      </c>
      <c r="D17" s="33" t="s">
        <v>17</v>
      </c>
      <c r="E17" s="33" t="s">
        <v>18</v>
      </c>
      <c r="F17" s="7"/>
      <c r="G17" s="65"/>
      <c r="H17" s="65"/>
      <c r="J17" s="28"/>
    </row>
    <row r="18" spans="1:10" ht="16.5" customHeight="1" x14ac:dyDescent="0.35">
      <c r="A18" s="64"/>
      <c r="B18" s="36" t="str">
        <f t="shared" ref="B18:E18" si="0">"$000"</f>
        <v>$000</v>
      </c>
      <c r="C18" s="36" t="str">
        <f t="shared" si="0"/>
        <v>$000</v>
      </c>
      <c r="D18" s="36" t="str">
        <f t="shared" si="0"/>
        <v>$000</v>
      </c>
      <c r="E18" s="36" t="str">
        <f t="shared" si="0"/>
        <v>$000</v>
      </c>
      <c r="F18" s="21"/>
      <c r="G18" s="65"/>
      <c r="H18" s="65"/>
      <c r="J18" s="37"/>
    </row>
    <row r="19" spans="1:10" x14ac:dyDescent="0.35">
      <c r="A19" s="38">
        <v>2024</v>
      </c>
      <c r="B19" s="39"/>
      <c r="C19" s="39"/>
      <c r="D19" s="39"/>
      <c r="E19" s="39">
        <f>(((D$10)*(1+INFL)^($A19-$C$10)))</f>
        <v>1190.5363083317975</v>
      </c>
      <c r="F19" s="21"/>
      <c r="G19" s="40">
        <v>1</v>
      </c>
      <c r="H19" s="41">
        <f>$C$7</f>
        <v>5.4</v>
      </c>
      <c r="J19" s="37"/>
    </row>
    <row r="20" spans="1:10" x14ac:dyDescent="0.35">
      <c r="A20" s="40">
        <f t="shared" ref="A20:A33" si="1">1+A19</f>
        <v>2025</v>
      </c>
      <c r="B20" s="42"/>
      <c r="C20" s="42"/>
      <c r="D20" s="42"/>
      <c r="E20" s="42">
        <f t="shared" ref="E20:E33" si="2">E19*(1+D$13)</f>
        <v>1238.1577606650694</v>
      </c>
      <c r="F20" s="21"/>
      <c r="G20" s="40">
        <f t="shared" ref="G20:G33" si="3">G19+1</f>
        <v>2</v>
      </c>
      <c r="H20" s="41">
        <f>H19</f>
        <v>5.4</v>
      </c>
      <c r="J20" s="37"/>
    </row>
    <row r="21" spans="1:10" x14ac:dyDescent="0.35">
      <c r="A21" s="40">
        <f t="shared" si="1"/>
        <v>2026</v>
      </c>
      <c r="B21" s="42"/>
      <c r="C21" s="42"/>
      <c r="D21" s="42"/>
      <c r="E21" s="42">
        <f t="shared" si="2"/>
        <v>1287.6840710916722</v>
      </c>
      <c r="F21" s="21"/>
      <c r="G21" s="40">
        <f t="shared" si="3"/>
        <v>3</v>
      </c>
      <c r="H21" s="41">
        <f t="shared" ref="H21:H33" si="4">H20</f>
        <v>5.4</v>
      </c>
      <c r="J21" s="37"/>
    </row>
    <row r="22" spans="1:10" x14ac:dyDescent="0.35">
      <c r="A22" s="40">
        <f t="shared" si="1"/>
        <v>2027</v>
      </c>
      <c r="B22" s="42"/>
      <c r="C22" s="42"/>
      <c r="D22" s="42"/>
      <c r="E22" s="42">
        <f t="shared" si="2"/>
        <v>1339.1914339353391</v>
      </c>
      <c r="F22" s="21"/>
      <c r="G22" s="40">
        <f t="shared" si="3"/>
        <v>4</v>
      </c>
      <c r="H22" s="41">
        <f t="shared" si="4"/>
        <v>5.4</v>
      </c>
      <c r="J22" s="37"/>
    </row>
    <row r="23" spans="1:10" x14ac:dyDescent="0.35">
      <c r="A23" s="40">
        <f t="shared" si="1"/>
        <v>2028</v>
      </c>
      <c r="B23" s="42"/>
      <c r="C23" s="42"/>
      <c r="D23" s="42"/>
      <c r="E23" s="42">
        <f t="shared" si="2"/>
        <v>1392.7590912927526</v>
      </c>
      <c r="F23" s="21"/>
      <c r="G23" s="40">
        <f t="shared" si="3"/>
        <v>5</v>
      </c>
      <c r="H23" s="41">
        <f t="shared" si="4"/>
        <v>5.4</v>
      </c>
      <c r="J23" s="37"/>
    </row>
    <row r="24" spans="1:10" x14ac:dyDescent="0.35">
      <c r="A24" s="40">
        <f t="shared" si="1"/>
        <v>2029</v>
      </c>
      <c r="B24" s="42"/>
      <c r="C24" s="42"/>
      <c r="D24" s="42"/>
      <c r="E24" s="42">
        <f t="shared" si="2"/>
        <v>1448.4694549444628</v>
      </c>
      <c r="F24" s="21"/>
      <c r="G24" s="40">
        <f t="shared" si="3"/>
        <v>6</v>
      </c>
      <c r="H24" s="41">
        <f t="shared" si="4"/>
        <v>5.4</v>
      </c>
      <c r="J24" s="37"/>
    </row>
    <row r="25" spans="1:10" x14ac:dyDescent="0.35">
      <c r="A25" s="40">
        <f t="shared" si="1"/>
        <v>2030</v>
      </c>
      <c r="B25" s="42"/>
      <c r="C25" s="42"/>
      <c r="D25" s="42"/>
      <c r="E25" s="42">
        <f t="shared" si="2"/>
        <v>1506.4082331422414</v>
      </c>
      <c r="F25" s="21"/>
      <c r="G25" s="40">
        <f t="shared" si="3"/>
        <v>7</v>
      </c>
      <c r="H25" s="41">
        <f t="shared" si="4"/>
        <v>5.4</v>
      </c>
      <c r="J25" s="37"/>
    </row>
    <row r="26" spans="1:10" x14ac:dyDescent="0.35">
      <c r="A26" s="40">
        <f t="shared" si="1"/>
        <v>2031</v>
      </c>
      <c r="B26" s="42"/>
      <c r="C26" s="42"/>
      <c r="D26" s="42"/>
      <c r="E26" s="42">
        <f t="shared" si="2"/>
        <v>1566.6645624679311</v>
      </c>
      <c r="F26" s="21"/>
      <c r="G26" s="40">
        <f t="shared" si="3"/>
        <v>8</v>
      </c>
      <c r="H26" s="41">
        <f t="shared" si="4"/>
        <v>5.4</v>
      </c>
      <c r="J26" s="37"/>
    </row>
    <row r="27" spans="1:10" x14ac:dyDescent="0.35">
      <c r="A27" s="40">
        <f t="shared" si="1"/>
        <v>2032</v>
      </c>
      <c r="B27" s="42"/>
      <c r="C27" s="42"/>
      <c r="D27" s="42"/>
      <c r="E27" s="42">
        <f t="shared" si="2"/>
        <v>1629.3311449666485</v>
      </c>
      <c r="F27" s="21"/>
      <c r="G27" s="40">
        <f t="shared" si="3"/>
        <v>9</v>
      </c>
      <c r="H27" s="41">
        <f t="shared" si="4"/>
        <v>5.4</v>
      </c>
      <c r="J27" s="37"/>
    </row>
    <row r="28" spans="1:10" x14ac:dyDescent="0.35">
      <c r="A28" s="40">
        <f t="shared" si="1"/>
        <v>2033</v>
      </c>
      <c r="B28" s="42"/>
      <c r="C28" s="42"/>
      <c r="D28" s="42"/>
      <c r="E28" s="42">
        <f t="shared" si="2"/>
        <v>1694.5043907653144</v>
      </c>
      <c r="F28" s="21"/>
      <c r="G28" s="40">
        <f t="shared" si="3"/>
        <v>10</v>
      </c>
      <c r="H28" s="41">
        <f t="shared" si="4"/>
        <v>5.4</v>
      </c>
      <c r="J28" s="4"/>
    </row>
    <row r="29" spans="1:10" x14ac:dyDescent="0.35">
      <c r="A29" s="40">
        <f t="shared" si="1"/>
        <v>2034</v>
      </c>
      <c r="B29" s="42"/>
      <c r="C29" s="42"/>
      <c r="D29" s="42"/>
      <c r="E29" s="42">
        <f t="shared" si="2"/>
        <v>1762.284566395927</v>
      </c>
      <c r="F29" s="21"/>
      <c r="G29" s="40">
        <f t="shared" si="3"/>
        <v>11</v>
      </c>
      <c r="H29" s="41">
        <f t="shared" si="4"/>
        <v>5.4</v>
      </c>
      <c r="J29" s="4"/>
    </row>
    <row r="30" spans="1:10" x14ac:dyDescent="0.35">
      <c r="A30" s="40">
        <f t="shared" si="1"/>
        <v>2035</v>
      </c>
      <c r="B30" s="42"/>
      <c r="C30" s="42"/>
      <c r="D30" s="42"/>
      <c r="E30" s="42">
        <f t="shared" si="2"/>
        <v>1832.7759490517642</v>
      </c>
      <c r="F30" s="21"/>
      <c r="G30" s="40">
        <f t="shared" si="3"/>
        <v>12</v>
      </c>
      <c r="H30" s="41">
        <f t="shared" si="4"/>
        <v>5.4</v>
      </c>
      <c r="J30" s="4"/>
    </row>
    <row r="31" spans="1:10" x14ac:dyDescent="0.35">
      <c r="A31" s="40">
        <f t="shared" si="1"/>
        <v>2036</v>
      </c>
      <c r="B31" s="42"/>
      <c r="C31" s="42"/>
      <c r="D31" s="42"/>
      <c r="E31" s="42">
        <f t="shared" si="2"/>
        <v>1906.0869870138349</v>
      </c>
      <c r="F31" s="21"/>
      <c r="G31" s="40">
        <f t="shared" si="3"/>
        <v>13</v>
      </c>
      <c r="H31" s="41">
        <f t="shared" si="4"/>
        <v>5.4</v>
      </c>
      <c r="J31" s="4"/>
    </row>
    <row r="32" spans="1:10" x14ac:dyDescent="0.35">
      <c r="A32" s="40">
        <f t="shared" si="1"/>
        <v>2037</v>
      </c>
      <c r="B32" s="42"/>
      <c r="C32" s="42"/>
      <c r="D32" s="42"/>
      <c r="E32" s="42">
        <f t="shared" si="2"/>
        <v>1982.3304664943885</v>
      </c>
      <c r="F32" s="21"/>
      <c r="G32" s="40">
        <f t="shared" si="3"/>
        <v>14</v>
      </c>
      <c r="H32" s="41">
        <f t="shared" si="4"/>
        <v>5.4</v>
      </c>
      <c r="J32" s="4"/>
    </row>
    <row r="33" spans="1:14" x14ac:dyDescent="0.35">
      <c r="A33" s="40">
        <f t="shared" si="1"/>
        <v>2038</v>
      </c>
      <c r="B33" s="42"/>
      <c r="C33" s="42"/>
      <c r="D33" s="42"/>
      <c r="E33" s="42">
        <f t="shared" si="2"/>
        <v>2061.6236851541639</v>
      </c>
      <c r="F33" s="21"/>
      <c r="G33" s="40">
        <f t="shared" si="3"/>
        <v>15</v>
      </c>
      <c r="H33" s="41">
        <f t="shared" si="4"/>
        <v>5.4</v>
      </c>
      <c r="J33" s="4"/>
    </row>
    <row r="34" spans="1:14" x14ac:dyDescent="0.35">
      <c r="A34" s="38"/>
      <c r="B34" s="39"/>
      <c r="C34" s="39"/>
      <c r="D34" s="39"/>
      <c r="E34" s="39"/>
      <c r="F34" s="21"/>
      <c r="G34" s="51"/>
      <c r="H34" s="61"/>
      <c r="J34" s="4"/>
    </row>
    <row r="35" spans="1:14" ht="12" customHeight="1" x14ac:dyDescent="0.35">
      <c r="A35" s="43" t="s">
        <v>22</v>
      </c>
      <c r="B35" s="44"/>
      <c r="C35" s="44"/>
      <c r="D35" s="44"/>
      <c r="E35" s="44">
        <f>NPV(WACC,E20:E33)+E19</f>
        <v>15664.121456265606</v>
      </c>
      <c r="F35" s="21"/>
      <c r="G35" s="45"/>
      <c r="H35" s="31"/>
      <c r="I35" s="46"/>
    </row>
    <row r="36" spans="1:14" ht="12" customHeight="1" x14ac:dyDescent="0.35">
      <c r="A36" s="47"/>
      <c r="B36" s="48"/>
      <c r="C36" s="49"/>
      <c r="D36" s="49"/>
      <c r="E36" s="49"/>
      <c r="F36" s="21"/>
      <c r="G36" s="50"/>
      <c r="H36" s="31"/>
      <c r="I36" s="5"/>
      <c r="J36" s="5"/>
    </row>
    <row r="37" spans="1:14" ht="12" customHeight="1" x14ac:dyDescent="0.35">
      <c r="A37" s="10" t="s">
        <v>23</v>
      </c>
      <c r="B37" s="48"/>
      <c r="C37" s="21"/>
      <c r="D37" s="21"/>
      <c r="E37" s="21"/>
      <c r="G37" s="50"/>
      <c r="H37" s="31"/>
      <c r="I37" s="5"/>
      <c r="J37" s="4"/>
    </row>
    <row r="38" spans="1:14" ht="12" customHeight="1" x14ac:dyDescent="0.35">
      <c r="A38" s="60" t="s">
        <v>28</v>
      </c>
      <c r="G38" s="28"/>
      <c r="H38" s="31"/>
      <c r="I38" s="52"/>
    </row>
    <row r="39" spans="1:14" x14ac:dyDescent="0.35">
      <c r="A39" s="60" t="s">
        <v>29</v>
      </c>
      <c r="I39" s="4"/>
    </row>
    <row r="40" spans="1:14" x14ac:dyDescent="0.35">
      <c r="A40" s="51"/>
      <c r="I40" s="4"/>
    </row>
    <row r="41" spans="1:14" x14ac:dyDescent="0.35">
      <c r="A41" s="51"/>
    </row>
    <row r="42" spans="1:14" x14ac:dyDescent="0.35">
      <c r="A42" s="51"/>
    </row>
    <row r="43" spans="1:14" x14ac:dyDescent="0.35">
      <c r="A43" s="51"/>
      <c r="B43" s="53"/>
    </row>
    <row r="44" spans="1:14" x14ac:dyDescent="0.35">
      <c r="A44" s="51"/>
    </row>
    <row r="45" spans="1:14" x14ac:dyDescent="0.35">
      <c r="A45" s="51"/>
    </row>
    <row r="46" spans="1:14" x14ac:dyDescent="0.35">
      <c r="A46" s="51"/>
    </row>
    <row r="47" spans="1:14" x14ac:dyDescent="0.35">
      <c r="A47" s="51"/>
    </row>
    <row r="48" spans="1:14" s="2" customFormat="1" x14ac:dyDescent="0.35">
      <c r="A48" s="51"/>
      <c r="K48" s="4"/>
      <c r="L48" s="4"/>
      <c r="M48" s="4"/>
      <c r="N48" s="4"/>
    </row>
    <row r="49" spans="1:14" s="2" customFormat="1" x14ac:dyDescent="0.35">
      <c r="A49" s="51"/>
      <c r="K49" s="4"/>
      <c r="L49" s="4"/>
      <c r="M49" s="4"/>
      <c r="N49" s="4"/>
    </row>
    <row r="50" spans="1:14" s="2" customFormat="1" x14ac:dyDescent="0.35">
      <c r="A50" s="51"/>
      <c r="K50" s="4"/>
      <c r="L50" s="4"/>
      <c r="M50" s="4"/>
      <c r="N50" s="4"/>
    </row>
    <row r="51" spans="1:14" s="2" customFormat="1" x14ac:dyDescent="0.35">
      <c r="A51" s="51"/>
      <c r="K51" s="4"/>
      <c r="L51" s="4"/>
      <c r="M51" s="4"/>
      <c r="N51" s="4"/>
    </row>
    <row r="52" spans="1:14" s="2" customFormat="1" x14ac:dyDescent="0.35">
      <c r="A52" s="51"/>
    </row>
    <row r="53" spans="1:14" s="2" customFormat="1" x14ac:dyDescent="0.35">
      <c r="A53" s="51"/>
    </row>
    <row r="54" spans="1:14" s="2" customFormat="1" x14ac:dyDescent="0.35">
      <c r="A54" s="51"/>
    </row>
    <row r="55" spans="1:14" s="2" customFormat="1" x14ac:dyDescent="0.35">
      <c r="A55" s="51"/>
    </row>
    <row r="56" spans="1:14" s="2" customFormat="1" x14ac:dyDescent="0.35">
      <c r="A56" s="51"/>
    </row>
    <row r="57" spans="1:14" s="2" customFormat="1" x14ac:dyDescent="0.35">
      <c r="A57" s="51"/>
      <c r="B57" s="47"/>
      <c r="C57" s="47"/>
    </row>
    <row r="58" spans="1:14" s="2" customFormat="1" x14ac:dyDescent="0.35">
      <c r="A58" s="51"/>
      <c r="B58" s="47"/>
      <c r="C58" s="47"/>
    </row>
    <row r="59" spans="1:14" s="2" customFormat="1" x14ac:dyDescent="0.35">
      <c r="A59" s="51"/>
      <c r="B59" s="18"/>
      <c r="C59" s="54"/>
      <c r="D59" s="21"/>
    </row>
    <row r="60" spans="1:14" s="2" customFormat="1" x14ac:dyDescent="0.35">
      <c r="A60" s="51"/>
      <c r="B60" s="18"/>
      <c r="C60" s="54"/>
      <c r="D60" s="21"/>
    </row>
    <row r="61" spans="1:14" s="2" customFormat="1" x14ac:dyDescent="0.35">
      <c r="A61" s="51"/>
      <c r="B61" s="18"/>
      <c r="C61" s="54"/>
      <c r="D61" s="21"/>
    </row>
    <row r="62" spans="1:14" s="2" customFormat="1" x14ac:dyDescent="0.35">
      <c r="A62" s="51"/>
      <c r="B62" s="18"/>
      <c r="C62" s="54"/>
      <c r="D62" s="21"/>
    </row>
    <row r="63" spans="1:14" s="2" customFormat="1" x14ac:dyDescent="0.35">
      <c r="A63" s="51"/>
      <c r="D63" s="21"/>
    </row>
    <row r="64" spans="1:14" s="2" customFormat="1" x14ac:dyDescent="0.35">
      <c r="A64" s="51"/>
      <c r="B64" s="55"/>
      <c r="C64" s="54"/>
      <c r="D64" s="21"/>
    </row>
    <row r="65" spans="1:4" s="2" customFormat="1" x14ac:dyDescent="0.35">
      <c r="A65" s="51"/>
      <c r="B65" s="55"/>
      <c r="C65" s="54"/>
      <c r="D65" s="21"/>
    </row>
    <row r="66" spans="1:4" s="2" customFormat="1" x14ac:dyDescent="0.35">
      <c r="A66" s="51"/>
      <c r="B66" s="55"/>
      <c r="C66" s="54"/>
      <c r="D66" s="21"/>
    </row>
    <row r="67" spans="1:4" s="2" customFormat="1" x14ac:dyDescent="0.35">
      <c r="A67" s="51"/>
      <c r="B67" s="55"/>
      <c r="C67" s="54"/>
      <c r="D67" s="21"/>
    </row>
    <row r="68" spans="1:4" s="2" customFormat="1" x14ac:dyDescent="0.35">
      <c r="A68" s="51"/>
      <c r="B68" s="55"/>
      <c r="C68" s="54"/>
      <c r="D68" s="21"/>
    </row>
    <row r="69" spans="1:4" s="2" customFormat="1" x14ac:dyDescent="0.35">
      <c r="A69" s="51"/>
    </row>
    <row r="70" spans="1:4" s="2" customFormat="1" x14ac:dyDescent="0.35">
      <c r="A70" s="51"/>
    </row>
    <row r="71" spans="1:4" s="2" customFormat="1" x14ac:dyDescent="0.35">
      <c r="A71" s="51"/>
    </row>
    <row r="72" spans="1:4" s="2" customFormat="1" x14ac:dyDescent="0.35">
      <c r="A72" s="51"/>
    </row>
    <row r="73" spans="1:4" s="2" customFormat="1" x14ac:dyDescent="0.35">
      <c r="A73" s="51"/>
    </row>
    <row r="74" spans="1:4" s="2" customFormat="1" x14ac:dyDescent="0.35">
      <c r="A74" s="51"/>
    </row>
    <row r="75" spans="1:4" s="2" customFormat="1" x14ac:dyDescent="0.35">
      <c r="A75" s="51"/>
    </row>
    <row r="76" spans="1:4" s="2" customFormat="1" x14ac:dyDescent="0.35">
      <c r="A76" s="51"/>
    </row>
    <row r="77" spans="1:4" s="2" customFormat="1" x14ac:dyDescent="0.35">
      <c r="A77" s="51"/>
    </row>
    <row r="78" spans="1:4" s="2" customFormat="1" x14ac:dyDescent="0.35">
      <c r="A78" s="51"/>
    </row>
  </sheetData>
  <mergeCells count="4">
    <mergeCell ref="A16:A18"/>
    <mergeCell ref="G16:G18"/>
    <mergeCell ref="H16:H18"/>
    <mergeCell ref="B16:E16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5B730-E875-4EE4-94BD-58BB153F8B56}">
  <sheetPr>
    <pageSetUpPr fitToPage="1"/>
  </sheetPr>
  <dimension ref="A1:R52"/>
  <sheetViews>
    <sheetView view="pageBreakPreview" zoomScale="130" zoomScaleNormal="115" zoomScaleSheetLayoutView="130" workbookViewId="0">
      <selection activeCell="D4" sqref="D4"/>
    </sheetView>
  </sheetViews>
  <sheetFormatPr defaultColWidth="6" defaultRowHeight="10.5" x14ac:dyDescent="0.35"/>
  <cols>
    <col min="1" max="1" width="9.7265625" style="2" customWidth="1"/>
    <col min="2" max="2" width="10" style="2" customWidth="1"/>
    <col min="3" max="5" width="8" style="2" customWidth="1"/>
    <col min="6" max="6" width="8" style="5" customWidth="1"/>
    <col min="7" max="7" width="1.90625" style="5" customWidth="1"/>
    <col min="8" max="8" width="1.453125" style="2" customWidth="1"/>
    <col min="9" max="9" width="9.54296875" style="2" customWidth="1"/>
    <col min="10" max="10" width="10.81640625" style="2" customWidth="1"/>
    <col min="11" max="11" width="4.1796875" style="2" customWidth="1"/>
    <col min="12" max="12" width="7.54296875" style="4" bestFit="1" customWidth="1"/>
    <col min="13" max="14" width="6" style="4"/>
    <col min="15" max="15" width="10.36328125" style="4" bestFit="1" customWidth="1"/>
    <col min="16" max="16384" width="6" style="4"/>
  </cols>
  <sheetData>
    <row r="1" spans="1:11" x14ac:dyDescent="0.35">
      <c r="I1" s="4"/>
      <c r="J1" s="47" t="s">
        <v>32</v>
      </c>
    </row>
    <row r="2" spans="1:11" x14ac:dyDescent="0.35">
      <c r="I2" s="4"/>
      <c r="J2" s="47" t="s">
        <v>31</v>
      </c>
    </row>
    <row r="5" spans="1:11" x14ac:dyDescent="0.35">
      <c r="A5" s="1" t="s">
        <v>27</v>
      </c>
      <c r="E5" s="3"/>
    </row>
    <row r="6" spans="1:11" x14ac:dyDescent="0.35">
      <c r="H6" s="6"/>
      <c r="I6" s="7" t="s">
        <v>0</v>
      </c>
      <c r="J6" s="8">
        <f>8.7%*0.4+4.23%*0.6</f>
        <v>6.0179999999999997E-2</v>
      </c>
      <c r="K6" s="9"/>
    </row>
    <row r="7" spans="1:11" ht="12.75" customHeight="1" x14ac:dyDescent="0.35">
      <c r="A7" s="14" t="s">
        <v>1</v>
      </c>
      <c r="B7" s="11"/>
      <c r="C7" s="16">
        <v>5</v>
      </c>
      <c r="H7" s="6"/>
      <c r="I7" s="7" t="s">
        <v>2</v>
      </c>
      <c r="J7" s="12">
        <v>0.02</v>
      </c>
    </row>
    <row r="8" spans="1:11" x14ac:dyDescent="0.35">
      <c r="A8" s="14" t="s">
        <v>3</v>
      </c>
      <c r="B8" s="15">
        <v>2024</v>
      </c>
      <c r="C8" s="13">
        <v>18175</v>
      </c>
      <c r="G8" s="56"/>
      <c r="I8" s="7" t="s">
        <v>4</v>
      </c>
      <c r="J8" s="17">
        <f>(1+J6)/(1+J7)-1</f>
        <v>3.9392156862744887E-2</v>
      </c>
      <c r="K8" s="4"/>
    </row>
    <row r="9" spans="1:11" x14ac:dyDescent="0.35">
      <c r="A9" s="14" t="s">
        <v>20</v>
      </c>
      <c r="B9" s="15">
        <v>2020</v>
      </c>
      <c r="C9" s="13">
        <f>170/10*C7</f>
        <v>85</v>
      </c>
      <c r="D9" s="10" t="s">
        <v>6</v>
      </c>
      <c r="F9" s="2"/>
      <c r="G9" s="2"/>
      <c r="H9" s="18"/>
      <c r="K9" s="4"/>
    </row>
    <row r="10" spans="1:11" x14ac:dyDescent="0.35">
      <c r="A10" s="14" t="s">
        <v>24</v>
      </c>
      <c r="C10" s="27">
        <v>40</v>
      </c>
      <c r="D10" s="2" t="s">
        <v>10</v>
      </c>
      <c r="F10" s="2"/>
      <c r="G10" s="2"/>
      <c r="H10" s="18"/>
      <c r="I10" s="24" t="str">
        <f>CONCATENATE("PV of 15 Year Cost at ",B8,"$", " ($000)")</f>
        <v>PV of 15 Year Cost at 2024$ ($000)</v>
      </c>
      <c r="J10" s="26">
        <f>$F$34</f>
        <v>15183.62210323147</v>
      </c>
      <c r="K10" s="4"/>
    </row>
    <row r="11" spans="1:11" ht="11.25" customHeight="1" x14ac:dyDescent="0.35">
      <c r="F11" s="2"/>
      <c r="G11" s="2"/>
      <c r="H11" s="18"/>
      <c r="I11" s="4"/>
      <c r="K11" s="4"/>
    </row>
    <row r="12" spans="1:11" x14ac:dyDescent="0.35">
      <c r="F12" s="2"/>
      <c r="G12" s="2"/>
      <c r="H12" s="21"/>
      <c r="I12" s="24" t="str">
        <f>CONCATENATE("Project LCOC for 15 Years ($/MW) at ",B8,"$")</f>
        <v>Project LCOC for 15 Years ($/MW) at 2024$</v>
      </c>
      <c r="J12" s="26">
        <f>(J10)/(NPV(REAL_D_RATE,J19:J32)+J18)*1000</f>
        <v>261659.41713697623</v>
      </c>
    </row>
    <row r="13" spans="1:11" x14ac:dyDescent="0.35">
      <c r="F13" s="2"/>
      <c r="G13" s="2"/>
      <c r="H13" s="23"/>
    </row>
    <row r="14" spans="1:11" ht="12.75" customHeight="1" x14ac:dyDescent="0.35"/>
    <row r="15" spans="1:11" ht="21.75" customHeight="1" x14ac:dyDescent="0.35">
      <c r="A15" s="62" t="s">
        <v>13</v>
      </c>
      <c r="B15" s="69" t="str">
        <f>$A$5</f>
        <v>Diesel Replacement Options - Faro 5 MW</v>
      </c>
      <c r="C15" s="69"/>
      <c r="D15" s="69"/>
      <c r="E15" s="69"/>
      <c r="F15" s="69"/>
      <c r="G15" s="11"/>
      <c r="H15" s="11"/>
      <c r="I15" s="65" t="s">
        <v>14</v>
      </c>
      <c r="J15" s="65" t="str">
        <f>CONCATENATE("Annual Winter Capacity MW, ",C7)</f>
        <v>Annual Winter Capacity MW, 5</v>
      </c>
      <c r="K15" s="28"/>
    </row>
    <row r="16" spans="1:11" ht="31" customHeight="1" x14ac:dyDescent="0.35">
      <c r="A16" s="63"/>
      <c r="B16" s="34" t="s">
        <v>15</v>
      </c>
      <c r="C16" s="33" t="s">
        <v>16</v>
      </c>
      <c r="D16" s="33" t="s">
        <v>17</v>
      </c>
      <c r="E16" s="33" t="s">
        <v>20</v>
      </c>
      <c r="F16" s="35" t="s">
        <v>19</v>
      </c>
      <c r="G16" s="57"/>
      <c r="H16" s="11"/>
      <c r="I16" s="65"/>
      <c r="J16" s="65"/>
      <c r="K16" s="28"/>
    </row>
    <row r="17" spans="1:11" ht="16.5" customHeight="1" x14ac:dyDescent="0.35">
      <c r="A17" s="64"/>
      <c r="B17" s="36" t="str">
        <f t="shared" ref="B17:F17" si="0">"$000"</f>
        <v>$000</v>
      </c>
      <c r="C17" s="36" t="str">
        <f t="shared" si="0"/>
        <v>$000</v>
      </c>
      <c r="D17" s="36" t="str">
        <f t="shared" si="0"/>
        <v>$000</v>
      </c>
      <c r="E17" s="36" t="str">
        <f t="shared" si="0"/>
        <v>$000</v>
      </c>
      <c r="F17" s="36" t="str">
        <f t="shared" si="0"/>
        <v>$000</v>
      </c>
      <c r="G17" s="58"/>
      <c r="H17" s="5"/>
      <c r="I17" s="65"/>
      <c r="J17" s="65"/>
      <c r="K17" s="37"/>
    </row>
    <row r="18" spans="1:11" x14ac:dyDescent="0.35">
      <c r="A18" s="38">
        <f>B8</f>
        <v>2024</v>
      </c>
      <c r="B18" s="39">
        <f>$C$8-$C$18</f>
        <v>17720.625</v>
      </c>
      <c r="C18" s="39">
        <f>(($C$8)/$C$10)</f>
        <v>454.375</v>
      </c>
      <c r="D18" s="39">
        <f>(B18+$C$8)/2*WACC</f>
        <v>1080.09935625</v>
      </c>
      <c r="E18" s="39">
        <f>(((C$9)*(1+INFL)^($A18-$B$9)))</f>
        <v>92.006733600000004</v>
      </c>
      <c r="F18" s="39">
        <f>SUM(C18:E18)</f>
        <v>1626.48108985</v>
      </c>
      <c r="H18" s="5"/>
      <c r="I18" s="40">
        <v>1</v>
      </c>
      <c r="J18" s="41">
        <f>$C$7</f>
        <v>5</v>
      </c>
      <c r="K18" s="37"/>
    </row>
    <row r="19" spans="1:11" x14ac:dyDescent="0.35">
      <c r="A19" s="40">
        <f t="shared" ref="A19:A32" si="1">1+A18</f>
        <v>2025</v>
      </c>
      <c r="B19" s="42">
        <f>B18-C18</f>
        <v>17266.25</v>
      </c>
      <c r="C19" s="42">
        <f t="shared" ref="C19:C32" si="2">IF(ISNUMBER(B19),IF(B19&gt;B18,(B19/$C$10),C18),"")</f>
        <v>454.375</v>
      </c>
      <c r="D19" s="42">
        <f>IF(ISNUMBER(B19),(B19+B18)/2*WACC,"")</f>
        <v>1052.75506875</v>
      </c>
      <c r="E19" s="39">
        <f t="shared" ref="E19:E32" si="3">IF(ISNUMBER(B19),E18*(1+J$7),"")</f>
        <v>93.846868272000009</v>
      </c>
      <c r="F19" s="39">
        <f t="shared" ref="F19:F32" si="4">SUM(C19:E19)</f>
        <v>1600.9769370219999</v>
      </c>
      <c r="H19" s="5"/>
      <c r="I19" s="40">
        <f t="shared" ref="I19:I32" si="5">I18+1</f>
        <v>2</v>
      </c>
      <c r="J19" s="41">
        <f t="shared" ref="J19:J32" si="6">IF(ISNUMBER(C19),$C$7,"")</f>
        <v>5</v>
      </c>
      <c r="K19" s="37"/>
    </row>
    <row r="20" spans="1:11" x14ac:dyDescent="0.35">
      <c r="A20" s="40">
        <f t="shared" si="1"/>
        <v>2026</v>
      </c>
      <c r="B20" s="42">
        <f>B19-C19</f>
        <v>16811.875</v>
      </c>
      <c r="C20" s="42">
        <f t="shared" si="2"/>
        <v>454.375</v>
      </c>
      <c r="D20" s="42">
        <f t="shared" ref="D20:D32" si="7">IF(ISNUMBER(B20),(B20+B19)/2*WACC,"")</f>
        <v>1025.4107812499999</v>
      </c>
      <c r="E20" s="39">
        <f t="shared" si="3"/>
        <v>95.723805637440009</v>
      </c>
      <c r="F20" s="39">
        <f t="shared" si="4"/>
        <v>1575.5095868874398</v>
      </c>
      <c r="H20" s="5"/>
      <c r="I20" s="40">
        <f t="shared" si="5"/>
        <v>3</v>
      </c>
      <c r="J20" s="41">
        <f t="shared" si="6"/>
        <v>5</v>
      </c>
      <c r="K20" s="37"/>
    </row>
    <row r="21" spans="1:11" x14ac:dyDescent="0.35">
      <c r="A21" s="40">
        <f t="shared" si="1"/>
        <v>2027</v>
      </c>
      <c r="B21" s="42">
        <f t="shared" ref="B21:B32" si="8">B20-C20</f>
        <v>16357.5</v>
      </c>
      <c r="C21" s="42">
        <f t="shared" si="2"/>
        <v>454.375</v>
      </c>
      <c r="D21" s="42">
        <f t="shared" si="7"/>
        <v>998.06649374999995</v>
      </c>
      <c r="E21" s="39">
        <f t="shared" si="3"/>
        <v>97.63828175018881</v>
      </c>
      <c r="F21" s="39">
        <f t="shared" si="4"/>
        <v>1550.0797755001888</v>
      </c>
      <c r="H21" s="5"/>
      <c r="I21" s="40">
        <f t="shared" si="5"/>
        <v>4</v>
      </c>
      <c r="J21" s="41">
        <f t="shared" si="6"/>
        <v>5</v>
      </c>
      <c r="K21" s="37"/>
    </row>
    <row r="22" spans="1:11" x14ac:dyDescent="0.35">
      <c r="A22" s="40">
        <f t="shared" si="1"/>
        <v>2028</v>
      </c>
      <c r="B22" s="42">
        <f t="shared" si="8"/>
        <v>15903.125</v>
      </c>
      <c r="C22" s="42">
        <f t="shared" si="2"/>
        <v>454.375</v>
      </c>
      <c r="D22" s="42">
        <f t="shared" si="7"/>
        <v>970.72220625</v>
      </c>
      <c r="E22" s="39">
        <f t="shared" si="3"/>
        <v>99.591047385192581</v>
      </c>
      <c r="F22" s="39">
        <f t="shared" si="4"/>
        <v>1524.6882536351925</v>
      </c>
      <c r="H22" s="5"/>
      <c r="I22" s="40">
        <f t="shared" si="5"/>
        <v>5</v>
      </c>
      <c r="J22" s="41">
        <f t="shared" si="6"/>
        <v>5</v>
      </c>
      <c r="K22" s="37"/>
    </row>
    <row r="23" spans="1:11" x14ac:dyDescent="0.35">
      <c r="A23" s="40">
        <f t="shared" si="1"/>
        <v>2029</v>
      </c>
      <c r="B23" s="42">
        <f t="shared" si="8"/>
        <v>15448.75</v>
      </c>
      <c r="C23" s="42">
        <f t="shared" si="2"/>
        <v>454.375</v>
      </c>
      <c r="D23" s="42">
        <f t="shared" si="7"/>
        <v>943.37791874999994</v>
      </c>
      <c r="E23" s="39">
        <f t="shared" si="3"/>
        <v>101.58286833289644</v>
      </c>
      <c r="F23" s="39">
        <f t="shared" si="4"/>
        <v>1499.3357870828963</v>
      </c>
      <c r="H23" s="5"/>
      <c r="I23" s="40">
        <f t="shared" si="5"/>
        <v>6</v>
      </c>
      <c r="J23" s="41">
        <f t="shared" si="6"/>
        <v>5</v>
      </c>
      <c r="K23" s="37"/>
    </row>
    <row r="24" spans="1:11" x14ac:dyDescent="0.35">
      <c r="A24" s="40">
        <f t="shared" si="1"/>
        <v>2030</v>
      </c>
      <c r="B24" s="42">
        <f t="shared" si="8"/>
        <v>14994.375</v>
      </c>
      <c r="C24" s="42">
        <f t="shared" si="2"/>
        <v>454.375</v>
      </c>
      <c r="D24" s="42">
        <f t="shared" si="7"/>
        <v>916.03363124999998</v>
      </c>
      <c r="E24" s="39">
        <f t="shared" si="3"/>
        <v>103.61452569955436</v>
      </c>
      <c r="F24" s="39">
        <f t="shared" si="4"/>
        <v>1474.0231569495543</v>
      </c>
      <c r="H24" s="5"/>
      <c r="I24" s="40">
        <f t="shared" si="5"/>
        <v>7</v>
      </c>
      <c r="J24" s="41">
        <f t="shared" si="6"/>
        <v>5</v>
      </c>
      <c r="K24" s="37"/>
    </row>
    <row r="25" spans="1:11" x14ac:dyDescent="0.35">
      <c r="A25" s="40">
        <f t="shared" si="1"/>
        <v>2031</v>
      </c>
      <c r="B25" s="42">
        <f t="shared" si="8"/>
        <v>14540</v>
      </c>
      <c r="C25" s="42">
        <f t="shared" si="2"/>
        <v>454.375</v>
      </c>
      <c r="D25" s="42">
        <f t="shared" si="7"/>
        <v>888.68934374999992</v>
      </c>
      <c r="E25" s="39">
        <f t="shared" si="3"/>
        <v>105.68681621354546</v>
      </c>
      <c r="F25" s="39">
        <f t="shared" si="4"/>
        <v>1448.7511599635452</v>
      </c>
      <c r="H25" s="5"/>
      <c r="I25" s="40">
        <f t="shared" si="5"/>
        <v>8</v>
      </c>
      <c r="J25" s="41">
        <f t="shared" si="6"/>
        <v>5</v>
      </c>
      <c r="K25" s="37"/>
    </row>
    <row r="26" spans="1:11" x14ac:dyDescent="0.35">
      <c r="A26" s="40">
        <f t="shared" si="1"/>
        <v>2032</v>
      </c>
      <c r="B26" s="42">
        <f t="shared" si="8"/>
        <v>14085.625</v>
      </c>
      <c r="C26" s="42">
        <f t="shared" si="2"/>
        <v>454.375</v>
      </c>
      <c r="D26" s="42">
        <f t="shared" si="7"/>
        <v>861.34505624999997</v>
      </c>
      <c r="E26" s="39">
        <f t="shared" si="3"/>
        <v>107.80055253781637</v>
      </c>
      <c r="F26" s="39">
        <f t="shared" si="4"/>
        <v>1423.5206087878164</v>
      </c>
      <c r="H26" s="5"/>
      <c r="I26" s="40">
        <f t="shared" si="5"/>
        <v>9</v>
      </c>
      <c r="J26" s="41">
        <f t="shared" si="6"/>
        <v>5</v>
      </c>
      <c r="K26" s="37"/>
    </row>
    <row r="27" spans="1:11" x14ac:dyDescent="0.35">
      <c r="A27" s="40">
        <f t="shared" si="1"/>
        <v>2033</v>
      </c>
      <c r="B27" s="42">
        <f t="shared" si="8"/>
        <v>13631.25</v>
      </c>
      <c r="C27" s="42">
        <f t="shared" si="2"/>
        <v>454.375</v>
      </c>
      <c r="D27" s="42">
        <f t="shared" si="7"/>
        <v>834.00076875000002</v>
      </c>
      <c r="E27" s="39">
        <f t="shared" si="3"/>
        <v>109.95656358857271</v>
      </c>
      <c r="F27" s="39">
        <f t="shared" si="4"/>
        <v>1398.3323323385728</v>
      </c>
      <c r="H27" s="5"/>
      <c r="I27" s="40">
        <f t="shared" si="5"/>
        <v>10</v>
      </c>
      <c r="J27" s="41">
        <f t="shared" si="6"/>
        <v>5</v>
      </c>
      <c r="K27" s="4"/>
    </row>
    <row r="28" spans="1:11" x14ac:dyDescent="0.35">
      <c r="A28" s="40">
        <f t="shared" si="1"/>
        <v>2034</v>
      </c>
      <c r="B28" s="42">
        <f t="shared" si="8"/>
        <v>13176.875</v>
      </c>
      <c r="C28" s="42">
        <f t="shared" si="2"/>
        <v>454.375</v>
      </c>
      <c r="D28" s="42">
        <f t="shared" si="7"/>
        <v>806.65648124999996</v>
      </c>
      <c r="E28" s="39">
        <f t="shared" si="3"/>
        <v>112.15569486034416</v>
      </c>
      <c r="F28" s="39">
        <f t="shared" si="4"/>
        <v>1373.1871761103441</v>
      </c>
      <c r="H28" s="5"/>
      <c r="I28" s="40">
        <f t="shared" si="5"/>
        <v>11</v>
      </c>
      <c r="J28" s="41">
        <f t="shared" si="6"/>
        <v>5</v>
      </c>
      <c r="K28" s="4"/>
    </row>
    <row r="29" spans="1:11" x14ac:dyDescent="0.35">
      <c r="A29" s="40">
        <f t="shared" si="1"/>
        <v>2035</v>
      </c>
      <c r="B29" s="42">
        <f t="shared" si="8"/>
        <v>12722.5</v>
      </c>
      <c r="C29" s="42">
        <f t="shared" si="2"/>
        <v>454.375</v>
      </c>
      <c r="D29" s="42">
        <f t="shared" si="7"/>
        <v>779.31219375000001</v>
      </c>
      <c r="E29" s="39">
        <f t="shared" si="3"/>
        <v>114.39880875755104</v>
      </c>
      <c r="F29" s="39">
        <f t="shared" si="4"/>
        <v>1348.086002507551</v>
      </c>
      <c r="H29" s="5"/>
      <c r="I29" s="40">
        <f t="shared" si="5"/>
        <v>12</v>
      </c>
      <c r="J29" s="41">
        <f t="shared" si="6"/>
        <v>5</v>
      </c>
      <c r="K29" s="4"/>
    </row>
    <row r="30" spans="1:11" x14ac:dyDescent="0.35">
      <c r="A30" s="40">
        <f t="shared" si="1"/>
        <v>2036</v>
      </c>
      <c r="B30" s="42">
        <f t="shared" si="8"/>
        <v>12268.125</v>
      </c>
      <c r="C30" s="42">
        <f t="shared" si="2"/>
        <v>454.375</v>
      </c>
      <c r="D30" s="42">
        <f t="shared" si="7"/>
        <v>751.96790624999994</v>
      </c>
      <c r="E30" s="39">
        <f t="shared" si="3"/>
        <v>116.68678493270205</v>
      </c>
      <c r="F30" s="39">
        <f t="shared" si="4"/>
        <v>1323.029691182702</v>
      </c>
      <c r="H30" s="5"/>
      <c r="I30" s="40">
        <f t="shared" si="5"/>
        <v>13</v>
      </c>
      <c r="J30" s="41">
        <f t="shared" si="6"/>
        <v>5</v>
      </c>
      <c r="K30" s="4"/>
    </row>
    <row r="31" spans="1:11" x14ac:dyDescent="0.35">
      <c r="A31" s="40">
        <f t="shared" si="1"/>
        <v>2037</v>
      </c>
      <c r="B31" s="42">
        <f t="shared" si="8"/>
        <v>11813.75</v>
      </c>
      <c r="C31" s="42">
        <f t="shared" si="2"/>
        <v>454.375</v>
      </c>
      <c r="D31" s="42">
        <f t="shared" si="7"/>
        <v>724.62361874999999</v>
      </c>
      <c r="E31" s="39">
        <f t="shared" si="3"/>
        <v>119.02052063135609</v>
      </c>
      <c r="F31" s="39">
        <f t="shared" si="4"/>
        <v>1298.0191393813559</v>
      </c>
      <c r="H31" s="5"/>
      <c r="I31" s="40">
        <f t="shared" si="5"/>
        <v>14</v>
      </c>
      <c r="J31" s="41">
        <f t="shared" si="6"/>
        <v>5</v>
      </c>
      <c r="K31" s="4"/>
    </row>
    <row r="32" spans="1:11" x14ac:dyDescent="0.35">
      <c r="A32" s="40">
        <f t="shared" si="1"/>
        <v>2038</v>
      </c>
      <c r="B32" s="42">
        <f t="shared" si="8"/>
        <v>11359.375</v>
      </c>
      <c r="C32" s="42">
        <f t="shared" si="2"/>
        <v>454.375</v>
      </c>
      <c r="D32" s="42">
        <f t="shared" si="7"/>
        <v>697.27933124999993</v>
      </c>
      <c r="E32" s="39">
        <f t="shared" si="3"/>
        <v>121.40093104398322</v>
      </c>
      <c r="F32" s="39">
        <f t="shared" si="4"/>
        <v>1273.0552622939831</v>
      </c>
      <c r="H32" s="5"/>
      <c r="I32" s="40">
        <f t="shared" si="5"/>
        <v>15</v>
      </c>
      <c r="J32" s="41">
        <f t="shared" si="6"/>
        <v>5</v>
      </c>
      <c r="K32" s="4"/>
    </row>
    <row r="33" spans="1:18" ht="12" customHeight="1" x14ac:dyDescent="0.35">
      <c r="A33" s="43"/>
      <c r="B33" s="44"/>
      <c r="C33" s="44"/>
      <c r="D33" s="44"/>
      <c r="E33" s="44"/>
      <c r="F33" s="44"/>
      <c r="G33" s="59"/>
      <c r="H33" s="21"/>
      <c r="I33" s="45"/>
    </row>
    <row r="34" spans="1:18" ht="12" customHeight="1" x14ac:dyDescent="0.35">
      <c r="A34" s="43" t="s">
        <v>22</v>
      </c>
      <c r="B34" s="44"/>
      <c r="C34" s="44"/>
      <c r="D34" s="44"/>
      <c r="E34" s="44"/>
      <c r="F34" s="44">
        <f>NPV(WACC,F19:F32)+F18</f>
        <v>15183.62210323147</v>
      </c>
      <c r="G34" s="59"/>
      <c r="H34" s="21"/>
      <c r="I34" s="50"/>
      <c r="K34" s="5"/>
    </row>
    <row r="35" spans="1:18" s="2" customFormat="1" x14ac:dyDescent="0.35">
      <c r="A35" s="51"/>
      <c r="B35" s="47"/>
      <c r="C35" s="47"/>
      <c r="F35" s="5"/>
      <c r="G35" s="5"/>
      <c r="L35" s="4"/>
      <c r="M35" s="4"/>
      <c r="N35" s="4"/>
      <c r="O35" s="4"/>
      <c r="P35" s="4"/>
      <c r="Q35" s="4"/>
      <c r="R35" s="4"/>
    </row>
    <row r="36" spans="1:18" s="2" customFormat="1" x14ac:dyDescent="0.35">
      <c r="A36" s="10" t="s">
        <v>23</v>
      </c>
      <c r="B36" s="18"/>
      <c r="C36" s="54"/>
      <c r="D36" s="21"/>
      <c r="F36" s="5"/>
      <c r="G36" s="5"/>
      <c r="L36" s="4"/>
      <c r="M36" s="4"/>
      <c r="N36" s="4"/>
      <c r="O36" s="4"/>
      <c r="P36" s="4"/>
      <c r="Q36" s="4"/>
      <c r="R36" s="4"/>
    </row>
    <row r="37" spans="1:18" s="2" customFormat="1" x14ac:dyDescent="0.35">
      <c r="A37" s="60" t="s">
        <v>30</v>
      </c>
      <c r="D37" s="21"/>
      <c r="F37" s="5"/>
      <c r="G37" s="5"/>
      <c r="L37" s="4"/>
      <c r="M37" s="4"/>
      <c r="N37" s="4"/>
      <c r="O37" s="4"/>
      <c r="P37" s="4"/>
      <c r="Q37" s="4"/>
      <c r="R37" s="4"/>
    </row>
    <row r="38" spans="1:18" s="2" customFormat="1" x14ac:dyDescent="0.35">
      <c r="A38" s="60" t="s">
        <v>29</v>
      </c>
      <c r="B38" s="55"/>
      <c r="C38" s="54"/>
      <c r="D38" s="21"/>
      <c r="F38" s="5"/>
      <c r="G38" s="5"/>
      <c r="L38" s="4"/>
      <c r="M38" s="4"/>
      <c r="N38" s="4"/>
      <c r="O38" s="4"/>
      <c r="P38" s="4"/>
      <c r="Q38" s="4"/>
      <c r="R38" s="4"/>
    </row>
    <row r="39" spans="1:18" s="2" customFormat="1" x14ac:dyDescent="0.35">
      <c r="A39" s="51"/>
      <c r="B39" s="55"/>
      <c r="C39" s="54"/>
      <c r="D39" s="21"/>
      <c r="F39" s="5"/>
      <c r="G39" s="5"/>
      <c r="L39" s="4"/>
      <c r="M39" s="4"/>
      <c r="N39" s="4"/>
      <c r="O39" s="4"/>
      <c r="P39" s="4"/>
      <c r="Q39" s="4"/>
      <c r="R39" s="4"/>
    </row>
    <row r="40" spans="1:18" s="2" customFormat="1" x14ac:dyDescent="0.35">
      <c r="A40" s="51"/>
      <c r="B40" s="55"/>
      <c r="C40" s="54"/>
      <c r="D40" s="21"/>
      <c r="F40" s="5"/>
      <c r="G40" s="5"/>
      <c r="L40" s="4"/>
      <c r="M40" s="4"/>
      <c r="N40" s="4"/>
      <c r="O40" s="4"/>
      <c r="P40" s="4"/>
      <c r="Q40" s="4"/>
      <c r="R40" s="4"/>
    </row>
    <row r="41" spans="1:18" s="2" customFormat="1" x14ac:dyDescent="0.35">
      <c r="A41" s="51"/>
      <c r="B41" s="55"/>
      <c r="C41" s="54"/>
      <c r="D41" s="21"/>
      <c r="F41" s="5"/>
      <c r="G41" s="5"/>
      <c r="L41" s="4"/>
      <c r="M41" s="4"/>
      <c r="N41" s="4"/>
      <c r="O41" s="4"/>
      <c r="P41" s="4"/>
      <c r="Q41" s="4"/>
      <c r="R41" s="4"/>
    </row>
    <row r="42" spans="1:18" s="2" customFormat="1" x14ac:dyDescent="0.35">
      <c r="A42" s="51"/>
      <c r="B42" s="55"/>
      <c r="C42" s="54"/>
      <c r="D42" s="21"/>
      <c r="F42" s="5"/>
      <c r="G42" s="5"/>
      <c r="L42" s="4"/>
      <c r="M42" s="4"/>
      <c r="N42" s="4"/>
      <c r="O42" s="4"/>
      <c r="P42" s="4"/>
      <c r="Q42" s="4"/>
      <c r="R42" s="4"/>
    </row>
    <row r="43" spans="1:18" s="2" customFormat="1" x14ac:dyDescent="0.35">
      <c r="A43" s="51"/>
      <c r="F43" s="5"/>
      <c r="G43" s="5"/>
      <c r="L43" s="4"/>
      <c r="M43" s="4"/>
      <c r="N43" s="4"/>
      <c r="O43" s="4"/>
      <c r="P43" s="4"/>
      <c r="Q43" s="4"/>
      <c r="R43" s="4"/>
    </row>
    <row r="44" spans="1:18" s="2" customFormat="1" x14ac:dyDescent="0.35">
      <c r="A44" s="51"/>
      <c r="F44" s="5"/>
      <c r="G44" s="5"/>
      <c r="L44" s="4"/>
      <c r="M44" s="4"/>
      <c r="N44" s="4"/>
      <c r="O44" s="4"/>
      <c r="P44" s="4"/>
      <c r="Q44" s="4"/>
      <c r="R44" s="4"/>
    </row>
    <row r="45" spans="1:18" s="2" customFormat="1" x14ac:dyDescent="0.35">
      <c r="A45" s="51"/>
      <c r="F45" s="5"/>
      <c r="G45" s="5"/>
    </row>
    <row r="46" spans="1:18" s="2" customFormat="1" x14ac:dyDescent="0.35">
      <c r="A46" s="51"/>
      <c r="F46" s="5"/>
      <c r="G46" s="5"/>
    </row>
    <row r="47" spans="1:18" s="2" customFormat="1" x14ac:dyDescent="0.35">
      <c r="A47" s="51"/>
      <c r="F47" s="5"/>
      <c r="G47" s="5"/>
    </row>
    <row r="48" spans="1:18" s="2" customFormat="1" x14ac:dyDescent="0.35">
      <c r="A48" s="51"/>
      <c r="F48" s="5"/>
      <c r="G48" s="5"/>
    </row>
    <row r="49" spans="1:7" s="2" customFormat="1" x14ac:dyDescent="0.35">
      <c r="A49" s="51"/>
      <c r="F49" s="5"/>
      <c r="G49" s="5"/>
    </row>
    <row r="50" spans="1:7" s="2" customFormat="1" x14ac:dyDescent="0.35">
      <c r="A50" s="51"/>
      <c r="F50" s="5"/>
      <c r="G50" s="5"/>
    </row>
    <row r="51" spans="1:7" s="2" customFormat="1" x14ac:dyDescent="0.35">
      <c r="A51" s="51"/>
      <c r="F51" s="5"/>
      <c r="G51" s="5"/>
    </row>
    <row r="52" spans="1:7" s="2" customFormat="1" x14ac:dyDescent="0.35">
      <c r="A52" s="51"/>
      <c r="F52" s="5"/>
      <c r="G52" s="5"/>
    </row>
  </sheetData>
  <mergeCells count="4">
    <mergeCell ref="A15:A17"/>
    <mergeCell ref="B15:F15"/>
    <mergeCell ref="I15:I17"/>
    <mergeCell ref="J15:J17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67E0F5D3C41B4C8EE81329C34E65EA" ma:contentTypeVersion="5" ma:contentTypeDescription="Create a new document." ma:contentTypeScope="" ma:versionID="8a1b1c98d5da7e450532c2f450f713fc">
  <xsd:schema xmlns:xsd="http://www.w3.org/2001/XMLSchema" xmlns:xs="http://www.w3.org/2001/XMLSchema" xmlns:p="http://schemas.microsoft.com/office/2006/metadata/properties" xmlns:ns2="0d132f34-d741-46df-b4b9-50c8ccc58b94" xmlns:ns3="7fbb6728-2fd9-426b-bdb9-830ace184c1c" targetNamespace="http://schemas.microsoft.com/office/2006/metadata/properties" ma:root="true" ma:fieldsID="dcee96f05e98b81722148804848bda28" ns2:_="" ns3:_="">
    <xsd:import namespace="0d132f34-d741-46df-b4b9-50c8ccc58b94"/>
    <xsd:import namespace="7fbb6728-2fd9-426b-bdb9-830ace184c1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132f34-d741-46df-b4b9-50c8ccc58b9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list="UserInfo" ma:SearchPeopleOnly="false" ma:internalName="SharedWithUsers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bb6728-2fd9-426b-bdb9-830ace184c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67A3F00-B6CB-4DE9-8BF8-3C6F24E2F7B3}"/>
</file>

<file path=customXml/itemProps2.xml><?xml version="1.0" encoding="utf-8"?>
<ds:datastoreItem xmlns:ds="http://schemas.openxmlformats.org/officeDocument/2006/customXml" ds:itemID="{4DBE26BF-C8FC-4988-ACFD-45C4BFF9E088}"/>
</file>

<file path=customXml/itemProps3.xml><?xml version="1.0" encoding="utf-8"?>
<ds:datastoreItem xmlns:ds="http://schemas.openxmlformats.org/officeDocument/2006/customXml" ds:itemID="{954D8B65-5230-4F8D-8A16-31ACE5088C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5 MW Faro rental (15 years)</vt:lpstr>
      <vt:lpstr>5 MW - Faro (15 years)</vt:lpstr>
      <vt:lpstr>'5 MW - Faro (15 years)'!INFL</vt:lpstr>
      <vt:lpstr>'5 MW Faro rental (15 years)'!INFL</vt:lpstr>
      <vt:lpstr>'5 MW - Faro (15 years)'!LIFE</vt:lpstr>
      <vt:lpstr>'5 MW Faro rental (15 years)'!LIFE</vt:lpstr>
      <vt:lpstr>'5 MW - Faro (15 years)'!Print_Area</vt:lpstr>
      <vt:lpstr>'5 MW Faro rental (15 years)'!Print_Area</vt:lpstr>
      <vt:lpstr>'5 MW - Faro (15 years)'!REAL_D_RATE</vt:lpstr>
      <vt:lpstr>'5 MW Faro rental (15 years)'!REAL_D_RATE</vt:lpstr>
      <vt:lpstr>'5 MW - Faro (15 years)'!WACC</vt:lpstr>
      <vt:lpstr>'5 MW Faro rental (15 years)'!WACC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2023-11-28T16:54:14Z</dcterms:created>
  <dcterms:modified xsi:type="dcterms:W3CDTF">2023-11-28T16:54:58Z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0x0101003C67E0F5D3C41B4C8EE81329C34E65EA</vt:lpwstr>
  </property>
</Properties>
</file>