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96" windowWidth="23256" windowHeight="12588"/>
  </bookViews>
  <sheets>
    <sheet name="Table 1" sheetId="2" r:id="rId1"/>
    <sheet name="Table 2A" sheetId="1" r:id="rId2"/>
    <sheet name="Table 2B" sheetId="4" r:id="rId3"/>
  </sheets>
  <externalReferences>
    <externalReference r:id="rId4"/>
  </externalReferences>
  <definedNames>
    <definedName name="___INDEX_SHEET___ASAP_Utilities" localSheetId="2">#REF!</definedName>
    <definedName name="___INDEX_SHEET___ASAP_Utilities">#REF!</definedName>
    <definedName name="Nbr_Units">'[1]Summary Table 8.8MW'!$E$5</definedName>
    <definedName name="_xlnm.Print_Area" localSheetId="1">'Table 2A'!$B$2:$H$41</definedName>
    <definedName name="_xlnm.Print_Area" localSheetId="2">'Table 2B'!$B$2:$H$41</definedName>
  </definedNames>
  <calcPr calcId="125725"/>
</workbook>
</file>

<file path=xl/calcChain.xml><?xml version="1.0" encoding="utf-8"?>
<calcChain xmlns="http://schemas.openxmlformats.org/spreadsheetml/2006/main">
  <c r="C28" i="2"/>
  <c r="C9" s="1"/>
  <c r="H30" i="4"/>
  <c r="H31" s="1"/>
  <c r="G30"/>
  <c r="G31" s="1"/>
  <c r="F30"/>
  <c r="F31" s="1"/>
  <c r="E30"/>
  <c r="H29"/>
  <c r="G29"/>
  <c r="F29"/>
  <c r="E29"/>
  <c r="H18"/>
  <c r="G18"/>
  <c r="F18"/>
  <c r="E18"/>
  <c r="H17"/>
  <c r="G17"/>
  <c r="F17"/>
  <c r="E17"/>
  <c r="E13" s="1"/>
  <c r="D14"/>
  <c r="D13"/>
  <c r="H17" i="1"/>
  <c r="G17"/>
  <c r="C40" i="2"/>
  <c r="C14" s="1"/>
  <c r="C29"/>
  <c r="C11"/>
  <c r="B11"/>
  <c r="B9"/>
  <c r="H30" i="1"/>
  <c r="G30"/>
  <c r="F30"/>
  <c r="E30"/>
  <c r="H29"/>
  <c r="G29"/>
  <c r="F29"/>
  <c r="E29"/>
  <c r="H18"/>
  <c r="G18"/>
  <c r="F18"/>
  <c r="E18"/>
  <c r="F17"/>
  <c r="E17"/>
  <c r="D14"/>
  <c r="E31" i="4" l="1"/>
  <c r="F13"/>
  <c r="E19"/>
  <c r="E21" s="1"/>
  <c r="E34" s="1"/>
  <c r="G13"/>
  <c r="E20"/>
  <c r="E22" s="1"/>
  <c r="F19"/>
  <c r="F21" s="1"/>
  <c r="F34" s="1"/>
  <c r="E14"/>
  <c r="B14" i="2"/>
  <c r="D11"/>
  <c r="C10"/>
  <c r="C15" s="1"/>
  <c r="B10"/>
  <c r="D9"/>
  <c r="D14"/>
  <c r="H31" i="1"/>
  <c r="G31"/>
  <c r="F31"/>
  <c r="E31"/>
  <c r="E14"/>
  <c r="E20" s="1"/>
  <c r="E22" s="1"/>
  <c r="D13"/>
  <c r="E35" i="4" l="1"/>
  <c r="E36" s="1"/>
  <c r="E23"/>
  <c r="F14"/>
  <c r="F20" s="1"/>
  <c r="F22" s="1"/>
  <c r="H13"/>
  <c r="H19" s="1"/>
  <c r="H21" s="1"/>
  <c r="H34" s="1"/>
  <c r="G19"/>
  <c r="G21" s="1"/>
  <c r="G34" s="1"/>
  <c r="B15" i="2"/>
  <c r="C12"/>
  <c r="B12"/>
  <c r="D10"/>
  <c r="D12" s="1"/>
  <c r="F14" i="1"/>
  <c r="F20" s="1"/>
  <c r="F22" s="1"/>
  <c r="F35" s="1"/>
  <c r="E13"/>
  <c r="E19" s="1"/>
  <c r="E21" s="1"/>
  <c r="E35"/>
  <c r="F35" i="4" l="1"/>
  <c r="F36" s="1"/>
  <c r="F23"/>
  <c r="G14"/>
  <c r="D15" i="2"/>
  <c r="G14" i="1"/>
  <c r="H14" s="1"/>
  <c r="E34"/>
  <c r="E36" s="1"/>
  <c r="E23"/>
  <c r="F13"/>
  <c r="F19" s="1"/>
  <c r="F21" s="1"/>
  <c r="H14" i="4" l="1"/>
  <c r="H20" s="1"/>
  <c r="H22" s="1"/>
  <c r="G20"/>
  <c r="G22" s="1"/>
  <c r="H20" i="1"/>
  <c r="H22" s="1"/>
  <c r="H35" s="1"/>
  <c r="G20"/>
  <c r="G22" s="1"/>
  <c r="G35" s="1"/>
  <c r="F34"/>
  <c r="F36" s="1"/>
  <c r="F23"/>
  <c r="G13"/>
  <c r="G19" s="1"/>
  <c r="G21" s="1"/>
  <c r="G34" s="1"/>
  <c r="H35" i="4" l="1"/>
  <c r="H36" s="1"/>
  <c r="H23"/>
  <c r="G35"/>
  <c r="G36" s="1"/>
  <c r="G23"/>
  <c r="G23" i="1"/>
  <c r="H13"/>
  <c r="H19" s="1"/>
  <c r="H21" s="1"/>
  <c r="G36"/>
  <c r="H34" l="1"/>
  <c r="H36" s="1"/>
  <c r="H23"/>
</calcChain>
</file>

<file path=xl/sharedStrings.xml><?xml version="1.0" encoding="utf-8"?>
<sst xmlns="http://schemas.openxmlformats.org/spreadsheetml/2006/main" count="118" uniqueCount="60">
  <si>
    <t>Application for an Energy Project Certificate and
An Energy Operation Certificate Regarding
The Proposed Whitehorse Diesel-Natural Gas
Conversion Project</t>
  </si>
  <si>
    <t>Capital cost ($million) at yr end</t>
  </si>
  <si>
    <t>Total</t>
  </si>
  <si>
    <t>Diesel (new)</t>
  </si>
  <si>
    <t xml:space="preserve">LNG </t>
  </si>
  <si>
    <t>Net</t>
  </si>
  <si>
    <t>Annual Capital Cost ($million)</t>
  </si>
  <si>
    <t>Deprec</t>
  </si>
  <si>
    <t>Return</t>
  </si>
  <si>
    <t>Difference (LNG-Diesel)</t>
  </si>
  <si>
    <t>Annual Fuel Cost ($million)</t>
  </si>
  <si>
    <t>Forecast Diesel (GWh)</t>
  </si>
  <si>
    <t>% New</t>
  </si>
  <si>
    <t>Fuel Cost</t>
  </si>
  <si>
    <t>Net Ratepayer Impact ($million)</t>
  </si>
  <si>
    <t>Notes:</t>
  </si>
  <si>
    <t>1. All capital costs depreciated over 40 years; return on mid-year rate base at 5.45%/year.</t>
  </si>
  <si>
    <t>Yukon Energy Corporation
YUB-YEC-1-13 (a) Attachment 1
February 27, 2014</t>
  </si>
  <si>
    <t>2. Diesel fuel costs at 26.3 c/kWh new diesel (Whitehorse), 30.8 c/kWh other diesel (grid average).</t>
  </si>
  <si>
    <t>3. LNG delivered fuel costs at 14.1 c/kWh (assumes supply from Shell Canada at Calgary at an AECO gas price of $4.50 per MMBtu and using A-Train units for delivery to Whitehorse with updated haul cost of $5.84/MMBtu [$5.31/MMBtu plus 10% for low initial volume]).</t>
  </si>
  <si>
    <t>Table 1 Updated Business Case  - First and Second Year Ratepayer Cost for 8.8 MW of</t>
  </si>
  <si>
    <t>LNG  versus New Diesel versus Life Extension Diesels (1st and 2nd Year Impacts)</t>
  </si>
  <si>
    <t xml:space="preserve">(Costs standardized for 8.8 MW assumed capacity for each option) </t>
  </si>
  <si>
    <t>LNG</t>
  </si>
  <si>
    <t>New Diesel</t>
  </si>
  <si>
    <t>Refurb Diesel</t>
  </si>
  <si>
    <t>Annual Depreciation</t>
  </si>
  <si>
    <t>Annual Return</t>
  </si>
  <si>
    <t>Annual Fuel Expense</t>
  </si>
  <si>
    <t>2015 Annual costs</t>
  </si>
  <si>
    <t>2016 Annual fuel costs</t>
  </si>
  <si>
    <t>2016 Annual costs</t>
  </si>
  <si>
    <t>LNG cap costs assumed to be $36.5M for 8.8 MW</t>
  </si>
  <si>
    <t xml:space="preserve">Refurbished diesel cap cost assumed to be $6.75M for 9 MW </t>
  </si>
  <si>
    <t>Salvage costs for LNG assumed to be $0.553 million</t>
  </si>
  <si>
    <t>Salvage costs for new diesel assumed to be $0.950 million</t>
  </si>
  <si>
    <t>Annual depreciation and return costs are for 2015</t>
  </si>
  <si>
    <t>Annual generation 2015 &amp; 2016 (LTA default diesel - Base Case)</t>
  </si>
  <si>
    <t xml:space="preserve">2016 return costs were assumed to be the same as 2015 </t>
  </si>
  <si>
    <t>Diesel fuel price (Whitehorse) assumed to be $1.1265 per litre</t>
  </si>
  <si>
    <t>LNG price (Whitehorse) assumed to be $4.5 per  MMBTU</t>
  </si>
  <si>
    <t>New diesel capital cost adj to 8.8 MW</t>
  </si>
  <si>
    <t>Refurb diesel capital cost adj to 8.8 MW</t>
  </si>
  <si>
    <t>LNG 8.8 MW cost</t>
  </si>
  <si>
    <t>Amortization period for LNG &amp; New Diesel</t>
  </si>
  <si>
    <t>years</t>
  </si>
  <si>
    <t>Amortization period for Refurbished Diesel</t>
  </si>
  <si>
    <t>Annual Return on rate base</t>
  </si>
  <si>
    <t>2015 Annual Generation  in GWh</t>
  </si>
  <si>
    <t>2016 Annual Generation in GWh</t>
  </si>
  <si>
    <t>Displacement of old diesel: 2015</t>
  </si>
  <si>
    <t>Displacement of old diesel: 2016</t>
  </si>
  <si>
    <t>LNG fuel costs per kWh</t>
  </si>
  <si>
    <t>New diesel fuel costs per kWh (Whitehorse)</t>
  </si>
  <si>
    <t>Refurb diesel costs per kWh (grid average)</t>
  </si>
  <si>
    <t>Table 2-A: Table 4-3 Updated: Ratepayer Impacts from Whitehorse Diesel-Natural Gas Conversion Project ($million)</t>
  </si>
  <si>
    <t xml:space="preserve"> (Project compared to Two Stage New Diesel Alternative)</t>
  </si>
  <si>
    <t xml:space="preserve"> (Project compared to One Stage New Diesel Alternative)</t>
  </si>
  <si>
    <t>Table 2-B: Table 4-3 Updated: Ratepayer Impacts from Whitehorse Diesel-Natural Gas Conversion Project ($million)</t>
  </si>
  <si>
    <t xml:space="preserve">New diesel cap costs assumed to be $21.6M  for 6.7 MW 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</si>
</sst>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0.000"/>
    <numFmt numFmtId="166" formatCode="&quot;$&quot;#,##0.00_);[Red]\(&quot;$&quot;#,##0.00\)"/>
    <numFmt numFmtId="167" formatCode="_(* #,##0.00_);_(* \(#,##0.00\);_(* &quot;-&quot;??_);_(@_)"/>
    <numFmt numFmtId="168" formatCode="&quot;$&quot;#,##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theme="0"/>
      <name val="Tahoma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theme="1"/>
      <name val="Tahoma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5"/>
      </patternFill>
    </fill>
    <fill>
      <patternFill patternType="mediumGray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7" fillId="2" borderId="0" applyNumberFormat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3">
      <alignment horizontal="center"/>
    </xf>
    <xf numFmtId="3" fontId="12" fillId="0" borderId="0" applyFont="0" applyFill="0" applyBorder="0" applyAlignment="0" applyProtection="0"/>
    <xf numFmtId="0" fontId="12" fillId="3" borderId="0" applyNumberFormat="0" applyFont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1" xfId="0" applyFont="1" applyBorder="1"/>
    <xf numFmtId="0" fontId="3" fillId="0" borderId="1" xfId="0" applyFont="1" applyBorder="1"/>
    <xf numFmtId="2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165" fontId="3" fillId="0" borderId="0" xfId="0" applyNumberFormat="1" applyFont="1" applyBorder="1"/>
    <xf numFmtId="165" fontId="3" fillId="0" borderId="1" xfId="0" applyNumberFormat="1" applyFont="1" applyBorder="1"/>
    <xf numFmtId="0" fontId="6" fillId="0" borderId="0" xfId="0" applyFont="1"/>
    <xf numFmtId="165" fontId="6" fillId="0" borderId="2" xfId="0" applyNumberFormat="1" applyFont="1" applyBorder="1"/>
    <xf numFmtId="9" fontId="3" fillId="0" borderId="0" xfId="1" applyFont="1"/>
    <xf numFmtId="166" fontId="3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168" fontId="0" fillId="0" borderId="0" xfId="0" applyNumberFormat="1"/>
    <xf numFmtId="168" fontId="16" fillId="0" borderId="0" xfId="0" applyNumberFormat="1" applyFont="1"/>
    <xf numFmtId="168" fontId="14" fillId="0" borderId="0" xfId="0" applyNumberFormat="1" applyFont="1"/>
    <xf numFmtId="10" fontId="0" fillId="0" borderId="0" xfId="0" applyNumberFormat="1"/>
    <xf numFmtId="9" fontId="0" fillId="0" borderId="0" xfId="1" applyFont="1"/>
    <xf numFmtId="164" fontId="0" fillId="0" borderId="0" xfId="0" applyNumberFormat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3" fillId="0" borderId="0" xfId="0" applyFont="1" applyAlignment="1">
      <alignment horizontal="left" wrapText="1" inden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42">
    <cellStyle name="60% - Accent4 2" xfId="2"/>
    <cellStyle name="Comma 2" xfId="3"/>
    <cellStyle name="Comma 3" xfId="4"/>
    <cellStyle name="Comma 3 2" xfId="5"/>
    <cellStyle name="Comma 4" xfId="6"/>
    <cellStyle name="Comma 5" xfId="7"/>
    <cellStyle name="Comma 6" xfId="8"/>
    <cellStyle name="Comma 7" xfId="9"/>
    <cellStyle name="Currency 2" xfId="10"/>
    <cellStyle name="Currency 2 2" xfId="11"/>
    <cellStyle name="Currency 3" xfId="12"/>
    <cellStyle name="Hyperlink 2" xfId="13"/>
    <cellStyle name="Normal" xfId="0" builtinId="0"/>
    <cellStyle name="Normal 10" xfId="14"/>
    <cellStyle name="Normal 11" xfId="15"/>
    <cellStyle name="Normal 12" xfId="16"/>
    <cellStyle name="Normal 13" xfId="17"/>
    <cellStyle name="Normal 2" xfId="18"/>
    <cellStyle name="Normal 2 2" xfId="19"/>
    <cellStyle name="Normal 2 2 2" xfId="20"/>
    <cellStyle name="Normal 3" xfId="21"/>
    <cellStyle name="Normal 3 2" xfId="22"/>
    <cellStyle name="Normal 4" xfId="23"/>
    <cellStyle name="Normal 4 2" xfId="24"/>
    <cellStyle name="Normal 5" xfId="25"/>
    <cellStyle name="Normal 5 2" xfId="26"/>
    <cellStyle name="Normal 6" xfId="27"/>
    <cellStyle name="Normal 7" xfId="28"/>
    <cellStyle name="Normal 8" xfId="29"/>
    <cellStyle name="Normal 9" xfId="30"/>
    <cellStyle name="Percent" xfId="1" builtinId="5"/>
    <cellStyle name="Percent 2" xfId="31"/>
    <cellStyle name="Percent 3" xfId="32"/>
    <cellStyle name="Percent 4" xfId="33"/>
    <cellStyle name="Percent 5" xfId="34"/>
    <cellStyle name="Percent 6" xfId="35"/>
    <cellStyle name="PSChar" xfId="36"/>
    <cellStyle name="PSDate" xfId="37"/>
    <cellStyle name="PSDec" xfId="38"/>
    <cellStyle name="PSHeading" xfId="39"/>
    <cellStyle name="PSInt" xfId="40"/>
    <cellStyle name="PSSpacer" xfId="4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rojects\LNG\Finance\TAB-2013-05-03-LNG%20Storage%20Generation%20and%20BOP%20Budget%20Trapezoid%20v5-C137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5 (6)"/>
      <sheetName val="LNG Job Numbers"/>
      <sheetName val="GP Job numbers"/>
      <sheetName val="Sheet5 (5)"/>
      <sheetName val="Sheet5 (4)"/>
      <sheetName val="Sheet5 (3)"/>
      <sheetName val="Data for GP W.Orders"/>
      <sheetName val="Summary for GP W.Orders"/>
      <sheetName val="Summary Table 8.8MW"/>
      <sheetName val="Dev Costs 8.8MW"/>
      <sheetName val="Cashflow 8.8MW"/>
      <sheetName val="substn costs"/>
      <sheetName val="Costs to 130728"/>
      <sheetName val="Sheet3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5">
          <cell r="E5">
            <v>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showGridLines="0" tabSelected="1" view="pageBreakPreview" zoomScale="115" zoomScaleNormal="100" zoomScaleSheetLayoutView="115" workbookViewId="0">
      <selection activeCell="C29" sqref="C29"/>
    </sheetView>
  </sheetViews>
  <sheetFormatPr defaultRowHeight="14.4"/>
  <cols>
    <col min="1" max="1" width="20.109375" customWidth="1"/>
    <col min="2" max="2" width="18.109375" customWidth="1"/>
    <col min="3" max="3" width="18.44140625" customWidth="1"/>
    <col min="4" max="4" width="20" customWidth="1"/>
  </cols>
  <sheetData>
    <row r="1" spans="1:5" ht="54.75" customHeight="1">
      <c r="A1" s="23" t="s">
        <v>0</v>
      </c>
      <c r="B1" s="23"/>
      <c r="C1" s="23"/>
      <c r="D1" s="24" t="s">
        <v>17</v>
      </c>
      <c r="E1" s="24"/>
    </row>
    <row r="4" spans="1:5">
      <c r="A4" s="14" t="s">
        <v>20</v>
      </c>
    </row>
    <row r="5" spans="1:5">
      <c r="A5" s="14" t="s">
        <v>21</v>
      </c>
    </row>
    <row r="6" spans="1:5">
      <c r="A6" t="s">
        <v>22</v>
      </c>
    </row>
    <row r="8" spans="1:5" s="15" customFormat="1">
      <c r="B8" s="16" t="s">
        <v>23</v>
      </c>
      <c r="C8" s="16" t="s">
        <v>24</v>
      </c>
      <c r="D8" s="16" t="s">
        <v>25</v>
      </c>
    </row>
    <row r="9" spans="1:5">
      <c r="A9" t="s">
        <v>26</v>
      </c>
      <c r="B9" s="17">
        <f>(C30-553000)/C31</f>
        <v>898675</v>
      </c>
      <c r="C9" s="17">
        <f>(C28-950000)/C31</f>
        <v>685503.73134328367</v>
      </c>
      <c r="D9" s="17">
        <f>C29/C32</f>
        <v>660000.00000000012</v>
      </c>
    </row>
    <row r="10" spans="1:5">
      <c r="A10" t="s">
        <v>27</v>
      </c>
      <c r="B10" s="17">
        <f>(C30*2-B9)/2*C33</f>
        <v>1964761.10625</v>
      </c>
      <c r="C10" s="17">
        <f>(C28*2-C9)/2*C33</f>
        <v>1527493.157649254</v>
      </c>
      <c r="D10" s="17">
        <f>(C29*2-D9)/2*C33</f>
        <v>341715.00000000006</v>
      </c>
    </row>
    <row r="11" spans="1:5">
      <c r="A11" t="s">
        <v>28</v>
      </c>
      <c r="B11" s="18">
        <f>C34*C38*10000*C36</f>
        <v>2397000</v>
      </c>
      <c r="C11" s="18">
        <f>C34*C39*10000*C36</f>
        <v>4464200</v>
      </c>
      <c r="D11" s="18">
        <f>C34*C40*10000*C36</f>
        <v>5227997.2415105058</v>
      </c>
    </row>
    <row r="12" spans="1:5">
      <c r="A12" s="14" t="s">
        <v>29</v>
      </c>
      <c r="B12" s="19">
        <f>SUM(B9:B11)</f>
        <v>5260436.1062500002</v>
      </c>
      <c r="C12" s="19">
        <f t="shared" ref="C12:D12" si="0">SUM(C9:C11)</f>
        <v>6677196.8889925377</v>
      </c>
      <c r="D12" s="19">
        <f t="shared" si="0"/>
        <v>6229712.2415105058</v>
      </c>
    </row>
    <row r="14" spans="1:5">
      <c r="A14" t="s">
        <v>30</v>
      </c>
      <c r="B14" s="18">
        <f>C35*C38*10000*C37+C35*C40*10000*(1-C37)</f>
        <v>3419575.9906782079</v>
      </c>
      <c r="C14" s="18">
        <f>C35*C39*10000*C37+C35*C40*10000*(1-C37)</f>
        <v>6064983.9906782079</v>
      </c>
      <c r="D14" s="18">
        <f>C35*C40*10000*C37</f>
        <v>6690298.8228859436</v>
      </c>
    </row>
    <row r="15" spans="1:5">
      <c r="A15" s="14" t="s">
        <v>31</v>
      </c>
      <c r="B15" s="19">
        <f>B9+B10+B14</f>
        <v>6283012.0969282081</v>
      </c>
      <c r="C15" s="19">
        <f t="shared" ref="C15:D15" si="1">C9+C10+C14</f>
        <v>8277980.8796707457</v>
      </c>
      <c r="D15" s="19">
        <f t="shared" si="1"/>
        <v>7692013.8228859436</v>
      </c>
    </row>
    <row r="17" spans="1:4">
      <c r="A17" t="s">
        <v>15</v>
      </c>
      <c r="B17" t="s">
        <v>32</v>
      </c>
    </row>
    <row r="18" spans="1:4">
      <c r="B18" t="s">
        <v>59</v>
      </c>
    </row>
    <row r="19" spans="1:4">
      <c r="B19" t="s">
        <v>33</v>
      </c>
    </row>
    <row r="20" spans="1:4">
      <c r="B20" t="s">
        <v>34</v>
      </c>
    </row>
    <row r="21" spans="1:4">
      <c r="B21" t="s">
        <v>35</v>
      </c>
    </row>
    <row r="22" spans="1:4">
      <c r="B22" t="s">
        <v>36</v>
      </c>
    </row>
    <row r="23" spans="1:4">
      <c r="B23" t="s">
        <v>37</v>
      </c>
    </row>
    <row r="24" spans="1:4">
      <c r="B24" t="s">
        <v>38</v>
      </c>
    </row>
    <row r="25" spans="1:4">
      <c r="B25" t="s">
        <v>39</v>
      </c>
    </row>
    <row r="26" spans="1:4">
      <c r="B26" t="s">
        <v>40</v>
      </c>
    </row>
    <row r="28" spans="1:4">
      <c r="A28" t="s">
        <v>41</v>
      </c>
      <c r="C28" s="17">
        <f>21600000*8.8/6.7</f>
        <v>28370149.253731348</v>
      </c>
    </row>
    <row r="29" spans="1:4">
      <c r="A29" t="s">
        <v>42</v>
      </c>
      <c r="C29" s="17">
        <f>6750000*8.8/9</f>
        <v>6600000.0000000009</v>
      </c>
    </row>
    <row r="30" spans="1:4">
      <c r="A30" t="s">
        <v>43</v>
      </c>
      <c r="C30" s="17">
        <v>36500000</v>
      </c>
    </row>
    <row r="31" spans="1:4">
      <c r="A31" t="s">
        <v>44</v>
      </c>
      <c r="C31">
        <v>40</v>
      </c>
      <c r="D31" t="s">
        <v>45</v>
      </c>
    </row>
    <row r="32" spans="1:4">
      <c r="A32" t="s">
        <v>46</v>
      </c>
      <c r="C32">
        <v>10</v>
      </c>
      <c r="D32" t="s">
        <v>45</v>
      </c>
    </row>
    <row r="33" spans="1:3">
      <c r="A33" t="s">
        <v>47</v>
      </c>
      <c r="C33" s="20">
        <v>5.45E-2</v>
      </c>
    </row>
    <row r="34" spans="1:3">
      <c r="A34" t="s">
        <v>48</v>
      </c>
      <c r="C34">
        <v>17</v>
      </c>
    </row>
    <row r="35" spans="1:3">
      <c r="A35" t="s">
        <v>49</v>
      </c>
      <c r="C35">
        <v>22.9</v>
      </c>
    </row>
    <row r="36" spans="1:3">
      <c r="A36" t="s">
        <v>50</v>
      </c>
      <c r="C36" s="21">
        <v>1</v>
      </c>
    </row>
    <row r="37" spans="1:3">
      <c r="A37" t="s">
        <v>51</v>
      </c>
      <c r="C37" s="21">
        <v>0.95</v>
      </c>
    </row>
    <row r="38" spans="1:3">
      <c r="A38" t="s">
        <v>52</v>
      </c>
      <c r="C38">
        <v>14.1</v>
      </c>
    </row>
    <row r="39" spans="1:3">
      <c r="A39" t="s">
        <v>53</v>
      </c>
      <c r="C39" s="22">
        <v>26.26</v>
      </c>
    </row>
    <row r="40" spans="1:3">
      <c r="A40" t="s">
        <v>54</v>
      </c>
      <c r="C40" s="22">
        <f>30.7529249500618</f>
        <v>30.7529249500618</v>
      </c>
    </row>
  </sheetData>
  <mergeCells count="2">
    <mergeCell ref="A1:C1"/>
    <mergeCell ref="D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47"/>
  <sheetViews>
    <sheetView showGridLines="0" view="pageBreakPreview" topLeftCell="A7" zoomScale="115" zoomScaleNormal="100" zoomScaleSheetLayoutView="115" workbookViewId="0">
      <selection activeCell="D28" sqref="D28"/>
    </sheetView>
  </sheetViews>
  <sheetFormatPr defaultColWidth="9.109375" defaultRowHeight="13.8"/>
  <cols>
    <col min="1" max="1" width="7" style="1" customWidth="1"/>
    <col min="2" max="2" width="10.6640625" style="1" customWidth="1"/>
    <col min="3" max="3" width="20.109375" style="1" customWidth="1"/>
    <col min="4" max="8" width="12.6640625" style="1" customWidth="1"/>
    <col min="9" max="9" width="8" style="1" customWidth="1"/>
    <col min="10" max="16384" width="9.109375" style="1"/>
  </cols>
  <sheetData>
    <row r="2" spans="2:8" ht="50.25" customHeight="1">
      <c r="B2" s="23" t="s">
        <v>0</v>
      </c>
      <c r="C2" s="23"/>
      <c r="D2" s="23"/>
      <c r="G2" s="24" t="s">
        <v>17</v>
      </c>
      <c r="H2" s="24"/>
    </row>
    <row r="3" spans="2:8">
      <c r="B3" s="2"/>
    </row>
    <row r="6" spans="2:8" ht="36" customHeight="1">
      <c r="B6" s="26" t="s">
        <v>55</v>
      </c>
      <c r="C6" s="26"/>
      <c r="D6" s="26"/>
      <c r="E6" s="26"/>
      <c r="F6" s="26"/>
      <c r="G6" s="26"/>
      <c r="H6" s="26"/>
    </row>
    <row r="7" spans="2:8">
      <c r="B7" s="27" t="s">
        <v>56</v>
      </c>
      <c r="C7" s="27"/>
      <c r="D7" s="27"/>
      <c r="E7" s="27"/>
      <c r="F7" s="27"/>
      <c r="G7" s="27"/>
      <c r="H7" s="27"/>
    </row>
    <row r="9" spans="2:8">
      <c r="D9" s="3">
        <v>2014</v>
      </c>
      <c r="E9" s="3">
        <v>2015</v>
      </c>
      <c r="F9" s="3">
        <v>2016</v>
      </c>
      <c r="G9" s="3">
        <v>2017</v>
      </c>
      <c r="H9" s="3">
        <v>2018</v>
      </c>
    </row>
    <row r="10" spans="2:8">
      <c r="B10" s="3" t="s">
        <v>1</v>
      </c>
      <c r="C10" s="4"/>
    </row>
    <row r="11" spans="2:8">
      <c r="B11" s="1" t="s">
        <v>2</v>
      </c>
      <c r="C11" s="1" t="s">
        <v>3</v>
      </c>
      <c r="D11" s="5">
        <v>21.6</v>
      </c>
      <c r="E11" s="5">
        <v>11.1</v>
      </c>
    </row>
    <row r="12" spans="2:8">
      <c r="C12" s="1" t="s">
        <v>4</v>
      </c>
      <c r="D12" s="5">
        <v>36.5</v>
      </c>
      <c r="E12" s="5"/>
      <c r="F12" s="5">
        <v>5.5</v>
      </c>
    </row>
    <row r="13" spans="2:8">
      <c r="B13" s="1" t="s">
        <v>5</v>
      </c>
      <c r="C13" s="1" t="s">
        <v>3</v>
      </c>
      <c r="D13" s="5">
        <f>D11</f>
        <v>21.6</v>
      </c>
      <c r="E13" s="6">
        <f>D13+E11-E17</f>
        <v>32.183750000000003</v>
      </c>
      <c r="F13" s="6">
        <f t="shared" ref="F13:H14" si="0">E13+F11-F17</f>
        <v>31.390000000000004</v>
      </c>
      <c r="G13" s="6">
        <f t="shared" si="0"/>
        <v>30.596250000000005</v>
      </c>
      <c r="H13" s="6">
        <f t="shared" si="0"/>
        <v>29.802500000000006</v>
      </c>
    </row>
    <row r="14" spans="2:8">
      <c r="C14" s="1" t="s">
        <v>4</v>
      </c>
      <c r="D14" s="1">
        <f>D12</f>
        <v>36.5</v>
      </c>
      <c r="E14" s="6">
        <f>D14+E12-E18</f>
        <v>35.601325000000003</v>
      </c>
      <c r="F14" s="6">
        <f t="shared" si="0"/>
        <v>40.202650000000006</v>
      </c>
      <c r="G14" s="6">
        <f t="shared" si="0"/>
        <v>39.166475000000005</v>
      </c>
      <c r="H14" s="6">
        <f t="shared" si="0"/>
        <v>38.130300000000005</v>
      </c>
    </row>
    <row r="16" spans="2:8">
      <c r="B16" s="3" t="s">
        <v>6</v>
      </c>
      <c r="C16" s="4"/>
    </row>
    <row r="17" spans="2:8">
      <c r="B17" s="1" t="s">
        <v>7</v>
      </c>
      <c r="C17" s="1" t="s">
        <v>3</v>
      </c>
      <c r="E17" s="7">
        <f>(D11-0.95)/40</f>
        <v>0.5162500000000001</v>
      </c>
      <c r="F17" s="7">
        <f>(SUM($D11:E11)-0.95)/40</f>
        <v>0.79375000000000007</v>
      </c>
      <c r="G17" s="7">
        <f>(SUM($D11:F11)-0.95)/40</f>
        <v>0.79375000000000007</v>
      </c>
      <c r="H17" s="7">
        <f>(SUM($D11:G11)-0.95)/40</f>
        <v>0.79375000000000007</v>
      </c>
    </row>
    <row r="18" spans="2:8">
      <c r="C18" s="1" t="s">
        <v>4</v>
      </c>
      <c r="E18" s="7">
        <f>(D12-0.553)/40</f>
        <v>0.89867500000000011</v>
      </c>
      <c r="F18" s="7">
        <f>(SUM($D12:E12)-0.553)/40</f>
        <v>0.89867500000000011</v>
      </c>
      <c r="G18" s="7">
        <f>(SUM($D12:F12)-0.553)/40</f>
        <v>1.0361750000000001</v>
      </c>
      <c r="H18" s="7">
        <f>(SUM($D12:G12)-0.553)/40</f>
        <v>1.0361750000000001</v>
      </c>
    </row>
    <row r="19" spans="2:8">
      <c r="B19" s="1" t="s">
        <v>8</v>
      </c>
      <c r="C19" s="1" t="s">
        <v>3</v>
      </c>
      <c r="E19" s="7">
        <f t="shared" ref="E19:H20" si="1">(D13+E13)*0.5*0.0545</f>
        <v>1.4656071875000001</v>
      </c>
      <c r="F19" s="7">
        <f t="shared" si="1"/>
        <v>1.7323846875000002</v>
      </c>
      <c r="G19" s="7">
        <f t="shared" si="1"/>
        <v>1.6891253125000003</v>
      </c>
      <c r="H19" s="7">
        <f t="shared" si="1"/>
        <v>1.6458659375000002</v>
      </c>
    </row>
    <row r="20" spans="2:8">
      <c r="C20" s="1" t="s">
        <v>4</v>
      </c>
      <c r="E20" s="8">
        <f t="shared" si="1"/>
        <v>1.9647611062500001</v>
      </c>
      <c r="F20" s="8">
        <f t="shared" si="1"/>
        <v>2.0656583187500002</v>
      </c>
      <c r="G20" s="8">
        <f t="shared" si="1"/>
        <v>2.1628086562500002</v>
      </c>
      <c r="H20" s="8">
        <f t="shared" si="1"/>
        <v>2.1063371187500004</v>
      </c>
    </row>
    <row r="21" spans="2:8">
      <c r="B21" s="1" t="s">
        <v>2</v>
      </c>
      <c r="C21" s="1" t="s">
        <v>3</v>
      </c>
      <c r="E21" s="7">
        <f>E17+E19</f>
        <v>1.9818571875000002</v>
      </c>
      <c r="F21" s="7">
        <f t="shared" ref="F21:H22" si="2">F17+F19</f>
        <v>2.5261346875000004</v>
      </c>
      <c r="G21" s="7">
        <f t="shared" si="2"/>
        <v>2.4828753125000005</v>
      </c>
      <c r="H21" s="7">
        <f t="shared" si="2"/>
        <v>2.4396159375000002</v>
      </c>
    </row>
    <row r="22" spans="2:8">
      <c r="C22" s="1" t="s">
        <v>4</v>
      </c>
      <c r="E22" s="9">
        <f>E18+E20</f>
        <v>2.86343610625</v>
      </c>
      <c r="F22" s="9">
        <f t="shared" si="2"/>
        <v>2.9643333187500005</v>
      </c>
      <c r="G22" s="9">
        <f t="shared" si="2"/>
        <v>3.1989836562500003</v>
      </c>
      <c r="H22" s="9">
        <f t="shared" si="2"/>
        <v>3.1425121187500005</v>
      </c>
    </row>
    <row r="23" spans="2:8" ht="14.4" thickBot="1">
      <c r="B23" s="10" t="s">
        <v>9</v>
      </c>
      <c r="E23" s="11">
        <f>E22-E21</f>
        <v>0.88157891874999983</v>
      </c>
      <c r="F23" s="11">
        <f t="shared" ref="F23:H23" si="3">F22-F21</f>
        <v>0.43819863125000014</v>
      </c>
      <c r="G23" s="11">
        <f t="shared" si="3"/>
        <v>0.71610834374999977</v>
      </c>
      <c r="H23" s="11">
        <f t="shared" si="3"/>
        <v>0.70289618125000031</v>
      </c>
    </row>
    <row r="24" spans="2:8" ht="14.4" thickTop="1"/>
    <row r="25" spans="2:8">
      <c r="B25" s="3" t="s">
        <v>10</v>
      </c>
      <c r="C25" s="4"/>
    </row>
    <row r="26" spans="2:8">
      <c r="B26" s="1" t="s">
        <v>11</v>
      </c>
      <c r="E26" s="1">
        <v>17</v>
      </c>
      <c r="F26" s="1">
        <v>22.9</v>
      </c>
      <c r="G26" s="1">
        <v>26.9</v>
      </c>
      <c r="H26" s="1">
        <v>31.4</v>
      </c>
    </row>
    <row r="27" spans="2:8">
      <c r="B27" s="1" t="s">
        <v>12</v>
      </c>
      <c r="C27" s="1" t="s">
        <v>3</v>
      </c>
      <c r="E27" s="12">
        <v>0.9</v>
      </c>
      <c r="F27" s="12">
        <v>1</v>
      </c>
      <c r="G27" s="12">
        <v>1</v>
      </c>
      <c r="H27" s="12">
        <v>1</v>
      </c>
    </row>
    <row r="28" spans="2:8">
      <c r="C28" s="1" t="s">
        <v>4</v>
      </c>
      <c r="E28" s="12">
        <v>1</v>
      </c>
      <c r="F28" s="12">
        <v>0.95</v>
      </c>
      <c r="G28" s="12">
        <v>1</v>
      </c>
      <c r="H28" s="12">
        <v>1</v>
      </c>
    </row>
    <row r="29" spans="2:8">
      <c r="B29" s="1" t="s">
        <v>13</v>
      </c>
      <c r="C29" s="1" t="s">
        <v>3</v>
      </c>
      <c r="E29" s="7">
        <f>E$26*E27*0.2626+E$26*(1-E27)*0.3075</f>
        <v>4.5405300000000004</v>
      </c>
      <c r="F29" s="7">
        <f>F$26*F27*0.2626+F$26*(1-F27)*0.3075</f>
        <v>6.0135399999999999</v>
      </c>
      <c r="G29" s="7">
        <f>G$26*G27*0.2626+G$26*(1-G27)*0.3075</f>
        <v>7.0639399999999997</v>
      </c>
      <c r="H29" s="7">
        <f>H$26*H27*0.2626+H$26*(1-H27)*0.3075</f>
        <v>8.2456399999999999</v>
      </c>
    </row>
    <row r="30" spans="2:8">
      <c r="C30" s="1" t="s">
        <v>4</v>
      </c>
      <c r="E30" s="9">
        <f>E$26*E28*0.141+E$26*(1-E28)*0.3075</f>
        <v>2.3969999999999998</v>
      </c>
      <c r="F30" s="9">
        <f>F$26*F28*0.141+F$26*(1-F28)*0.3075</f>
        <v>3.4195424999999995</v>
      </c>
      <c r="G30" s="9">
        <f>G$26*G28*0.141+G$26*(1-G28)*0.3075</f>
        <v>3.7928999999999995</v>
      </c>
      <c r="H30" s="9">
        <f>H$26*H28*0.141+H$26*(1-H28)*0.3075</f>
        <v>4.4273999999999996</v>
      </c>
    </row>
    <row r="31" spans="2:8" ht="14.4" thickBot="1">
      <c r="B31" s="10" t="s">
        <v>9</v>
      </c>
      <c r="E31" s="11">
        <f>E30-E29</f>
        <v>-2.1435300000000006</v>
      </c>
      <c r="F31" s="11">
        <f t="shared" ref="F31:H31" si="4">F30-F29</f>
        <v>-2.5939975000000004</v>
      </c>
      <c r="G31" s="11">
        <f t="shared" si="4"/>
        <v>-3.2710400000000002</v>
      </c>
      <c r="H31" s="11">
        <f t="shared" si="4"/>
        <v>-3.8182400000000003</v>
      </c>
    </row>
    <row r="32" spans="2:8" ht="14.4" thickTop="1"/>
    <row r="33" spans="2:9">
      <c r="B33" s="3" t="s">
        <v>14</v>
      </c>
      <c r="C33" s="4"/>
      <c r="E33" s="7"/>
      <c r="F33" s="7"/>
      <c r="G33" s="7"/>
      <c r="H33" s="7"/>
    </row>
    <row r="34" spans="2:9">
      <c r="C34" s="1" t="s">
        <v>3</v>
      </c>
      <c r="E34" s="7">
        <f>E21+E29</f>
        <v>6.5223871875000006</v>
      </c>
      <c r="F34" s="7">
        <f t="shared" ref="F34:H35" si="5">F21+F29</f>
        <v>8.5396746874999998</v>
      </c>
      <c r="G34" s="7">
        <f t="shared" si="5"/>
        <v>9.5468153124999997</v>
      </c>
      <c r="H34" s="7">
        <f t="shared" si="5"/>
        <v>10.685255937499999</v>
      </c>
    </row>
    <row r="35" spans="2:9">
      <c r="C35" s="1" t="s">
        <v>4</v>
      </c>
      <c r="E35" s="9">
        <f>E22+E30</f>
        <v>5.2604361062499994</v>
      </c>
      <c r="F35" s="9">
        <f t="shared" si="5"/>
        <v>6.38387581875</v>
      </c>
      <c r="G35" s="9">
        <f t="shared" si="5"/>
        <v>6.9918836562499997</v>
      </c>
      <c r="H35" s="9">
        <f t="shared" si="5"/>
        <v>7.5699121187500005</v>
      </c>
    </row>
    <row r="36" spans="2:9" ht="14.4" thickBot="1">
      <c r="B36" s="10" t="s">
        <v>9</v>
      </c>
      <c r="E36" s="11">
        <f>E35-E34</f>
        <v>-1.2619510812500012</v>
      </c>
      <c r="F36" s="11">
        <f t="shared" ref="F36:H36" si="6">F35-F34</f>
        <v>-2.1557988687499998</v>
      </c>
      <c r="G36" s="11">
        <f t="shared" si="6"/>
        <v>-2.55493165625</v>
      </c>
      <c r="H36" s="11">
        <f t="shared" si="6"/>
        <v>-3.1153438187499987</v>
      </c>
    </row>
    <row r="37" spans="2:9" ht="14.4" thickTop="1"/>
    <row r="38" spans="2:9">
      <c r="B38" s="1" t="s">
        <v>15</v>
      </c>
    </row>
    <row r="39" spans="2:9">
      <c r="B39" s="25" t="s">
        <v>16</v>
      </c>
      <c r="C39" s="25"/>
      <c r="D39" s="25"/>
      <c r="E39" s="25"/>
      <c r="F39" s="25"/>
      <c r="G39" s="25"/>
      <c r="H39" s="25"/>
    </row>
    <row r="40" spans="2:9" ht="14.4" customHeight="1">
      <c r="B40" s="25" t="s">
        <v>18</v>
      </c>
      <c r="C40" s="25"/>
      <c r="D40" s="25"/>
      <c r="E40" s="25"/>
      <c r="F40" s="25"/>
      <c r="G40" s="25"/>
      <c r="H40" s="25"/>
    </row>
    <row r="41" spans="2:9" ht="49.5" customHeight="1">
      <c r="B41" s="25" t="s">
        <v>19</v>
      </c>
      <c r="C41" s="25"/>
      <c r="D41" s="25"/>
      <c r="E41" s="25"/>
      <c r="F41" s="25"/>
      <c r="G41" s="25"/>
      <c r="H41" s="25"/>
    </row>
    <row r="43" spans="2:9">
      <c r="E43" s="7"/>
      <c r="F43" s="7"/>
      <c r="G43" s="7"/>
      <c r="H43" s="7"/>
      <c r="I43" s="7"/>
    </row>
    <row r="45" spans="2:9">
      <c r="D45" s="13"/>
    </row>
    <row r="46" spans="2:9">
      <c r="D46" s="13"/>
    </row>
    <row r="47" spans="2:9">
      <c r="D47" s="13"/>
    </row>
  </sheetData>
  <mergeCells count="7">
    <mergeCell ref="B41:H41"/>
    <mergeCell ref="B2:D2"/>
    <mergeCell ref="G2:H2"/>
    <mergeCell ref="B6:H6"/>
    <mergeCell ref="B7:H7"/>
    <mergeCell ref="B39:H39"/>
    <mergeCell ref="B40:H40"/>
  </mergeCells>
  <pageMargins left="0.70866141732283472" right="0.70866141732283472" top="0.74803149606299213" bottom="0.74803149606299213" header="0.31496062992125984" footer="0.31496062992125984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I47"/>
  <sheetViews>
    <sheetView showGridLines="0" view="pageBreakPreview" topLeftCell="A9" zoomScale="115" zoomScaleNormal="100" zoomScaleSheetLayoutView="115" workbookViewId="0">
      <selection activeCell="E31" sqref="E31:H31"/>
    </sheetView>
  </sheetViews>
  <sheetFormatPr defaultColWidth="9.109375" defaultRowHeight="13.8"/>
  <cols>
    <col min="1" max="1" width="7" style="1" customWidth="1"/>
    <col min="2" max="2" width="10.6640625" style="1" customWidth="1"/>
    <col min="3" max="3" width="20.109375" style="1" customWidth="1"/>
    <col min="4" max="8" width="13.33203125" style="1" customWidth="1"/>
    <col min="9" max="9" width="8" style="1" customWidth="1"/>
    <col min="10" max="16384" width="9.109375" style="1"/>
  </cols>
  <sheetData>
    <row r="2" spans="2:8" ht="50.25" customHeight="1">
      <c r="B2" s="23" t="s">
        <v>0</v>
      </c>
      <c r="C2" s="23"/>
      <c r="D2" s="23"/>
      <c r="G2" s="24" t="s">
        <v>17</v>
      </c>
      <c r="H2" s="24"/>
    </row>
    <row r="3" spans="2:8">
      <c r="B3" s="2"/>
    </row>
    <row r="6" spans="2:8" ht="36" customHeight="1">
      <c r="B6" s="26" t="s">
        <v>58</v>
      </c>
      <c r="C6" s="26"/>
      <c r="D6" s="26"/>
      <c r="E6" s="26"/>
      <c r="F6" s="26"/>
      <c r="G6" s="26"/>
      <c r="H6" s="26"/>
    </row>
    <row r="7" spans="2:8">
      <c r="B7" s="27" t="s">
        <v>57</v>
      </c>
      <c r="C7" s="27"/>
      <c r="D7" s="27"/>
      <c r="E7" s="27"/>
      <c r="F7" s="27"/>
      <c r="G7" s="27"/>
      <c r="H7" s="27"/>
    </row>
    <row r="9" spans="2:8">
      <c r="D9" s="3">
        <v>2014</v>
      </c>
      <c r="E9" s="3">
        <v>2015</v>
      </c>
      <c r="F9" s="3">
        <v>2016</v>
      </c>
      <c r="G9" s="3">
        <v>2017</v>
      </c>
      <c r="H9" s="3">
        <v>2018</v>
      </c>
    </row>
    <row r="10" spans="2:8">
      <c r="B10" s="3" t="s">
        <v>1</v>
      </c>
      <c r="C10" s="4"/>
    </row>
    <row r="11" spans="2:8">
      <c r="B11" s="1" t="s">
        <v>2</v>
      </c>
      <c r="C11" s="1" t="s">
        <v>3</v>
      </c>
      <c r="D11" s="5">
        <v>32.700000000000003</v>
      </c>
      <c r="E11" s="5"/>
    </row>
    <row r="12" spans="2:8">
      <c r="C12" s="1" t="s">
        <v>4</v>
      </c>
      <c r="D12" s="5">
        <v>36.5</v>
      </c>
      <c r="E12" s="5"/>
      <c r="F12" s="5">
        <v>5.5</v>
      </c>
    </row>
    <row r="13" spans="2:8">
      <c r="B13" s="1" t="s">
        <v>5</v>
      </c>
      <c r="C13" s="1" t="s">
        <v>3</v>
      </c>
      <c r="D13" s="5">
        <f>D11</f>
        <v>32.700000000000003</v>
      </c>
      <c r="E13" s="6">
        <f>D13+E11-E17</f>
        <v>31.906250000000004</v>
      </c>
      <c r="F13" s="6">
        <f t="shared" ref="F13:H14" si="0">E13+F11-F17</f>
        <v>31.112500000000004</v>
      </c>
      <c r="G13" s="6">
        <f t="shared" si="0"/>
        <v>30.318750000000005</v>
      </c>
      <c r="H13" s="6">
        <f t="shared" si="0"/>
        <v>29.525000000000006</v>
      </c>
    </row>
    <row r="14" spans="2:8">
      <c r="C14" s="1" t="s">
        <v>4</v>
      </c>
      <c r="D14" s="1">
        <f>D12</f>
        <v>36.5</v>
      </c>
      <c r="E14" s="6">
        <f>D14+E12-E18</f>
        <v>35.601325000000003</v>
      </c>
      <c r="F14" s="6">
        <f t="shared" si="0"/>
        <v>40.202650000000006</v>
      </c>
      <c r="G14" s="6">
        <f t="shared" si="0"/>
        <v>39.166475000000005</v>
      </c>
      <c r="H14" s="6">
        <f t="shared" si="0"/>
        <v>38.130300000000005</v>
      </c>
    </row>
    <row r="16" spans="2:8">
      <c r="B16" s="3" t="s">
        <v>6</v>
      </c>
      <c r="C16" s="4"/>
    </row>
    <row r="17" spans="2:8">
      <c r="B17" s="1" t="s">
        <v>7</v>
      </c>
      <c r="C17" s="1" t="s">
        <v>3</v>
      </c>
      <c r="E17" s="7">
        <f>(D11-0.95)/40</f>
        <v>0.79375000000000007</v>
      </c>
      <c r="F17" s="7">
        <f>(SUM($D11:E11)-0.95)/40</f>
        <v>0.79375000000000007</v>
      </c>
      <c r="G17" s="7">
        <f>(SUM($D11:F11)-0.95)/40</f>
        <v>0.79375000000000007</v>
      </c>
      <c r="H17" s="7">
        <f>(SUM($D11:G11)-0.95)/40</f>
        <v>0.79375000000000007</v>
      </c>
    </row>
    <row r="18" spans="2:8">
      <c r="C18" s="1" t="s">
        <v>4</v>
      </c>
      <c r="E18" s="7">
        <f>(D12-0.553)/40</f>
        <v>0.89867500000000011</v>
      </c>
      <c r="F18" s="7">
        <f>(SUM($D12:E12)-0.553)/40</f>
        <v>0.89867500000000011</v>
      </c>
      <c r="G18" s="7">
        <f>(SUM($D12:F12)-0.553)/40</f>
        <v>1.0361750000000001</v>
      </c>
      <c r="H18" s="7">
        <f>(SUM($D12:G12)-0.553)/40</f>
        <v>1.0361750000000001</v>
      </c>
    </row>
    <row r="19" spans="2:8">
      <c r="B19" s="1" t="s">
        <v>8</v>
      </c>
      <c r="C19" s="1" t="s">
        <v>3</v>
      </c>
      <c r="E19" s="7">
        <f t="shared" ref="E19:H20" si="1">(D13+E13)*0.5*0.0545</f>
        <v>1.7605203125</v>
      </c>
      <c r="F19" s="7">
        <f t="shared" si="1"/>
        <v>1.7172609375000003</v>
      </c>
      <c r="G19" s="7">
        <f t="shared" si="1"/>
        <v>1.6740015625000002</v>
      </c>
      <c r="H19" s="7">
        <f t="shared" si="1"/>
        <v>1.6307421875000003</v>
      </c>
    </row>
    <row r="20" spans="2:8">
      <c r="C20" s="1" t="s">
        <v>4</v>
      </c>
      <c r="E20" s="8">
        <f t="shared" si="1"/>
        <v>1.9647611062500001</v>
      </c>
      <c r="F20" s="8">
        <f t="shared" si="1"/>
        <v>2.0656583187500002</v>
      </c>
      <c r="G20" s="8">
        <f t="shared" si="1"/>
        <v>2.1628086562500002</v>
      </c>
      <c r="H20" s="8">
        <f t="shared" si="1"/>
        <v>2.1063371187500004</v>
      </c>
    </row>
    <row r="21" spans="2:8">
      <c r="B21" s="1" t="s">
        <v>2</v>
      </c>
      <c r="C21" s="1" t="s">
        <v>3</v>
      </c>
      <c r="E21" s="7">
        <f>E17+E19</f>
        <v>2.5542703124999999</v>
      </c>
      <c r="F21" s="7">
        <f t="shared" ref="F21:H22" si="2">F17+F19</f>
        <v>2.5110109375000005</v>
      </c>
      <c r="G21" s="7">
        <f t="shared" si="2"/>
        <v>2.4677515625000002</v>
      </c>
      <c r="H21" s="7">
        <f t="shared" si="2"/>
        <v>2.4244921875000003</v>
      </c>
    </row>
    <row r="22" spans="2:8">
      <c r="C22" s="1" t="s">
        <v>4</v>
      </c>
      <c r="E22" s="9">
        <f>E18+E20</f>
        <v>2.86343610625</v>
      </c>
      <c r="F22" s="9">
        <f t="shared" si="2"/>
        <v>2.9643333187500005</v>
      </c>
      <c r="G22" s="9">
        <f t="shared" si="2"/>
        <v>3.1989836562500003</v>
      </c>
      <c r="H22" s="9">
        <f t="shared" si="2"/>
        <v>3.1425121187500005</v>
      </c>
    </row>
    <row r="23" spans="2:8" ht="14.4" thickBot="1">
      <c r="B23" s="10" t="s">
        <v>9</v>
      </c>
      <c r="E23" s="11">
        <f>E22-E21</f>
        <v>0.30916579375000008</v>
      </c>
      <c r="F23" s="11">
        <f t="shared" ref="F23:H23" si="3">F22-F21</f>
        <v>0.45332238125000002</v>
      </c>
      <c r="G23" s="11">
        <f t="shared" si="3"/>
        <v>0.73123209375000009</v>
      </c>
      <c r="H23" s="11">
        <f t="shared" si="3"/>
        <v>0.71801993125000019</v>
      </c>
    </row>
    <row r="24" spans="2:8" ht="14.4" thickTop="1"/>
    <row r="25" spans="2:8">
      <c r="B25" s="3" t="s">
        <v>10</v>
      </c>
      <c r="C25" s="4"/>
    </row>
    <row r="26" spans="2:8">
      <c r="B26" s="1" t="s">
        <v>11</v>
      </c>
      <c r="E26" s="1">
        <v>17</v>
      </c>
      <c r="F26" s="1">
        <v>22.9</v>
      </c>
      <c r="G26" s="1">
        <v>26.9</v>
      </c>
      <c r="H26" s="1">
        <v>31.4</v>
      </c>
    </row>
    <row r="27" spans="2:8">
      <c r="B27" s="1" t="s">
        <v>12</v>
      </c>
      <c r="C27" s="1" t="s">
        <v>3</v>
      </c>
      <c r="E27" s="12">
        <v>1</v>
      </c>
      <c r="F27" s="12">
        <v>1</v>
      </c>
      <c r="G27" s="12">
        <v>1</v>
      </c>
      <c r="H27" s="12">
        <v>1</v>
      </c>
    </row>
    <row r="28" spans="2:8">
      <c r="C28" s="1" t="s">
        <v>4</v>
      </c>
      <c r="E28" s="12">
        <v>1</v>
      </c>
      <c r="F28" s="12">
        <v>0.95</v>
      </c>
      <c r="G28" s="12">
        <v>1</v>
      </c>
      <c r="H28" s="12">
        <v>1</v>
      </c>
    </row>
    <row r="29" spans="2:8">
      <c r="B29" s="1" t="s">
        <v>13</v>
      </c>
      <c r="C29" s="1" t="s">
        <v>3</v>
      </c>
      <c r="E29" s="7">
        <f>E$26*E27*0.2626+E$26*(1-E27)*0.3075</f>
        <v>4.4641999999999999</v>
      </c>
      <c r="F29" s="7">
        <f>F$26*F27*0.2626+F$26*(1-F27)*0.3075</f>
        <v>6.0135399999999999</v>
      </c>
      <c r="G29" s="7">
        <f>G$26*G27*0.2626+G$26*(1-G27)*0.3075</f>
        <v>7.0639399999999997</v>
      </c>
      <c r="H29" s="7">
        <f>H$26*H27*0.2626+H$26*(1-H27)*0.3075</f>
        <v>8.2456399999999999</v>
      </c>
    </row>
    <row r="30" spans="2:8">
      <c r="C30" s="1" t="s">
        <v>4</v>
      </c>
      <c r="E30" s="9">
        <f>E$26*E28*0.141+E$26*(1-E28)*0.3075</f>
        <v>2.3969999999999998</v>
      </c>
      <c r="F30" s="9">
        <f>F$26*F28*0.141+F$26*(1-F28)*0.3075</f>
        <v>3.4195424999999995</v>
      </c>
      <c r="G30" s="9">
        <f>G$26*G28*0.141+G$26*(1-G28)*0.3075</f>
        <v>3.7928999999999995</v>
      </c>
      <c r="H30" s="9">
        <f>H$26*H28*0.141+H$26*(1-H28)*0.3075</f>
        <v>4.4273999999999996</v>
      </c>
    </row>
    <row r="31" spans="2:8" ht="14.4" thickBot="1">
      <c r="B31" s="10" t="s">
        <v>9</v>
      </c>
      <c r="E31" s="11">
        <f>E30-E29</f>
        <v>-2.0672000000000001</v>
      </c>
      <c r="F31" s="11">
        <f t="shared" ref="F31:H31" si="4">F30-F29</f>
        <v>-2.5939975000000004</v>
      </c>
      <c r="G31" s="11">
        <f t="shared" si="4"/>
        <v>-3.2710400000000002</v>
      </c>
      <c r="H31" s="11">
        <f t="shared" si="4"/>
        <v>-3.8182400000000003</v>
      </c>
    </row>
    <row r="32" spans="2:8" ht="14.4" thickTop="1"/>
    <row r="33" spans="2:9">
      <c r="B33" s="3" t="s">
        <v>14</v>
      </c>
      <c r="C33" s="4"/>
      <c r="E33" s="7"/>
      <c r="F33" s="7"/>
      <c r="G33" s="7"/>
      <c r="H33" s="7"/>
    </row>
    <row r="34" spans="2:9">
      <c r="C34" s="1" t="s">
        <v>3</v>
      </c>
      <c r="E34" s="7">
        <f>E21+E29</f>
        <v>7.0184703124999999</v>
      </c>
      <c r="F34" s="7">
        <f t="shared" ref="F34:H35" si="5">F21+F29</f>
        <v>8.5245509375000008</v>
      </c>
      <c r="G34" s="7">
        <f t="shared" si="5"/>
        <v>9.5316915625000007</v>
      </c>
      <c r="H34" s="7">
        <f t="shared" si="5"/>
        <v>10.6701321875</v>
      </c>
    </row>
    <row r="35" spans="2:9">
      <c r="C35" s="1" t="s">
        <v>4</v>
      </c>
      <c r="E35" s="9">
        <f>E22+E30</f>
        <v>5.2604361062499994</v>
      </c>
      <c r="F35" s="9">
        <f t="shared" si="5"/>
        <v>6.38387581875</v>
      </c>
      <c r="G35" s="9">
        <f t="shared" si="5"/>
        <v>6.9918836562499997</v>
      </c>
      <c r="H35" s="9">
        <f t="shared" si="5"/>
        <v>7.5699121187500005</v>
      </c>
    </row>
    <row r="36" spans="2:9" ht="14.4" thickBot="1">
      <c r="B36" s="10" t="s">
        <v>9</v>
      </c>
      <c r="E36" s="11">
        <f>E35-E34</f>
        <v>-1.7580342062500005</v>
      </c>
      <c r="F36" s="11">
        <f t="shared" ref="F36:H36" si="6">F35-F34</f>
        <v>-2.1406751187500008</v>
      </c>
      <c r="G36" s="11">
        <f t="shared" si="6"/>
        <v>-2.539807906250001</v>
      </c>
      <c r="H36" s="11">
        <f t="shared" si="6"/>
        <v>-3.1002200687499997</v>
      </c>
    </row>
    <row r="37" spans="2:9" ht="14.4" thickTop="1"/>
    <row r="38" spans="2:9">
      <c r="B38" s="1" t="s">
        <v>15</v>
      </c>
    </row>
    <row r="39" spans="2:9">
      <c r="B39" s="25" t="s">
        <v>16</v>
      </c>
      <c r="C39" s="25"/>
      <c r="D39" s="25"/>
      <c r="E39" s="25"/>
      <c r="F39" s="25"/>
      <c r="G39" s="25"/>
      <c r="H39" s="25"/>
    </row>
    <row r="40" spans="2:9" ht="14.4" customHeight="1">
      <c r="B40" s="25" t="s">
        <v>18</v>
      </c>
      <c r="C40" s="25"/>
      <c r="D40" s="25"/>
      <c r="E40" s="25"/>
      <c r="F40" s="25"/>
      <c r="G40" s="25"/>
      <c r="H40" s="25"/>
    </row>
    <row r="41" spans="2:9" ht="49.5" customHeight="1">
      <c r="B41" s="25" t="s">
        <v>19</v>
      </c>
      <c r="C41" s="25"/>
      <c r="D41" s="25"/>
      <c r="E41" s="25"/>
      <c r="F41" s="25"/>
      <c r="G41" s="25"/>
      <c r="H41" s="25"/>
    </row>
    <row r="43" spans="2:9">
      <c r="E43" s="7"/>
      <c r="F43" s="7"/>
      <c r="G43" s="7"/>
      <c r="H43" s="7"/>
      <c r="I43" s="7"/>
    </row>
    <row r="45" spans="2:9">
      <c r="D45" s="13"/>
    </row>
    <row r="46" spans="2:9">
      <c r="D46" s="13"/>
    </row>
    <row r="47" spans="2:9">
      <c r="D47" s="13"/>
    </row>
  </sheetData>
  <mergeCells count="7">
    <mergeCell ref="B41:H41"/>
    <mergeCell ref="B2:D2"/>
    <mergeCell ref="G2:H2"/>
    <mergeCell ref="B6:H6"/>
    <mergeCell ref="B7:H7"/>
    <mergeCell ref="B39:H39"/>
    <mergeCell ref="B40:H40"/>
  </mergeCells>
  <pageMargins left="0.70866141732283472" right="0.70866141732283472" top="0.74803149606299213" bottom="0.74803149606299213" header="0.31496062992125984" footer="0.31496062992125984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2A</vt:lpstr>
      <vt:lpstr>Table 2B</vt:lpstr>
      <vt:lpstr>'Table 2A'!Print_Area</vt:lpstr>
      <vt:lpstr>'Table 2B'!Print_Area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2014-02-27T00:12:33Z</dcterms:created>
  <dcterms:modified xsi:type="dcterms:W3CDTF">2014-02-28T01:29:28Z</dcterms:modified>
</cp:coreProperties>
</file>