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66925"/>
  <xr:revisionPtr revIDLastSave="77" documentId="13_ncr:1_{7B9CA90C-34A7-4111-BC09-07A2231D1126}" xr6:coauthVersionLast="47" xr6:coauthVersionMax="47" xr10:uidLastSave="{3DC590E2-58A5-43F1-97F8-7BB3D3ADD50B}"/>
  <bookViews>
    <workbookView xWindow="-38510" yWindow="-110" windowWidth="19420" windowHeight="10420" xr2:uid="{5BF71AFC-9B35-4DDC-B8FD-F03A090DEC4C}"/>
  </bookViews>
  <sheets>
    <sheet name="20 MW diesel without tax" sheetId="3" r:id="rId1"/>
    <sheet name="20 MW diesel with tax" sheetId="4" r:id="rId2"/>
  </sheets>
  <externalReferences>
    <externalReference r:id="rId3"/>
    <externalReference r:id="rId4"/>
    <externalReference r:id="rId5"/>
  </externalReferences>
  <definedNames>
    <definedName name="BTU">#REF!</definedName>
    <definedName name="D_RATE" localSheetId="1">'20 MW diesel with tax'!#REF!</definedName>
    <definedName name="D_RATE" localSheetId="0">'20 MW diesel without tax'!#REF!</definedName>
    <definedName name="EFF">#REF!</definedName>
    <definedName name="END_CAPEX_YEAR" localSheetId="1">'20 MW diesel with tax'!$C$5</definedName>
    <definedName name="END_CAPEX_YEAR" localSheetId="0">'20 MW diesel without tax'!$C$5</definedName>
    <definedName name="END_CAPEX_YEAR">[1]Option1!$C$5</definedName>
    <definedName name="GWH" localSheetId="1">'20 MW diesel with tax'!$D$6</definedName>
    <definedName name="GWH" localSheetId="0">'20 MW diesel without tax'!$D$6</definedName>
    <definedName name="ID">'[2]Non-Ind. Data by Class'!#REF!</definedName>
    <definedName name="INFL" localSheetId="1">'20 MW diesel with tax'!$J$3</definedName>
    <definedName name="INFL" localSheetId="0">'20 MW diesel without tax'!$J$3</definedName>
    <definedName name="LIFE" localSheetId="1">'20 MW diesel with tax'!$D$9</definedName>
    <definedName name="LIFE" localSheetId="0">'20 MW diesel without tax'!$D$9</definedName>
    <definedName name="List">'[2]Non-Ind. Data by Class'!#REF!</definedName>
    <definedName name="LOSSES">[2]Assumptions!$A$6</definedName>
    <definedName name="_xlnm.Print_Area" localSheetId="1">'20 MW diesel with tax'!$A$1:$K$62</definedName>
    <definedName name="_xlnm.Print_Area" localSheetId="0">'20 MW diesel without tax'!$A$1:$K$62</definedName>
    <definedName name="REAL_D_RATE" localSheetId="1">'20 MW diesel with tax'!$J$4</definedName>
    <definedName name="REAL_D_RATE" localSheetId="0">'20 MW diesel without tax'!$J$4</definedName>
    <definedName name="REAL_D_RATE">[1]Option1!$L$4</definedName>
    <definedName name="Sc_ID">'[2]Non-Ind. Data by Class'!#REF!</definedName>
    <definedName name="USG">'[3]Summary Table'!$A$50</definedName>
    <definedName name="WACC" localSheetId="1">'20 MW diesel with tax'!$J$2</definedName>
    <definedName name="WACC" localSheetId="0">'20 MW diesel without tax'!$J$2</definedName>
    <definedName name="WACC">[1]Option1!$L$2</definedName>
    <definedName name="WACC2" localSheetId="1">'20 MW diesel with tax'!#REF!</definedName>
    <definedName name="WACC2" localSheetId="0">'20 MW diesel without tax'!#REF!</definedName>
    <definedName name="WACC2">[1]Option1!#REF!</definedName>
    <definedName name="WACC3" localSheetId="1">'20 MW diesel with tax'!#REF!</definedName>
    <definedName name="WACC3" localSheetId="0">'20 MW diesel without tax'!#REF!</definedName>
    <definedName name="WACC3">[1]Option1!#REF!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4" l="1"/>
  <c r="J2" i="3"/>
  <c r="J4" i="3" s="1"/>
  <c r="H17" i="4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16" i="4"/>
  <c r="I15" i="4"/>
  <c r="D15" i="4"/>
  <c r="C15" i="4"/>
  <c r="B15" i="4"/>
  <c r="B16" i="4" s="1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F14" i="4"/>
  <c r="E14" i="4"/>
  <c r="D14" i="4"/>
  <c r="C14" i="4"/>
  <c r="B14" i="4"/>
  <c r="I12" i="4"/>
  <c r="B12" i="4"/>
  <c r="D7" i="4"/>
  <c r="E15" i="4" s="1"/>
  <c r="C7" i="4"/>
  <c r="I6" i="4"/>
  <c r="J4" i="4"/>
  <c r="H17" i="3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16" i="3"/>
  <c r="C16" i="3"/>
  <c r="I16" i="3" s="1"/>
  <c r="B16" i="3"/>
  <c r="B17" i="3" s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I15" i="3"/>
  <c r="C15" i="3"/>
  <c r="B15" i="3"/>
  <c r="D15" i="3" s="1"/>
  <c r="A15" i="3"/>
  <c r="E15" i="3" s="1"/>
  <c r="F14" i="3"/>
  <c r="E14" i="3"/>
  <c r="D14" i="3"/>
  <c r="C14" i="3"/>
  <c r="B14" i="3"/>
  <c r="I12" i="3"/>
  <c r="B12" i="3"/>
  <c r="C7" i="3"/>
  <c r="I6" i="3"/>
  <c r="D16" i="4" l="1"/>
  <c r="C16" i="4"/>
  <c r="B17" i="4" s="1"/>
  <c r="E16" i="4"/>
  <c r="F15" i="4"/>
  <c r="E17" i="3"/>
  <c r="D17" i="3"/>
  <c r="C17" i="3"/>
  <c r="E16" i="3"/>
  <c r="D16" i="3"/>
  <c r="F15" i="3"/>
  <c r="E17" i="4" l="1"/>
  <c r="D17" i="4"/>
  <c r="C17" i="4"/>
  <c r="B18" i="4" s="1"/>
  <c r="F16" i="4"/>
  <c r="I16" i="4"/>
  <c r="F17" i="3"/>
  <c r="I17" i="3"/>
  <c r="F16" i="3"/>
  <c r="B18" i="3"/>
  <c r="E18" i="4" l="1"/>
  <c r="D18" i="4"/>
  <c r="C18" i="4"/>
  <c r="I17" i="4"/>
  <c r="F17" i="4"/>
  <c r="B19" i="3"/>
  <c r="E18" i="3"/>
  <c r="D18" i="3"/>
  <c r="C18" i="3"/>
  <c r="I18" i="4" l="1"/>
  <c r="F18" i="4"/>
  <c r="B19" i="4"/>
  <c r="C19" i="3"/>
  <c r="B20" i="3"/>
  <c r="D19" i="3"/>
  <c r="E19" i="3"/>
  <c r="I18" i="3"/>
  <c r="F18" i="3"/>
  <c r="D19" i="4" l="1"/>
  <c r="C19" i="4"/>
  <c r="B20" i="4"/>
  <c r="E19" i="4"/>
  <c r="E20" i="3"/>
  <c r="D20" i="3"/>
  <c r="C20" i="3"/>
  <c r="B21" i="3" s="1"/>
  <c r="I19" i="3"/>
  <c r="F19" i="3"/>
  <c r="E20" i="4" l="1"/>
  <c r="D20" i="4"/>
  <c r="C20" i="4"/>
  <c r="F19" i="4"/>
  <c r="I19" i="4"/>
  <c r="E21" i="3"/>
  <c r="D21" i="3"/>
  <c r="C21" i="3"/>
  <c r="B22" i="3" s="1"/>
  <c r="F20" i="3"/>
  <c r="I20" i="3"/>
  <c r="I20" i="4" l="1"/>
  <c r="F20" i="4"/>
  <c r="B21" i="4"/>
  <c r="C22" i="3"/>
  <c r="B23" i="3"/>
  <c r="D22" i="3"/>
  <c r="E22" i="3"/>
  <c r="I21" i="3"/>
  <c r="F21" i="3"/>
  <c r="B22" i="4" l="1"/>
  <c r="E21" i="4"/>
  <c r="D21" i="4"/>
  <c r="C21" i="4"/>
  <c r="E23" i="3"/>
  <c r="D23" i="3"/>
  <c r="C23" i="3"/>
  <c r="I22" i="3"/>
  <c r="F22" i="3"/>
  <c r="D22" i="4" l="1"/>
  <c r="C22" i="4"/>
  <c r="E22" i="4"/>
  <c r="I21" i="4"/>
  <c r="F21" i="4"/>
  <c r="F23" i="3"/>
  <c r="I23" i="3"/>
  <c r="B24" i="3"/>
  <c r="F22" i="4" l="1"/>
  <c r="I22" i="4"/>
  <c r="B23" i="4"/>
  <c r="E24" i="3"/>
  <c r="D24" i="3"/>
  <c r="C24" i="3"/>
  <c r="E23" i="4" l="1"/>
  <c r="D23" i="4"/>
  <c r="C23" i="4"/>
  <c r="B24" i="4" s="1"/>
  <c r="I24" i="3"/>
  <c r="F24" i="3"/>
  <c r="B25" i="3"/>
  <c r="E24" i="4" l="1"/>
  <c r="D24" i="4"/>
  <c r="C24" i="4"/>
  <c r="I23" i="4"/>
  <c r="F23" i="4"/>
  <c r="D25" i="3"/>
  <c r="C25" i="3"/>
  <c r="E25" i="3"/>
  <c r="I24" i="4" l="1"/>
  <c r="F24" i="4"/>
  <c r="B25" i="4"/>
  <c r="I25" i="3"/>
  <c r="F25" i="3"/>
  <c r="B26" i="3"/>
  <c r="D25" i="4" l="1"/>
  <c r="C25" i="4"/>
  <c r="B26" i="4" s="1"/>
  <c r="E25" i="4"/>
  <c r="E26" i="3"/>
  <c r="D26" i="3"/>
  <c r="C26" i="3"/>
  <c r="E26" i="4" l="1"/>
  <c r="D26" i="4"/>
  <c r="C26" i="4"/>
  <c r="B27" i="4" s="1"/>
  <c r="F25" i="4"/>
  <c r="I25" i="4"/>
  <c r="F26" i="3"/>
  <c r="I26" i="3"/>
  <c r="B27" i="3"/>
  <c r="E27" i="4" l="1"/>
  <c r="D27" i="4"/>
  <c r="C27" i="4"/>
  <c r="I26" i="4"/>
  <c r="F26" i="4"/>
  <c r="E27" i="3"/>
  <c r="D27" i="3"/>
  <c r="C27" i="3"/>
  <c r="I27" i="4" l="1"/>
  <c r="F27" i="4"/>
  <c r="B28" i="4"/>
  <c r="I27" i="3"/>
  <c r="F27" i="3"/>
  <c r="B28" i="3"/>
  <c r="D28" i="4" l="1"/>
  <c r="C28" i="4"/>
  <c r="B29" i="4" s="1"/>
  <c r="E28" i="4"/>
  <c r="C28" i="3"/>
  <c r="B29" i="3" s="1"/>
  <c r="E28" i="3"/>
  <c r="D28" i="3"/>
  <c r="E29" i="4" l="1"/>
  <c r="D29" i="4"/>
  <c r="C29" i="4"/>
  <c r="B30" i="4" s="1"/>
  <c r="I28" i="4"/>
  <c r="F28" i="4"/>
  <c r="E29" i="3"/>
  <c r="D29" i="3"/>
  <c r="C29" i="3"/>
  <c r="B30" i="3"/>
  <c r="I28" i="3"/>
  <c r="F28" i="3"/>
  <c r="B31" i="4" l="1"/>
  <c r="E30" i="4"/>
  <c r="D30" i="4"/>
  <c r="C30" i="4"/>
  <c r="I29" i="4"/>
  <c r="F29" i="4"/>
  <c r="E30" i="3"/>
  <c r="D30" i="3"/>
  <c r="C30" i="3"/>
  <c r="F29" i="3"/>
  <c r="I29" i="3"/>
  <c r="D31" i="4" l="1"/>
  <c r="C31" i="4"/>
  <c r="E31" i="4"/>
  <c r="I30" i="4"/>
  <c r="F30" i="4"/>
  <c r="I30" i="3"/>
  <c r="F30" i="3"/>
  <c r="B31" i="3"/>
  <c r="F31" i="4" l="1"/>
  <c r="I31" i="4"/>
  <c r="B32" i="4"/>
  <c r="C31" i="3"/>
  <c r="B32" i="3" s="1"/>
  <c r="D31" i="3"/>
  <c r="E31" i="3"/>
  <c r="E32" i="4" l="1"/>
  <c r="D32" i="4"/>
  <c r="C32" i="4"/>
  <c r="B33" i="4" s="1"/>
  <c r="E32" i="3"/>
  <c r="D32" i="3"/>
  <c r="C32" i="3"/>
  <c r="B33" i="3"/>
  <c r="I31" i="3"/>
  <c r="F31" i="3"/>
  <c r="E33" i="4" l="1"/>
  <c r="D33" i="4"/>
  <c r="C33" i="4"/>
  <c r="I32" i="4"/>
  <c r="F32" i="4"/>
  <c r="F32" i="3"/>
  <c r="I32" i="3"/>
  <c r="E33" i="3"/>
  <c r="D33" i="3"/>
  <c r="C33" i="3"/>
  <c r="I33" i="4" l="1"/>
  <c r="F33" i="4"/>
  <c r="B34" i="4"/>
  <c r="I33" i="3"/>
  <c r="F33" i="3"/>
  <c r="B34" i="3"/>
  <c r="D34" i="4" l="1"/>
  <c r="C34" i="4"/>
  <c r="E34" i="4"/>
  <c r="B35" i="4"/>
  <c r="D34" i="3"/>
  <c r="E34" i="3"/>
  <c r="C34" i="3"/>
  <c r="E35" i="4" l="1"/>
  <c r="D35" i="4"/>
  <c r="C35" i="4"/>
  <c r="B36" i="4"/>
  <c r="I34" i="4"/>
  <c r="F34" i="4"/>
  <c r="I34" i="3"/>
  <c r="F34" i="3"/>
  <c r="B35" i="3"/>
  <c r="E36" i="4" l="1"/>
  <c r="D36" i="4"/>
  <c r="C36" i="4"/>
  <c r="I35" i="4"/>
  <c r="F35" i="4"/>
  <c r="E35" i="3"/>
  <c r="D35" i="3"/>
  <c r="C35" i="3"/>
  <c r="B36" i="3"/>
  <c r="I36" i="4" l="1"/>
  <c r="F36" i="4"/>
  <c r="B37" i="4"/>
  <c r="E36" i="3"/>
  <c r="D36" i="3"/>
  <c r="C36" i="3"/>
  <c r="F35" i="3"/>
  <c r="I35" i="3"/>
  <c r="D37" i="4" l="1"/>
  <c r="C37" i="4"/>
  <c r="B38" i="4"/>
  <c r="E37" i="4"/>
  <c r="I36" i="3"/>
  <c r="F36" i="3"/>
  <c r="B37" i="3"/>
  <c r="E38" i="4" l="1"/>
  <c r="D38" i="4"/>
  <c r="C38" i="4"/>
  <c r="B39" i="4"/>
  <c r="I37" i="4"/>
  <c r="F37" i="4"/>
  <c r="C37" i="3"/>
  <c r="E37" i="3"/>
  <c r="D37" i="3"/>
  <c r="E39" i="4" l="1"/>
  <c r="D39" i="4"/>
  <c r="C39" i="4"/>
  <c r="I38" i="4"/>
  <c r="F38" i="4"/>
  <c r="I37" i="3"/>
  <c r="F37" i="3"/>
  <c r="B38" i="3"/>
  <c r="I39" i="4" l="1"/>
  <c r="F39" i="4"/>
  <c r="B40" i="4"/>
  <c r="E38" i="3"/>
  <c r="D38" i="3"/>
  <c r="C38" i="3"/>
  <c r="B39" i="3"/>
  <c r="D40" i="4" l="1"/>
  <c r="C40" i="4"/>
  <c r="E40" i="4"/>
  <c r="E39" i="3"/>
  <c r="D39" i="3"/>
  <c r="C39" i="3"/>
  <c r="F38" i="3"/>
  <c r="I38" i="3"/>
  <c r="F40" i="4" l="1"/>
  <c r="I40" i="4"/>
  <c r="B41" i="4"/>
  <c r="I39" i="3"/>
  <c r="F39" i="3"/>
  <c r="B40" i="3"/>
  <c r="E41" i="4" l="1"/>
  <c r="D41" i="4"/>
  <c r="C41" i="4"/>
  <c r="D40" i="3"/>
  <c r="E40" i="3"/>
  <c r="C40" i="3"/>
  <c r="I41" i="4" l="1"/>
  <c r="F41" i="4"/>
  <c r="B42" i="4"/>
  <c r="I40" i="3"/>
  <c r="F40" i="3"/>
  <c r="B41" i="3"/>
  <c r="E42" i="4" l="1"/>
  <c r="D42" i="4"/>
  <c r="C42" i="4"/>
  <c r="E41" i="3"/>
  <c r="D41" i="3"/>
  <c r="C41" i="3"/>
  <c r="B42" i="3"/>
  <c r="I42" i="4" l="1"/>
  <c r="F42" i="4"/>
  <c r="B43" i="4"/>
  <c r="E42" i="3"/>
  <c r="D42" i="3"/>
  <c r="C42" i="3"/>
  <c r="F41" i="3"/>
  <c r="I41" i="3"/>
  <c r="D43" i="4" l="1"/>
  <c r="C43" i="4"/>
  <c r="B44" i="4" s="1"/>
  <c r="E43" i="4"/>
  <c r="I42" i="3"/>
  <c r="F42" i="3"/>
  <c r="B43" i="3"/>
  <c r="E44" i="4" l="1"/>
  <c r="D44" i="4"/>
  <c r="C44" i="4"/>
  <c r="B45" i="4" s="1"/>
  <c r="F43" i="4"/>
  <c r="I43" i="4"/>
  <c r="C43" i="3"/>
  <c r="D43" i="3"/>
  <c r="E43" i="3"/>
  <c r="E45" i="4" l="1"/>
  <c r="D45" i="4"/>
  <c r="C45" i="4"/>
  <c r="I44" i="4"/>
  <c r="F44" i="4"/>
  <c r="I43" i="3"/>
  <c r="F43" i="3"/>
  <c r="B44" i="3"/>
  <c r="I45" i="4" l="1"/>
  <c r="F45" i="4"/>
  <c r="B46" i="4"/>
  <c r="E44" i="3"/>
  <c r="D44" i="3"/>
  <c r="C44" i="3"/>
  <c r="B45" i="3"/>
  <c r="D46" i="4" l="1"/>
  <c r="C46" i="4"/>
  <c r="B47" i="4" s="1"/>
  <c r="E46" i="4"/>
  <c r="E45" i="3"/>
  <c r="D45" i="3"/>
  <c r="C45" i="3"/>
  <c r="F44" i="3"/>
  <c r="I44" i="3"/>
  <c r="E47" i="4" l="1"/>
  <c r="D47" i="4"/>
  <c r="C47" i="4"/>
  <c r="B48" i="4" s="1"/>
  <c r="F46" i="4"/>
  <c r="I46" i="4"/>
  <c r="I45" i="3"/>
  <c r="F45" i="3"/>
  <c r="B46" i="3"/>
  <c r="E48" i="4" l="1"/>
  <c r="D48" i="4"/>
  <c r="C48" i="4"/>
  <c r="I47" i="4"/>
  <c r="F47" i="4"/>
  <c r="D46" i="3"/>
  <c r="E46" i="3"/>
  <c r="C46" i="3"/>
  <c r="I48" i="4" l="1"/>
  <c r="F48" i="4"/>
  <c r="B49" i="4"/>
  <c r="I46" i="3"/>
  <c r="F46" i="3"/>
  <c r="B47" i="3"/>
  <c r="D49" i="4" l="1"/>
  <c r="C49" i="4"/>
  <c r="B50" i="4"/>
  <c r="E49" i="4"/>
  <c r="E47" i="3"/>
  <c r="D47" i="3"/>
  <c r="C47" i="3"/>
  <c r="B48" i="3" s="1"/>
  <c r="E50" i="4" l="1"/>
  <c r="D50" i="4"/>
  <c r="C50" i="4"/>
  <c r="B51" i="4" s="1"/>
  <c r="I49" i="4"/>
  <c r="F49" i="4"/>
  <c r="E48" i="3"/>
  <c r="D48" i="3"/>
  <c r="C48" i="3"/>
  <c r="F47" i="3"/>
  <c r="I47" i="3"/>
  <c r="E51" i="4" l="1"/>
  <c r="D51" i="4"/>
  <c r="C51" i="4"/>
  <c r="I50" i="4"/>
  <c r="F50" i="4"/>
  <c r="I48" i="3"/>
  <c r="F48" i="3"/>
  <c r="B49" i="3"/>
  <c r="I51" i="4" l="1"/>
  <c r="F51" i="4"/>
  <c r="B52" i="4"/>
  <c r="D49" i="3"/>
  <c r="C49" i="3"/>
  <c r="E49" i="3"/>
  <c r="D52" i="4" l="1"/>
  <c r="C52" i="4"/>
  <c r="E52" i="4"/>
  <c r="B53" i="4"/>
  <c r="I49" i="3"/>
  <c r="F49" i="3"/>
  <c r="B50" i="3"/>
  <c r="I52" i="4" l="1"/>
  <c r="F52" i="4"/>
  <c r="E53" i="4"/>
  <c r="D53" i="4"/>
  <c r="C53" i="4"/>
  <c r="B54" i="4"/>
  <c r="E50" i="3"/>
  <c r="D50" i="3"/>
  <c r="C50" i="3"/>
  <c r="B51" i="3"/>
  <c r="E54" i="4" l="1"/>
  <c r="E56" i="4" s="1"/>
  <c r="D54" i="4"/>
  <c r="D56" i="4" s="1"/>
  <c r="C54" i="4"/>
  <c r="I53" i="4"/>
  <c r="F53" i="4"/>
  <c r="E51" i="3"/>
  <c r="D51" i="3"/>
  <c r="C51" i="3"/>
  <c r="F50" i="3"/>
  <c r="I50" i="3"/>
  <c r="I54" i="4" l="1"/>
  <c r="F54" i="4"/>
  <c r="F56" i="4" s="1"/>
  <c r="J6" i="4" s="1"/>
  <c r="J8" i="4" s="1"/>
  <c r="C56" i="4"/>
  <c r="I51" i="3"/>
  <c r="F51" i="3"/>
  <c r="B52" i="3"/>
  <c r="J10" i="4" l="1"/>
  <c r="J9" i="4"/>
  <c r="D52" i="3"/>
  <c r="C52" i="3"/>
  <c r="B53" i="3" s="1"/>
  <c r="E52" i="3"/>
  <c r="E53" i="3" l="1"/>
  <c r="D53" i="3"/>
  <c r="C53" i="3"/>
  <c r="B54" i="3"/>
  <c r="I52" i="3"/>
  <c r="F52" i="3"/>
  <c r="E54" i="3" l="1"/>
  <c r="E56" i="3" s="1"/>
  <c r="D54" i="3"/>
  <c r="D56" i="3" s="1"/>
  <c r="C54" i="3"/>
  <c r="F53" i="3"/>
  <c r="I53" i="3"/>
  <c r="I54" i="3" l="1"/>
  <c r="F54" i="3"/>
  <c r="F56" i="3" s="1"/>
  <c r="J6" i="3" s="1"/>
  <c r="J8" i="3" s="1"/>
  <c r="C56" i="3"/>
  <c r="J10" i="3" l="1"/>
  <c r="J9" i="3"/>
</calcChain>
</file>

<file path=xl/sharedStrings.xml><?xml version="1.0" encoding="utf-8"?>
<sst xmlns="http://schemas.openxmlformats.org/spreadsheetml/2006/main" count="52" uniqueCount="28">
  <si>
    <t>20 MW Diesel Plant [without property tax]</t>
  </si>
  <si>
    <t>Winter MW</t>
  </si>
  <si>
    <t>Inflation Rate</t>
  </si>
  <si>
    <t>Capital  ($000)</t>
  </si>
  <si>
    <t>Real Weighted Average Cost of Capital</t>
  </si>
  <si>
    <t>Fixed O&amp;M [incl. property tax]</t>
  </si>
  <si>
    <t xml:space="preserve">$000/yr </t>
  </si>
  <si>
    <t>Project LCOC ($/MW) at 2016$</t>
  </si>
  <si>
    <t>Life</t>
  </si>
  <si>
    <t xml:space="preserve"> </t>
  </si>
  <si>
    <t>years</t>
  </si>
  <si>
    <t>Project LCOC ($/MW) at 2019$</t>
  </si>
  <si>
    <t>Project LCOC ($/MW) at 2024$</t>
  </si>
  <si>
    <t>Year</t>
  </si>
  <si>
    <t>Year from In-service</t>
  </si>
  <si>
    <t>Year-End Balance</t>
  </si>
  <si>
    <t>Depr</t>
  </si>
  <si>
    <t>Return</t>
  </si>
  <si>
    <t>O&amp;M</t>
  </si>
  <si>
    <t>Total</t>
  </si>
  <si>
    <t>NPV</t>
  </si>
  <si>
    <t>Notes:</t>
  </si>
  <si>
    <t xml:space="preserve">1. The undertaking requested to calculate levelized cost of capacity (LCOC) for new 20 MW diesel plant based on information available from the YEC's 2017/18 GRA, specifically, information noted in the YUB Order 2018-10. Paragraph 466 of Appendix A to Board Order 2018-10: Reasons for Decision references 20 MW diesel plant at Takhini with capital cost at $62.2 million. This cost estimate is based on YEC's 2016 Resource Plan in 2016$. </t>
  </si>
  <si>
    <t>2. The non-fuel O&amp;M cost for 20 MW diesel plant at Takhini was at $1.190 million/year as per 2016 Resource Plan.</t>
  </si>
  <si>
    <t>20 MW Diesel Plant [with property tax]</t>
  </si>
  <si>
    <t>2. The non-fuel O&amp;M cost for 20 MW diesel plant at Takhini was at $1.190 million/year as per 2016 Resource Plan. The property tax is added based (2019$)-on $27,000/MW as the variance between fixed O&amp;M cost at $91,000/MW with property tax and $64,000/MW without property tax provided in Exhibit B-16.  Therefore, with adjustment for inflation (the added costs in 2016$ for the proerty tax are $25,443/MW), the total annual fixed O&amp;M cost (2016$) is $1.699 million.</t>
  </si>
  <si>
    <t>Weighted Average Cost of Capital [2017/18 GRA]</t>
  </si>
  <si>
    <t>3. The  YEC weighted average cost of capital (WACC) at 4.77% is based on YEC 2017/18 GRA approved ROE at 8.70% and interest rate of 2.15% for new incremental long-term debt.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</si>
</sst>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[Blue]&quot;$&quot;#,##0;\(&quot;$&quot;#,##0\)"/>
    <numFmt numFmtId="167" formatCode="0.0"/>
    <numFmt numFmtId="168" formatCode="_-* #,##0_-;\-* #,##0_-;_-* &quot;-&quot;??_-;_-@_-"/>
    <numFmt numFmtId="169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Helv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color rgb="FF3333FF"/>
      <name val="Calibri"/>
      <family val="2"/>
      <scheme val="minor"/>
    </font>
    <font>
      <sz val="11"/>
      <color theme="1"/>
      <name val="Calibri"/>
      <family val="2"/>
    </font>
    <font>
      <b/>
      <i/>
      <sz val="8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i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" fontId="4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164" fontId="5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10" fontId="7" fillId="0" borderId="0" xfId="3" applyNumberFormat="1" applyFont="1" applyFill="1" applyAlignment="1" applyProtection="1">
      <alignment horizontal="center" vertical="center"/>
    </xf>
    <xf numFmtId="9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1" fontId="5" fillId="2" borderId="2" xfId="3" applyNumberFormat="1" applyFont="1" applyFill="1" applyBorder="1" applyAlignment="1">
      <alignment horizontal="center" vertical="center"/>
    </xf>
    <xf numFmtId="166" fontId="4" fillId="0" borderId="3" xfId="2" applyNumberFormat="1" applyFont="1" applyBorder="1" applyAlignment="1">
      <alignment horizontal="right" vertical="center"/>
    </xf>
    <xf numFmtId="43" fontId="4" fillId="0" borderId="3" xfId="1" applyFont="1" applyFill="1" applyBorder="1" applyAlignment="1" applyProtection="1">
      <alignment horizontal="right" vertical="center"/>
    </xf>
    <xf numFmtId="167" fontId="5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3" fontId="10" fillId="3" borderId="1" xfId="4" applyNumberFormat="1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1" fontId="5" fillId="0" borderId="0" xfId="2" applyNumberFormat="1" applyFont="1" applyAlignment="1">
      <alignment vertical="center"/>
    </xf>
    <xf numFmtId="165" fontId="10" fillId="3" borderId="1" xfId="4" applyNumberFormat="1" applyFont="1" applyFill="1" applyAlignment="1">
      <alignment horizontal="center" vertical="center"/>
    </xf>
    <xf numFmtId="168" fontId="4" fillId="0" borderId="0" xfId="1" applyNumberFormat="1" applyFont="1" applyFill="1" applyAlignment="1" applyProtection="1">
      <alignment horizontal="right" vertical="center"/>
    </xf>
    <xf numFmtId="9" fontId="5" fillId="0" borderId="0" xfId="2" applyNumberFormat="1" applyFont="1" applyAlignment="1">
      <alignment vertical="center"/>
    </xf>
    <xf numFmtId="4" fontId="5" fillId="0" borderId="0" xfId="2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3" fontId="4" fillId="0" borderId="5" xfId="2" applyNumberFormat="1" applyFont="1" applyBorder="1" applyAlignment="1">
      <alignment horizontal="center" vertical="center"/>
    </xf>
    <xf numFmtId="164" fontId="4" fillId="0" borderId="6" xfId="2" applyNumberFormat="1" applyFont="1" applyBorder="1" applyAlignment="1">
      <alignment horizontal="center" vertical="center"/>
    </xf>
    <xf numFmtId="1" fontId="6" fillId="0" borderId="0" xfId="2" applyNumberFormat="1" applyFont="1" applyAlignment="1">
      <alignment vertical="center"/>
    </xf>
    <xf numFmtId="1" fontId="5" fillId="0" borderId="6" xfId="2" applyNumberFormat="1" applyFont="1" applyBorder="1" applyAlignment="1">
      <alignment horizontal="center" vertical="center"/>
    </xf>
    <xf numFmtId="3" fontId="5" fillId="0" borderId="6" xfId="2" applyNumberFormat="1" applyFont="1" applyBorder="1" applyAlignment="1">
      <alignment vertical="center"/>
    </xf>
    <xf numFmtId="1" fontId="5" fillId="0" borderId="3" xfId="2" applyNumberFormat="1" applyFont="1" applyBorder="1" applyAlignment="1">
      <alignment horizontal="center" vertical="center"/>
    </xf>
    <xf numFmtId="2" fontId="5" fillId="0" borderId="3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vertical="center"/>
    </xf>
    <xf numFmtId="0" fontId="5" fillId="0" borderId="6" xfId="2" applyFont="1" applyBorder="1" applyAlignment="1">
      <alignment horizontal="right" vertical="center"/>
    </xf>
    <xf numFmtId="168" fontId="5" fillId="0" borderId="6" xfId="5" applyNumberFormat="1" applyFont="1" applyFill="1" applyBorder="1" applyAlignment="1">
      <alignment vertical="center"/>
    </xf>
    <xf numFmtId="3" fontId="11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1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2" fontId="5" fillId="0" borderId="0" xfId="2" applyNumberFormat="1" applyFont="1" applyAlignment="1">
      <alignment vertical="center"/>
    </xf>
    <xf numFmtId="1" fontId="5" fillId="0" borderId="0" xfId="2" applyNumberFormat="1" applyFont="1" applyAlignment="1">
      <alignment horizontal="left" vertical="center"/>
    </xf>
    <xf numFmtId="169" fontId="5" fillId="0" borderId="0" xfId="2" applyNumberFormat="1" applyFont="1" applyAlignment="1">
      <alignment vertical="center"/>
    </xf>
    <xf numFmtId="0" fontId="4" fillId="0" borderId="4" xfId="2" applyFont="1" applyBorder="1" applyAlignment="1">
      <alignment horizontal="center" vertical="center"/>
    </xf>
    <xf numFmtId="1" fontId="5" fillId="0" borderId="0" xfId="2" applyNumberFormat="1" applyFont="1" applyAlignment="1">
      <alignment horizontal="left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</cellXfs>
  <cellStyles count="6">
    <cellStyle name="Calculation 2" xfId="4" xr:uid="{EA846A36-CA0E-4C5A-93E4-C60CAE37A3A6}"/>
    <cellStyle name="Comma" xfId="1" builtinId="3"/>
    <cellStyle name="Comma 2" xfId="5" xr:uid="{BE0EE418-696D-4722-8552-0EEC0DA55522}"/>
    <cellStyle name="Normal" xfId="0" builtinId="0"/>
    <cellStyle name="Normal_Infrastructure plan economic Spreadsheet draft 2" xfId="2" xr:uid="{B9E8A09C-F4D0-4332-AD6F-C92671C15847}"/>
    <cellStyle name="Percent 2" xfId="3" xr:uid="{C6274911-8C3E-46EB-B024-5B102AE9E0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\YEC%20-%20Financial%20Analysis%20LCOE%20Dec%2001%202019%20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yec.yk.ca/Users/mlavigne/Documents/Load%20Forecast/Itron%20Result%20Documents/TAB-2016-06-14-Load%20Forecasting%20Results-C15062%20v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yec.yk.ca/Users/mlavigne/Documents/LNG/TAB-2014-07-14-LNG%20Volume%20Table-C1377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tion Resources"/>
      <sheetName val="Option1"/>
      <sheetName val="Option2"/>
      <sheetName val="Option3"/>
      <sheetName val="Option4"/>
      <sheetName val="Option5"/>
      <sheetName val="Option6"/>
      <sheetName val="Option7"/>
      <sheetName val="Option8"/>
      <sheetName val="Option9"/>
      <sheetName val="Option10"/>
      <sheetName val="Option11"/>
      <sheetName val="Option12"/>
      <sheetName val="Option13"/>
      <sheetName val="Option14"/>
      <sheetName val="Option15"/>
      <sheetName val="Option16"/>
      <sheetName val="Option17"/>
      <sheetName val="Option18"/>
      <sheetName val="Option19"/>
      <sheetName val="Option20"/>
      <sheetName val="Option21"/>
      <sheetName val="Option22"/>
      <sheetName val="Option23"/>
      <sheetName val="Option24"/>
      <sheetName val="Option25"/>
      <sheetName val="Option26"/>
      <sheetName val="Option27"/>
      <sheetName val="Option28"/>
      <sheetName val="Option29"/>
      <sheetName val="Option30"/>
      <sheetName val="Option31"/>
      <sheetName val="Option32"/>
      <sheetName val="Option33"/>
      <sheetName val="Option34"/>
    </sheetNames>
    <sheetDataSet>
      <sheetData sheetId="0"/>
      <sheetData sheetId="1">
        <row r="2">
          <cell r="L2">
            <v>4.9000000000000002E-2</v>
          </cell>
        </row>
        <row r="4">
          <cell r="L4">
            <v>2.8431372549019507E-2</v>
          </cell>
        </row>
        <row r="5">
          <cell r="C5">
            <v>2019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8"/>
      <sheetName val="Fig.11"/>
      <sheetName val="Fig.12"/>
      <sheetName val="Fig.13"/>
      <sheetName val="Fig.14"/>
      <sheetName val="Fig.15"/>
      <sheetName val="Fig.16"/>
      <sheetName val="Fig.17"/>
      <sheetName val="Fig.18"/>
      <sheetName val="Fig.19"/>
      <sheetName val="Figure B-1"/>
      <sheetName val="Figure B-2"/>
      <sheetName val="Figure B-3"/>
      <sheetName val="Figure B-4"/>
      <sheetName val="Figure B-5"/>
      <sheetName val="Figure B-6"/>
      <sheetName val="Figure B-7"/>
      <sheetName val="Figure B-8"/>
      <sheetName val="Table A-1"/>
      <sheetName val="Table A-2"/>
      <sheetName val="Table A-3"/>
      <sheetName val="Table A-4"/>
      <sheetName val="Table A-5"/>
      <sheetName val="Table A-6"/>
      <sheetName val="Table A-7"/>
      <sheetName val="Table A-8"/>
      <sheetName val="Table A-9"/>
      <sheetName val="Table A-10"/>
      <sheetName val="Table A-11"/>
      <sheetName val="Table A-12"/>
      <sheetName val="Table A-13"/>
      <sheetName val="Table A-14"/>
      <sheetName val="Table A-15"/>
      <sheetName val="Table A-16"/>
      <sheetName val="Data"/>
      <sheetName val="Non-Ind. Data by Class"/>
      <sheetName val="Figure-Table List"/>
      <sheetName val="Assumptions"/>
      <sheetName val="Revision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CG4">
            <v>82.229373924875901</v>
          </cell>
        </row>
      </sheetData>
      <sheetData sheetId="35">
        <row r="6">
          <cell r="AJ6">
            <v>175.80909659234993</v>
          </cell>
        </row>
      </sheetData>
      <sheetData sheetId="36"/>
      <sheetData sheetId="37">
        <row r="6">
          <cell r="A6">
            <v>8.7999999999999995E-2</v>
          </cell>
        </row>
      </sheetData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Init"/>
      <sheetName val="Sensitivity LTM"/>
      <sheetName val="Summary Table"/>
    </sheetNames>
    <sheetDataSet>
      <sheetData sheetId="0" refreshError="1"/>
      <sheetData sheetId="1">
        <row r="3">
          <cell r="C3" t="str">
            <v>Forecasted Hydro</v>
          </cell>
        </row>
      </sheetData>
      <sheetData sheetId="2">
        <row r="46">
          <cell r="A46">
            <v>0.4</v>
          </cell>
        </row>
        <row r="50">
          <cell r="A50">
            <v>264.2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F367-DC0A-45F6-8E61-1814ED31CD22}">
  <sheetPr>
    <pageSetUpPr fitToPage="1"/>
  </sheetPr>
  <dimension ref="A1:U78"/>
  <sheetViews>
    <sheetView tabSelected="1" view="pageBreakPreview" zoomScale="115" zoomScaleNormal="115" zoomScaleSheetLayoutView="115" workbookViewId="0">
      <selection activeCell="F10" sqref="F10"/>
    </sheetView>
  </sheetViews>
  <sheetFormatPr defaultColWidth="6" defaultRowHeight="10.5" x14ac:dyDescent="0.35"/>
  <cols>
    <col min="1" max="1" width="9.7265625" style="2" customWidth="1"/>
    <col min="2" max="2" width="10" style="2" customWidth="1"/>
    <col min="3" max="5" width="8" style="2" customWidth="1"/>
    <col min="6" max="6" width="8" style="4" customWidth="1"/>
    <col min="7" max="7" width="7.08984375" style="2" customWidth="1"/>
    <col min="8" max="8" width="9.54296875" style="2" customWidth="1"/>
    <col min="9" max="9" width="10.81640625" style="2" customWidth="1"/>
    <col min="10" max="10" width="9.453125" style="2" customWidth="1"/>
    <col min="11" max="11" width="4.1796875" style="2" customWidth="1"/>
    <col min="12" max="12" width="6" style="5"/>
    <col min="13" max="13" width="9.1796875" style="5" bestFit="1" customWidth="1"/>
    <col min="14" max="14" width="6" style="5"/>
    <col min="15" max="15" width="7.54296875" style="5" bestFit="1" customWidth="1"/>
    <col min="16" max="17" width="6" style="5"/>
    <col min="18" max="18" width="10.36328125" style="5" bestFit="1" customWidth="1"/>
    <col min="19" max="16384" width="6" style="5"/>
  </cols>
  <sheetData>
    <row r="1" spans="1:11" x14ac:dyDescent="0.35">
      <c r="A1" s="1" t="s">
        <v>0</v>
      </c>
      <c r="E1" s="3"/>
    </row>
    <row r="2" spans="1:11" x14ac:dyDescent="0.35">
      <c r="G2" s="6"/>
      <c r="I2" s="7" t="s">
        <v>26</v>
      </c>
      <c r="J2" s="8">
        <f>8.7%*0.4+2.15%*0.6</f>
        <v>4.7699999999999992E-2</v>
      </c>
      <c r="K2" s="9"/>
    </row>
    <row r="3" spans="1:11" ht="12.75" customHeight="1" x14ac:dyDescent="0.35">
      <c r="A3" s="10"/>
      <c r="C3" s="11"/>
      <c r="F3" s="4" t="s">
        <v>1</v>
      </c>
      <c r="G3" s="6"/>
      <c r="I3" s="7" t="s">
        <v>2</v>
      </c>
      <c r="J3" s="12">
        <v>0.02</v>
      </c>
    </row>
    <row r="4" spans="1:11" x14ac:dyDescent="0.35">
      <c r="A4" s="13" t="s">
        <v>3</v>
      </c>
      <c r="C4" s="14">
        <v>2016</v>
      </c>
      <c r="D4" s="15">
        <v>62200</v>
      </c>
      <c r="F4" s="16">
        <v>20</v>
      </c>
      <c r="I4" s="7" t="s">
        <v>4</v>
      </c>
      <c r="J4" s="8">
        <f>(1+J2)/(1+J3)-1</f>
        <v>2.7156862745097987E-2</v>
      </c>
      <c r="K4" s="5"/>
    </row>
    <row r="5" spans="1:11" x14ac:dyDescent="0.35">
      <c r="E5" s="6"/>
      <c r="F5" s="2"/>
      <c r="G5" s="17"/>
      <c r="K5" s="5"/>
    </row>
    <row r="6" spans="1:11" x14ac:dyDescent="0.35">
      <c r="F6" s="2"/>
      <c r="G6" s="17"/>
      <c r="H6" s="17"/>
      <c r="I6" s="18" t="str">
        <f>CONCATENATE("Life Cycle Cost (",C5,"$000's)")</f>
        <v>Life Cycle Cost ($000's)</v>
      </c>
      <c r="J6" s="19">
        <f>$F$56</f>
        <v>94077.077966426252</v>
      </c>
      <c r="K6" s="5"/>
    </row>
    <row r="7" spans="1:11" ht="11.25" customHeight="1" x14ac:dyDescent="0.35">
      <c r="A7" s="13" t="s">
        <v>5</v>
      </c>
      <c r="C7" s="14">
        <f>C4</f>
        <v>2016</v>
      </c>
      <c r="D7" s="15">
        <v>1190</v>
      </c>
      <c r="E7" s="10" t="s">
        <v>6</v>
      </c>
      <c r="F7" s="2"/>
      <c r="G7" s="17"/>
      <c r="H7" s="20"/>
      <c r="I7" s="5"/>
      <c r="K7" s="5"/>
    </row>
    <row r="8" spans="1:11" x14ac:dyDescent="0.35">
      <c r="F8" s="2"/>
      <c r="G8" s="21"/>
      <c r="H8" s="5"/>
      <c r="I8" s="18" t="s">
        <v>7</v>
      </c>
      <c r="J8" s="22">
        <f>(J6)/(NPV(REAL_D_RATE,I16:I54)+I15)*1000</f>
        <v>189117.80899340799</v>
      </c>
    </row>
    <row r="9" spans="1:11" x14ac:dyDescent="0.35">
      <c r="A9" s="13" t="s">
        <v>8</v>
      </c>
      <c r="B9" s="2" t="s">
        <v>9</v>
      </c>
      <c r="D9" s="23">
        <v>40</v>
      </c>
      <c r="E9" s="2" t="s">
        <v>10</v>
      </c>
      <c r="F9" s="2"/>
      <c r="G9" s="24"/>
      <c r="H9" s="5"/>
      <c r="I9" s="18" t="s">
        <v>11</v>
      </c>
      <c r="J9" s="22">
        <f>J8*(1+INFL)^(2019-C4)</f>
        <v>200693.3318462765</v>
      </c>
    </row>
    <row r="10" spans="1:11" x14ac:dyDescent="0.35">
      <c r="A10" s="13"/>
      <c r="B10" s="13"/>
      <c r="C10" s="13"/>
      <c r="D10" s="13"/>
      <c r="E10" s="13"/>
      <c r="F10" s="2"/>
      <c r="G10" s="25"/>
      <c r="H10" s="5"/>
      <c r="I10" s="18" t="s">
        <v>12</v>
      </c>
      <c r="J10" s="22">
        <f>J8*(1+INFL)^(2024-C4)</f>
        <v>221581.65502172109</v>
      </c>
    </row>
    <row r="11" spans="1:11" ht="12.75" customHeight="1" x14ac:dyDescent="0.35"/>
    <row r="12" spans="1:11" ht="21.75" customHeight="1" x14ac:dyDescent="0.35">
      <c r="A12" s="48" t="s">
        <v>13</v>
      </c>
      <c r="B12" s="51" t="str">
        <f>$A$1</f>
        <v>20 MW Diesel Plant [without property tax]</v>
      </c>
      <c r="C12" s="51"/>
      <c r="D12" s="51"/>
      <c r="E12" s="51"/>
      <c r="F12" s="51"/>
      <c r="G12" s="11"/>
      <c r="H12" s="52" t="s">
        <v>14</v>
      </c>
      <c r="I12" s="52" t="str">
        <f>CONCATENATE("Annual Winter Capacity MW, ",F4)</f>
        <v>Annual Winter Capacity MW, 20</v>
      </c>
      <c r="J12" s="5"/>
      <c r="K12" s="26"/>
    </row>
    <row r="13" spans="1:11" ht="21.75" customHeight="1" x14ac:dyDescent="0.35">
      <c r="A13" s="49"/>
      <c r="B13" s="27" t="s">
        <v>15</v>
      </c>
      <c r="C13" s="46" t="s">
        <v>16</v>
      </c>
      <c r="D13" s="46" t="s">
        <v>17</v>
      </c>
      <c r="E13" s="46" t="s">
        <v>18</v>
      </c>
      <c r="F13" s="28" t="s">
        <v>19</v>
      </c>
      <c r="G13" s="11"/>
      <c r="H13" s="52"/>
      <c r="I13" s="52"/>
      <c r="J13" s="5"/>
      <c r="K13" s="26"/>
    </row>
    <row r="14" spans="1:11" ht="16.5" customHeight="1" x14ac:dyDescent="0.35">
      <c r="A14" s="50"/>
      <c r="B14" s="29" t="str">
        <f t="shared" ref="B14:F14" si="0">"$000"</f>
        <v>$000</v>
      </c>
      <c r="C14" s="29" t="str">
        <f t="shared" si="0"/>
        <v>$000</v>
      </c>
      <c r="D14" s="29" t="str">
        <f t="shared" si="0"/>
        <v>$000</v>
      </c>
      <c r="E14" s="29" t="str">
        <f t="shared" si="0"/>
        <v>$000</v>
      </c>
      <c r="F14" s="29" t="str">
        <f t="shared" si="0"/>
        <v>$000</v>
      </c>
      <c r="G14" s="4"/>
      <c r="H14" s="52"/>
      <c r="I14" s="52"/>
      <c r="J14" s="5"/>
      <c r="K14" s="30"/>
    </row>
    <row r="15" spans="1:11" x14ac:dyDescent="0.35">
      <c r="A15" s="31">
        <f>C4</f>
        <v>2016</v>
      </c>
      <c r="B15" s="32">
        <f>$D$4-$C$15</f>
        <v>60645</v>
      </c>
      <c r="C15" s="32">
        <f>(($D$4)/$D$9)</f>
        <v>1555</v>
      </c>
      <c r="D15" s="32">
        <f>(B15+$D$4)/2*WACC</f>
        <v>2929.8532499999997</v>
      </c>
      <c r="E15" s="32">
        <f>(((D$7)*(1+INFL)^($A15-$C$7)))</f>
        <v>1190</v>
      </c>
      <c r="F15" s="32">
        <f>SUM(C15:E15)</f>
        <v>5674.8532500000001</v>
      </c>
      <c r="G15" s="4"/>
      <c r="H15" s="33">
        <v>1</v>
      </c>
      <c r="I15" s="34">
        <f>$F$4</f>
        <v>20</v>
      </c>
      <c r="J15" s="5"/>
      <c r="K15" s="30"/>
    </row>
    <row r="16" spans="1:11" x14ac:dyDescent="0.35">
      <c r="A16" s="33">
        <f t="shared" ref="A16:A54" si="1">1+A15</f>
        <v>2017</v>
      </c>
      <c r="B16" s="35">
        <f>B15-C15</f>
        <v>59090</v>
      </c>
      <c r="C16" s="35">
        <f t="shared" ref="C16:C54" si="2">IF(ISNUMBER(B16),IF(B16&gt;B15,(B16/$D$9),C15),"")</f>
        <v>1555</v>
      </c>
      <c r="D16" s="35">
        <f>IF(ISNUMBER(B16),(B16+B15)/2*WACC,"")</f>
        <v>2855.6797499999993</v>
      </c>
      <c r="E16" s="35">
        <f t="shared" ref="E16:E54" si="3">IF(ISNUMBER(B16),E15*(1+J$3),"")</f>
        <v>1213.8</v>
      </c>
      <c r="F16" s="32">
        <f t="shared" ref="F16:F54" si="4">SUM(C16:E16)</f>
        <v>5624.4797499999995</v>
      </c>
      <c r="G16" s="4"/>
      <c r="H16" s="33">
        <f t="shared" ref="H16:H54" si="5">H15+1</f>
        <v>2</v>
      </c>
      <c r="I16" s="34">
        <f t="shared" ref="I16:I54" si="6">IF(ISNUMBER(C16),$F$4,"")</f>
        <v>20</v>
      </c>
      <c r="J16" s="5"/>
      <c r="K16" s="30"/>
    </row>
    <row r="17" spans="1:11" x14ac:dyDescent="0.35">
      <c r="A17" s="33">
        <f t="shared" si="1"/>
        <v>2018</v>
      </c>
      <c r="B17" s="35">
        <f>B16-C16</f>
        <v>57535</v>
      </c>
      <c r="C17" s="35">
        <f t="shared" si="2"/>
        <v>1555</v>
      </c>
      <c r="D17" s="35">
        <f t="shared" ref="D17:D40" si="7">IF(ISNUMBER(B17),(B17+B16)/2*WACC,"")</f>
        <v>2781.5062499999995</v>
      </c>
      <c r="E17" s="35">
        <f t="shared" si="3"/>
        <v>1238.076</v>
      </c>
      <c r="F17" s="32">
        <f t="shared" si="4"/>
        <v>5574.5822499999995</v>
      </c>
      <c r="G17" s="4"/>
      <c r="H17" s="33">
        <f t="shared" si="5"/>
        <v>3</v>
      </c>
      <c r="I17" s="34">
        <f t="shared" si="6"/>
        <v>20</v>
      </c>
      <c r="J17" s="5"/>
      <c r="K17" s="30"/>
    </row>
    <row r="18" spans="1:11" x14ac:dyDescent="0.35">
      <c r="A18" s="33">
        <f t="shared" si="1"/>
        <v>2019</v>
      </c>
      <c r="B18" s="35">
        <f t="shared" ref="B18:B54" si="8">B17-C17</f>
        <v>55980</v>
      </c>
      <c r="C18" s="35">
        <f t="shared" si="2"/>
        <v>1555</v>
      </c>
      <c r="D18" s="35">
        <f t="shared" si="7"/>
        <v>2707.3327499999996</v>
      </c>
      <c r="E18" s="35">
        <f t="shared" si="3"/>
        <v>1262.83752</v>
      </c>
      <c r="F18" s="32">
        <f t="shared" si="4"/>
        <v>5525.1702699999996</v>
      </c>
      <c r="G18" s="4"/>
      <c r="H18" s="33">
        <f t="shared" si="5"/>
        <v>4</v>
      </c>
      <c r="I18" s="34">
        <f t="shared" si="6"/>
        <v>20</v>
      </c>
      <c r="J18" s="5"/>
      <c r="K18" s="30"/>
    </row>
    <row r="19" spans="1:11" x14ac:dyDescent="0.35">
      <c r="A19" s="33">
        <f t="shared" si="1"/>
        <v>2020</v>
      </c>
      <c r="B19" s="35">
        <f t="shared" si="8"/>
        <v>54425</v>
      </c>
      <c r="C19" s="35">
        <f t="shared" si="2"/>
        <v>1555</v>
      </c>
      <c r="D19" s="35">
        <f t="shared" si="7"/>
        <v>2633.1592499999997</v>
      </c>
      <c r="E19" s="35">
        <f t="shared" si="3"/>
        <v>1288.0942704000001</v>
      </c>
      <c r="F19" s="32">
        <f t="shared" si="4"/>
        <v>5476.2535203999996</v>
      </c>
      <c r="G19" s="4"/>
      <c r="H19" s="33">
        <f t="shared" si="5"/>
        <v>5</v>
      </c>
      <c r="I19" s="34">
        <f t="shared" si="6"/>
        <v>20</v>
      </c>
      <c r="J19" s="5"/>
      <c r="K19" s="30"/>
    </row>
    <row r="20" spans="1:11" x14ac:dyDescent="0.35">
      <c r="A20" s="33">
        <f t="shared" si="1"/>
        <v>2021</v>
      </c>
      <c r="B20" s="35">
        <f t="shared" si="8"/>
        <v>52870</v>
      </c>
      <c r="C20" s="35">
        <f t="shared" si="2"/>
        <v>1555</v>
      </c>
      <c r="D20" s="35">
        <f t="shared" si="7"/>
        <v>2558.9857499999994</v>
      </c>
      <c r="E20" s="35">
        <f t="shared" si="3"/>
        <v>1313.8561558080003</v>
      </c>
      <c r="F20" s="32">
        <f t="shared" si="4"/>
        <v>5427.8419058079999</v>
      </c>
      <c r="G20" s="4"/>
      <c r="H20" s="33">
        <f t="shared" si="5"/>
        <v>6</v>
      </c>
      <c r="I20" s="34">
        <f t="shared" si="6"/>
        <v>20</v>
      </c>
      <c r="J20" s="5"/>
      <c r="K20" s="30"/>
    </row>
    <row r="21" spans="1:11" x14ac:dyDescent="0.35">
      <c r="A21" s="33">
        <f t="shared" si="1"/>
        <v>2022</v>
      </c>
      <c r="B21" s="35">
        <f t="shared" si="8"/>
        <v>51315</v>
      </c>
      <c r="C21" s="35">
        <f t="shared" si="2"/>
        <v>1555</v>
      </c>
      <c r="D21" s="35">
        <f t="shared" si="7"/>
        <v>2484.8122499999995</v>
      </c>
      <c r="E21" s="35">
        <f t="shared" si="3"/>
        <v>1340.1332789241603</v>
      </c>
      <c r="F21" s="32">
        <f t="shared" si="4"/>
        <v>5379.9455289241596</v>
      </c>
      <c r="G21" s="4"/>
      <c r="H21" s="33">
        <f t="shared" si="5"/>
        <v>7</v>
      </c>
      <c r="I21" s="34">
        <f t="shared" si="6"/>
        <v>20</v>
      </c>
      <c r="J21" s="5"/>
      <c r="K21" s="30"/>
    </row>
    <row r="22" spans="1:11" x14ac:dyDescent="0.35">
      <c r="A22" s="33">
        <f t="shared" si="1"/>
        <v>2023</v>
      </c>
      <c r="B22" s="35">
        <f t="shared" si="8"/>
        <v>49760</v>
      </c>
      <c r="C22" s="35">
        <f t="shared" si="2"/>
        <v>1555</v>
      </c>
      <c r="D22" s="35">
        <f t="shared" si="7"/>
        <v>2410.6387499999996</v>
      </c>
      <c r="E22" s="35">
        <f t="shared" si="3"/>
        <v>1366.9359445026435</v>
      </c>
      <c r="F22" s="32">
        <f t="shared" si="4"/>
        <v>5332.5746945026431</v>
      </c>
      <c r="G22" s="4"/>
      <c r="H22" s="33">
        <f t="shared" si="5"/>
        <v>8</v>
      </c>
      <c r="I22" s="34">
        <f t="shared" si="6"/>
        <v>20</v>
      </c>
      <c r="J22" s="5"/>
      <c r="K22" s="30"/>
    </row>
    <row r="23" spans="1:11" x14ac:dyDescent="0.35">
      <c r="A23" s="33">
        <f t="shared" si="1"/>
        <v>2024</v>
      </c>
      <c r="B23" s="35">
        <f t="shared" si="8"/>
        <v>48205</v>
      </c>
      <c r="C23" s="35">
        <f t="shared" si="2"/>
        <v>1555</v>
      </c>
      <c r="D23" s="35">
        <f t="shared" si="7"/>
        <v>2336.4652499999997</v>
      </c>
      <c r="E23" s="35">
        <f t="shared" si="3"/>
        <v>1394.2746633926963</v>
      </c>
      <c r="F23" s="32">
        <f t="shared" si="4"/>
        <v>5285.7399133926956</v>
      </c>
      <c r="G23" s="4"/>
      <c r="H23" s="33">
        <f t="shared" si="5"/>
        <v>9</v>
      </c>
      <c r="I23" s="34">
        <f t="shared" si="6"/>
        <v>20</v>
      </c>
      <c r="J23" s="5"/>
      <c r="K23" s="30"/>
    </row>
    <row r="24" spans="1:11" x14ac:dyDescent="0.35">
      <c r="A24" s="33">
        <f t="shared" si="1"/>
        <v>2025</v>
      </c>
      <c r="B24" s="35">
        <f t="shared" si="8"/>
        <v>46650</v>
      </c>
      <c r="C24" s="35">
        <f t="shared" si="2"/>
        <v>1555</v>
      </c>
      <c r="D24" s="35">
        <f t="shared" si="7"/>
        <v>2262.2917499999999</v>
      </c>
      <c r="E24" s="35">
        <f t="shared" si="3"/>
        <v>1422.1601566605502</v>
      </c>
      <c r="F24" s="32">
        <f t="shared" si="4"/>
        <v>5239.4519066605499</v>
      </c>
      <c r="G24" s="4"/>
      <c r="H24" s="33">
        <f t="shared" si="5"/>
        <v>10</v>
      </c>
      <c r="I24" s="34">
        <f t="shared" si="6"/>
        <v>20</v>
      </c>
      <c r="J24" s="5"/>
      <c r="K24" s="5"/>
    </row>
    <row r="25" spans="1:11" x14ac:dyDescent="0.35">
      <c r="A25" s="33">
        <f t="shared" si="1"/>
        <v>2026</v>
      </c>
      <c r="B25" s="35">
        <f t="shared" si="8"/>
        <v>45095</v>
      </c>
      <c r="C25" s="35">
        <f t="shared" si="2"/>
        <v>1555</v>
      </c>
      <c r="D25" s="35">
        <f t="shared" si="7"/>
        <v>2188.1182499999995</v>
      </c>
      <c r="E25" s="35">
        <f t="shared" si="3"/>
        <v>1450.6033597937612</v>
      </c>
      <c r="F25" s="32">
        <f t="shared" si="4"/>
        <v>5193.7216097937608</v>
      </c>
      <c r="G25" s="4"/>
      <c r="H25" s="33">
        <f t="shared" si="5"/>
        <v>11</v>
      </c>
      <c r="I25" s="34">
        <f t="shared" si="6"/>
        <v>20</v>
      </c>
      <c r="J25" s="5"/>
      <c r="K25" s="5"/>
    </row>
    <row r="26" spans="1:11" x14ac:dyDescent="0.35">
      <c r="A26" s="33">
        <f t="shared" si="1"/>
        <v>2027</v>
      </c>
      <c r="B26" s="35">
        <f t="shared" si="8"/>
        <v>43540</v>
      </c>
      <c r="C26" s="35">
        <f t="shared" si="2"/>
        <v>1555</v>
      </c>
      <c r="D26" s="35">
        <f t="shared" si="7"/>
        <v>2113.9447499999997</v>
      </c>
      <c r="E26" s="35">
        <f t="shared" si="3"/>
        <v>1479.6154269896365</v>
      </c>
      <c r="F26" s="32">
        <f t="shared" si="4"/>
        <v>5148.5601769896366</v>
      </c>
      <c r="G26" s="4"/>
      <c r="H26" s="33">
        <f t="shared" si="5"/>
        <v>12</v>
      </c>
      <c r="I26" s="34">
        <f t="shared" si="6"/>
        <v>20</v>
      </c>
      <c r="J26" s="5"/>
      <c r="K26" s="5"/>
    </row>
    <row r="27" spans="1:11" x14ac:dyDescent="0.35">
      <c r="A27" s="33">
        <f t="shared" si="1"/>
        <v>2028</v>
      </c>
      <c r="B27" s="35">
        <f t="shared" si="8"/>
        <v>41985</v>
      </c>
      <c r="C27" s="35">
        <f t="shared" si="2"/>
        <v>1555</v>
      </c>
      <c r="D27" s="35">
        <f t="shared" si="7"/>
        <v>2039.7712499999998</v>
      </c>
      <c r="E27" s="35">
        <f t="shared" si="3"/>
        <v>1509.2077355294293</v>
      </c>
      <c r="F27" s="32">
        <f t="shared" si="4"/>
        <v>5103.9789855294293</v>
      </c>
      <c r="G27" s="4"/>
      <c r="H27" s="33">
        <f t="shared" si="5"/>
        <v>13</v>
      </c>
      <c r="I27" s="34">
        <f t="shared" si="6"/>
        <v>20</v>
      </c>
      <c r="J27" s="5"/>
      <c r="K27" s="5"/>
    </row>
    <row r="28" spans="1:11" x14ac:dyDescent="0.35">
      <c r="A28" s="33">
        <f t="shared" si="1"/>
        <v>2029</v>
      </c>
      <c r="B28" s="35">
        <f t="shared" si="8"/>
        <v>40430</v>
      </c>
      <c r="C28" s="35">
        <f t="shared" si="2"/>
        <v>1555</v>
      </c>
      <c r="D28" s="35">
        <f t="shared" si="7"/>
        <v>1965.5977499999997</v>
      </c>
      <c r="E28" s="35">
        <f t="shared" si="3"/>
        <v>1539.391890240018</v>
      </c>
      <c r="F28" s="32">
        <f t="shared" si="4"/>
        <v>5059.9896402400182</v>
      </c>
      <c r="G28" s="4"/>
      <c r="H28" s="33">
        <f t="shared" si="5"/>
        <v>14</v>
      </c>
      <c r="I28" s="34">
        <f t="shared" si="6"/>
        <v>20</v>
      </c>
      <c r="J28" s="5"/>
      <c r="K28" s="5"/>
    </row>
    <row r="29" spans="1:11" x14ac:dyDescent="0.35">
      <c r="A29" s="33">
        <f t="shared" si="1"/>
        <v>2030</v>
      </c>
      <c r="B29" s="35">
        <f t="shared" si="8"/>
        <v>38875</v>
      </c>
      <c r="C29" s="35">
        <f t="shared" si="2"/>
        <v>1555</v>
      </c>
      <c r="D29" s="35">
        <f t="shared" si="7"/>
        <v>1891.4242499999998</v>
      </c>
      <c r="E29" s="35">
        <f t="shared" si="3"/>
        <v>1570.1797280448184</v>
      </c>
      <c r="F29" s="32">
        <f t="shared" si="4"/>
        <v>5016.6039780448182</v>
      </c>
      <c r="G29" s="4"/>
      <c r="H29" s="33">
        <f t="shared" si="5"/>
        <v>15</v>
      </c>
      <c r="I29" s="34">
        <f t="shared" si="6"/>
        <v>20</v>
      </c>
      <c r="J29" s="5"/>
      <c r="K29" s="5"/>
    </row>
    <row r="30" spans="1:11" x14ac:dyDescent="0.35">
      <c r="A30" s="33">
        <f t="shared" si="1"/>
        <v>2031</v>
      </c>
      <c r="B30" s="35">
        <f t="shared" si="8"/>
        <v>37320</v>
      </c>
      <c r="C30" s="35">
        <f t="shared" si="2"/>
        <v>1555</v>
      </c>
      <c r="D30" s="35">
        <f t="shared" si="7"/>
        <v>1817.2507499999997</v>
      </c>
      <c r="E30" s="35">
        <f t="shared" si="3"/>
        <v>1601.5833226057148</v>
      </c>
      <c r="F30" s="32">
        <f t="shared" si="4"/>
        <v>4973.834072605714</v>
      </c>
      <c r="G30" s="4"/>
      <c r="H30" s="33">
        <f t="shared" si="5"/>
        <v>16</v>
      </c>
      <c r="I30" s="34">
        <f t="shared" si="6"/>
        <v>20</v>
      </c>
      <c r="J30" s="5"/>
      <c r="K30" s="5"/>
    </row>
    <row r="31" spans="1:11" x14ac:dyDescent="0.35">
      <c r="A31" s="33">
        <f t="shared" si="1"/>
        <v>2032</v>
      </c>
      <c r="B31" s="35">
        <f t="shared" si="8"/>
        <v>35765</v>
      </c>
      <c r="C31" s="35">
        <f t="shared" si="2"/>
        <v>1555</v>
      </c>
      <c r="D31" s="35">
        <f t="shared" si="7"/>
        <v>1743.0772499999998</v>
      </c>
      <c r="E31" s="35">
        <f t="shared" si="3"/>
        <v>1633.614989057829</v>
      </c>
      <c r="F31" s="32">
        <f t="shared" si="4"/>
        <v>4931.6922390578293</v>
      </c>
      <c r="G31" s="4"/>
      <c r="H31" s="33">
        <f t="shared" si="5"/>
        <v>17</v>
      </c>
      <c r="I31" s="34">
        <f t="shared" si="6"/>
        <v>20</v>
      </c>
      <c r="J31" s="5"/>
      <c r="K31" s="5"/>
    </row>
    <row r="32" spans="1:11" x14ac:dyDescent="0.35">
      <c r="A32" s="33">
        <f t="shared" si="1"/>
        <v>2033</v>
      </c>
      <c r="B32" s="35">
        <f t="shared" si="8"/>
        <v>34210</v>
      </c>
      <c r="C32" s="35">
        <f t="shared" si="2"/>
        <v>1555</v>
      </c>
      <c r="D32" s="35">
        <f t="shared" si="7"/>
        <v>1668.9037499999997</v>
      </c>
      <c r="E32" s="35">
        <f t="shared" si="3"/>
        <v>1666.2872888389857</v>
      </c>
      <c r="F32" s="32">
        <f t="shared" si="4"/>
        <v>4890.1910388389852</v>
      </c>
      <c r="G32" s="4"/>
      <c r="H32" s="33">
        <f t="shared" si="5"/>
        <v>18</v>
      </c>
      <c r="I32" s="34">
        <f t="shared" si="6"/>
        <v>20</v>
      </c>
      <c r="J32" s="5"/>
      <c r="K32" s="5"/>
    </row>
    <row r="33" spans="1:11" x14ac:dyDescent="0.35">
      <c r="A33" s="33">
        <f t="shared" si="1"/>
        <v>2034</v>
      </c>
      <c r="B33" s="35">
        <f t="shared" si="8"/>
        <v>32655</v>
      </c>
      <c r="C33" s="35">
        <f t="shared" si="2"/>
        <v>1555</v>
      </c>
      <c r="D33" s="35">
        <f t="shared" si="7"/>
        <v>1594.7302499999998</v>
      </c>
      <c r="E33" s="35">
        <f t="shared" si="3"/>
        <v>1699.6130346157654</v>
      </c>
      <c r="F33" s="32">
        <f t="shared" si="4"/>
        <v>4849.3432846157648</v>
      </c>
      <c r="G33" s="4"/>
      <c r="H33" s="33">
        <f t="shared" si="5"/>
        <v>19</v>
      </c>
      <c r="I33" s="34">
        <f t="shared" si="6"/>
        <v>20</v>
      </c>
      <c r="J33" s="5"/>
      <c r="K33" s="5"/>
    </row>
    <row r="34" spans="1:11" x14ac:dyDescent="0.35">
      <c r="A34" s="33">
        <f t="shared" si="1"/>
        <v>2035</v>
      </c>
      <c r="B34" s="35">
        <f t="shared" si="8"/>
        <v>31100</v>
      </c>
      <c r="C34" s="35">
        <f t="shared" si="2"/>
        <v>1555</v>
      </c>
      <c r="D34" s="35">
        <f t="shared" si="7"/>
        <v>1520.5567499999997</v>
      </c>
      <c r="E34" s="35">
        <f t="shared" si="3"/>
        <v>1733.6052953080807</v>
      </c>
      <c r="F34" s="32">
        <f t="shared" si="4"/>
        <v>4809.1620453080805</v>
      </c>
      <c r="G34" s="4"/>
      <c r="H34" s="33">
        <f t="shared" si="5"/>
        <v>20</v>
      </c>
      <c r="I34" s="34">
        <f t="shared" si="6"/>
        <v>20</v>
      </c>
      <c r="J34" s="5"/>
      <c r="K34" s="5"/>
    </row>
    <row r="35" spans="1:11" x14ac:dyDescent="0.35">
      <c r="A35" s="33">
        <f t="shared" si="1"/>
        <v>2036</v>
      </c>
      <c r="B35" s="35">
        <f t="shared" si="8"/>
        <v>29545</v>
      </c>
      <c r="C35" s="35">
        <f t="shared" si="2"/>
        <v>1555</v>
      </c>
      <c r="D35" s="35">
        <f t="shared" si="7"/>
        <v>1446.3832499999999</v>
      </c>
      <c r="E35" s="35">
        <f t="shared" si="3"/>
        <v>1768.2774012142424</v>
      </c>
      <c r="F35" s="32">
        <f t="shared" si="4"/>
        <v>4769.6606512142425</v>
      </c>
      <c r="G35" s="4"/>
      <c r="H35" s="33">
        <f t="shared" si="5"/>
        <v>21</v>
      </c>
      <c r="I35" s="34">
        <f t="shared" si="6"/>
        <v>20</v>
      </c>
      <c r="J35" s="5"/>
      <c r="K35" s="5"/>
    </row>
    <row r="36" spans="1:11" x14ac:dyDescent="0.35">
      <c r="A36" s="33">
        <f t="shared" si="1"/>
        <v>2037</v>
      </c>
      <c r="B36" s="35">
        <f t="shared" si="8"/>
        <v>27990</v>
      </c>
      <c r="C36" s="35">
        <f t="shared" si="2"/>
        <v>1555</v>
      </c>
      <c r="D36" s="35">
        <f t="shared" si="7"/>
        <v>1372.2097499999998</v>
      </c>
      <c r="E36" s="35">
        <f t="shared" si="3"/>
        <v>1803.6429492385273</v>
      </c>
      <c r="F36" s="32">
        <f t="shared" si="4"/>
        <v>4730.8526992385268</v>
      </c>
      <c r="G36" s="4"/>
      <c r="H36" s="33">
        <f t="shared" si="5"/>
        <v>22</v>
      </c>
      <c r="I36" s="34">
        <f t="shared" si="6"/>
        <v>20</v>
      </c>
      <c r="J36" s="5"/>
      <c r="K36" s="5"/>
    </row>
    <row r="37" spans="1:11" x14ac:dyDescent="0.35">
      <c r="A37" s="33">
        <f t="shared" si="1"/>
        <v>2038</v>
      </c>
      <c r="B37" s="35">
        <f t="shared" si="8"/>
        <v>26435</v>
      </c>
      <c r="C37" s="35">
        <f t="shared" si="2"/>
        <v>1555</v>
      </c>
      <c r="D37" s="35">
        <f t="shared" si="7"/>
        <v>1298.0362499999999</v>
      </c>
      <c r="E37" s="35">
        <f t="shared" si="3"/>
        <v>1839.7158082232979</v>
      </c>
      <c r="F37" s="32">
        <f t="shared" si="4"/>
        <v>4692.7520582232983</v>
      </c>
      <c r="G37" s="4"/>
      <c r="H37" s="33">
        <f t="shared" si="5"/>
        <v>23</v>
      </c>
      <c r="I37" s="34">
        <f t="shared" si="6"/>
        <v>20</v>
      </c>
      <c r="J37" s="5"/>
      <c r="K37" s="5"/>
    </row>
    <row r="38" spans="1:11" x14ac:dyDescent="0.35">
      <c r="A38" s="33">
        <f t="shared" si="1"/>
        <v>2039</v>
      </c>
      <c r="B38" s="35">
        <f t="shared" si="8"/>
        <v>24880</v>
      </c>
      <c r="C38" s="35">
        <f t="shared" si="2"/>
        <v>1555</v>
      </c>
      <c r="D38" s="35">
        <f t="shared" si="7"/>
        <v>1223.8627499999998</v>
      </c>
      <c r="E38" s="35">
        <f t="shared" si="3"/>
        <v>1876.5101243877639</v>
      </c>
      <c r="F38" s="32">
        <f t="shared" si="4"/>
        <v>4655.3728743877637</v>
      </c>
      <c r="G38" s="4"/>
      <c r="H38" s="33">
        <f t="shared" si="5"/>
        <v>24</v>
      </c>
      <c r="I38" s="34">
        <f t="shared" si="6"/>
        <v>20</v>
      </c>
      <c r="J38" s="5"/>
      <c r="K38" s="5"/>
    </row>
    <row r="39" spans="1:11" x14ac:dyDescent="0.35">
      <c r="A39" s="33">
        <f t="shared" si="1"/>
        <v>2040</v>
      </c>
      <c r="B39" s="35">
        <f t="shared" si="8"/>
        <v>23325</v>
      </c>
      <c r="C39" s="35">
        <f t="shared" si="2"/>
        <v>1555</v>
      </c>
      <c r="D39" s="35">
        <f t="shared" si="7"/>
        <v>1149.6892499999999</v>
      </c>
      <c r="E39" s="35">
        <f t="shared" si="3"/>
        <v>1914.0403268755192</v>
      </c>
      <c r="F39" s="32">
        <f t="shared" si="4"/>
        <v>4618.7295768755193</v>
      </c>
      <c r="G39" s="4"/>
      <c r="H39" s="33">
        <f t="shared" si="5"/>
        <v>25</v>
      </c>
      <c r="I39" s="34">
        <f t="shared" si="6"/>
        <v>20</v>
      </c>
      <c r="J39" s="5"/>
      <c r="K39" s="5"/>
    </row>
    <row r="40" spans="1:11" x14ac:dyDescent="0.35">
      <c r="A40" s="33">
        <f t="shared" si="1"/>
        <v>2041</v>
      </c>
      <c r="B40" s="35">
        <f t="shared" si="8"/>
        <v>21770</v>
      </c>
      <c r="C40" s="35">
        <f t="shared" si="2"/>
        <v>1555</v>
      </c>
      <c r="D40" s="35">
        <f t="shared" si="7"/>
        <v>1075.5157499999998</v>
      </c>
      <c r="E40" s="35">
        <f t="shared" si="3"/>
        <v>1952.3211334130297</v>
      </c>
      <c r="F40" s="32">
        <f t="shared" si="4"/>
        <v>4582.8368834130288</v>
      </c>
      <c r="G40" s="4"/>
      <c r="H40" s="33">
        <f t="shared" si="5"/>
        <v>26</v>
      </c>
      <c r="I40" s="34">
        <f t="shared" si="6"/>
        <v>20</v>
      </c>
      <c r="J40" s="5"/>
      <c r="K40" s="5"/>
    </row>
    <row r="41" spans="1:11" x14ac:dyDescent="0.35">
      <c r="A41" s="33">
        <f t="shared" si="1"/>
        <v>2042</v>
      </c>
      <c r="B41" s="35">
        <f t="shared" si="8"/>
        <v>20215</v>
      </c>
      <c r="C41" s="35">
        <f t="shared" si="2"/>
        <v>1555</v>
      </c>
      <c r="D41" s="35">
        <f t="shared" ref="D41:D54" si="9">IF(ISNUMBER(B41),(B41+B40)/2*WACC,"")</f>
        <v>1001.3422499999998</v>
      </c>
      <c r="E41" s="35">
        <f t="shared" si="3"/>
        <v>1991.3675560812903</v>
      </c>
      <c r="F41" s="32">
        <f t="shared" si="4"/>
        <v>4547.7098060812896</v>
      </c>
      <c r="G41" s="4"/>
      <c r="H41" s="33">
        <f t="shared" si="5"/>
        <v>27</v>
      </c>
      <c r="I41" s="34">
        <f t="shared" si="6"/>
        <v>20</v>
      </c>
      <c r="J41" s="5"/>
      <c r="K41" s="5"/>
    </row>
    <row r="42" spans="1:11" x14ac:dyDescent="0.35">
      <c r="A42" s="33">
        <f t="shared" si="1"/>
        <v>2043</v>
      </c>
      <c r="B42" s="35">
        <f t="shared" si="8"/>
        <v>18660</v>
      </c>
      <c r="C42" s="35">
        <f t="shared" si="2"/>
        <v>1555</v>
      </c>
      <c r="D42" s="35">
        <f t="shared" si="9"/>
        <v>927.16874999999982</v>
      </c>
      <c r="E42" s="35">
        <f t="shared" si="3"/>
        <v>2031.1949072029163</v>
      </c>
      <c r="F42" s="32">
        <f t="shared" si="4"/>
        <v>4513.3636572029163</v>
      </c>
      <c r="G42" s="4"/>
      <c r="H42" s="33">
        <f t="shared" si="5"/>
        <v>28</v>
      </c>
      <c r="I42" s="34">
        <f t="shared" si="6"/>
        <v>20</v>
      </c>
      <c r="J42" s="5"/>
      <c r="K42" s="5"/>
    </row>
    <row r="43" spans="1:11" x14ac:dyDescent="0.35">
      <c r="A43" s="33">
        <f t="shared" si="1"/>
        <v>2044</v>
      </c>
      <c r="B43" s="35">
        <f t="shared" si="8"/>
        <v>17105</v>
      </c>
      <c r="C43" s="35">
        <f t="shared" si="2"/>
        <v>1555</v>
      </c>
      <c r="D43" s="35">
        <f t="shared" si="9"/>
        <v>852.99524999999983</v>
      </c>
      <c r="E43" s="35">
        <f t="shared" si="3"/>
        <v>2071.8188053469748</v>
      </c>
      <c r="F43" s="32">
        <f t="shared" si="4"/>
        <v>4479.8140553469748</v>
      </c>
      <c r="G43" s="4"/>
      <c r="H43" s="33">
        <f t="shared" si="5"/>
        <v>29</v>
      </c>
      <c r="I43" s="34">
        <f t="shared" si="6"/>
        <v>20</v>
      </c>
      <c r="J43" s="5"/>
      <c r="K43" s="5"/>
    </row>
    <row r="44" spans="1:11" x14ac:dyDescent="0.35">
      <c r="A44" s="33">
        <f t="shared" si="1"/>
        <v>2045</v>
      </c>
      <c r="B44" s="35">
        <f t="shared" si="8"/>
        <v>15550</v>
      </c>
      <c r="C44" s="35">
        <f t="shared" si="2"/>
        <v>1555</v>
      </c>
      <c r="D44" s="35">
        <f t="shared" si="9"/>
        <v>778.82174999999984</v>
      </c>
      <c r="E44" s="35">
        <f t="shared" si="3"/>
        <v>2113.2551814539142</v>
      </c>
      <c r="F44" s="32">
        <f t="shared" si="4"/>
        <v>4447.0769314539139</v>
      </c>
      <c r="G44" s="4"/>
      <c r="H44" s="33">
        <f t="shared" si="5"/>
        <v>30</v>
      </c>
      <c r="I44" s="34">
        <f t="shared" si="6"/>
        <v>20</v>
      </c>
      <c r="J44" s="5"/>
      <c r="K44" s="5"/>
    </row>
    <row r="45" spans="1:11" x14ac:dyDescent="0.35">
      <c r="A45" s="33">
        <f t="shared" si="1"/>
        <v>2046</v>
      </c>
      <c r="B45" s="35">
        <f t="shared" si="8"/>
        <v>13995</v>
      </c>
      <c r="C45" s="35">
        <f t="shared" si="2"/>
        <v>1555</v>
      </c>
      <c r="D45" s="35">
        <f t="shared" si="9"/>
        <v>704.64824999999985</v>
      </c>
      <c r="E45" s="35">
        <f t="shared" si="3"/>
        <v>2155.5202850829924</v>
      </c>
      <c r="F45" s="32">
        <f t="shared" si="4"/>
        <v>4415.1685350829921</v>
      </c>
      <c r="G45" s="4"/>
      <c r="H45" s="33">
        <f t="shared" si="5"/>
        <v>31</v>
      </c>
      <c r="I45" s="34">
        <f t="shared" si="6"/>
        <v>20</v>
      </c>
      <c r="J45" s="5"/>
      <c r="K45" s="5"/>
    </row>
    <row r="46" spans="1:11" x14ac:dyDescent="0.35">
      <c r="A46" s="33">
        <f t="shared" si="1"/>
        <v>2047</v>
      </c>
      <c r="B46" s="35">
        <f t="shared" si="8"/>
        <v>12440</v>
      </c>
      <c r="C46" s="35">
        <f t="shared" si="2"/>
        <v>1555</v>
      </c>
      <c r="D46" s="35">
        <f t="shared" si="9"/>
        <v>630.47474999999986</v>
      </c>
      <c r="E46" s="35">
        <f t="shared" si="3"/>
        <v>2198.6306907846524</v>
      </c>
      <c r="F46" s="32">
        <f t="shared" si="4"/>
        <v>4384.1054407846523</v>
      </c>
      <c r="G46" s="4"/>
      <c r="H46" s="33">
        <f t="shared" si="5"/>
        <v>32</v>
      </c>
      <c r="I46" s="34">
        <f t="shared" si="6"/>
        <v>20</v>
      </c>
      <c r="J46" s="5"/>
      <c r="K46" s="5"/>
    </row>
    <row r="47" spans="1:11" x14ac:dyDescent="0.35">
      <c r="A47" s="33">
        <f t="shared" si="1"/>
        <v>2048</v>
      </c>
      <c r="B47" s="35">
        <f t="shared" si="8"/>
        <v>10885</v>
      </c>
      <c r="C47" s="35">
        <f t="shared" si="2"/>
        <v>1555</v>
      </c>
      <c r="D47" s="35">
        <f t="shared" si="9"/>
        <v>556.30124999999987</v>
      </c>
      <c r="E47" s="35">
        <f t="shared" si="3"/>
        <v>2242.6033046003454</v>
      </c>
      <c r="F47" s="32">
        <f t="shared" si="4"/>
        <v>4353.9045546003454</v>
      </c>
      <c r="G47" s="4"/>
      <c r="H47" s="33">
        <f t="shared" si="5"/>
        <v>33</v>
      </c>
      <c r="I47" s="34">
        <f t="shared" si="6"/>
        <v>20</v>
      </c>
      <c r="J47" s="5"/>
      <c r="K47" s="5"/>
    </row>
    <row r="48" spans="1:11" x14ac:dyDescent="0.35">
      <c r="A48" s="33">
        <f t="shared" si="1"/>
        <v>2049</v>
      </c>
      <c r="B48" s="35">
        <f t="shared" si="8"/>
        <v>9330</v>
      </c>
      <c r="C48" s="35">
        <f t="shared" si="2"/>
        <v>1555</v>
      </c>
      <c r="D48" s="35">
        <f t="shared" si="9"/>
        <v>482.12774999999993</v>
      </c>
      <c r="E48" s="35">
        <f t="shared" si="3"/>
        <v>2287.4553706923525</v>
      </c>
      <c r="F48" s="32">
        <f t="shared" si="4"/>
        <v>4324.5831206923522</v>
      </c>
      <c r="G48" s="4"/>
      <c r="H48" s="33">
        <f t="shared" si="5"/>
        <v>34</v>
      </c>
      <c r="I48" s="34">
        <f t="shared" si="6"/>
        <v>20</v>
      </c>
      <c r="J48" s="5"/>
      <c r="K48" s="5"/>
    </row>
    <row r="49" spans="1:21" x14ac:dyDescent="0.35">
      <c r="A49" s="33">
        <f t="shared" si="1"/>
        <v>2050</v>
      </c>
      <c r="B49" s="35">
        <f t="shared" si="8"/>
        <v>7775</v>
      </c>
      <c r="C49" s="35">
        <f t="shared" si="2"/>
        <v>1555</v>
      </c>
      <c r="D49" s="35">
        <f t="shared" si="9"/>
        <v>407.95424999999994</v>
      </c>
      <c r="E49" s="35">
        <f t="shared" si="3"/>
        <v>2333.2044781061995</v>
      </c>
      <c r="F49" s="32">
        <f t="shared" si="4"/>
        <v>4296.1587281061993</v>
      </c>
      <c r="G49" s="4"/>
      <c r="H49" s="33">
        <f t="shared" si="5"/>
        <v>35</v>
      </c>
      <c r="I49" s="34">
        <f t="shared" si="6"/>
        <v>20</v>
      </c>
      <c r="J49" s="5"/>
      <c r="K49" s="5"/>
    </row>
    <row r="50" spans="1:21" x14ac:dyDescent="0.35">
      <c r="A50" s="33">
        <f t="shared" si="1"/>
        <v>2051</v>
      </c>
      <c r="B50" s="35">
        <f t="shared" si="8"/>
        <v>6220</v>
      </c>
      <c r="C50" s="35">
        <f t="shared" si="2"/>
        <v>1555</v>
      </c>
      <c r="D50" s="35">
        <f t="shared" si="9"/>
        <v>333.78074999999995</v>
      </c>
      <c r="E50" s="35">
        <f t="shared" si="3"/>
        <v>2379.8685676683235</v>
      </c>
      <c r="F50" s="32">
        <f t="shared" si="4"/>
        <v>4268.6493176683234</v>
      </c>
      <c r="G50" s="4"/>
      <c r="H50" s="33">
        <f t="shared" si="5"/>
        <v>36</v>
      </c>
      <c r="I50" s="34">
        <f t="shared" si="6"/>
        <v>20</v>
      </c>
      <c r="J50" s="5"/>
      <c r="K50" s="5"/>
    </row>
    <row r="51" spans="1:21" x14ac:dyDescent="0.35">
      <c r="A51" s="33">
        <f t="shared" si="1"/>
        <v>2052</v>
      </c>
      <c r="B51" s="35">
        <f t="shared" si="8"/>
        <v>4665</v>
      </c>
      <c r="C51" s="35">
        <f t="shared" si="2"/>
        <v>1555</v>
      </c>
      <c r="D51" s="35">
        <f t="shared" si="9"/>
        <v>259.60724999999996</v>
      </c>
      <c r="E51" s="35">
        <f t="shared" si="3"/>
        <v>2427.4659390216902</v>
      </c>
      <c r="F51" s="32">
        <f t="shared" si="4"/>
        <v>4242.0731890216903</v>
      </c>
      <c r="G51" s="4"/>
      <c r="H51" s="33">
        <f t="shared" si="5"/>
        <v>37</v>
      </c>
      <c r="I51" s="34">
        <f t="shared" si="6"/>
        <v>20</v>
      </c>
      <c r="J51" s="5"/>
      <c r="K51" s="5"/>
    </row>
    <row r="52" spans="1:21" x14ac:dyDescent="0.35">
      <c r="A52" s="33">
        <f t="shared" si="1"/>
        <v>2053</v>
      </c>
      <c r="B52" s="35">
        <f t="shared" si="8"/>
        <v>3110</v>
      </c>
      <c r="C52" s="35">
        <f t="shared" si="2"/>
        <v>1555</v>
      </c>
      <c r="D52" s="35">
        <f t="shared" si="9"/>
        <v>185.43374999999997</v>
      </c>
      <c r="E52" s="35">
        <f t="shared" si="3"/>
        <v>2476.0152578021239</v>
      </c>
      <c r="F52" s="32">
        <f t="shared" si="4"/>
        <v>4216.4490078021236</v>
      </c>
      <c r="G52" s="4"/>
      <c r="H52" s="33">
        <f t="shared" si="5"/>
        <v>38</v>
      </c>
      <c r="I52" s="34">
        <f t="shared" si="6"/>
        <v>20</v>
      </c>
      <c r="J52" s="5"/>
      <c r="K52" s="5"/>
    </row>
    <row r="53" spans="1:21" x14ac:dyDescent="0.35">
      <c r="A53" s="33">
        <f t="shared" si="1"/>
        <v>2054</v>
      </c>
      <c r="B53" s="35">
        <f t="shared" si="8"/>
        <v>1555</v>
      </c>
      <c r="C53" s="35">
        <f t="shared" si="2"/>
        <v>1555</v>
      </c>
      <c r="D53" s="35">
        <f t="shared" si="9"/>
        <v>111.26024999999998</v>
      </c>
      <c r="E53" s="35">
        <f t="shared" si="3"/>
        <v>2525.5355629581663</v>
      </c>
      <c r="F53" s="32">
        <f t="shared" si="4"/>
        <v>4191.7958129581666</v>
      </c>
      <c r="G53" s="4"/>
      <c r="H53" s="33">
        <f t="shared" si="5"/>
        <v>39</v>
      </c>
      <c r="I53" s="34">
        <f t="shared" si="6"/>
        <v>20</v>
      </c>
      <c r="J53" s="5"/>
      <c r="K53" s="5"/>
    </row>
    <row r="54" spans="1:21" x14ac:dyDescent="0.35">
      <c r="A54" s="33">
        <f t="shared" si="1"/>
        <v>2055</v>
      </c>
      <c r="B54" s="35">
        <f t="shared" si="8"/>
        <v>0</v>
      </c>
      <c r="C54" s="35">
        <f t="shared" si="2"/>
        <v>1555</v>
      </c>
      <c r="D54" s="35">
        <f t="shared" si="9"/>
        <v>37.086749999999995</v>
      </c>
      <c r="E54" s="35">
        <f t="shared" si="3"/>
        <v>2576.0462742173295</v>
      </c>
      <c r="F54" s="32">
        <f t="shared" si="4"/>
        <v>4168.1330242173299</v>
      </c>
      <c r="G54" s="4"/>
      <c r="H54" s="33">
        <f t="shared" si="5"/>
        <v>40</v>
      </c>
      <c r="I54" s="34">
        <f t="shared" si="6"/>
        <v>20</v>
      </c>
      <c r="J54" s="5"/>
      <c r="K54" s="5"/>
    </row>
    <row r="55" spans="1:21" ht="12" customHeight="1" x14ac:dyDescent="0.35">
      <c r="A55" s="36"/>
      <c r="B55" s="37"/>
      <c r="C55" s="37"/>
      <c r="D55" s="37"/>
      <c r="E55" s="37"/>
      <c r="F55" s="37"/>
      <c r="G55" s="21"/>
      <c r="H55" s="38"/>
      <c r="J55" s="39"/>
    </row>
    <row r="56" spans="1:21" ht="12" customHeight="1" x14ac:dyDescent="0.35">
      <c r="A56" s="36" t="s">
        <v>20</v>
      </c>
      <c r="B56" s="37"/>
      <c r="C56" s="37">
        <f>NPV(WACC,C16:C54)+C15</f>
        <v>28858.297483662453</v>
      </c>
      <c r="D56" s="37">
        <f>NPV(WACC,D16:D54)+D15</f>
        <v>35620.372121352128</v>
      </c>
      <c r="E56" s="37">
        <f>NPV(WACC,E16:E54)+E15</f>
        <v>29598.408361411715</v>
      </c>
      <c r="F56" s="37">
        <f>NPV(WACC,F16:F54)+F15</f>
        <v>94077.077966426252</v>
      </c>
      <c r="G56" s="21"/>
      <c r="H56" s="40"/>
      <c r="J56" s="4"/>
      <c r="K56" s="4"/>
    </row>
    <row r="57" spans="1:21" s="2" customFormat="1" x14ac:dyDescent="0.35">
      <c r="A57" s="41"/>
      <c r="B57" s="42"/>
      <c r="C57" s="42"/>
      <c r="F57" s="4"/>
      <c r="M57" s="5"/>
      <c r="N57" s="5"/>
      <c r="O57" s="5"/>
      <c r="P57" s="5"/>
      <c r="Q57" s="5"/>
      <c r="R57" s="5"/>
      <c r="S57" s="5"/>
      <c r="T57" s="5"/>
      <c r="U57" s="5"/>
    </row>
    <row r="58" spans="1:21" s="2" customFormat="1" x14ac:dyDescent="0.35">
      <c r="A58" s="41"/>
      <c r="B58" s="17"/>
      <c r="C58" s="43"/>
      <c r="D58" s="21"/>
      <c r="F58" s="4"/>
      <c r="M58" s="5"/>
      <c r="N58" s="5"/>
      <c r="O58" s="5"/>
      <c r="P58" s="5"/>
      <c r="Q58" s="5"/>
      <c r="R58" s="5"/>
      <c r="S58" s="5"/>
      <c r="T58" s="5"/>
      <c r="U58" s="5"/>
    </row>
    <row r="59" spans="1:21" s="2" customFormat="1" x14ac:dyDescent="0.35">
      <c r="A59" s="44" t="s">
        <v>21</v>
      </c>
      <c r="B59" s="17"/>
      <c r="C59" s="43"/>
      <c r="D59" s="21"/>
      <c r="F59" s="4"/>
      <c r="M59" s="5"/>
      <c r="N59" s="5"/>
      <c r="O59" s="5"/>
      <c r="P59" s="5"/>
      <c r="Q59" s="5"/>
      <c r="R59" s="5"/>
      <c r="S59" s="5"/>
      <c r="T59" s="5"/>
      <c r="U59" s="5"/>
    </row>
    <row r="60" spans="1:21" s="2" customFormat="1" ht="52" customHeight="1" x14ac:dyDescent="0.35">
      <c r="A60" s="47" t="s">
        <v>22</v>
      </c>
      <c r="B60" s="47"/>
      <c r="C60" s="47"/>
      <c r="D60" s="47"/>
      <c r="E60" s="47"/>
      <c r="F60" s="47"/>
      <c r="G60" s="47"/>
      <c r="H60" s="47"/>
      <c r="I60" s="47"/>
      <c r="M60" s="5"/>
      <c r="N60" s="5"/>
      <c r="O60" s="5"/>
      <c r="P60" s="5"/>
      <c r="Q60" s="5"/>
      <c r="R60" s="5"/>
      <c r="S60" s="5"/>
      <c r="T60" s="5"/>
      <c r="U60" s="5"/>
    </row>
    <row r="61" spans="1:21" s="2" customFormat="1" x14ac:dyDescent="0.35">
      <c r="A61" s="47" t="s">
        <v>23</v>
      </c>
      <c r="B61" s="47"/>
      <c r="C61" s="47"/>
      <c r="D61" s="47"/>
      <c r="E61" s="47"/>
      <c r="F61" s="47"/>
      <c r="G61" s="47"/>
      <c r="H61" s="47"/>
      <c r="I61" s="47"/>
      <c r="M61" s="5"/>
      <c r="N61" s="5"/>
      <c r="O61" s="5"/>
      <c r="P61" s="5"/>
      <c r="Q61" s="5"/>
      <c r="R61" s="5"/>
      <c r="S61" s="5"/>
      <c r="T61" s="5"/>
      <c r="U61" s="5"/>
    </row>
    <row r="62" spans="1:21" s="2" customFormat="1" ht="27.5" customHeight="1" x14ac:dyDescent="0.35">
      <c r="A62" s="47" t="s">
        <v>27</v>
      </c>
      <c r="B62" s="47"/>
      <c r="C62" s="47"/>
      <c r="D62" s="47"/>
      <c r="E62" s="47"/>
      <c r="F62" s="47"/>
      <c r="G62" s="47"/>
      <c r="H62" s="47"/>
      <c r="I62" s="47"/>
      <c r="M62" s="5"/>
      <c r="N62" s="5"/>
      <c r="O62" s="5"/>
      <c r="P62" s="5"/>
      <c r="Q62" s="5"/>
      <c r="R62" s="5"/>
      <c r="S62" s="5"/>
      <c r="T62" s="5"/>
      <c r="U62" s="5"/>
    </row>
    <row r="63" spans="1:21" s="2" customFormat="1" x14ac:dyDescent="0.35">
      <c r="A63" s="41"/>
      <c r="D63" s="21"/>
      <c r="F63" s="4"/>
      <c r="M63" s="5"/>
      <c r="N63" s="5"/>
      <c r="O63" s="5"/>
      <c r="P63" s="5"/>
      <c r="Q63" s="5"/>
      <c r="R63" s="5"/>
      <c r="S63" s="5"/>
      <c r="T63" s="5"/>
      <c r="U63" s="5"/>
    </row>
    <row r="64" spans="1:21" s="2" customFormat="1" x14ac:dyDescent="0.35">
      <c r="A64" s="41"/>
      <c r="B64" s="45"/>
      <c r="C64" s="43"/>
      <c r="D64" s="21"/>
      <c r="F64" s="4"/>
      <c r="M64" s="5"/>
      <c r="N64" s="5"/>
      <c r="O64" s="5"/>
      <c r="P64" s="5"/>
      <c r="Q64" s="5"/>
      <c r="R64" s="5"/>
      <c r="S64" s="5"/>
      <c r="T64" s="5"/>
      <c r="U64" s="5"/>
    </row>
    <row r="65" spans="1:21" s="2" customFormat="1" x14ac:dyDescent="0.35">
      <c r="A65" s="41"/>
      <c r="B65" s="45"/>
      <c r="C65" s="43"/>
      <c r="D65" s="21"/>
      <c r="F65" s="4"/>
      <c r="M65" s="5"/>
      <c r="N65" s="5"/>
      <c r="O65" s="5"/>
      <c r="P65" s="5"/>
      <c r="Q65" s="5"/>
      <c r="R65" s="5"/>
      <c r="S65" s="5"/>
      <c r="T65" s="5"/>
      <c r="U65" s="5"/>
    </row>
    <row r="66" spans="1:21" s="2" customFormat="1" x14ac:dyDescent="0.35">
      <c r="A66" s="41"/>
      <c r="B66" s="45"/>
      <c r="C66" s="43"/>
      <c r="D66" s="21"/>
      <c r="F66" s="4"/>
      <c r="M66" s="5"/>
      <c r="N66" s="5"/>
      <c r="O66" s="5"/>
      <c r="P66" s="5"/>
      <c r="Q66" s="5"/>
      <c r="R66" s="5"/>
      <c r="S66" s="5"/>
      <c r="T66" s="5"/>
      <c r="U66" s="5"/>
    </row>
    <row r="67" spans="1:21" s="2" customFormat="1" x14ac:dyDescent="0.35">
      <c r="A67" s="41"/>
      <c r="B67" s="45"/>
      <c r="C67" s="43"/>
      <c r="D67" s="21"/>
      <c r="F67" s="4"/>
      <c r="M67" s="5"/>
      <c r="N67" s="5"/>
      <c r="O67" s="5"/>
      <c r="P67" s="5"/>
      <c r="Q67" s="5"/>
      <c r="R67" s="5"/>
      <c r="S67" s="5"/>
      <c r="T67" s="5"/>
      <c r="U67" s="5"/>
    </row>
    <row r="68" spans="1:21" s="2" customFormat="1" x14ac:dyDescent="0.35">
      <c r="A68" s="41"/>
      <c r="B68" s="45"/>
      <c r="C68" s="43"/>
      <c r="D68" s="21"/>
      <c r="F68" s="4"/>
      <c r="M68" s="5"/>
      <c r="N68" s="5"/>
      <c r="O68" s="5"/>
      <c r="P68" s="5"/>
      <c r="Q68" s="5"/>
      <c r="R68" s="5"/>
      <c r="S68" s="5"/>
      <c r="T68" s="5"/>
      <c r="U68" s="5"/>
    </row>
    <row r="69" spans="1:21" s="2" customFormat="1" x14ac:dyDescent="0.35">
      <c r="A69" s="41"/>
      <c r="F69" s="4"/>
      <c r="M69" s="5"/>
      <c r="N69" s="5"/>
      <c r="O69" s="5"/>
      <c r="P69" s="5"/>
      <c r="Q69" s="5"/>
      <c r="R69" s="5"/>
      <c r="S69" s="5"/>
      <c r="T69" s="5"/>
      <c r="U69" s="5"/>
    </row>
    <row r="70" spans="1:21" s="2" customFormat="1" x14ac:dyDescent="0.35">
      <c r="A70" s="41"/>
      <c r="F70" s="4"/>
      <c r="M70" s="5"/>
      <c r="N70" s="5"/>
      <c r="O70" s="5"/>
      <c r="P70" s="5"/>
      <c r="Q70" s="5"/>
      <c r="R70" s="5"/>
      <c r="S70" s="5"/>
      <c r="T70" s="5"/>
      <c r="U70" s="5"/>
    </row>
    <row r="71" spans="1:21" s="2" customFormat="1" x14ac:dyDescent="0.35">
      <c r="A71" s="41"/>
      <c r="F71" s="4"/>
    </row>
    <row r="72" spans="1:21" s="2" customFormat="1" x14ac:dyDescent="0.35">
      <c r="A72" s="41"/>
      <c r="F72" s="4"/>
    </row>
    <row r="73" spans="1:21" s="2" customFormat="1" x14ac:dyDescent="0.35">
      <c r="A73" s="41"/>
      <c r="F73" s="4"/>
    </row>
    <row r="74" spans="1:21" s="2" customFormat="1" x14ac:dyDescent="0.35">
      <c r="A74" s="41"/>
      <c r="F74" s="4"/>
    </row>
    <row r="75" spans="1:21" s="2" customFormat="1" x14ac:dyDescent="0.35">
      <c r="A75" s="41"/>
      <c r="F75" s="4"/>
    </row>
    <row r="76" spans="1:21" s="2" customFormat="1" x14ac:dyDescent="0.35">
      <c r="A76" s="41"/>
      <c r="F76" s="4"/>
    </row>
    <row r="77" spans="1:21" s="2" customFormat="1" x14ac:dyDescent="0.35">
      <c r="A77" s="41"/>
      <c r="F77" s="4"/>
    </row>
    <row r="78" spans="1:21" s="2" customFormat="1" x14ac:dyDescent="0.35">
      <c r="A78" s="41"/>
      <c r="F78" s="4"/>
    </row>
  </sheetData>
  <mergeCells count="7">
    <mergeCell ref="A62:I62"/>
    <mergeCell ref="A12:A14"/>
    <mergeCell ref="B12:F12"/>
    <mergeCell ref="H12:H14"/>
    <mergeCell ref="I12:I14"/>
    <mergeCell ref="A60:I60"/>
    <mergeCell ref="A61:I61"/>
  </mergeCell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54BA-5D43-4008-907F-2C3F806185F8}">
  <sheetPr>
    <pageSetUpPr fitToPage="1"/>
  </sheetPr>
  <dimension ref="A1:U78"/>
  <sheetViews>
    <sheetView view="pageBreakPreview" zoomScale="130" zoomScaleNormal="115" zoomScaleSheetLayoutView="130" workbookViewId="0">
      <selection activeCell="A3" sqref="A3"/>
    </sheetView>
  </sheetViews>
  <sheetFormatPr defaultColWidth="6" defaultRowHeight="10.5" x14ac:dyDescent="0.35"/>
  <cols>
    <col min="1" max="1" width="9.7265625" style="2" customWidth="1"/>
    <col min="2" max="2" width="10" style="2" customWidth="1"/>
    <col min="3" max="5" width="8" style="2" customWidth="1"/>
    <col min="6" max="6" width="8" style="4" customWidth="1"/>
    <col min="7" max="7" width="7.08984375" style="2" customWidth="1"/>
    <col min="8" max="8" width="9.54296875" style="2" customWidth="1"/>
    <col min="9" max="9" width="10.81640625" style="2" customWidth="1"/>
    <col min="10" max="10" width="9.453125" style="2" customWidth="1"/>
    <col min="11" max="11" width="4.1796875" style="2" customWidth="1"/>
    <col min="12" max="12" width="6" style="5"/>
    <col min="13" max="13" width="9.1796875" style="5" bestFit="1" customWidth="1"/>
    <col min="14" max="14" width="6" style="5"/>
    <col min="15" max="15" width="7.54296875" style="5" bestFit="1" customWidth="1"/>
    <col min="16" max="17" width="6" style="5"/>
    <col min="18" max="18" width="10.36328125" style="5" bestFit="1" customWidth="1"/>
    <col min="19" max="16384" width="6" style="5"/>
  </cols>
  <sheetData>
    <row r="1" spans="1:11" x14ac:dyDescent="0.35">
      <c r="A1" s="1" t="s">
        <v>24</v>
      </c>
      <c r="E1" s="3"/>
    </row>
    <row r="2" spans="1:11" x14ac:dyDescent="0.35">
      <c r="G2" s="6"/>
      <c r="I2" s="7" t="s">
        <v>26</v>
      </c>
      <c r="J2" s="8">
        <f>8.7%*0.4+2.15%*0.6</f>
        <v>4.7699999999999992E-2</v>
      </c>
      <c r="K2" s="9"/>
    </row>
    <row r="3" spans="1:11" ht="12.75" customHeight="1" x14ac:dyDescent="0.35">
      <c r="A3" s="10"/>
      <c r="C3" s="11"/>
      <c r="F3" s="4" t="s">
        <v>1</v>
      </c>
      <c r="G3" s="6"/>
      <c r="I3" s="7" t="s">
        <v>2</v>
      </c>
      <c r="J3" s="12">
        <v>0.02</v>
      </c>
    </row>
    <row r="4" spans="1:11" x14ac:dyDescent="0.35">
      <c r="A4" s="13" t="s">
        <v>3</v>
      </c>
      <c r="C4" s="14">
        <v>2016</v>
      </c>
      <c r="D4" s="15">
        <v>62200</v>
      </c>
      <c r="F4" s="16">
        <v>20</v>
      </c>
      <c r="I4" s="7" t="s">
        <v>4</v>
      </c>
      <c r="J4" s="8">
        <f>(1+J2)/(1+J3)-1</f>
        <v>2.7156862745097987E-2</v>
      </c>
      <c r="K4" s="5"/>
    </row>
    <row r="5" spans="1:11" x14ac:dyDescent="0.35">
      <c r="E5" s="6"/>
      <c r="F5" s="2"/>
      <c r="G5" s="17"/>
      <c r="K5" s="5"/>
    </row>
    <row r="6" spans="1:11" x14ac:dyDescent="0.35">
      <c r="F6" s="2"/>
      <c r="G6" s="17"/>
      <c r="H6" s="17"/>
      <c r="I6" s="18" t="str">
        <f>CONCATENATE("Life Cycle Cost (",C5,"$000's)")</f>
        <v>Life Cycle Cost ($000's)</v>
      </c>
      <c r="J6" s="19">
        <f>$F$56</f>
        <v>106733.6076165449</v>
      </c>
      <c r="K6" s="5"/>
    </row>
    <row r="7" spans="1:11" ht="11.25" customHeight="1" x14ac:dyDescent="0.35">
      <c r="A7" s="13" t="s">
        <v>5</v>
      </c>
      <c r="C7" s="14">
        <f>C4</f>
        <v>2016</v>
      </c>
      <c r="D7" s="15">
        <f>1190+(91-64)/(1+INFL)^3*F4</f>
        <v>1698.8540606554041</v>
      </c>
      <c r="E7" s="10" t="s">
        <v>6</v>
      </c>
      <c r="F7" s="2"/>
      <c r="G7" s="17"/>
      <c r="H7" s="20"/>
      <c r="I7" s="5"/>
      <c r="K7" s="5"/>
    </row>
    <row r="8" spans="1:11" x14ac:dyDescent="0.35">
      <c r="F8" s="2"/>
      <c r="G8" s="21"/>
      <c r="H8" s="5"/>
      <c r="I8" s="18" t="s">
        <v>7</v>
      </c>
      <c r="J8" s="22">
        <f>(J6)/(NPV(REAL_D_RATE,I16:I54)+I15)*1000</f>
        <v>214560.51202617816</v>
      </c>
    </row>
    <row r="9" spans="1:11" x14ac:dyDescent="0.35">
      <c r="A9" s="13" t="s">
        <v>8</v>
      </c>
      <c r="B9" s="2" t="s">
        <v>9</v>
      </c>
      <c r="D9" s="23">
        <v>40</v>
      </c>
      <c r="E9" s="2" t="s">
        <v>10</v>
      </c>
      <c r="F9" s="2"/>
      <c r="G9" s="24"/>
      <c r="H9" s="5"/>
      <c r="I9" s="18" t="s">
        <v>11</v>
      </c>
      <c r="J9" s="22">
        <f>J8*(1+INFL)^(2019-C4)</f>
        <v>227693.33184627644</v>
      </c>
    </row>
    <row r="10" spans="1:11" x14ac:dyDescent="0.35">
      <c r="A10" s="13"/>
      <c r="B10" s="13"/>
      <c r="C10" s="13"/>
      <c r="D10" s="13"/>
      <c r="E10" s="13"/>
      <c r="F10" s="2"/>
      <c r="G10" s="25"/>
      <c r="H10" s="5"/>
      <c r="I10" s="18" t="s">
        <v>12</v>
      </c>
      <c r="J10" s="22">
        <f>J8*(1+INFL)^(2024-C4)</f>
        <v>251391.83670812103</v>
      </c>
    </row>
    <row r="11" spans="1:11" ht="12.75" customHeight="1" x14ac:dyDescent="0.35"/>
    <row r="12" spans="1:11" ht="21.75" customHeight="1" x14ac:dyDescent="0.35">
      <c r="A12" s="48" t="s">
        <v>13</v>
      </c>
      <c r="B12" s="51" t="str">
        <f>$A$1</f>
        <v>20 MW Diesel Plant [with property tax]</v>
      </c>
      <c r="C12" s="51"/>
      <c r="D12" s="51"/>
      <c r="E12" s="51"/>
      <c r="F12" s="51"/>
      <c r="G12" s="11"/>
      <c r="H12" s="52" t="s">
        <v>14</v>
      </c>
      <c r="I12" s="52" t="str">
        <f>CONCATENATE("Annual Winter Capacity MW, ",F4)</f>
        <v>Annual Winter Capacity MW, 20</v>
      </c>
      <c r="J12" s="5"/>
      <c r="K12" s="26"/>
    </row>
    <row r="13" spans="1:11" ht="21.75" customHeight="1" x14ac:dyDescent="0.35">
      <c r="A13" s="49"/>
      <c r="B13" s="27" t="s">
        <v>15</v>
      </c>
      <c r="C13" s="46" t="s">
        <v>16</v>
      </c>
      <c r="D13" s="46" t="s">
        <v>17</v>
      </c>
      <c r="E13" s="46" t="s">
        <v>18</v>
      </c>
      <c r="F13" s="28" t="s">
        <v>19</v>
      </c>
      <c r="G13" s="11"/>
      <c r="H13" s="52"/>
      <c r="I13" s="52"/>
      <c r="J13" s="5"/>
      <c r="K13" s="26"/>
    </row>
    <row r="14" spans="1:11" ht="16.5" customHeight="1" x14ac:dyDescent="0.35">
      <c r="A14" s="50"/>
      <c r="B14" s="29" t="str">
        <f t="shared" ref="B14:F14" si="0">"$000"</f>
        <v>$000</v>
      </c>
      <c r="C14" s="29" t="str">
        <f t="shared" si="0"/>
        <v>$000</v>
      </c>
      <c r="D14" s="29" t="str">
        <f t="shared" si="0"/>
        <v>$000</v>
      </c>
      <c r="E14" s="29" t="str">
        <f t="shared" si="0"/>
        <v>$000</v>
      </c>
      <c r="F14" s="29" t="str">
        <f t="shared" si="0"/>
        <v>$000</v>
      </c>
      <c r="G14" s="4"/>
      <c r="H14" s="52"/>
      <c r="I14" s="52"/>
      <c r="J14" s="5"/>
      <c r="K14" s="30"/>
    </row>
    <row r="15" spans="1:11" x14ac:dyDescent="0.35">
      <c r="A15" s="31">
        <f>C4</f>
        <v>2016</v>
      </c>
      <c r="B15" s="32">
        <f>$D$4-$C$15</f>
        <v>60645</v>
      </c>
      <c r="C15" s="32">
        <f>(($D$4)/$D$9)</f>
        <v>1555</v>
      </c>
      <c r="D15" s="32">
        <f>(B15+$D$4)/2*WACC</f>
        <v>2929.8532499999997</v>
      </c>
      <c r="E15" s="32">
        <f>(((D$7)*(1+INFL)^($A15-$C$7)))</f>
        <v>1698.8540606554041</v>
      </c>
      <c r="F15" s="32">
        <f>SUM(C15:E15)</f>
        <v>6183.7073106554044</v>
      </c>
      <c r="G15" s="4"/>
      <c r="H15" s="33">
        <v>1</v>
      </c>
      <c r="I15" s="34">
        <f>$F$4</f>
        <v>20</v>
      </c>
      <c r="J15" s="5"/>
      <c r="K15" s="30"/>
    </row>
    <row r="16" spans="1:11" x14ac:dyDescent="0.35">
      <c r="A16" s="33">
        <f t="shared" ref="A16:A54" si="1">1+A15</f>
        <v>2017</v>
      </c>
      <c r="B16" s="35">
        <f>B15-C15</f>
        <v>59090</v>
      </c>
      <c r="C16" s="35">
        <f t="shared" ref="C16:C54" si="2">IF(ISNUMBER(B16),IF(B16&gt;B15,(B16/$D$9),C15),"")</f>
        <v>1555</v>
      </c>
      <c r="D16" s="35">
        <f>IF(ISNUMBER(B16),(B16+B15)/2*WACC,"")</f>
        <v>2855.6797499999993</v>
      </c>
      <c r="E16" s="35">
        <f t="shared" ref="E16:E54" si="3">IF(ISNUMBER(B16),E15*(1+J$3),"")</f>
        <v>1732.8311418685121</v>
      </c>
      <c r="F16" s="32">
        <f t="shared" ref="F16:F54" si="4">SUM(C16:E16)</f>
        <v>6143.510891868511</v>
      </c>
      <c r="G16" s="4"/>
      <c r="H16" s="33">
        <f t="shared" ref="H16:H54" si="5">H15+1</f>
        <v>2</v>
      </c>
      <c r="I16" s="34">
        <f t="shared" ref="I16:I54" si="6">IF(ISNUMBER(C16),$F$4,"")</f>
        <v>20</v>
      </c>
      <c r="J16" s="5"/>
      <c r="K16" s="30"/>
    </row>
    <row r="17" spans="1:11" x14ac:dyDescent="0.35">
      <c r="A17" s="33">
        <f t="shared" si="1"/>
        <v>2018</v>
      </c>
      <c r="B17" s="35">
        <f>B16-C16</f>
        <v>57535</v>
      </c>
      <c r="C17" s="35">
        <f t="shared" si="2"/>
        <v>1555</v>
      </c>
      <c r="D17" s="35">
        <f t="shared" ref="D17:D40" si="7">IF(ISNUMBER(B17),(B17+B16)/2*WACC,"")</f>
        <v>2781.5062499999995</v>
      </c>
      <c r="E17" s="35">
        <f t="shared" si="3"/>
        <v>1767.4877647058825</v>
      </c>
      <c r="F17" s="32">
        <f t="shared" si="4"/>
        <v>6103.9940147058824</v>
      </c>
      <c r="G17" s="4"/>
      <c r="H17" s="33">
        <f t="shared" si="5"/>
        <v>3</v>
      </c>
      <c r="I17" s="34">
        <f t="shared" si="6"/>
        <v>20</v>
      </c>
      <c r="J17" s="5"/>
      <c r="K17" s="30"/>
    </row>
    <row r="18" spans="1:11" x14ac:dyDescent="0.35">
      <c r="A18" s="33">
        <f t="shared" si="1"/>
        <v>2019</v>
      </c>
      <c r="B18" s="35">
        <f t="shared" ref="B18:B54" si="8">B17-C17</f>
        <v>55980</v>
      </c>
      <c r="C18" s="35">
        <f t="shared" si="2"/>
        <v>1555</v>
      </c>
      <c r="D18" s="35">
        <f t="shared" si="7"/>
        <v>2707.3327499999996</v>
      </c>
      <c r="E18" s="35">
        <f t="shared" si="3"/>
        <v>1802.83752</v>
      </c>
      <c r="F18" s="32">
        <f t="shared" si="4"/>
        <v>6065.1702699999996</v>
      </c>
      <c r="G18" s="4"/>
      <c r="H18" s="33">
        <f t="shared" si="5"/>
        <v>4</v>
      </c>
      <c r="I18" s="34">
        <f t="shared" si="6"/>
        <v>20</v>
      </c>
      <c r="J18" s="5"/>
      <c r="K18" s="30"/>
    </row>
    <row r="19" spans="1:11" x14ac:dyDescent="0.35">
      <c r="A19" s="33">
        <f t="shared" si="1"/>
        <v>2020</v>
      </c>
      <c r="B19" s="35">
        <f t="shared" si="8"/>
        <v>54425</v>
      </c>
      <c r="C19" s="35">
        <f t="shared" si="2"/>
        <v>1555</v>
      </c>
      <c r="D19" s="35">
        <f t="shared" si="7"/>
        <v>2633.1592499999997</v>
      </c>
      <c r="E19" s="35">
        <f t="shared" si="3"/>
        <v>1838.8942704000001</v>
      </c>
      <c r="F19" s="32">
        <f t="shared" si="4"/>
        <v>6027.0535203999998</v>
      </c>
      <c r="G19" s="4"/>
      <c r="H19" s="33">
        <f t="shared" si="5"/>
        <v>5</v>
      </c>
      <c r="I19" s="34">
        <f t="shared" si="6"/>
        <v>20</v>
      </c>
      <c r="J19" s="5"/>
      <c r="K19" s="30"/>
    </row>
    <row r="20" spans="1:11" x14ac:dyDescent="0.35">
      <c r="A20" s="33">
        <f t="shared" si="1"/>
        <v>2021</v>
      </c>
      <c r="B20" s="35">
        <f t="shared" si="8"/>
        <v>52870</v>
      </c>
      <c r="C20" s="35">
        <f t="shared" si="2"/>
        <v>1555</v>
      </c>
      <c r="D20" s="35">
        <f t="shared" si="7"/>
        <v>2558.9857499999994</v>
      </c>
      <c r="E20" s="35">
        <f t="shared" si="3"/>
        <v>1875.6721558080001</v>
      </c>
      <c r="F20" s="32">
        <f t="shared" si="4"/>
        <v>5989.6579058079997</v>
      </c>
      <c r="G20" s="4"/>
      <c r="H20" s="33">
        <f t="shared" si="5"/>
        <v>6</v>
      </c>
      <c r="I20" s="34">
        <f t="shared" si="6"/>
        <v>20</v>
      </c>
      <c r="J20" s="5"/>
      <c r="K20" s="30"/>
    </row>
    <row r="21" spans="1:11" x14ac:dyDescent="0.35">
      <c r="A21" s="33">
        <f t="shared" si="1"/>
        <v>2022</v>
      </c>
      <c r="B21" s="35">
        <f t="shared" si="8"/>
        <v>51315</v>
      </c>
      <c r="C21" s="35">
        <f t="shared" si="2"/>
        <v>1555</v>
      </c>
      <c r="D21" s="35">
        <f t="shared" si="7"/>
        <v>2484.8122499999995</v>
      </c>
      <c r="E21" s="35">
        <f t="shared" si="3"/>
        <v>1913.1855989241601</v>
      </c>
      <c r="F21" s="32">
        <f t="shared" si="4"/>
        <v>5952.9978489241594</v>
      </c>
      <c r="G21" s="4"/>
      <c r="H21" s="33">
        <f t="shared" si="5"/>
        <v>7</v>
      </c>
      <c r="I21" s="34">
        <f t="shared" si="6"/>
        <v>20</v>
      </c>
      <c r="J21" s="5"/>
      <c r="K21" s="30"/>
    </row>
    <row r="22" spans="1:11" x14ac:dyDescent="0.35">
      <c r="A22" s="33">
        <f t="shared" si="1"/>
        <v>2023</v>
      </c>
      <c r="B22" s="35">
        <f t="shared" si="8"/>
        <v>49760</v>
      </c>
      <c r="C22" s="35">
        <f t="shared" si="2"/>
        <v>1555</v>
      </c>
      <c r="D22" s="35">
        <f t="shared" si="7"/>
        <v>2410.6387499999996</v>
      </c>
      <c r="E22" s="35">
        <f t="shared" si="3"/>
        <v>1951.4493109026434</v>
      </c>
      <c r="F22" s="32">
        <f t="shared" si="4"/>
        <v>5917.0880609026426</v>
      </c>
      <c r="G22" s="4"/>
      <c r="H22" s="33">
        <f t="shared" si="5"/>
        <v>8</v>
      </c>
      <c r="I22" s="34">
        <f t="shared" si="6"/>
        <v>20</v>
      </c>
      <c r="J22" s="5"/>
      <c r="K22" s="30"/>
    </row>
    <row r="23" spans="1:11" x14ac:dyDescent="0.35">
      <c r="A23" s="33">
        <f t="shared" si="1"/>
        <v>2024</v>
      </c>
      <c r="B23" s="35">
        <f t="shared" si="8"/>
        <v>48205</v>
      </c>
      <c r="C23" s="35">
        <f t="shared" si="2"/>
        <v>1555</v>
      </c>
      <c r="D23" s="35">
        <f t="shared" si="7"/>
        <v>2336.4652499999997</v>
      </c>
      <c r="E23" s="35">
        <f t="shared" si="3"/>
        <v>1990.4782971206964</v>
      </c>
      <c r="F23" s="32">
        <f t="shared" si="4"/>
        <v>5881.9435471206962</v>
      </c>
      <c r="G23" s="4"/>
      <c r="H23" s="33">
        <f t="shared" si="5"/>
        <v>9</v>
      </c>
      <c r="I23" s="34">
        <f t="shared" si="6"/>
        <v>20</v>
      </c>
      <c r="J23" s="5"/>
      <c r="K23" s="30"/>
    </row>
    <row r="24" spans="1:11" x14ac:dyDescent="0.35">
      <c r="A24" s="33">
        <f t="shared" si="1"/>
        <v>2025</v>
      </c>
      <c r="B24" s="35">
        <f t="shared" si="8"/>
        <v>46650</v>
      </c>
      <c r="C24" s="35">
        <f t="shared" si="2"/>
        <v>1555</v>
      </c>
      <c r="D24" s="35">
        <f t="shared" si="7"/>
        <v>2262.2917499999999</v>
      </c>
      <c r="E24" s="35">
        <f t="shared" si="3"/>
        <v>2030.2878630631103</v>
      </c>
      <c r="F24" s="32">
        <f t="shared" si="4"/>
        <v>5847.5796130631097</v>
      </c>
      <c r="G24" s="4"/>
      <c r="H24" s="33">
        <f t="shared" si="5"/>
        <v>10</v>
      </c>
      <c r="I24" s="34">
        <f t="shared" si="6"/>
        <v>20</v>
      </c>
      <c r="J24" s="5"/>
      <c r="K24" s="5"/>
    </row>
    <row r="25" spans="1:11" x14ac:dyDescent="0.35">
      <c r="A25" s="33">
        <f t="shared" si="1"/>
        <v>2026</v>
      </c>
      <c r="B25" s="35">
        <f t="shared" si="8"/>
        <v>45095</v>
      </c>
      <c r="C25" s="35">
        <f t="shared" si="2"/>
        <v>1555</v>
      </c>
      <c r="D25" s="35">
        <f t="shared" si="7"/>
        <v>2188.1182499999995</v>
      </c>
      <c r="E25" s="35">
        <f t="shared" si="3"/>
        <v>2070.8936203243725</v>
      </c>
      <c r="F25" s="32">
        <f t="shared" si="4"/>
        <v>5814.0118703243716</v>
      </c>
      <c r="G25" s="4"/>
      <c r="H25" s="33">
        <f t="shared" si="5"/>
        <v>11</v>
      </c>
      <c r="I25" s="34">
        <f t="shared" si="6"/>
        <v>20</v>
      </c>
      <c r="J25" s="5"/>
      <c r="K25" s="5"/>
    </row>
    <row r="26" spans="1:11" x14ac:dyDescent="0.35">
      <c r="A26" s="33">
        <f t="shared" si="1"/>
        <v>2027</v>
      </c>
      <c r="B26" s="35">
        <f t="shared" si="8"/>
        <v>43540</v>
      </c>
      <c r="C26" s="35">
        <f t="shared" si="2"/>
        <v>1555</v>
      </c>
      <c r="D26" s="35">
        <f t="shared" si="7"/>
        <v>2113.9447499999997</v>
      </c>
      <c r="E26" s="35">
        <f t="shared" si="3"/>
        <v>2112.3114927308598</v>
      </c>
      <c r="F26" s="32">
        <f t="shared" si="4"/>
        <v>5781.2562427308594</v>
      </c>
      <c r="G26" s="4"/>
      <c r="H26" s="33">
        <f t="shared" si="5"/>
        <v>12</v>
      </c>
      <c r="I26" s="34">
        <f t="shared" si="6"/>
        <v>20</v>
      </c>
      <c r="J26" s="5"/>
      <c r="K26" s="5"/>
    </row>
    <row r="27" spans="1:11" x14ac:dyDescent="0.35">
      <c r="A27" s="33">
        <f t="shared" si="1"/>
        <v>2028</v>
      </c>
      <c r="B27" s="35">
        <f t="shared" si="8"/>
        <v>41985</v>
      </c>
      <c r="C27" s="35">
        <f t="shared" si="2"/>
        <v>1555</v>
      </c>
      <c r="D27" s="35">
        <f t="shared" si="7"/>
        <v>2039.7712499999998</v>
      </c>
      <c r="E27" s="35">
        <f t="shared" si="3"/>
        <v>2154.5577225854768</v>
      </c>
      <c r="F27" s="32">
        <f t="shared" si="4"/>
        <v>5749.3289725854765</v>
      </c>
      <c r="G27" s="4"/>
      <c r="H27" s="33">
        <f t="shared" si="5"/>
        <v>13</v>
      </c>
      <c r="I27" s="34">
        <f t="shared" si="6"/>
        <v>20</v>
      </c>
      <c r="J27" s="5"/>
      <c r="K27" s="5"/>
    </row>
    <row r="28" spans="1:11" x14ac:dyDescent="0.35">
      <c r="A28" s="33">
        <f t="shared" si="1"/>
        <v>2029</v>
      </c>
      <c r="B28" s="35">
        <f t="shared" si="8"/>
        <v>40430</v>
      </c>
      <c r="C28" s="35">
        <f t="shared" si="2"/>
        <v>1555</v>
      </c>
      <c r="D28" s="35">
        <f t="shared" si="7"/>
        <v>1965.5977499999997</v>
      </c>
      <c r="E28" s="35">
        <f t="shared" si="3"/>
        <v>2197.6488770371861</v>
      </c>
      <c r="F28" s="32">
        <f t="shared" si="4"/>
        <v>5718.246627037186</v>
      </c>
      <c r="G28" s="4"/>
      <c r="H28" s="33">
        <f t="shared" si="5"/>
        <v>14</v>
      </c>
      <c r="I28" s="34">
        <f t="shared" si="6"/>
        <v>20</v>
      </c>
      <c r="J28" s="5"/>
      <c r="K28" s="5"/>
    </row>
    <row r="29" spans="1:11" x14ac:dyDescent="0.35">
      <c r="A29" s="33">
        <f t="shared" si="1"/>
        <v>2030</v>
      </c>
      <c r="B29" s="35">
        <f t="shared" si="8"/>
        <v>38875</v>
      </c>
      <c r="C29" s="35">
        <f t="shared" si="2"/>
        <v>1555</v>
      </c>
      <c r="D29" s="35">
        <f t="shared" si="7"/>
        <v>1891.4242499999998</v>
      </c>
      <c r="E29" s="35">
        <f t="shared" si="3"/>
        <v>2241.6018545779298</v>
      </c>
      <c r="F29" s="32">
        <f t="shared" si="4"/>
        <v>5688.0261045779298</v>
      </c>
      <c r="G29" s="4"/>
      <c r="H29" s="33">
        <f t="shared" si="5"/>
        <v>15</v>
      </c>
      <c r="I29" s="34">
        <f t="shared" si="6"/>
        <v>20</v>
      </c>
      <c r="J29" s="5"/>
      <c r="K29" s="5"/>
    </row>
    <row r="30" spans="1:11" x14ac:dyDescent="0.35">
      <c r="A30" s="33">
        <f t="shared" si="1"/>
        <v>2031</v>
      </c>
      <c r="B30" s="35">
        <f t="shared" si="8"/>
        <v>37320</v>
      </c>
      <c r="C30" s="35">
        <f t="shared" si="2"/>
        <v>1555</v>
      </c>
      <c r="D30" s="35">
        <f t="shared" si="7"/>
        <v>1817.2507499999997</v>
      </c>
      <c r="E30" s="35">
        <f t="shared" si="3"/>
        <v>2286.4338916694883</v>
      </c>
      <c r="F30" s="32">
        <f t="shared" si="4"/>
        <v>5658.684641669488</v>
      </c>
      <c r="G30" s="4"/>
      <c r="H30" s="33">
        <f t="shared" si="5"/>
        <v>16</v>
      </c>
      <c r="I30" s="34">
        <f t="shared" si="6"/>
        <v>20</v>
      </c>
      <c r="J30" s="5"/>
      <c r="K30" s="5"/>
    </row>
    <row r="31" spans="1:11" x14ac:dyDescent="0.35">
      <c r="A31" s="33">
        <f t="shared" si="1"/>
        <v>2032</v>
      </c>
      <c r="B31" s="35">
        <f t="shared" si="8"/>
        <v>35765</v>
      </c>
      <c r="C31" s="35">
        <f t="shared" si="2"/>
        <v>1555</v>
      </c>
      <c r="D31" s="35">
        <f t="shared" si="7"/>
        <v>1743.0772499999998</v>
      </c>
      <c r="E31" s="35">
        <f t="shared" si="3"/>
        <v>2332.1625695028779</v>
      </c>
      <c r="F31" s="32">
        <f t="shared" si="4"/>
        <v>5630.2398195028782</v>
      </c>
      <c r="G31" s="4"/>
      <c r="H31" s="33">
        <f t="shared" si="5"/>
        <v>17</v>
      </c>
      <c r="I31" s="34">
        <f t="shared" si="6"/>
        <v>20</v>
      </c>
      <c r="J31" s="5"/>
      <c r="K31" s="5"/>
    </row>
    <row r="32" spans="1:11" x14ac:dyDescent="0.35">
      <c r="A32" s="33">
        <f t="shared" si="1"/>
        <v>2033</v>
      </c>
      <c r="B32" s="35">
        <f t="shared" si="8"/>
        <v>34210</v>
      </c>
      <c r="C32" s="35">
        <f t="shared" si="2"/>
        <v>1555</v>
      </c>
      <c r="D32" s="35">
        <f t="shared" si="7"/>
        <v>1668.9037499999997</v>
      </c>
      <c r="E32" s="35">
        <f t="shared" si="3"/>
        <v>2378.8058208929356</v>
      </c>
      <c r="F32" s="32">
        <f t="shared" si="4"/>
        <v>5602.7095708929355</v>
      </c>
      <c r="G32" s="4"/>
      <c r="H32" s="33">
        <f t="shared" si="5"/>
        <v>18</v>
      </c>
      <c r="I32" s="34">
        <f t="shared" si="6"/>
        <v>20</v>
      </c>
      <c r="J32" s="5"/>
      <c r="K32" s="5"/>
    </row>
    <row r="33" spans="1:11" x14ac:dyDescent="0.35">
      <c r="A33" s="33">
        <f t="shared" si="1"/>
        <v>2034</v>
      </c>
      <c r="B33" s="35">
        <f t="shared" si="8"/>
        <v>32655</v>
      </c>
      <c r="C33" s="35">
        <f t="shared" si="2"/>
        <v>1555</v>
      </c>
      <c r="D33" s="35">
        <f t="shared" si="7"/>
        <v>1594.7302499999998</v>
      </c>
      <c r="E33" s="35">
        <f t="shared" si="3"/>
        <v>2426.3819373107945</v>
      </c>
      <c r="F33" s="32">
        <f t="shared" si="4"/>
        <v>5576.1121873107941</v>
      </c>
      <c r="G33" s="4"/>
      <c r="H33" s="33">
        <f t="shared" si="5"/>
        <v>19</v>
      </c>
      <c r="I33" s="34">
        <f t="shared" si="6"/>
        <v>20</v>
      </c>
      <c r="J33" s="5"/>
      <c r="K33" s="5"/>
    </row>
    <row r="34" spans="1:11" x14ac:dyDescent="0.35">
      <c r="A34" s="33">
        <f t="shared" si="1"/>
        <v>2035</v>
      </c>
      <c r="B34" s="35">
        <f t="shared" si="8"/>
        <v>31100</v>
      </c>
      <c r="C34" s="35">
        <f t="shared" si="2"/>
        <v>1555</v>
      </c>
      <c r="D34" s="35">
        <f t="shared" si="7"/>
        <v>1520.5567499999997</v>
      </c>
      <c r="E34" s="35">
        <f t="shared" si="3"/>
        <v>2474.9095760570103</v>
      </c>
      <c r="F34" s="32">
        <f t="shared" si="4"/>
        <v>5550.4663260570105</v>
      </c>
      <c r="G34" s="4"/>
      <c r="H34" s="33">
        <f t="shared" si="5"/>
        <v>20</v>
      </c>
      <c r="I34" s="34">
        <f t="shared" si="6"/>
        <v>20</v>
      </c>
      <c r="J34" s="5"/>
      <c r="K34" s="5"/>
    </row>
    <row r="35" spans="1:11" x14ac:dyDescent="0.35">
      <c r="A35" s="33">
        <f t="shared" si="1"/>
        <v>2036</v>
      </c>
      <c r="B35" s="35">
        <f t="shared" si="8"/>
        <v>29545</v>
      </c>
      <c r="C35" s="35">
        <f t="shared" si="2"/>
        <v>1555</v>
      </c>
      <c r="D35" s="35">
        <f t="shared" si="7"/>
        <v>1446.3832499999999</v>
      </c>
      <c r="E35" s="35">
        <f t="shared" si="3"/>
        <v>2524.4077675781505</v>
      </c>
      <c r="F35" s="32">
        <f t="shared" si="4"/>
        <v>5525.7910175781508</v>
      </c>
      <c r="G35" s="4"/>
      <c r="H35" s="33">
        <f t="shared" si="5"/>
        <v>21</v>
      </c>
      <c r="I35" s="34">
        <f t="shared" si="6"/>
        <v>20</v>
      </c>
      <c r="J35" s="5"/>
      <c r="K35" s="5"/>
    </row>
    <row r="36" spans="1:11" x14ac:dyDescent="0.35">
      <c r="A36" s="33">
        <f t="shared" si="1"/>
        <v>2037</v>
      </c>
      <c r="B36" s="35">
        <f t="shared" si="8"/>
        <v>27990</v>
      </c>
      <c r="C36" s="35">
        <f t="shared" si="2"/>
        <v>1555</v>
      </c>
      <c r="D36" s="35">
        <f t="shared" si="7"/>
        <v>1372.2097499999998</v>
      </c>
      <c r="E36" s="35">
        <f t="shared" si="3"/>
        <v>2574.8959229297134</v>
      </c>
      <c r="F36" s="32">
        <f t="shared" si="4"/>
        <v>5502.1056729297134</v>
      </c>
      <c r="G36" s="4"/>
      <c r="H36" s="33">
        <f t="shared" si="5"/>
        <v>22</v>
      </c>
      <c r="I36" s="34">
        <f t="shared" si="6"/>
        <v>20</v>
      </c>
      <c r="J36" s="5"/>
      <c r="K36" s="5"/>
    </row>
    <row r="37" spans="1:11" x14ac:dyDescent="0.35">
      <c r="A37" s="33">
        <f t="shared" si="1"/>
        <v>2038</v>
      </c>
      <c r="B37" s="35">
        <f t="shared" si="8"/>
        <v>26435</v>
      </c>
      <c r="C37" s="35">
        <f t="shared" si="2"/>
        <v>1555</v>
      </c>
      <c r="D37" s="35">
        <f t="shared" si="7"/>
        <v>1298.0362499999999</v>
      </c>
      <c r="E37" s="35">
        <f t="shared" si="3"/>
        <v>2626.3938413883079</v>
      </c>
      <c r="F37" s="32">
        <f t="shared" si="4"/>
        <v>5479.430091388308</v>
      </c>
      <c r="G37" s="4"/>
      <c r="H37" s="33">
        <f t="shared" si="5"/>
        <v>23</v>
      </c>
      <c r="I37" s="34">
        <f t="shared" si="6"/>
        <v>20</v>
      </c>
      <c r="J37" s="5"/>
      <c r="K37" s="5"/>
    </row>
    <row r="38" spans="1:11" x14ac:dyDescent="0.35">
      <c r="A38" s="33">
        <f t="shared" si="1"/>
        <v>2039</v>
      </c>
      <c r="B38" s="35">
        <f t="shared" si="8"/>
        <v>24880</v>
      </c>
      <c r="C38" s="35">
        <f t="shared" si="2"/>
        <v>1555</v>
      </c>
      <c r="D38" s="35">
        <f t="shared" si="7"/>
        <v>1223.8627499999998</v>
      </c>
      <c r="E38" s="35">
        <f t="shared" si="3"/>
        <v>2678.9217182160742</v>
      </c>
      <c r="F38" s="32">
        <f t="shared" si="4"/>
        <v>5457.7844682160739</v>
      </c>
      <c r="G38" s="4"/>
      <c r="H38" s="33">
        <f t="shared" si="5"/>
        <v>24</v>
      </c>
      <c r="I38" s="34">
        <f t="shared" si="6"/>
        <v>20</v>
      </c>
      <c r="J38" s="5"/>
      <c r="K38" s="5"/>
    </row>
    <row r="39" spans="1:11" x14ac:dyDescent="0.35">
      <c r="A39" s="33">
        <f t="shared" si="1"/>
        <v>2040</v>
      </c>
      <c r="B39" s="35">
        <f t="shared" si="8"/>
        <v>23325</v>
      </c>
      <c r="C39" s="35">
        <f t="shared" si="2"/>
        <v>1555</v>
      </c>
      <c r="D39" s="35">
        <f t="shared" si="7"/>
        <v>1149.6892499999999</v>
      </c>
      <c r="E39" s="35">
        <f t="shared" si="3"/>
        <v>2732.5001525803955</v>
      </c>
      <c r="F39" s="32">
        <f t="shared" si="4"/>
        <v>5437.1894025803958</v>
      </c>
      <c r="G39" s="4"/>
      <c r="H39" s="33">
        <f t="shared" si="5"/>
        <v>25</v>
      </c>
      <c r="I39" s="34">
        <f t="shared" si="6"/>
        <v>20</v>
      </c>
      <c r="J39" s="5"/>
      <c r="K39" s="5"/>
    </row>
    <row r="40" spans="1:11" x14ac:dyDescent="0.35">
      <c r="A40" s="33">
        <f t="shared" si="1"/>
        <v>2041</v>
      </c>
      <c r="B40" s="35">
        <f t="shared" si="8"/>
        <v>21770</v>
      </c>
      <c r="C40" s="35">
        <f t="shared" si="2"/>
        <v>1555</v>
      </c>
      <c r="D40" s="35">
        <f t="shared" si="7"/>
        <v>1075.5157499999998</v>
      </c>
      <c r="E40" s="35">
        <f t="shared" si="3"/>
        <v>2787.1501556320036</v>
      </c>
      <c r="F40" s="32">
        <f t="shared" si="4"/>
        <v>5417.6659056320032</v>
      </c>
      <c r="G40" s="4"/>
      <c r="H40" s="33">
        <f t="shared" si="5"/>
        <v>26</v>
      </c>
      <c r="I40" s="34">
        <f t="shared" si="6"/>
        <v>20</v>
      </c>
      <c r="J40" s="5"/>
      <c r="K40" s="5"/>
    </row>
    <row r="41" spans="1:11" x14ac:dyDescent="0.35">
      <c r="A41" s="33">
        <f t="shared" si="1"/>
        <v>2042</v>
      </c>
      <c r="B41" s="35">
        <f t="shared" si="8"/>
        <v>20215</v>
      </c>
      <c r="C41" s="35">
        <f t="shared" si="2"/>
        <v>1555</v>
      </c>
      <c r="D41" s="35">
        <f t="shared" ref="D41:D54" si="9">IF(ISNUMBER(B41),(B41+B40)/2*WACC,"")</f>
        <v>1001.3422499999998</v>
      </c>
      <c r="E41" s="35">
        <f t="shared" si="3"/>
        <v>2842.8931587446436</v>
      </c>
      <c r="F41" s="32">
        <f t="shared" si="4"/>
        <v>5399.2354087446438</v>
      </c>
      <c r="G41" s="4"/>
      <c r="H41" s="33">
        <f t="shared" si="5"/>
        <v>27</v>
      </c>
      <c r="I41" s="34">
        <f t="shared" si="6"/>
        <v>20</v>
      </c>
      <c r="J41" s="5"/>
      <c r="K41" s="5"/>
    </row>
    <row r="42" spans="1:11" x14ac:dyDescent="0.35">
      <c r="A42" s="33">
        <f t="shared" si="1"/>
        <v>2043</v>
      </c>
      <c r="B42" s="35">
        <f t="shared" si="8"/>
        <v>18660</v>
      </c>
      <c r="C42" s="35">
        <f t="shared" si="2"/>
        <v>1555</v>
      </c>
      <c r="D42" s="35">
        <f t="shared" si="9"/>
        <v>927.16874999999982</v>
      </c>
      <c r="E42" s="35">
        <f t="shared" si="3"/>
        <v>2899.7510219195365</v>
      </c>
      <c r="F42" s="32">
        <f t="shared" si="4"/>
        <v>5381.9197719195363</v>
      </c>
      <c r="G42" s="4"/>
      <c r="H42" s="33">
        <f t="shared" si="5"/>
        <v>28</v>
      </c>
      <c r="I42" s="34">
        <f t="shared" si="6"/>
        <v>20</v>
      </c>
      <c r="J42" s="5"/>
      <c r="K42" s="5"/>
    </row>
    <row r="43" spans="1:11" x14ac:dyDescent="0.35">
      <c r="A43" s="33">
        <f t="shared" si="1"/>
        <v>2044</v>
      </c>
      <c r="B43" s="35">
        <f t="shared" si="8"/>
        <v>17105</v>
      </c>
      <c r="C43" s="35">
        <f t="shared" si="2"/>
        <v>1555</v>
      </c>
      <c r="D43" s="35">
        <f t="shared" si="9"/>
        <v>852.99524999999983</v>
      </c>
      <c r="E43" s="35">
        <f t="shared" si="3"/>
        <v>2957.7460423579273</v>
      </c>
      <c r="F43" s="32">
        <f t="shared" si="4"/>
        <v>5365.7412923579268</v>
      </c>
      <c r="G43" s="4"/>
      <c r="H43" s="33">
        <f t="shared" si="5"/>
        <v>29</v>
      </c>
      <c r="I43" s="34">
        <f t="shared" si="6"/>
        <v>20</v>
      </c>
      <c r="J43" s="5"/>
      <c r="K43" s="5"/>
    </row>
    <row r="44" spans="1:11" x14ac:dyDescent="0.35">
      <c r="A44" s="33">
        <f t="shared" si="1"/>
        <v>2045</v>
      </c>
      <c r="B44" s="35">
        <f t="shared" si="8"/>
        <v>15550</v>
      </c>
      <c r="C44" s="35">
        <f t="shared" si="2"/>
        <v>1555</v>
      </c>
      <c r="D44" s="35">
        <f t="shared" si="9"/>
        <v>778.82174999999984</v>
      </c>
      <c r="E44" s="35">
        <f t="shared" si="3"/>
        <v>3016.9009632050861</v>
      </c>
      <c r="F44" s="32">
        <f t="shared" si="4"/>
        <v>5350.7227132050866</v>
      </c>
      <c r="G44" s="4"/>
      <c r="H44" s="33">
        <f t="shared" si="5"/>
        <v>30</v>
      </c>
      <c r="I44" s="34">
        <f t="shared" si="6"/>
        <v>20</v>
      </c>
      <c r="J44" s="5"/>
      <c r="K44" s="5"/>
    </row>
    <row r="45" spans="1:11" x14ac:dyDescent="0.35">
      <c r="A45" s="33">
        <f t="shared" si="1"/>
        <v>2046</v>
      </c>
      <c r="B45" s="35">
        <f t="shared" si="8"/>
        <v>13995</v>
      </c>
      <c r="C45" s="35">
        <f t="shared" si="2"/>
        <v>1555</v>
      </c>
      <c r="D45" s="35">
        <f t="shared" si="9"/>
        <v>704.64824999999985</v>
      </c>
      <c r="E45" s="35">
        <f t="shared" si="3"/>
        <v>3077.2389824691877</v>
      </c>
      <c r="F45" s="32">
        <f t="shared" si="4"/>
        <v>5336.8872324691874</v>
      </c>
      <c r="G45" s="4"/>
      <c r="H45" s="33">
        <f t="shared" si="5"/>
        <v>31</v>
      </c>
      <c r="I45" s="34">
        <f t="shared" si="6"/>
        <v>20</v>
      </c>
      <c r="J45" s="5"/>
      <c r="K45" s="5"/>
    </row>
    <row r="46" spans="1:11" x14ac:dyDescent="0.35">
      <c r="A46" s="33">
        <f t="shared" si="1"/>
        <v>2047</v>
      </c>
      <c r="B46" s="35">
        <f t="shared" si="8"/>
        <v>12440</v>
      </c>
      <c r="C46" s="35">
        <f t="shared" si="2"/>
        <v>1555</v>
      </c>
      <c r="D46" s="35">
        <f t="shared" si="9"/>
        <v>630.47474999999986</v>
      </c>
      <c r="E46" s="35">
        <f t="shared" si="3"/>
        <v>3138.7837621185713</v>
      </c>
      <c r="F46" s="32">
        <f t="shared" si="4"/>
        <v>5324.2585121185712</v>
      </c>
      <c r="G46" s="4"/>
      <c r="H46" s="33">
        <f t="shared" si="5"/>
        <v>32</v>
      </c>
      <c r="I46" s="34">
        <f t="shared" si="6"/>
        <v>20</v>
      </c>
      <c r="J46" s="5"/>
      <c r="K46" s="5"/>
    </row>
    <row r="47" spans="1:11" x14ac:dyDescent="0.35">
      <c r="A47" s="33">
        <f t="shared" si="1"/>
        <v>2048</v>
      </c>
      <c r="B47" s="35">
        <f t="shared" si="8"/>
        <v>10885</v>
      </c>
      <c r="C47" s="35">
        <f t="shared" si="2"/>
        <v>1555</v>
      </c>
      <c r="D47" s="35">
        <f t="shared" si="9"/>
        <v>556.30124999999987</v>
      </c>
      <c r="E47" s="35">
        <f t="shared" si="3"/>
        <v>3201.5594373609429</v>
      </c>
      <c r="F47" s="32">
        <f t="shared" si="4"/>
        <v>5312.8606873609424</v>
      </c>
      <c r="G47" s="4"/>
      <c r="H47" s="33">
        <f t="shared" si="5"/>
        <v>33</v>
      </c>
      <c r="I47" s="34">
        <f t="shared" si="6"/>
        <v>20</v>
      </c>
      <c r="J47" s="5"/>
      <c r="K47" s="5"/>
    </row>
    <row r="48" spans="1:11" x14ac:dyDescent="0.35">
      <c r="A48" s="33">
        <f t="shared" si="1"/>
        <v>2049</v>
      </c>
      <c r="B48" s="35">
        <f t="shared" si="8"/>
        <v>9330</v>
      </c>
      <c r="C48" s="35">
        <f t="shared" si="2"/>
        <v>1555</v>
      </c>
      <c r="D48" s="35">
        <f t="shared" si="9"/>
        <v>482.12774999999993</v>
      </c>
      <c r="E48" s="35">
        <f t="shared" si="3"/>
        <v>3265.5906261081618</v>
      </c>
      <c r="F48" s="32">
        <f t="shared" si="4"/>
        <v>5302.7183761081615</v>
      </c>
      <c r="G48" s="4"/>
      <c r="H48" s="33">
        <f t="shared" si="5"/>
        <v>34</v>
      </c>
      <c r="I48" s="34">
        <f t="shared" si="6"/>
        <v>20</v>
      </c>
      <c r="J48" s="5"/>
      <c r="K48" s="5"/>
    </row>
    <row r="49" spans="1:21" x14ac:dyDescent="0.35">
      <c r="A49" s="33">
        <f t="shared" si="1"/>
        <v>2050</v>
      </c>
      <c r="B49" s="35">
        <f t="shared" si="8"/>
        <v>7775</v>
      </c>
      <c r="C49" s="35">
        <f t="shared" si="2"/>
        <v>1555</v>
      </c>
      <c r="D49" s="35">
        <f t="shared" si="9"/>
        <v>407.95424999999994</v>
      </c>
      <c r="E49" s="35">
        <f t="shared" si="3"/>
        <v>3330.9024386303249</v>
      </c>
      <c r="F49" s="32">
        <f t="shared" si="4"/>
        <v>5293.8566886303252</v>
      </c>
      <c r="G49" s="4"/>
      <c r="H49" s="33">
        <f t="shared" si="5"/>
        <v>35</v>
      </c>
      <c r="I49" s="34">
        <f t="shared" si="6"/>
        <v>20</v>
      </c>
      <c r="J49" s="5"/>
      <c r="K49" s="5"/>
    </row>
    <row r="50" spans="1:21" x14ac:dyDescent="0.35">
      <c r="A50" s="33">
        <f t="shared" si="1"/>
        <v>2051</v>
      </c>
      <c r="B50" s="35">
        <f t="shared" si="8"/>
        <v>6220</v>
      </c>
      <c r="C50" s="35">
        <f t="shared" si="2"/>
        <v>1555</v>
      </c>
      <c r="D50" s="35">
        <f t="shared" si="9"/>
        <v>333.78074999999995</v>
      </c>
      <c r="E50" s="35">
        <f t="shared" si="3"/>
        <v>3397.5204874029314</v>
      </c>
      <c r="F50" s="32">
        <f t="shared" si="4"/>
        <v>5286.3012374029313</v>
      </c>
      <c r="G50" s="4"/>
      <c r="H50" s="33">
        <f t="shared" si="5"/>
        <v>36</v>
      </c>
      <c r="I50" s="34">
        <f t="shared" si="6"/>
        <v>20</v>
      </c>
      <c r="J50" s="5"/>
      <c r="K50" s="5"/>
    </row>
    <row r="51" spans="1:21" x14ac:dyDescent="0.35">
      <c r="A51" s="33">
        <f t="shared" si="1"/>
        <v>2052</v>
      </c>
      <c r="B51" s="35">
        <f t="shared" si="8"/>
        <v>4665</v>
      </c>
      <c r="C51" s="35">
        <f t="shared" si="2"/>
        <v>1555</v>
      </c>
      <c r="D51" s="35">
        <f t="shared" si="9"/>
        <v>259.60724999999996</v>
      </c>
      <c r="E51" s="35">
        <f t="shared" si="3"/>
        <v>3465.4708971509899</v>
      </c>
      <c r="F51" s="32">
        <f t="shared" si="4"/>
        <v>5280.0781471509899</v>
      </c>
      <c r="G51" s="4"/>
      <c r="H51" s="33">
        <f t="shared" si="5"/>
        <v>37</v>
      </c>
      <c r="I51" s="34">
        <f t="shared" si="6"/>
        <v>20</v>
      </c>
      <c r="J51" s="5"/>
      <c r="K51" s="5"/>
    </row>
    <row r="52" spans="1:21" x14ac:dyDescent="0.35">
      <c r="A52" s="33">
        <f t="shared" si="1"/>
        <v>2053</v>
      </c>
      <c r="B52" s="35">
        <f t="shared" si="8"/>
        <v>3110</v>
      </c>
      <c r="C52" s="35">
        <f t="shared" si="2"/>
        <v>1555</v>
      </c>
      <c r="D52" s="35">
        <f t="shared" si="9"/>
        <v>185.43374999999997</v>
      </c>
      <c r="E52" s="35">
        <f t="shared" si="3"/>
        <v>3534.7803150940099</v>
      </c>
      <c r="F52" s="32">
        <f t="shared" si="4"/>
        <v>5275.21406509401</v>
      </c>
      <c r="G52" s="4"/>
      <c r="H52" s="33">
        <f t="shared" si="5"/>
        <v>38</v>
      </c>
      <c r="I52" s="34">
        <f t="shared" si="6"/>
        <v>20</v>
      </c>
      <c r="J52" s="5"/>
      <c r="K52" s="5"/>
    </row>
    <row r="53" spans="1:21" x14ac:dyDescent="0.35">
      <c r="A53" s="33">
        <f t="shared" si="1"/>
        <v>2054</v>
      </c>
      <c r="B53" s="35">
        <f t="shared" si="8"/>
        <v>1555</v>
      </c>
      <c r="C53" s="35">
        <f t="shared" si="2"/>
        <v>1555</v>
      </c>
      <c r="D53" s="35">
        <f t="shared" si="9"/>
        <v>111.26024999999998</v>
      </c>
      <c r="E53" s="35">
        <f t="shared" si="3"/>
        <v>3605.4759213958901</v>
      </c>
      <c r="F53" s="32">
        <f t="shared" si="4"/>
        <v>5271.7361713958899</v>
      </c>
      <c r="G53" s="4"/>
      <c r="H53" s="33">
        <f t="shared" si="5"/>
        <v>39</v>
      </c>
      <c r="I53" s="34">
        <f t="shared" si="6"/>
        <v>20</v>
      </c>
      <c r="J53" s="5"/>
      <c r="K53" s="5"/>
    </row>
    <row r="54" spans="1:21" x14ac:dyDescent="0.35">
      <c r="A54" s="33">
        <f t="shared" si="1"/>
        <v>2055</v>
      </c>
      <c r="B54" s="35">
        <f t="shared" si="8"/>
        <v>0</v>
      </c>
      <c r="C54" s="35">
        <f t="shared" si="2"/>
        <v>1555</v>
      </c>
      <c r="D54" s="35">
        <f t="shared" si="9"/>
        <v>37.086749999999995</v>
      </c>
      <c r="E54" s="35">
        <f t="shared" si="3"/>
        <v>3677.585439823808</v>
      </c>
      <c r="F54" s="32">
        <f t="shared" si="4"/>
        <v>5269.6721898238084</v>
      </c>
      <c r="G54" s="4"/>
      <c r="H54" s="33">
        <f t="shared" si="5"/>
        <v>40</v>
      </c>
      <c r="I54" s="34">
        <f t="shared" si="6"/>
        <v>20</v>
      </c>
      <c r="J54" s="5"/>
      <c r="K54" s="5"/>
    </row>
    <row r="55" spans="1:21" ht="12" customHeight="1" x14ac:dyDescent="0.35">
      <c r="A55" s="36"/>
      <c r="B55" s="37"/>
      <c r="C55" s="37"/>
      <c r="D55" s="37"/>
      <c r="E55" s="37"/>
      <c r="F55" s="37"/>
      <c r="G55" s="21"/>
      <c r="H55" s="38"/>
      <c r="J55" s="39"/>
    </row>
    <row r="56" spans="1:21" ht="12" customHeight="1" x14ac:dyDescent="0.35">
      <c r="A56" s="36" t="s">
        <v>20</v>
      </c>
      <c r="B56" s="37"/>
      <c r="C56" s="37">
        <f>NPV(WACC,C16:C54)+C15</f>
        <v>28858.297483662453</v>
      </c>
      <c r="D56" s="37">
        <f>NPV(WACC,D16:D54)+D15</f>
        <v>35620.372121352128</v>
      </c>
      <c r="E56" s="37">
        <f>NPV(WACC,E16:E54)+E15</f>
        <v>42254.93801153035</v>
      </c>
      <c r="F56" s="37">
        <f>NPV(WACC,F16:F54)+F15</f>
        <v>106733.6076165449</v>
      </c>
      <c r="G56" s="21"/>
      <c r="H56" s="40"/>
      <c r="J56" s="4"/>
      <c r="K56" s="4"/>
    </row>
    <row r="57" spans="1:21" s="2" customFormat="1" x14ac:dyDescent="0.35">
      <c r="A57" s="41"/>
      <c r="B57" s="42"/>
      <c r="C57" s="42"/>
      <c r="F57" s="4"/>
      <c r="M57" s="5"/>
      <c r="N57" s="5"/>
      <c r="O57" s="5"/>
      <c r="P57" s="5"/>
      <c r="Q57" s="5"/>
      <c r="R57" s="5"/>
      <c r="S57" s="5"/>
      <c r="T57" s="5"/>
      <c r="U57" s="5"/>
    </row>
    <row r="58" spans="1:21" s="2" customFormat="1" x14ac:dyDescent="0.35">
      <c r="A58" s="41"/>
      <c r="B58" s="17"/>
      <c r="C58" s="43"/>
      <c r="D58" s="21"/>
      <c r="F58" s="4"/>
      <c r="M58" s="5"/>
      <c r="N58" s="5"/>
      <c r="O58" s="5"/>
      <c r="P58" s="5"/>
      <c r="Q58" s="5"/>
      <c r="R58" s="5"/>
      <c r="S58" s="5"/>
      <c r="T58" s="5"/>
      <c r="U58" s="5"/>
    </row>
    <row r="59" spans="1:21" s="2" customFormat="1" x14ac:dyDescent="0.35">
      <c r="A59" s="44" t="s">
        <v>21</v>
      </c>
      <c r="B59" s="17"/>
      <c r="C59" s="43"/>
      <c r="D59" s="21"/>
      <c r="F59" s="4"/>
      <c r="M59" s="5"/>
      <c r="N59" s="5"/>
      <c r="O59" s="5"/>
      <c r="P59" s="5"/>
      <c r="Q59" s="5"/>
      <c r="R59" s="5"/>
      <c r="S59" s="5"/>
      <c r="T59" s="5"/>
      <c r="U59" s="5"/>
    </row>
    <row r="60" spans="1:21" s="2" customFormat="1" ht="52" customHeight="1" x14ac:dyDescent="0.35">
      <c r="A60" s="47" t="s">
        <v>22</v>
      </c>
      <c r="B60" s="47"/>
      <c r="C60" s="47"/>
      <c r="D60" s="47"/>
      <c r="E60" s="47"/>
      <c r="F60" s="47"/>
      <c r="G60" s="47"/>
      <c r="H60" s="47"/>
      <c r="I60" s="47"/>
      <c r="M60" s="5"/>
      <c r="N60" s="5"/>
      <c r="O60" s="5"/>
      <c r="P60" s="5"/>
      <c r="Q60" s="5"/>
      <c r="R60" s="5"/>
      <c r="S60" s="5"/>
      <c r="T60" s="5"/>
      <c r="U60" s="5"/>
    </row>
    <row r="61" spans="1:21" s="2" customFormat="1" ht="42" customHeight="1" x14ac:dyDescent="0.35">
      <c r="A61" s="47" t="s">
        <v>25</v>
      </c>
      <c r="B61" s="47"/>
      <c r="C61" s="47"/>
      <c r="D61" s="47"/>
      <c r="E61" s="47"/>
      <c r="F61" s="47"/>
      <c r="G61" s="47"/>
      <c r="H61" s="47"/>
      <c r="I61" s="47"/>
      <c r="M61" s="5"/>
      <c r="N61" s="5"/>
      <c r="O61" s="5"/>
      <c r="P61" s="5"/>
      <c r="Q61" s="5"/>
      <c r="R61" s="5"/>
      <c r="S61" s="5"/>
      <c r="T61" s="5"/>
      <c r="U61" s="5"/>
    </row>
    <row r="62" spans="1:21" s="2" customFormat="1" ht="31.5" customHeight="1" x14ac:dyDescent="0.35">
      <c r="A62" s="47" t="s">
        <v>27</v>
      </c>
      <c r="B62" s="47"/>
      <c r="C62" s="47"/>
      <c r="D62" s="47"/>
      <c r="E62" s="47"/>
      <c r="F62" s="47"/>
      <c r="G62" s="47"/>
      <c r="H62" s="47"/>
      <c r="I62" s="47"/>
      <c r="M62" s="5"/>
      <c r="N62" s="5"/>
      <c r="O62" s="5"/>
      <c r="P62" s="5"/>
      <c r="Q62" s="5"/>
      <c r="R62" s="5"/>
      <c r="S62" s="5"/>
      <c r="T62" s="5"/>
      <c r="U62" s="5"/>
    </row>
    <row r="63" spans="1:21" s="2" customFormat="1" x14ac:dyDescent="0.35">
      <c r="A63" s="41"/>
      <c r="D63" s="21"/>
      <c r="F63" s="4"/>
      <c r="M63" s="5"/>
      <c r="N63" s="5"/>
      <c r="O63" s="5"/>
      <c r="P63" s="5"/>
      <c r="Q63" s="5"/>
      <c r="R63" s="5"/>
      <c r="S63" s="5"/>
      <c r="T63" s="5"/>
      <c r="U63" s="5"/>
    </row>
    <row r="64" spans="1:21" s="2" customFormat="1" x14ac:dyDescent="0.35">
      <c r="A64" s="41"/>
      <c r="B64" s="45"/>
      <c r="C64" s="43"/>
      <c r="D64" s="21"/>
      <c r="F64" s="4"/>
      <c r="M64" s="5"/>
      <c r="N64" s="5"/>
      <c r="O64" s="5"/>
      <c r="P64" s="5"/>
      <c r="Q64" s="5"/>
      <c r="R64" s="5"/>
      <c r="S64" s="5"/>
      <c r="T64" s="5"/>
      <c r="U64" s="5"/>
    </row>
    <row r="65" spans="1:21" s="2" customFormat="1" x14ac:dyDescent="0.35">
      <c r="A65" s="41"/>
      <c r="B65" s="45"/>
      <c r="C65" s="43"/>
      <c r="D65" s="21"/>
      <c r="F65" s="4"/>
      <c r="M65" s="5"/>
      <c r="N65" s="5"/>
      <c r="O65" s="5"/>
      <c r="P65" s="5"/>
      <c r="Q65" s="5"/>
      <c r="R65" s="5"/>
      <c r="S65" s="5"/>
      <c r="T65" s="5"/>
      <c r="U65" s="5"/>
    </row>
    <row r="66" spans="1:21" s="2" customFormat="1" x14ac:dyDescent="0.35">
      <c r="A66" s="41"/>
      <c r="B66" s="45"/>
      <c r="C66" s="43"/>
      <c r="D66" s="21"/>
      <c r="F66" s="4"/>
      <c r="M66" s="5"/>
      <c r="N66" s="5"/>
      <c r="O66" s="5"/>
      <c r="P66" s="5"/>
      <c r="Q66" s="5"/>
      <c r="R66" s="5"/>
      <c r="S66" s="5"/>
      <c r="T66" s="5"/>
      <c r="U66" s="5"/>
    </row>
    <row r="67" spans="1:21" s="2" customFormat="1" x14ac:dyDescent="0.35">
      <c r="A67" s="41"/>
      <c r="B67" s="45"/>
      <c r="C67" s="43"/>
      <c r="D67" s="21"/>
      <c r="F67" s="4"/>
      <c r="M67" s="5"/>
      <c r="N67" s="5"/>
      <c r="O67" s="5"/>
      <c r="P67" s="5"/>
      <c r="Q67" s="5"/>
      <c r="R67" s="5"/>
      <c r="S67" s="5"/>
      <c r="T67" s="5"/>
      <c r="U67" s="5"/>
    </row>
    <row r="68" spans="1:21" s="2" customFormat="1" x14ac:dyDescent="0.35">
      <c r="A68" s="41"/>
      <c r="B68" s="45"/>
      <c r="C68" s="43"/>
      <c r="D68" s="21"/>
      <c r="F68" s="4"/>
      <c r="M68" s="5"/>
      <c r="N68" s="5"/>
      <c r="O68" s="5"/>
      <c r="P68" s="5"/>
      <c r="Q68" s="5"/>
      <c r="R68" s="5"/>
      <c r="S68" s="5"/>
      <c r="T68" s="5"/>
      <c r="U68" s="5"/>
    </row>
    <row r="69" spans="1:21" s="2" customFormat="1" x14ac:dyDescent="0.35">
      <c r="A69" s="41"/>
      <c r="F69" s="4"/>
      <c r="M69" s="5"/>
      <c r="N69" s="5"/>
      <c r="O69" s="5"/>
      <c r="P69" s="5"/>
      <c r="Q69" s="5"/>
      <c r="R69" s="5"/>
      <c r="S69" s="5"/>
      <c r="T69" s="5"/>
      <c r="U69" s="5"/>
    </row>
    <row r="70" spans="1:21" s="2" customFormat="1" x14ac:dyDescent="0.35">
      <c r="A70" s="41"/>
      <c r="F70" s="4"/>
      <c r="M70" s="5"/>
      <c r="N70" s="5"/>
      <c r="O70" s="5"/>
      <c r="P70" s="5"/>
      <c r="Q70" s="5"/>
      <c r="R70" s="5"/>
      <c r="S70" s="5"/>
      <c r="T70" s="5"/>
      <c r="U70" s="5"/>
    </row>
    <row r="71" spans="1:21" s="2" customFormat="1" x14ac:dyDescent="0.35">
      <c r="A71" s="41"/>
      <c r="F71" s="4"/>
    </row>
    <row r="72" spans="1:21" s="2" customFormat="1" x14ac:dyDescent="0.35">
      <c r="A72" s="41"/>
      <c r="F72" s="4"/>
    </row>
    <row r="73" spans="1:21" s="2" customFormat="1" x14ac:dyDescent="0.35">
      <c r="A73" s="41"/>
      <c r="F73" s="4"/>
    </row>
    <row r="74" spans="1:21" s="2" customFormat="1" x14ac:dyDescent="0.35">
      <c r="A74" s="41"/>
      <c r="F74" s="4"/>
    </row>
    <row r="75" spans="1:21" s="2" customFormat="1" x14ac:dyDescent="0.35">
      <c r="A75" s="41"/>
      <c r="F75" s="4"/>
    </row>
    <row r="76" spans="1:21" s="2" customFormat="1" x14ac:dyDescent="0.35">
      <c r="A76" s="41"/>
      <c r="F76" s="4"/>
    </row>
    <row r="77" spans="1:21" s="2" customFormat="1" x14ac:dyDescent="0.35">
      <c r="A77" s="41"/>
      <c r="F77" s="4"/>
    </row>
    <row r="78" spans="1:21" s="2" customFormat="1" x14ac:dyDescent="0.35">
      <c r="A78" s="41"/>
      <c r="F78" s="4"/>
    </row>
  </sheetData>
  <mergeCells count="7">
    <mergeCell ref="A62:I62"/>
    <mergeCell ref="A12:A14"/>
    <mergeCell ref="B12:F12"/>
    <mergeCell ref="H12:H14"/>
    <mergeCell ref="I12:I14"/>
    <mergeCell ref="A60:I60"/>
    <mergeCell ref="A61:I61"/>
  </mergeCell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20 MW diesel without tax</vt:lpstr>
      <vt:lpstr>20 MW diesel with tax</vt:lpstr>
      <vt:lpstr>'20 MW diesel with tax'!END_CAPEX_YEAR</vt:lpstr>
      <vt:lpstr>'20 MW diesel without tax'!END_CAPEX_YEAR</vt:lpstr>
      <vt:lpstr>'20 MW diesel with tax'!GWH</vt:lpstr>
      <vt:lpstr>'20 MW diesel without tax'!GWH</vt:lpstr>
      <vt:lpstr>'20 MW diesel with tax'!INFL</vt:lpstr>
      <vt:lpstr>'20 MW diesel without tax'!INFL</vt:lpstr>
      <vt:lpstr>'20 MW diesel with tax'!LIFE</vt:lpstr>
      <vt:lpstr>'20 MW diesel without tax'!LIFE</vt:lpstr>
      <vt:lpstr>'20 MW diesel with tax'!Print_Area</vt:lpstr>
      <vt:lpstr>'20 MW diesel without tax'!Print_Area</vt:lpstr>
      <vt:lpstr>'20 MW diesel with tax'!REAL_D_RATE</vt:lpstr>
      <vt:lpstr>'20 MW diesel without tax'!REAL_D_RATE</vt:lpstr>
      <vt:lpstr>'20 MW diesel with tax'!WACC</vt:lpstr>
      <vt:lpstr>'20 MW diesel without tax'!WACC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2022-07-20T19:47:34Z</dcterms:created>
  <dcterms:modified xsi:type="dcterms:W3CDTF">2022-07-25T19:47:54Z</dcterms:modified>
</cp:coreProperties>
</file>