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320" yWindow="150" windowWidth="5910" windowHeight="7305" tabRatio="728" activeTab="1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Index!$B$1:$J$29</definedName>
    <definedName name="_xlnm.Print_Area" localSheetId="1">'Schedule 1'!$A$1:$N$57</definedName>
    <definedName name="_xlnm.Print_Area" localSheetId="11">'Schedule 10'!$A$1:$M$36</definedName>
    <definedName name="_xlnm.Print_Area" localSheetId="12">'Schedule 11'!$A$1:$M$53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3'!$A$1:$M$42</definedName>
    <definedName name="_xlnm.Print_Area" localSheetId="5">'Schedule 4'!$A$1:$P$35</definedName>
    <definedName name="_xlnm.Print_Area" localSheetId="6">'Schedule 5'!$A$1:$M$31</definedName>
    <definedName name="_xlnm.Print_Area" localSheetId="7">'Schedule 6'!$A$1:$M$35</definedName>
    <definedName name="_xlnm.Print_Area" localSheetId="8">'Schedule 7'!$A$1:$M$30</definedName>
    <definedName name="_xlnm.Print_Area" localSheetId="9">'Schedule 8'!$A$1:$M$25</definedName>
    <definedName name="_xlnm.Print_Area" localSheetId="10">'Schedule 9'!$A$1:$K$64</definedName>
    <definedName name="_xlnm.Print_Titles" localSheetId="1">'Schedule 1'!$1:$7</definedName>
  </definedNames>
  <calcPr calcId="152511"/>
</workbook>
</file>

<file path=xl/calcChain.xml><?xml version="1.0" encoding="utf-8"?>
<calcChain xmlns="http://schemas.openxmlformats.org/spreadsheetml/2006/main">
  <c r="I16" i="36" l="1"/>
  <c r="I12" i="36"/>
  <c r="E23" i="25" l="1"/>
  <c r="E48" i="25"/>
  <c r="E13" i="25"/>
  <c r="E19" i="25"/>
  <c r="E40" i="25"/>
  <c r="E27" i="25"/>
  <c r="E31" i="25"/>
  <c r="I17" i="36"/>
  <c r="I11" i="36"/>
  <c r="I15" i="36"/>
  <c r="I34" i="36"/>
  <c r="I38" i="36"/>
  <c r="I46" i="36"/>
  <c r="I24" i="36"/>
  <c r="I39" i="36"/>
  <c r="I37" i="36"/>
  <c r="I45" i="36"/>
  <c r="G14" i="20"/>
  <c r="J3" i="31" l="1"/>
  <c r="I24" i="18" l="1"/>
  <c r="I26" i="12"/>
  <c r="I15" i="12"/>
  <c r="I11" i="12"/>
  <c r="D25" i="31"/>
  <c r="A32" i="29" l="1"/>
  <c r="A34" i="29" s="1"/>
  <c r="A30" i="29"/>
  <c r="G19" i="27" l="1"/>
  <c r="E33" i="25"/>
  <c r="G30" i="19"/>
  <c r="G13" i="12"/>
  <c r="G26" i="36" l="1"/>
  <c r="G17" i="29"/>
  <c r="I34" i="13"/>
  <c r="I22" i="12"/>
  <c r="I19" i="23"/>
  <c r="I33" i="36"/>
  <c r="J23" i="14"/>
  <c r="G17" i="12"/>
  <c r="G19" i="20"/>
  <c r="G24" i="20" s="1"/>
  <c r="G25" i="20" s="1"/>
  <c r="G26" i="27"/>
  <c r="G24" i="12"/>
  <c r="O15" i="29"/>
  <c r="I13" i="29"/>
  <c r="I15" i="29"/>
  <c r="E34" i="25"/>
  <c r="E42" i="25" s="1"/>
  <c r="O13" i="29"/>
  <c r="H18" i="14"/>
  <c r="G15" i="27"/>
  <c r="G19" i="19"/>
  <c r="G21" i="19" s="1"/>
  <c r="H25" i="14"/>
  <c r="H44" i="14"/>
  <c r="H46" i="14" s="1"/>
  <c r="H49" i="14" s="1"/>
  <c r="H51" i="14" s="1"/>
  <c r="G26" i="19"/>
  <c r="G21" i="23"/>
  <c r="G14" i="23"/>
  <c r="G25" i="18"/>
  <c r="G27" i="18" s="1"/>
  <c r="G48" i="36"/>
  <c r="E35" i="25"/>
  <c r="E36" i="25" s="1"/>
  <c r="G29" i="13"/>
  <c r="G15" i="13"/>
  <c r="G36" i="13"/>
  <c r="G13" i="11"/>
  <c r="G15" i="11" s="1"/>
  <c r="G21" i="11" s="1"/>
  <c r="H28" i="14" l="1"/>
  <c r="H30" i="14" s="1"/>
  <c r="E50" i="25"/>
  <c r="G38" i="13"/>
  <c r="G28" i="36"/>
  <c r="G28" i="12"/>
  <c r="I17" i="29"/>
  <c r="G32" i="19"/>
  <c r="G28" i="27"/>
  <c r="O17" i="29"/>
  <c r="G22" i="27"/>
  <c r="G35" i="27" s="1"/>
  <c r="G23" i="23"/>
  <c r="E43" i="25"/>
  <c r="H32" i="14" l="1"/>
  <c r="H38" i="14" s="1"/>
  <c r="H53" i="14" s="1"/>
  <c r="G50" i="36"/>
  <c r="G30" i="12"/>
  <c r="E51" i="25"/>
  <c r="E58" i="25" s="1"/>
  <c r="E44" i="25"/>
  <c r="E52" i="25" l="1"/>
  <c r="E62" i="25"/>
  <c r="A21" i="19" l="1"/>
  <c r="A23" i="19" s="1"/>
  <c r="A24" i="19" s="1"/>
  <c r="A25" i="19" s="1"/>
  <c r="A26" i="19" s="1"/>
  <c r="A28" i="19" s="1"/>
  <c r="A29" i="19" s="1"/>
  <c r="A30" i="19" s="1"/>
  <c r="A32" i="19" s="1"/>
  <c r="A43" i="14" l="1"/>
  <c r="A44" i="14" s="1"/>
  <c r="A45" i="14" s="1"/>
  <c r="A46" i="14" s="1"/>
  <c r="A48" i="14" s="1"/>
  <c r="A49" i="14" s="1"/>
  <c r="A51" i="14" s="1"/>
  <c r="A53" i="14" s="1"/>
  <c r="B25" i="31" l="1"/>
  <c r="B27" i="31" s="1"/>
  <c r="D23" i="31"/>
  <c r="D21" i="31"/>
  <c r="A23" i="20"/>
  <c r="A24" i="20" s="1"/>
  <c r="A25" i="20" s="1"/>
  <c r="A55" i="25" l="1"/>
  <c r="A56" i="25" s="1"/>
  <c r="A58" i="25" s="1"/>
  <c r="A60" i="25" s="1"/>
  <c r="A62" i="25" s="1"/>
  <c r="A12" i="36" l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6" i="36" s="1"/>
  <c r="A27" i="36" l="1"/>
  <c r="A28" i="36" s="1"/>
  <c r="A33" i="36" s="1"/>
  <c r="A34" i="36" s="1"/>
  <c r="A35" i="36" s="1"/>
  <c r="A36" i="36" s="1"/>
  <c r="A37" i="36" s="1"/>
  <c r="A38" i="36" l="1"/>
  <c r="A39" i="36" s="1"/>
  <c r="A40" i="36" l="1"/>
  <c r="A41" i="36" s="1"/>
  <c r="A42" i="36" s="1"/>
  <c r="A43" i="36" s="1"/>
  <c r="A44" i="36" s="1"/>
  <c r="A45" i="36" s="1"/>
  <c r="A46" i="36" s="1"/>
  <c r="M2" i="36"/>
  <c r="M2" i="27"/>
  <c r="K2" i="25"/>
  <c r="M2" i="23"/>
  <c r="M2" i="20"/>
  <c r="M2" i="19"/>
  <c r="M2" i="18"/>
  <c r="O3" i="29"/>
  <c r="M2" i="13"/>
  <c r="M2" i="12"/>
  <c r="M2" i="11"/>
  <c r="A48" i="36" l="1"/>
  <c r="A50" i="36" s="1"/>
  <c r="F32" i="13"/>
  <c r="F33" i="13"/>
  <c r="F36" i="13" l="1"/>
  <c r="L13" i="12" l="1"/>
  <c r="L24" i="12"/>
  <c r="L19" i="11"/>
  <c r="L25" i="11" s="1"/>
  <c r="M35" i="14"/>
  <c r="M42" i="14"/>
  <c r="M43" i="14"/>
  <c r="D6" i="31"/>
  <c r="D8" i="31"/>
  <c r="D9" i="31"/>
  <c r="D11" i="31"/>
  <c r="D15" i="31"/>
  <c r="D17" i="31"/>
  <c r="D19" i="31"/>
  <c r="D27" i="31"/>
  <c r="M44" i="14" l="1"/>
  <c r="M48" i="14"/>
  <c r="M49" i="14" l="1"/>
  <c r="M51" i="14" s="1"/>
  <c r="G30" i="25" l="1"/>
  <c r="G26" i="25"/>
  <c r="I44" i="36" l="1"/>
  <c r="I43" i="36"/>
  <c r="G46" i="25" l="1"/>
  <c r="G38" i="25"/>
  <c r="G21" i="25"/>
  <c r="G16" i="25"/>
  <c r="G15" i="25"/>
  <c r="G9" i="25" l="1"/>
  <c r="I33" i="25"/>
  <c r="G33" i="25" s="1"/>
  <c r="G10" i="25"/>
  <c r="G17" i="25"/>
  <c r="G11" i="25"/>
  <c r="I34" i="25" l="1"/>
  <c r="G34" i="25" s="1"/>
  <c r="G29" i="25"/>
  <c r="I31" i="25"/>
  <c r="G31" i="25" s="1"/>
  <c r="G25" i="25"/>
  <c r="I27" i="25"/>
  <c r="G27" i="25" s="1"/>
  <c r="I42" i="25" l="1"/>
  <c r="G42" i="25" s="1"/>
  <c r="I50" i="25" l="1"/>
  <c r="G50" i="25" s="1"/>
  <c r="I12" i="13" l="1"/>
  <c r="J45" i="14" l="1"/>
  <c r="J43" i="14"/>
  <c r="J22" i="14" l="1"/>
  <c r="J42" i="14"/>
  <c r="L44" i="14"/>
  <c r="J44" i="14" l="1"/>
  <c r="L46" i="14"/>
  <c r="J46" i="14" s="1"/>
  <c r="I33" i="13" l="1"/>
  <c r="J48" i="14" l="1"/>
  <c r="L49" i="14"/>
  <c r="L51" i="14" l="1"/>
  <c r="J49" i="14"/>
  <c r="J51" i="14" l="1"/>
  <c r="I13" i="27" l="1"/>
  <c r="I11" i="27" l="1"/>
  <c r="I23" i="36" l="1"/>
  <c r="J16" i="14" l="1"/>
  <c r="I27" i="13" l="1"/>
  <c r="I27" i="36" l="1"/>
  <c r="J24" i="14" l="1"/>
  <c r="I35" i="13" l="1"/>
  <c r="I16" i="19" l="1"/>
  <c r="I24" i="19"/>
  <c r="I15" i="19" l="1"/>
  <c r="I22" i="18"/>
  <c r="I20" i="23" l="1"/>
  <c r="I14" i="19" l="1"/>
  <c r="I22" i="36" l="1"/>
  <c r="I41" i="36"/>
  <c r="I19" i="36"/>
  <c r="I36" i="36" l="1"/>
  <c r="I14" i="36" l="1"/>
  <c r="I13" i="36" l="1"/>
  <c r="I21" i="36" l="1"/>
  <c r="G60" i="25" l="1"/>
  <c r="G18" i="25" l="1"/>
  <c r="I19" i="25"/>
  <c r="G19" i="25" s="1"/>
  <c r="I40" i="25" l="1"/>
  <c r="G40" i="25" s="1"/>
  <c r="G39" i="25"/>
  <c r="I23" i="25"/>
  <c r="G23" i="25" s="1"/>
  <c r="G22" i="25"/>
  <c r="G12" i="25" l="1"/>
  <c r="I35" i="25"/>
  <c r="I13" i="25"/>
  <c r="G13" i="25" s="1"/>
  <c r="I43" i="25" l="1"/>
  <c r="G35" i="25"/>
  <c r="I36" i="25"/>
  <c r="G36" i="25" s="1"/>
  <c r="I44" i="25" l="1"/>
  <c r="G44" i="25" s="1"/>
  <c r="G43" i="25"/>
  <c r="I23" i="18"/>
  <c r="I18" i="23" l="1"/>
  <c r="I11" i="11"/>
  <c r="K19" i="27" l="1"/>
  <c r="I19" i="27" s="1"/>
  <c r="I17" i="27"/>
  <c r="I33" i="27"/>
  <c r="I17" i="20" l="1"/>
  <c r="I23" i="20" l="1"/>
  <c r="I20" i="36"/>
  <c r="I42" i="36" l="1"/>
  <c r="I13" i="19" l="1"/>
  <c r="I13" i="20" l="1"/>
  <c r="G56" i="25" l="1"/>
  <c r="J15" i="14" l="1"/>
  <c r="I26" i="13"/>
  <c r="I40" i="36" l="1"/>
  <c r="J17" i="14" l="1"/>
  <c r="I28" i="13" l="1"/>
  <c r="K29" i="13"/>
  <c r="G22" i="29" l="1"/>
  <c r="I18" i="36"/>
  <c r="K26" i="36"/>
  <c r="I26" i="36" l="1"/>
  <c r="K28" i="36"/>
  <c r="I28" i="36" s="1"/>
  <c r="I17" i="11"/>
  <c r="J34" i="14" l="1"/>
  <c r="J21" i="14" l="1"/>
  <c r="L25" i="14"/>
  <c r="J25" i="14" s="1"/>
  <c r="I32" i="13" l="1"/>
  <c r="K36" i="13"/>
  <c r="I36" i="13" l="1"/>
  <c r="I25" i="19"/>
  <c r="K26" i="19"/>
  <c r="I26" i="19" s="1"/>
  <c r="M22" i="29" l="1"/>
  <c r="K48" i="36"/>
  <c r="I35" i="36"/>
  <c r="I48" i="36" l="1"/>
  <c r="K50" i="36"/>
  <c r="I50" i="36" s="1"/>
  <c r="I48" i="25" l="1"/>
  <c r="G48" i="25" s="1"/>
  <c r="G47" i="25"/>
  <c r="I51" i="25"/>
  <c r="G51" i="25" l="1"/>
  <c r="I52" i="25"/>
  <c r="G52" i="25" s="1"/>
  <c r="I58" i="25" l="1"/>
  <c r="I62" i="25" l="1"/>
  <c r="G62" i="25" s="1"/>
  <c r="G58" i="25"/>
  <c r="I9" i="19" l="1"/>
  <c r="K24" i="12" l="1"/>
  <c r="I20" i="12"/>
  <c r="I24" i="12" l="1"/>
  <c r="K28" i="12"/>
  <c r="I28" i="12" s="1"/>
  <c r="I29" i="19" l="1"/>
  <c r="K30" i="19"/>
  <c r="I30" i="19" s="1"/>
  <c r="I12" i="19" l="1"/>
  <c r="K13" i="12" l="1"/>
  <c r="I9" i="12"/>
  <c r="I19" i="11"/>
  <c r="I13" i="12" l="1"/>
  <c r="K17" i="12"/>
  <c r="I17" i="12" l="1"/>
  <c r="K30" i="12"/>
  <c r="I30" i="12" s="1"/>
  <c r="M24" i="29"/>
  <c r="I12" i="27" l="1"/>
  <c r="I10" i="27" l="1"/>
  <c r="I25" i="27" l="1"/>
  <c r="I14" i="27" l="1"/>
  <c r="K15" i="27"/>
  <c r="I15" i="27" l="1"/>
  <c r="K22" i="27"/>
  <c r="I22" i="27" l="1"/>
  <c r="I24" i="27" l="1"/>
  <c r="K26" i="27"/>
  <c r="I26" i="27" l="1"/>
  <c r="K28" i="27"/>
  <c r="I28" i="27" s="1"/>
  <c r="I19" i="13" l="1"/>
  <c r="I11" i="13" l="1"/>
  <c r="K15" i="13"/>
  <c r="I15" i="13" l="1"/>
  <c r="J29" i="14"/>
  <c r="I9" i="20" l="1"/>
  <c r="I12" i="23" l="1"/>
  <c r="I20" i="18" l="1"/>
  <c r="I20" i="13" l="1"/>
  <c r="I23" i="13" l="1"/>
  <c r="K38" i="13"/>
  <c r="I38" i="13" s="1"/>
  <c r="J13" i="14"/>
  <c r="L18" i="14"/>
  <c r="J18" i="14" s="1"/>
  <c r="I19" i="18" l="1"/>
  <c r="I31" i="27" l="1"/>
  <c r="I21" i="18" l="1"/>
  <c r="I17" i="19" l="1"/>
  <c r="K19" i="19"/>
  <c r="I19" i="19" l="1"/>
  <c r="K21" i="19"/>
  <c r="I18" i="18"/>
  <c r="K32" i="19" l="1"/>
  <c r="I32" i="19" s="1"/>
  <c r="I21" i="19"/>
  <c r="I10" i="11" l="1"/>
  <c r="I17" i="18"/>
  <c r="I32" i="27"/>
  <c r="I35" i="27" s="1"/>
  <c r="K35" i="27"/>
  <c r="J10" i="14" l="1"/>
  <c r="J28" i="14" s="1"/>
  <c r="L32" i="14" l="1"/>
  <c r="L30" i="14"/>
  <c r="J30" i="14" s="1"/>
  <c r="J32" i="14" l="1"/>
  <c r="I13" i="23" l="1"/>
  <c r="K21" i="23" l="1"/>
  <c r="I21" i="23" s="1"/>
  <c r="I17" i="23"/>
  <c r="I16" i="18" l="1"/>
  <c r="I25" i="18" s="1"/>
  <c r="K25" i="18"/>
  <c r="I12" i="20" l="1"/>
  <c r="K14" i="20"/>
  <c r="I32" i="29"/>
  <c r="I24" i="29" s="1"/>
  <c r="G34" i="29"/>
  <c r="I30" i="29"/>
  <c r="G24" i="29"/>
  <c r="G26" i="29" s="1"/>
  <c r="J35" i="14" l="1"/>
  <c r="L38" i="14"/>
  <c r="K19" i="20"/>
  <c r="I14" i="20"/>
  <c r="I9" i="11"/>
  <c r="K13" i="11"/>
  <c r="I34" i="29"/>
  <c r="I22" i="29"/>
  <c r="I26" i="29" s="1"/>
  <c r="M34" i="29"/>
  <c r="M26" i="29" s="1"/>
  <c r="J38" i="14" l="1"/>
  <c r="L53" i="14"/>
  <c r="J53" i="14" s="1"/>
  <c r="K24" i="20"/>
  <c r="I19" i="20"/>
  <c r="I13" i="11"/>
  <c r="K15" i="11"/>
  <c r="I9" i="18"/>
  <c r="I24" i="20" l="1"/>
  <c r="K25" i="20"/>
  <c r="I25" i="20" s="1"/>
  <c r="K21" i="11"/>
  <c r="I21" i="11" s="1"/>
  <c r="I15" i="11"/>
  <c r="K30" i="29"/>
  <c r="K32" i="29"/>
  <c r="K26" i="29"/>
  <c r="K24" i="29" l="1"/>
  <c r="O32" i="29"/>
  <c r="O24" i="29" s="1"/>
  <c r="O30" i="29"/>
  <c r="K22" i="29"/>
  <c r="O22" i="29" l="1"/>
  <c r="O26" i="29" s="1"/>
  <c r="O34" i="29"/>
  <c r="K27" i="18" l="1"/>
  <c r="I13" i="18"/>
  <c r="I27" i="18" s="1"/>
  <c r="I11" i="18"/>
  <c r="I9" i="23" l="1"/>
  <c r="K14" i="23"/>
  <c r="K23" i="23" l="1"/>
  <c r="I23" i="23" s="1"/>
  <c r="I14" i="23"/>
</calcChain>
</file>

<file path=xl/sharedStrings.xml><?xml version="1.0" encoding="utf-8"?>
<sst xmlns="http://schemas.openxmlformats.org/spreadsheetml/2006/main" count="582" uniqueCount="271">
  <si>
    <t>Line No.</t>
  </si>
  <si>
    <t>Description</t>
  </si>
  <si>
    <t>Cross Ref.</t>
  </si>
  <si>
    <t>Schedule 1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</si>
  <si>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</si>
  <si>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</si>
  <si>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</si>
  <si>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</si>
  <si>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</si>
  <si>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</si>
  <si>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</si>
  <si>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</si>
  <si>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</si>
  <si>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</si>
  <si>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</si>
  <si>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</si>
  <si>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</si>
  <si>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</si>
  <si>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</si>
  <si>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</si>
  <si>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</si>
  <si>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</si>
  <si>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</si>
  <si>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</si>
  <si>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</si>
  <si>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</si>
  <si>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</si>
  <si>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</si>
  <si>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</si>
  <si>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</si>
  <si>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</si>
  <si>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</si>
  <si>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Total</t>
  </si>
  <si>
    <t>S.5 L.3</t>
  </si>
  <si>
    <t>Schedule Index</t>
  </si>
  <si>
    <t>2A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</si>
  <si>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</si>
  <si>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</si>
  <si>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</si>
  <si>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</si>
  <si>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</si>
  <si>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</si>
  <si>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</si>
  <si>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</si>
  <si>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</si>
  <si>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</si>
  <si>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</si>
  <si>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Mid-year rate case expense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</si>
  <si>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</si>
  <si>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</si>
  <si>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</si>
  <si>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</si>
  <si>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</si>
  <si>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</si>
  <si>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</si>
  <si>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</si>
  <si>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</si>
  <si>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</si>
  <si>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</si>
  <si>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</si>
  <si>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</si>
  <si>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</si>
  <si>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</si>
  <si>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</si>
  <si>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</si>
  <si>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</si>
  <si>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</si>
  <si>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</si>
  <si>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</si>
  <si>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</si>
  <si>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</si>
  <si>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</si>
  <si>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</si>
  <si>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</si>
  <si>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</si>
  <si>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</si>
  <si>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</si>
  <si>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</si>
  <si>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</si>
  <si>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</si>
  <si>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</si>
  <si>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</si>
  <si>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</si>
  <si>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</si>
  <si>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</si>
  <si>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</si>
  <si>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</si>
  <si>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</si>
  <si>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</si>
  <si>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</si>
  <si>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</si>
  <si>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</si>
  <si>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</si>
  <si>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</si>
  <si>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</si>
  <si>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</si>
  <si>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</si>
  <si>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</si>
  <si>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</si>
  <si>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</si>
  <si>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</si>
  <si>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</si>
  <si>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</si>
  <si>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</si>
  <si>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</si>
  <si>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</si>
  <si>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</si>
  <si>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</si>
  <si>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</si>
  <si>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</si>
  <si>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</si>
  <si>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</si>
  <si>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</si>
  <si>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</si>
  <si>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</si>
  <si>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</si>
  <si>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</si>
  <si>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</si>
  <si>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</si>
  <si>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</si>
  <si>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</si>
  <si>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</si>
  <si>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</si>
  <si>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</si>
  <si>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</si>
  <si>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</si>
  <si>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</si>
  <si>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</si>
  <si>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</si>
  <si>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</si>
  <si>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</si>
  <si>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</si>
  <si>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</si>
  <si>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</si>
  <si>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</si>
  <si>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</si>
  <si>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</si>
  <si>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</si>
  <si>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</si>
  <si>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</si>
  <si>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</si>
  <si>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</si>
  <si>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</si>
  <si>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</si>
  <si>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</si>
  <si>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Rider J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</si>
  <si>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</si>
  <si>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</si>
  <si>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</si>
  <si>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</si>
  <si>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</si>
  <si>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</si>
  <si>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</si>
  <si>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</si>
  <si>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</si>
  <si>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</si>
  <si>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</si>
  <si>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</si>
  <si>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</si>
  <si>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S.6 L.14</t>
  </si>
  <si>
    <t>Interest Costs</t>
  </si>
  <si>
    <t>Mid Year</t>
  </si>
  <si>
    <t>General Purpose Long-Term Debt Balance</t>
  </si>
  <si>
    <t>Total Cost of Interest</t>
  </si>
  <si>
    <t>Mid-Year Cost of Debt</t>
  </si>
  <si>
    <t>Retirements, disposals and adjustments (note 1)</t>
  </si>
  <si>
    <t>Summary of Cost of Long - Term Debt</t>
  </si>
  <si>
    <t>Deferred study costs (note 2)</t>
  </si>
  <si>
    <t>Revenue Requirement</t>
  </si>
  <si>
    <t>Operating and maintenance (note 1)</t>
  </si>
  <si>
    <t>Less: Studies in Progress</t>
  </si>
  <si>
    <t>Other deferred costs</t>
  </si>
  <si>
    <t>Accumulated depreciation (note 1)</t>
  </si>
  <si>
    <t>S.3 L.11</t>
  </si>
  <si>
    <t>S.3 L.15</t>
  </si>
  <si>
    <t>S.3 L.16</t>
  </si>
  <si>
    <t>S.3 L.20</t>
  </si>
  <si>
    <t>S.1 L.8</t>
  </si>
  <si>
    <t>S.1 L.9</t>
  </si>
  <si>
    <t>S.1  L.13</t>
  </si>
  <si>
    <t>S.5 L.11</t>
  </si>
  <si>
    <t>Revenues (note 1)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</si>
  <si>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</si>
  <si>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</si>
  <si>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</si>
  <si>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</si>
  <si>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</si>
  <si>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Deferred study costs (note 3)</t>
  </si>
  <si>
    <t>Miscellaneous reserves (note 2)</t>
  </si>
  <si>
    <t>Note 1: Including Reserve for Future Removal and Site Restoration</t>
  </si>
  <si>
    <t>Average Rate of return on rate base</t>
  </si>
  <si>
    <t>Total Company - Firm Retail and Industrial</t>
  </si>
  <si>
    <t>S.1 L.19</t>
  </si>
  <si>
    <t>S.2 L.7</t>
  </si>
  <si>
    <t>27/365 in 2009 GRA</t>
  </si>
  <si>
    <t>Post-GRA Reconcil Req'd</t>
  </si>
  <si>
    <t>Insurance</t>
  </si>
  <si>
    <t>Administration and general</t>
  </si>
  <si>
    <t>Note:</t>
  </si>
  <si>
    <t>S.7 L. 8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</si>
  <si>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</si>
  <si>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</si>
  <si>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</si>
  <si>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</si>
  <si>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</si>
  <si>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</si>
  <si>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</si>
  <si>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</si>
  <si>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</si>
  <si>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</si>
  <si>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</si>
  <si>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>Inventory (three year average)</t>
  </si>
  <si>
    <t>S.8 L.8</t>
  </si>
  <si>
    <t>S.6 L.18</t>
  </si>
  <si>
    <t>Amortization of contributions and fire insurance recoveries</t>
  </si>
  <si>
    <t>1. YDC equity injection required in order to maintain 60/40 debt to equity ratio.</t>
  </si>
  <si>
    <t>Total Revenues</t>
  </si>
  <si>
    <t>Note 2: Planning and Study costs, Relicencing, Dam Safety costs and Deferred Overhauls. Net of contributions.</t>
  </si>
  <si>
    <t>Note 3: Planning and Study costs, Relicencing, Dam Safety costs and Deferred Overhauls. Net of contributions.</t>
  </si>
  <si>
    <t>Common Dividends/(Injection) (note 1)</t>
  </si>
  <si>
    <t>Explanation</t>
  </si>
  <si>
    <t>Original Filing</t>
  </si>
  <si>
    <t>Adjustment</t>
  </si>
  <si>
    <t>Compliance Filing</t>
  </si>
  <si>
    <t>Impact of the above changes.</t>
  </si>
  <si>
    <t>S.1 L.20</t>
  </si>
  <si>
    <t>O&amp;M (not including fuel and purchased power)</t>
  </si>
  <si>
    <t>S.5 L.15</t>
  </si>
  <si>
    <t>Note 1: Largely relate to retirements and disposals, as well as charges against the Reserve for Future Removal and Restoration.</t>
  </si>
  <si>
    <t>Note 2: Includes Fire Insurance Reserve, Deferred Dewatering Revenues and the Reserve for Injuries and Damages.</t>
  </si>
  <si>
    <t>Schedule 4</t>
  </si>
  <si>
    <t>Disallowed Expenses</t>
  </si>
  <si>
    <t xml:space="preserve">Note 1: Includes revenues from sales, non-operating revenues and other revenues. </t>
  </si>
  <si>
    <t>Yukon Energy Corporation 2017/18 GRA Compliance Filing</t>
  </si>
  <si>
    <t>Cost of Capital Calculation - 2018 Forecast</t>
  </si>
  <si>
    <t>Operating and Maintenance Expense Reported in Tab 3 excludes fuel and purchase power, but also includes the following:</t>
  </si>
  <si>
    <t>Property Taxes</t>
  </si>
  <si>
    <t>less: Donations</t>
  </si>
  <si>
    <t>O&amp;M per Table 3.3 (Tab 3)</t>
  </si>
  <si>
    <t>TD Canada Trust (4.02%)</t>
  </si>
  <si>
    <t>YDC $81.9M Loan (4.25%)</t>
  </si>
  <si>
    <t>YDC Mayo B Flexible Term Debt</t>
  </si>
  <si>
    <t>TD Bank Swap (2.69%)</t>
  </si>
  <si>
    <t>YDC $17.1M Debt (3.69%)</t>
  </si>
  <si>
    <t>YDC $2.1M Debt (3.97%)</t>
  </si>
  <si>
    <t>YDC $5.5M Debt (4.27%)</t>
  </si>
  <si>
    <t>Minto Decommissioning Reserve</t>
  </si>
  <si>
    <t>YDC $5.5M Debt (2.40%)</t>
  </si>
  <si>
    <t>YDC $92.5M Debt (2.40%)</t>
  </si>
  <si>
    <t>YDC $21.0M Debt (2.21%)</t>
  </si>
  <si>
    <t>YDC $12.1M Debt (2.10%)</t>
  </si>
  <si>
    <t>New 2017 Debt (2.15%)</t>
  </si>
  <si>
    <t>New 2018 Debt</t>
  </si>
  <si>
    <t>IFRS Comprehensive Income Adjustment</t>
  </si>
  <si>
    <t>Balance at end of year before dividend</t>
  </si>
  <si>
    <t>2017 Original Filing</t>
  </si>
  <si>
    <t>2017 Compliance Filing</t>
  </si>
  <si>
    <t>Update for actuals</t>
  </si>
  <si>
    <t>2017 Actual update. O&amp;M labour cost change [paragraph 130, changed to capital updated to use 2014-2017 average].</t>
  </si>
  <si>
    <t>2017 actuals update.</t>
  </si>
  <si>
    <t>All changes are for 2017 actuals update</t>
  </si>
  <si>
    <t>2017 actuals update. Impact of disallowed assets.</t>
  </si>
  <si>
    <t>2017 actuals update for debt cost and ROE reduction from 8.82% to 8.70%.</t>
  </si>
  <si>
    <t>Net Increases to PPE</t>
  </si>
  <si>
    <t xml:space="preserve">2017 actuals update. </t>
  </si>
  <si>
    <t>Impact of above changes.</t>
  </si>
  <si>
    <t>2017 actuals update and impact of disallowed assets.</t>
  </si>
  <si>
    <t>Adjustments to 2017 test year</t>
  </si>
  <si>
    <t>February 25, 2019 Filing</t>
  </si>
  <si>
    <t>2017 actuals update. Impact of disallowed assets [see Appendix 1.1, Tables 1.1-2 and 1.1-3].</t>
  </si>
  <si>
    <t>Impact of disallowed assets [see Appendix 1.1, Tables 1.1-2 and 1.1-3].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</si>
</sst>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0.000"/>
    <numFmt numFmtId="171" formatCode="#,##0.0"/>
    <numFmt numFmtId="172" formatCode="d\-mmm\-yy\ &quot;filing&quot;"/>
    <numFmt numFmtId="173" formatCode="?"/>
    <numFmt numFmtId="174" formatCode="_(* #,##0.00_);_(* \(#,##0.00\);_(* &quot;-&quot;??_);_(@_)"/>
    <numFmt numFmtId="175" formatCode="_(* #,##0.000_);_(* \(#,##0.000\);_(* &quot;-&quot;??_);_(@_)"/>
    <numFmt numFmtId="176" formatCode="_(* #,##0.0000_);_(* \(#,##0.000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" fillId="0" borderId="0"/>
  </cellStyleXfs>
  <cellXfs count="23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0" borderId="0" xfId="0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67" fontId="1" fillId="0" borderId="0" xfId="1" applyFont="1" applyFill="1" applyBorder="1"/>
    <xf numFmtId="3" fontId="1" fillId="0" borderId="0" xfId="0" applyNumberFormat="1" applyFont="1" applyFill="1" applyBorder="1"/>
    <xf numFmtId="0" fontId="0" fillId="0" borderId="0" xfId="0" applyFill="1" applyAlignment="1">
      <alignment vertical="top"/>
    </xf>
    <xf numFmtId="3" fontId="0" fillId="0" borderId="0" xfId="0" applyNumberFormat="1" applyFill="1"/>
    <xf numFmtId="0" fontId="12" fillId="0" borderId="0" xfId="0" applyFont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6" fillId="0" borderId="0" xfId="0" applyFont="1" applyFill="1" applyAlignment="1"/>
    <xf numFmtId="0" fontId="15" fillId="0" borderId="0" xfId="0" applyFont="1" applyFill="1" applyAlignment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1" fontId="1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/>
    </xf>
    <xf numFmtId="172" fontId="0" fillId="0" borderId="0" xfId="0" applyNumberFormat="1" applyFill="1" applyAlignment="1"/>
    <xf numFmtId="167" fontId="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72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1" fontId="1" fillId="0" borderId="0" xfId="0" applyNumberFormat="1" applyFont="1"/>
    <xf numFmtId="167" fontId="1" fillId="0" borderId="0" xfId="1" applyFont="1" applyFill="1"/>
    <xf numFmtId="10" fontId="1" fillId="0" borderId="0" xfId="2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0" fontId="1" fillId="2" borderId="0" xfId="0" applyNumberFormat="1" applyFont="1" applyFill="1"/>
    <xf numFmtId="1" fontId="1" fillId="2" borderId="0" xfId="0" applyNumberFormat="1" applyFont="1" applyFill="1"/>
    <xf numFmtId="1" fontId="1" fillId="0" borderId="0" xfId="0" applyNumberFormat="1" applyFont="1" applyBorder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168" fontId="0" fillId="0" borderId="0" xfId="0" applyNumberFormat="1" applyFill="1"/>
    <xf numFmtId="167" fontId="1" fillId="0" borderId="1" xfId="5" applyNumberFormat="1" applyFont="1" applyFill="1" applyBorder="1"/>
    <xf numFmtId="167" fontId="1" fillId="0" borderId="0" xfId="5" applyNumberFormat="1" applyFont="1" applyFill="1" applyBorder="1"/>
    <xf numFmtId="167" fontId="1" fillId="0" borderId="0" xfId="0" applyNumberFormat="1" applyFont="1" applyFill="1"/>
    <xf numFmtId="167" fontId="1" fillId="0" borderId="0" xfId="0" applyNumberFormat="1" applyFont="1" applyFill="1" applyBorder="1"/>
    <xf numFmtId="37" fontId="1" fillId="0" borderId="0" xfId="0" applyNumberFormat="1" applyFont="1" applyFill="1" applyBorder="1"/>
    <xf numFmtId="3" fontId="1" fillId="0" borderId="0" xfId="1" applyNumberFormat="1" applyFont="1" applyFill="1" applyBorder="1"/>
    <xf numFmtId="167" fontId="1" fillId="0" borderId="3" xfId="0" applyNumberFormat="1" applyFont="1" applyFill="1" applyBorder="1"/>
    <xf numFmtId="172" fontId="1" fillId="0" borderId="0" xfId="0" quotePrefix="1" applyNumberFormat="1" applyFont="1" applyFill="1" applyAlignment="1">
      <alignment horizontal="right"/>
    </xf>
    <xf numFmtId="0" fontId="1" fillId="0" borderId="0" xfId="4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6" applyFont="1" applyFill="1"/>
    <xf numFmtId="0" fontId="1" fillId="0" borderId="0" xfId="6" applyFont="1" applyFill="1" applyAlignment="1">
      <alignment horizontal="left" indent="1"/>
    </xf>
    <xf numFmtId="0" fontId="19" fillId="0" borderId="0" xfId="6" applyFont="1" applyFill="1" applyBorder="1"/>
    <xf numFmtId="0" fontId="1" fillId="0" borderId="0" xfId="0" applyFont="1" applyFill="1" applyAlignment="1">
      <alignment horizontal="right"/>
    </xf>
    <xf numFmtId="167" fontId="1" fillId="0" borderId="4" xfId="1" applyFont="1" applyFill="1" applyBorder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9" fillId="0" borderId="0" xfId="0" applyFont="1" applyFill="1"/>
    <xf numFmtId="165" fontId="1" fillId="0" borderId="3" xfId="1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7" fontId="0" fillId="0" borderId="0" xfId="1" applyFont="1" applyFill="1"/>
    <xf numFmtId="167" fontId="0" fillId="0" borderId="0" xfId="0" applyNumberFormat="1" applyFill="1"/>
    <xf numFmtId="167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67" fontId="0" fillId="0" borderId="0" xfId="1" applyFont="1" applyFill="1" applyBorder="1"/>
    <xf numFmtId="167" fontId="0" fillId="0" borderId="1" xfId="1" applyFont="1" applyFill="1" applyBorder="1"/>
    <xf numFmtId="167" fontId="0" fillId="0" borderId="3" xfId="0" applyNumberFormat="1" applyFill="1" applyBorder="1"/>
    <xf numFmtId="10" fontId="0" fillId="0" borderId="0" xfId="0" applyNumberFormat="1" applyFill="1"/>
    <xf numFmtId="1" fontId="1" fillId="0" borderId="0" xfId="0" applyNumberFormat="1" applyFont="1" applyFill="1" applyBorder="1"/>
    <xf numFmtId="10" fontId="1" fillId="0" borderId="0" xfId="0" applyNumberFormat="1" applyFont="1" applyFill="1"/>
    <xf numFmtId="165" fontId="1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/>
    <xf numFmtId="3" fontId="4" fillId="0" borderId="0" xfId="0" applyNumberFormat="1" applyFont="1" applyFill="1"/>
    <xf numFmtId="10" fontId="0" fillId="0" borderId="3" xfId="0" applyNumberFormat="1" applyFill="1" applyBorder="1"/>
    <xf numFmtId="3" fontId="0" fillId="0" borderId="0" xfId="1" applyNumberFormat="1" applyFont="1" applyFill="1"/>
    <xf numFmtId="3" fontId="0" fillId="0" borderId="1" xfId="1" applyNumberFormat="1" applyFont="1" applyFill="1" applyBorder="1"/>
    <xf numFmtId="3" fontId="0" fillId="0" borderId="3" xfId="1" applyNumberFormat="1" applyFon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8" fontId="0" fillId="0" borderId="1" xfId="0" applyNumberFormat="1" applyFill="1" applyBorder="1"/>
    <xf numFmtId="168" fontId="0" fillId="0" borderId="3" xfId="0" applyNumberFormat="1" applyFill="1" applyBorder="1"/>
    <xf numFmtId="173" fontId="15" fillId="0" borderId="0" xfId="0" applyNumberFormat="1" applyFont="1" applyFill="1"/>
    <xf numFmtId="3" fontId="1" fillId="0" borderId="4" xfId="0" applyNumberFormat="1" applyFont="1" applyFill="1" applyBorder="1"/>
    <xf numFmtId="3" fontId="1" fillId="0" borderId="4" xfId="1" applyNumberFormat="1" applyFont="1" applyFill="1" applyBorder="1"/>
    <xf numFmtId="38" fontId="1" fillId="0" borderId="0" xfId="0" applyNumberFormat="1" applyFont="1" applyFill="1"/>
    <xf numFmtId="166" fontId="1" fillId="0" borderId="0" xfId="0" applyNumberFormat="1" applyFont="1" applyFill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167" fontId="1" fillId="0" borderId="0" xfId="5" applyNumberFormat="1" applyFont="1" applyFill="1"/>
    <xf numFmtId="167" fontId="1" fillId="0" borderId="0" xfId="3" applyNumberFormat="1" applyFont="1" applyFill="1" applyBorder="1"/>
    <xf numFmtId="0" fontId="1" fillId="0" borderId="0" xfId="0" applyFont="1" applyFill="1" applyAlignment="1">
      <alignment wrapText="1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/>
    <xf numFmtId="171" fontId="1" fillId="0" borderId="0" xfId="0" applyNumberFormat="1" applyFont="1" applyFill="1"/>
    <xf numFmtId="170" fontId="1" fillId="0" borderId="0" xfId="0" applyNumberFormat="1" applyFont="1" applyFill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3" fontId="1" fillId="0" borderId="2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 applyAlignment="1"/>
    <xf numFmtId="0" fontId="5" fillId="0" borderId="0" xfId="0" applyFont="1" applyFill="1" applyAlignment="1"/>
    <xf numFmtId="37" fontId="0" fillId="0" borderId="0" xfId="0" applyNumberFormat="1" applyFill="1" applyBorder="1"/>
    <xf numFmtId="3" fontId="1" fillId="0" borderId="3" xfId="0" applyNumberFormat="1" applyFont="1" applyFill="1" applyBorder="1"/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37" fontId="6" fillId="0" borderId="0" xfId="0" applyNumberFormat="1" applyFont="1" applyFill="1" applyBorder="1"/>
    <xf numFmtId="0" fontId="0" fillId="0" borderId="0" xfId="0" applyFill="1" applyAlignment="1">
      <alignment horizontal="left" vertical="top" wrapText="1"/>
    </xf>
    <xf numFmtId="1" fontId="0" fillId="0" borderId="0" xfId="0" applyNumberFormat="1" applyFill="1"/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/>
    <xf numFmtId="38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7" fontId="1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7" fontId="1" fillId="0" borderId="0" xfId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6" applyFont="1" applyFill="1" applyBorder="1"/>
    <xf numFmtId="0" fontId="1" fillId="0" borderId="0" xfId="6" applyFont="1" applyFill="1" applyAlignment="1"/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Continuous"/>
    </xf>
    <xf numFmtId="0" fontId="1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ill="1" applyBorder="1" applyAlignment="1">
      <alignment horizontal="centerContinuous"/>
    </xf>
    <xf numFmtId="167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67" fontId="1" fillId="0" borderId="1" xfId="1" applyFont="1" applyFill="1" applyBorder="1" applyAlignment="1">
      <alignment vertical="center"/>
    </xf>
    <xf numFmtId="9" fontId="0" fillId="0" borderId="1" xfId="0" applyNumberFormat="1" applyFill="1" applyBorder="1"/>
    <xf numFmtId="0" fontId="0" fillId="0" borderId="0" xfId="0" applyFill="1" applyAlignment="1">
      <alignment vertical="center"/>
    </xf>
    <xf numFmtId="167" fontId="0" fillId="0" borderId="0" xfId="0" applyNumberFormat="1" applyFill="1" applyAlignment="1">
      <alignment vertical="center"/>
    </xf>
    <xf numFmtId="167" fontId="0" fillId="0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37" fontId="0" fillId="0" borderId="0" xfId="0" applyNumberForma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0" fillId="0" borderId="0" xfId="1" applyNumberFormat="1" applyFont="1" applyFill="1" applyBorder="1"/>
    <xf numFmtId="168" fontId="0" fillId="0" borderId="0" xfId="0" applyNumberFormat="1" applyFill="1" applyBorder="1"/>
    <xf numFmtId="3" fontId="1" fillId="0" borderId="0" xfId="3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0" fontId="1" fillId="0" borderId="0" xfId="2" applyNumberFormat="1" applyFont="1" applyAlignment="1">
      <alignment vertical="center"/>
    </xf>
    <xf numFmtId="167" fontId="1" fillId="0" borderId="4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7" fontId="1" fillId="0" borderId="3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167" fontId="1" fillId="0" borderId="1" xfId="5" applyNumberFormat="1" applyFont="1" applyFill="1" applyBorder="1" applyAlignment="1">
      <alignment vertical="center"/>
    </xf>
    <xf numFmtId="167" fontId="1" fillId="0" borderId="0" xfId="5" applyNumberFormat="1" applyFont="1" applyFill="1" applyBorder="1" applyAlignment="1">
      <alignment vertical="center"/>
    </xf>
    <xf numFmtId="2" fontId="1" fillId="0" borderId="0" xfId="0" applyNumberFormat="1" applyFont="1" applyFill="1" applyAlignment="1">
      <alignment vertical="center"/>
    </xf>
    <xf numFmtId="3" fontId="1" fillId="0" borderId="0" xfId="6" applyNumberFormat="1" applyFill="1" applyAlignment="1">
      <alignment vertical="center"/>
    </xf>
    <xf numFmtId="2" fontId="1" fillId="0" borderId="0" xfId="6" applyNumberFormat="1" applyFont="1" applyFill="1" applyAlignment="1">
      <alignment vertical="center"/>
    </xf>
    <xf numFmtId="3" fontId="1" fillId="0" borderId="0" xfId="6" applyNumberFormat="1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top" wrapText="1"/>
    </xf>
    <xf numFmtId="15" fontId="1" fillId="0" borderId="0" xfId="0" applyNumberFormat="1" applyFont="1" applyFill="1" applyAlignment="1">
      <alignment horizontal="right"/>
    </xf>
    <xf numFmtId="167" fontId="1" fillId="0" borderId="0" xfId="0" applyNumberFormat="1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167" fontId="1" fillId="7" borderId="3" xfId="0" applyNumberFormat="1" applyFont="1" applyFill="1" applyBorder="1"/>
    <xf numFmtId="0" fontId="7" fillId="7" borderId="0" xfId="0" applyFont="1" applyFill="1"/>
    <xf numFmtId="167" fontId="0" fillId="0" borderId="0" xfId="1" applyNumberFormat="1" applyFont="1"/>
    <xf numFmtId="175" fontId="0" fillId="0" borderId="0" xfId="1" applyNumberFormat="1" applyFont="1"/>
    <xf numFmtId="10" fontId="0" fillId="0" borderId="0" xfId="2" applyNumberFormat="1" applyFont="1"/>
    <xf numFmtId="37" fontId="0" fillId="0" borderId="0" xfId="1" applyNumberFormat="1" applyFont="1"/>
    <xf numFmtId="176" fontId="0" fillId="0" borderId="0" xfId="1" applyNumberFormat="1" applyFont="1"/>
    <xf numFmtId="174" fontId="0" fillId="0" borderId="0" xfId="0" applyNumberFormat="1"/>
    <xf numFmtId="0" fontId="1" fillId="0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</cellXfs>
  <cellStyles count="7">
    <cellStyle name="60% - Accent4" xfId="4" builtinId="44"/>
    <cellStyle name="Accent2" xfId="5" builtinId="33"/>
    <cellStyle name="Accent4" xfId="3" builtinId="41"/>
    <cellStyle name="Comma" xfId="1" builtinId="3"/>
    <cellStyle name="Normal" xfId="0" builtinId="0"/>
    <cellStyle name="Normal 2" xfId="6"/>
    <cellStyle name="Percent" xfId="2" builtinId="5"/>
  </cellStyles>
  <dxfs count="1">
    <dxf>
      <font>
        <color theme="0"/>
      </font>
      <numFmt numFmtId="2" formatCode="0.00"/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27"/>
  <sheetViews>
    <sheetView view="pageBreakPreview" zoomScale="115" zoomScaleSheetLayoutView="115" workbookViewId="0">
      <selection activeCell="H18" sqref="H18"/>
    </sheetView>
  </sheetViews>
  <sheetFormatPr defaultRowHeight="12.75" x14ac:dyDescent="0.2"/>
  <cols>
    <col min="1" max="1" width="6.7109375" customWidth="1"/>
    <col min="2" max="2" width="9.140625" style="5"/>
    <col min="11" max="13" width="10.5703125" customWidth="1"/>
  </cols>
  <sheetData>
    <row r="1" spans="2:16" ht="15.75" x14ac:dyDescent="0.25">
      <c r="D1" s="4"/>
      <c r="F1" s="6" t="s">
        <v>233</v>
      </c>
    </row>
    <row r="2" spans="2:16" ht="15.75" x14ac:dyDescent="0.25">
      <c r="D2" s="4"/>
      <c r="F2" s="6" t="s">
        <v>267</v>
      </c>
    </row>
    <row r="3" spans="2:16" x14ac:dyDescent="0.2">
      <c r="D3" s="4"/>
      <c r="F3" s="31"/>
      <c r="J3" s="207" t="str">
        <f>'Schedule 1'!N2</f>
        <v>February 25, 2019 Filing</v>
      </c>
    </row>
    <row r="4" spans="2:16" ht="18" x14ac:dyDescent="0.25">
      <c r="F4" s="30" t="s">
        <v>34</v>
      </c>
    </row>
    <row r="6" spans="2:16" x14ac:dyDescent="0.2">
      <c r="B6" s="5">
        <v>1</v>
      </c>
      <c r="D6" t="str">
        <f>'Schedule 1'!C2</f>
        <v>Computation of Rate Base</v>
      </c>
    </row>
    <row r="8" spans="2:16" x14ac:dyDescent="0.2">
      <c r="B8" s="5">
        <v>2</v>
      </c>
      <c r="D8" t="str">
        <f>'Schedule 2'!C2</f>
        <v>Computation of Allowance for Working Capital</v>
      </c>
    </row>
    <row r="9" spans="2:16" x14ac:dyDescent="0.2">
      <c r="B9" s="5" t="s">
        <v>35</v>
      </c>
      <c r="D9" t="str">
        <f>'Schedule 2A'!C2</f>
        <v>Effect of GST on Working Capital</v>
      </c>
    </row>
    <row r="11" spans="2:16" x14ac:dyDescent="0.2">
      <c r="B11" s="5">
        <v>3</v>
      </c>
      <c r="D11" t="str">
        <f>'Schedule 3'!C2</f>
        <v>Continuity Schedule of Property, Plant and Equipment</v>
      </c>
    </row>
    <row r="12" spans="2:16" x14ac:dyDescent="0.2">
      <c r="B12" s="8"/>
      <c r="C12" s="7"/>
      <c r="D12" s="7"/>
      <c r="E12" s="7"/>
      <c r="F12" s="7"/>
      <c r="G12" s="7"/>
      <c r="H12" s="7"/>
      <c r="K12" s="3"/>
      <c r="L12" s="3"/>
      <c r="M12" s="3"/>
      <c r="N12" s="3"/>
      <c r="O12" s="3"/>
      <c r="P12" s="3"/>
    </row>
    <row r="13" spans="2:16" x14ac:dyDescent="0.2">
      <c r="B13" s="8">
        <v>4</v>
      </c>
      <c r="C13" s="7"/>
      <c r="D13" s="7" t="s">
        <v>234</v>
      </c>
      <c r="E13" s="7"/>
      <c r="F13" s="7"/>
      <c r="G13" s="7"/>
      <c r="H13" s="7"/>
      <c r="K13" s="3"/>
      <c r="L13" s="3"/>
      <c r="M13" s="3"/>
      <c r="N13" s="3"/>
      <c r="O13" s="3"/>
      <c r="P13" s="3"/>
    </row>
    <row r="14" spans="2:16" x14ac:dyDescent="0.2">
      <c r="B14" s="8"/>
      <c r="C14" s="7"/>
      <c r="D14" s="7"/>
      <c r="E14" s="7"/>
      <c r="F14" s="7"/>
      <c r="G14" s="7"/>
      <c r="H14" s="7"/>
      <c r="K14" s="3"/>
    </row>
    <row r="15" spans="2:16" x14ac:dyDescent="0.2">
      <c r="B15" s="5">
        <v>5</v>
      </c>
      <c r="D15" t="str">
        <f>'Schedule 5'!C2</f>
        <v>Utility Revenue Requirement</v>
      </c>
    </row>
    <row r="17" spans="2:4" x14ac:dyDescent="0.2">
      <c r="B17" s="5">
        <v>6</v>
      </c>
      <c r="D17" t="str">
        <f>'Schedule 6'!C2</f>
        <v>Statement of Earnings</v>
      </c>
    </row>
    <row r="19" spans="2:4" x14ac:dyDescent="0.2">
      <c r="B19" s="5">
        <v>7</v>
      </c>
      <c r="D19" t="str">
        <f>'Schedule 7'!C2</f>
        <v>Statement of Retained Earnings</v>
      </c>
    </row>
    <row r="21" spans="2:4" x14ac:dyDescent="0.2">
      <c r="B21" s="5">
        <v>8</v>
      </c>
      <c r="D21" t="str">
        <f>'Schedule 8'!C2</f>
        <v>Reconciliation of Utility Income to Net Earnings</v>
      </c>
    </row>
    <row r="23" spans="2:4" x14ac:dyDescent="0.2">
      <c r="B23" s="5">
        <v>9</v>
      </c>
      <c r="D23" t="str">
        <f>'Schedule 9'!C2</f>
        <v>Summary of Customers, Energy Sales and Revenues</v>
      </c>
    </row>
    <row r="25" spans="2:4" x14ac:dyDescent="0.2">
      <c r="B25" s="5">
        <f>B23+1</f>
        <v>10</v>
      </c>
      <c r="D25" t="str">
        <f>'Schedule 10'!C2</f>
        <v>Summary of Operating and Maintenance Expenses</v>
      </c>
    </row>
    <row r="27" spans="2:4" x14ac:dyDescent="0.2">
      <c r="B27" s="5">
        <f>B25+1</f>
        <v>11</v>
      </c>
      <c r="D27" t="str">
        <f>'Schedule 11'!C2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  <pageSetUpPr fitToPage="1"/>
  </sheetPr>
  <dimension ref="A1:M25"/>
  <sheetViews>
    <sheetView view="pageBreakPreview" zoomScaleSheetLayoutView="100" workbookViewId="0">
      <selection activeCell="I2" sqref="I2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32" style="20" customWidth="1"/>
    <col min="4" max="4" width="1.85546875" style="20" customWidth="1"/>
    <col min="5" max="5" width="9.140625" style="44"/>
    <col min="6" max="6" width="1.85546875" style="20" customWidth="1"/>
    <col min="7" max="7" width="13.28515625" style="20" customWidth="1"/>
    <col min="8" max="8" width="2" style="20" customWidth="1"/>
    <col min="9" max="9" width="13.28515625" style="20" customWidth="1"/>
    <col min="10" max="10" width="2" style="48" customWidth="1"/>
    <col min="11" max="11" width="13.28515625" style="20" customWidth="1"/>
    <col min="12" max="12" width="1.85546875" style="20" customWidth="1"/>
    <col min="13" max="13" width="33.85546875" style="20" customWidth="1"/>
    <col min="14" max="16384" width="9.140625" style="20"/>
  </cols>
  <sheetData>
    <row r="1" spans="1:13" ht="15.75" x14ac:dyDescent="0.25">
      <c r="C1" s="158" t="s">
        <v>233</v>
      </c>
      <c r="D1" s="159"/>
      <c r="E1" s="159"/>
      <c r="F1" s="159"/>
      <c r="G1" s="159"/>
      <c r="H1" s="159"/>
      <c r="I1" s="159"/>
      <c r="J1" s="160"/>
      <c r="K1" s="159"/>
      <c r="M1" s="75" t="s">
        <v>18</v>
      </c>
    </row>
    <row r="2" spans="1:13" x14ac:dyDescent="0.2">
      <c r="C2" s="161" t="s">
        <v>20</v>
      </c>
      <c r="D2" s="159"/>
      <c r="E2" s="159"/>
      <c r="F2" s="159"/>
      <c r="G2" s="159"/>
      <c r="H2" s="159"/>
      <c r="I2" s="159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59"/>
      <c r="H3" s="159"/>
      <c r="I3" s="159"/>
      <c r="J3" s="160"/>
      <c r="K3" s="159"/>
    </row>
    <row r="6" spans="1:13" s="44" customFormat="1" x14ac:dyDescent="0.2">
      <c r="G6" s="225">
        <v>2017</v>
      </c>
      <c r="H6" s="225"/>
      <c r="I6" s="225"/>
      <c r="J6" s="225"/>
      <c r="K6" s="225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9" spans="1:13" x14ac:dyDescent="0.2">
      <c r="A9" s="20">
        <v>1</v>
      </c>
      <c r="C9" s="20" t="s">
        <v>183</v>
      </c>
      <c r="E9" s="44" t="s">
        <v>33</v>
      </c>
      <c r="G9" s="115">
        <v>13289.120439745137</v>
      </c>
      <c r="H9" s="115"/>
      <c r="I9" s="115">
        <f>K9-G9</f>
        <v>152.85043226138805</v>
      </c>
      <c r="J9" s="20"/>
      <c r="K9" s="115">
        <v>13441.970872006525</v>
      </c>
      <c r="M9" s="173" t="s">
        <v>259</v>
      </c>
    </row>
    <row r="10" spans="1:13" x14ac:dyDescent="0.2">
      <c r="G10" s="52"/>
      <c r="H10" s="52"/>
      <c r="I10" s="52"/>
      <c r="J10" s="20"/>
      <c r="K10" s="52"/>
    </row>
    <row r="11" spans="1:13" x14ac:dyDescent="0.2">
      <c r="C11" s="20" t="s">
        <v>40</v>
      </c>
      <c r="G11" s="52"/>
      <c r="H11" s="52"/>
      <c r="I11" s="52"/>
      <c r="J11" s="20"/>
      <c r="K11" s="52"/>
      <c r="L11" s="48"/>
    </row>
    <row r="12" spans="1:13" x14ac:dyDescent="0.2">
      <c r="A12" s="20">
        <v>2</v>
      </c>
      <c r="C12" s="117" t="s">
        <v>136</v>
      </c>
      <c r="E12" s="44" t="s">
        <v>158</v>
      </c>
      <c r="G12" s="52">
        <v>863.20982205887219</v>
      </c>
      <c r="H12" s="52"/>
      <c r="I12" s="52">
        <f>K12-G12</f>
        <v>-397.60612205887224</v>
      </c>
      <c r="J12" s="20"/>
      <c r="K12" s="52">
        <v>465.60369999999995</v>
      </c>
      <c r="L12" s="48"/>
      <c r="M12" s="173" t="s">
        <v>259</v>
      </c>
    </row>
    <row r="13" spans="1:13" x14ac:dyDescent="0.2">
      <c r="A13" s="20">
        <v>3</v>
      </c>
      <c r="C13" s="20" t="s">
        <v>141</v>
      </c>
      <c r="E13" s="44" t="s">
        <v>159</v>
      </c>
      <c r="G13" s="42">
        <v>-31.769462215448822</v>
      </c>
      <c r="H13" s="26"/>
      <c r="I13" s="42">
        <f>K13-G13</f>
        <v>-252.79643000000004</v>
      </c>
      <c r="J13" s="20"/>
      <c r="K13" s="42">
        <v>-284.56589221544886</v>
      </c>
      <c r="L13" s="48"/>
      <c r="M13" s="173" t="s">
        <v>259</v>
      </c>
    </row>
    <row r="14" spans="1:13" x14ac:dyDescent="0.2">
      <c r="G14" s="42">
        <f>SUM(G9:G13)</f>
        <v>14120.56079958856</v>
      </c>
      <c r="H14" s="26"/>
      <c r="I14" s="42">
        <f>K14-G14</f>
        <v>-497.55211979748492</v>
      </c>
      <c r="J14" s="20"/>
      <c r="K14" s="42">
        <f>SUM(K9:K13)</f>
        <v>13623.008679791075</v>
      </c>
      <c r="L14" s="48"/>
    </row>
    <row r="15" spans="1:13" x14ac:dyDescent="0.2">
      <c r="J15" s="20"/>
      <c r="L15" s="48"/>
    </row>
    <row r="16" spans="1:13" x14ac:dyDescent="0.2">
      <c r="C16" s="20" t="s">
        <v>106</v>
      </c>
      <c r="J16" s="20"/>
      <c r="L16" s="48"/>
    </row>
    <row r="17" spans="1:13" x14ac:dyDescent="0.2">
      <c r="A17" s="20">
        <v>4</v>
      </c>
      <c r="C17" s="20" t="s">
        <v>110</v>
      </c>
      <c r="E17" s="44" t="s">
        <v>152</v>
      </c>
      <c r="G17" s="52">
        <v>3944.712468009333</v>
      </c>
      <c r="H17" s="52"/>
      <c r="I17" s="52">
        <f t="shared" ref="I17:I21" si="0">K17-G17</f>
        <v>-64.653922758281169</v>
      </c>
      <c r="J17" s="20"/>
      <c r="K17" s="52">
        <v>3880.0585452510518</v>
      </c>
      <c r="L17" s="48"/>
      <c r="M17" s="173" t="s">
        <v>259</v>
      </c>
    </row>
    <row r="18" spans="1:13" x14ac:dyDescent="0.2">
      <c r="A18" s="20">
        <v>5</v>
      </c>
      <c r="C18" s="20" t="s">
        <v>111</v>
      </c>
      <c r="E18" s="44" t="s">
        <v>112</v>
      </c>
      <c r="G18" s="52">
        <v>95.999999999999957</v>
      </c>
      <c r="H18" s="52"/>
      <c r="I18" s="52">
        <f t="shared" si="0"/>
        <v>-0.49427999999996075</v>
      </c>
      <c r="J18" s="20"/>
      <c r="K18" s="52">
        <v>95.505719999999997</v>
      </c>
      <c r="L18" s="48"/>
    </row>
    <row r="19" spans="1:13" x14ac:dyDescent="0.2">
      <c r="A19" s="20">
        <v>6</v>
      </c>
      <c r="C19" s="20" t="s">
        <v>184</v>
      </c>
      <c r="E19" s="44" t="s">
        <v>156</v>
      </c>
      <c r="G19" s="116">
        <v>0</v>
      </c>
      <c r="H19" s="116"/>
      <c r="I19" s="116">
        <f t="shared" si="0"/>
        <v>0</v>
      </c>
      <c r="J19" s="20"/>
      <c r="K19" s="116">
        <v>0</v>
      </c>
      <c r="L19" s="48"/>
    </row>
    <row r="20" spans="1:13" ht="25.5" x14ac:dyDescent="0.2">
      <c r="A20" s="20">
        <v>7</v>
      </c>
      <c r="C20" s="20" t="s">
        <v>95</v>
      </c>
      <c r="E20" s="44" t="s">
        <v>180</v>
      </c>
      <c r="G20" s="42">
        <v>16.278565</v>
      </c>
      <c r="H20" s="26"/>
      <c r="I20" s="42">
        <f t="shared" si="0"/>
        <v>165.47289799999999</v>
      </c>
      <c r="J20" s="20"/>
      <c r="K20" s="42">
        <v>181.751463</v>
      </c>
      <c r="L20" s="36"/>
      <c r="M20" s="173" t="s">
        <v>266</v>
      </c>
    </row>
    <row r="21" spans="1:13" x14ac:dyDescent="0.2">
      <c r="G21" s="42">
        <f>SUM(G17:G20)</f>
        <v>4056.991033009333</v>
      </c>
      <c r="H21" s="26"/>
      <c r="I21" s="42">
        <f t="shared" si="0"/>
        <v>100.32469524171893</v>
      </c>
      <c r="J21" s="20"/>
      <c r="K21" s="42">
        <f>SUM(K17:K20)</f>
        <v>4157.315728251052</v>
      </c>
      <c r="L21" s="48"/>
    </row>
    <row r="22" spans="1:13" x14ac:dyDescent="0.2">
      <c r="G22" s="92"/>
      <c r="H22" s="92"/>
      <c r="I22" s="92"/>
      <c r="J22" s="20"/>
      <c r="K22" s="92"/>
      <c r="L22" s="48"/>
    </row>
    <row r="23" spans="1:13" x14ac:dyDescent="0.2">
      <c r="A23" s="20">
        <v>8</v>
      </c>
      <c r="C23" s="20" t="s">
        <v>104</v>
      </c>
      <c r="E23" s="44" t="s">
        <v>213</v>
      </c>
      <c r="G23" s="52">
        <f>G14-G21</f>
        <v>10063.569766579227</v>
      </c>
      <c r="H23" s="52"/>
      <c r="I23" s="52">
        <f>K23-G23</f>
        <v>-597.8768150392043</v>
      </c>
      <c r="J23" s="20"/>
      <c r="K23" s="52">
        <f>K14-K21</f>
        <v>9465.6929515400225</v>
      </c>
      <c r="L23" s="48"/>
    </row>
    <row r="24" spans="1:13" x14ac:dyDescent="0.2">
      <c r="G24" s="52"/>
      <c r="H24" s="52"/>
      <c r="I24" s="52"/>
      <c r="J24" s="26"/>
      <c r="K24" s="52"/>
      <c r="L24" s="48"/>
    </row>
    <row r="25" spans="1:13" x14ac:dyDescent="0.2">
      <c r="E25" s="70"/>
      <c r="G25" s="52"/>
      <c r="H25" s="52"/>
      <c r="I25" s="52"/>
      <c r="J25" s="26"/>
      <c r="K25" s="52"/>
      <c r="L25" s="4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O92"/>
  <sheetViews>
    <sheetView view="pageBreakPreview" zoomScale="115" zoomScaleSheetLayoutView="115" workbookViewId="0">
      <selection activeCell="G47" sqref="G47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12" style="7" customWidth="1"/>
    <col min="6" max="6" width="1.7109375" style="7" customWidth="1"/>
    <col min="7" max="7" width="12" style="7" customWidth="1"/>
    <col min="8" max="8" width="2.28515625" style="11" customWidth="1"/>
    <col min="9" max="9" width="12" style="7" customWidth="1"/>
    <col min="10" max="10" width="2.5703125" style="7" customWidth="1"/>
    <col min="11" max="11" width="44" style="7" customWidth="1"/>
    <col min="12" max="16384" width="9.140625" style="7"/>
  </cols>
  <sheetData>
    <row r="1" spans="1:13" ht="15.75" x14ac:dyDescent="0.25">
      <c r="C1" s="158" t="s">
        <v>233</v>
      </c>
      <c r="D1" s="165"/>
      <c r="E1" s="165"/>
      <c r="F1" s="165"/>
      <c r="G1" s="165"/>
      <c r="H1" s="170"/>
      <c r="I1" s="165"/>
      <c r="K1" s="8" t="s">
        <v>19</v>
      </c>
    </row>
    <row r="2" spans="1:13" x14ac:dyDescent="0.2">
      <c r="C2" s="161" t="s">
        <v>22</v>
      </c>
      <c r="D2" s="165"/>
      <c r="E2" s="165"/>
      <c r="F2" s="165"/>
      <c r="G2" s="165"/>
      <c r="H2" s="170"/>
      <c r="I2" s="165"/>
      <c r="K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65"/>
      <c r="H3" s="170"/>
      <c r="I3" s="165"/>
    </row>
    <row r="4" spans="1:13" x14ac:dyDescent="0.2">
      <c r="C4" s="118"/>
    </row>
    <row r="5" spans="1:13" x14ac:dyDescent="0.2">
      <c r="C5" s="95"/>
    </row>
    <row r="6" spans="1:13" s="17" customFormat="1" x14ac:dyDescent="0.2">
      <c r="C6" s="119"/>
      <c r="E6" s="225">
        <v>2017</v>
      </c>
      <c r="F6" s="225"/>
      <c r="G6" s="225"/>
      <c r="H6" s="225"/>
      <c r="I6" s="225"/>
      <c r="J6" s="71"/>
    </row>
    <row r="7" spans="1:13" s="15" customFormat="1" ht="25.5" x14ac:dyDescent="0.2">
      <c r="A7" s="14" t="s">
        <v>0</v>
      </c>
      <c r="C7" s="14" t="s">
        <v>1</v>
      </c>
      <c r="E7" s="157" t="s">
        <v>221</v>
      </c>
      <c r="F7" s="162"/>
      <c r="G7" s="157" t="s">
        <v>222</v>
      </c>
      <c r="H7" s="162"/>
      <c r="I7" s="157" t="s">
        <v>223</v>
      </c>
      <c r="J7" s="25"/>
      <c r="K7" s="157" t="s">
        <v>220</v>
      </c>
    </row>
    <row r="8" spans="1:13" x14ac:dyDescent="0.2">
      <c r="A8" s="20">
        <v>1</v>
      </c>
      <c r="B8" s="20"/>
      <c r="C8" s="120" t="s">
        <v>113</v>
      </c>
      <c r="M8" s="72"/>
    </row>
    <row r="9" spans="1:13" x14ac:dyDescent="0.2">
      <c r="A9" s="20">
        <v>2</v>
      </c>
      <c r="B9" s="20"/>
      <c r="C9" s="49" t="s">
        <v>114</v>
      </c>
      <c r="E9" s="182">
        <v>1623.7945751683335</v>
      </c>
      <c r="F9" s="182"/>
      <c r="G9" s="182">
        <f>I9-E9</f>
        <v>28.882508164999763</v>
      </c>
      <c r="H9" s="176"/>
      <c r="I9" s="182">
        <v>1652.6770833333333</v>
      </c>
      <c r="J9" s="19"/>
      <c r="K9" s="7" t="s">
        <v>260</v>
      </c>
      <c r="M9" s="73"/>
    </row>
    <row r="10" spans="1:13" x14ac:dyDescent="0.2">
      <c r="A10" s="20">
        <v>3</v>
      </c>
      <c r="B10" s="20"/>
      <c r="C10" s="49" t="s">
        <v>135</v>
      </c>
      <c r="E10" s="182">
        <v>13621.901470166544</v>
      </c>
      <c r="F10" s="182"/>
      <c r="G10" s="182">
        <f t="shared" ref="G10:G62" si="0">I10-E10</f>
        <v>1343.298529833457</v>
      </c>
      <c r="H10" s="176"/>
      <c r="I10" s="182">
        <v>14965.2</v>
      </c>
      <c r="J10" s="19"/>
      <c r="M10" s="73"/>
    </row>
    <row r="11" spans="1:13" x14ac:dyDescent="0.2">
      <c r="A11" s="20">
        <v>4</v>
      </c>
      <c r="B11" s="20"/>
      <c r="C11" s="49" t="s">
        <v>115</v>
      </c>
      <c r="E11" s="182">
        <v>8.3889315055473723</v>
      </c>
      <c r="F11" s="182"/>
      <c r="G11" s="182">
        <f t="shared" si="0"/>
        <v>0.66619496224163299</v>
      </c>
      <c r="H11" s="176"/>
      <c r="I11" s="182">
        <v>9.0551264677890053</v>
      </c>
      <c r="J11" s="121"/>
      <c r="M11" s="73"/>
    </row>
    <row r="12" spans="1:13" x14ac:dyDescent="0.2">
      <c r="A12" s="20">
        <v>5</v>
      </c>
      <c r="B12" s="20"/>
      <c r="C12" s="49" t="s">
        <v>116</v>
      </c>
      <c r="D12" s="95"/>
      <c r="E12" s="182">
        <v>2002.2124495277903</v>
      </c>
      <c r="F12" s="182"/>
      <c r="G12" s="182">
        <f t="shared" si="0"/>
        <v>201.04292047220952</v>
      </c>
      <c r="H12" s="176"/>
      <c r="I12" s="182">
        <v>2203.2553699999999</v>
      </c>
      <c r="J12" s="19"/>
      <c r="M12" s="73"/>
    </row>
    <row r="13" spans="1:13" x14ac:dyDescent="0.2">
      <c r="A13" s="20">
        <v>6</v>
      </c>
      <c r="B13" s="20"/>
      <c r="C13" s="49" t="s">
        <v>117</v>
      </c>
      <c r="D13" s="118"/>
      <c r="E13" s="201">
        <f t="shared" ref="E13" si="1">E12/E10*100</f>
        <v>14.698479899541594</v>
      </c>
      <c r="F13" s="201"/>
      <c r="G13" s="201">
        <f t="shared" si="0"/>
        <v>2.4045492701741722E-2</v>
      </c>
      <c r="H13" s="176"/>
      <c r="I13" s="201">
        <f t="shared" ref="I13" si="2">I12/I10*100</f>
        <v>14.722525392243336</v>
      </c>
      <c r="J13" s="122"/>
      <c r="M13" s="73"/>
    </row>
    <row r="14" spans="1:13" x14ac:dyDescent="0.2">
      <c r="A14" s="20">
        <v>7</v>
      </c>
      <c r="B14" s="20"/>
      <c r="C14" s="120" t="s">
        <v>142</v>
      </c>
      <c r="E14" s="150"/>
      <c r="F14" s="182"/>
      <c r="G14" s="150"/>
      <c r="H14" s="176"/>
      <c r="I14" s="150"/>
      <c r="J14" s="20"/>
      <c r="M14" s="72"/>
    </row>
    <row r="15" spans="1:13" x14ac:dyDescent="0.2">
      <c r="A15" s="20">
        <v>8</v>
      </c>
      <c r="B15" s="20"/>
      <c r="C15" s="49" t="s">
        <v>114</v>
      </c>
      <c r="E15" s="182">
        <v>489.70833333333326</v>
      </c>
      <c r="F15" s="182"/>
      <c r="G15" s="182">
        <f t="shared" si="0"/>
        <v>9.4583333333334281</v>
      </c>
      <c r="H15" s="176"/>
      <c r="I15" s="182">
        <v>499.16666666666669</v>
      </c>
      <c r="J15" s="36"/>
      <c r="M15" s="73"/>
    </row>
    <row r="16" spans="1:13" x14ac:dyDescent="0.2">
      <c r="A16" s="20">
        <v>9</v>
      </c>
      <c r="B16" s="20"/>
      <c r="C16" s="49" t="s">
        <v>135</v>
      </c>
      <c r="E16" s="182">
        <v>25318.048544671008</v>
      </c>
      <c r="F16" s="182"/>
      <c r="G16" s="182">
        <f t="shared" si="0"/>
        <v>813.67345532899344</v>
      </c>
      <c r="H16" s="176"/>
      <c r="I16" s="182">
        <v>26131.722000000002</v>
      </c>
      <c r="J16" s="19"/>
      <c r="M16" s="73"/>
    </row>
    <row r="17" spans="1:13" x14ac:dyDescent="0.2">
      <c r="A17" s="20">
        <v>10</v>
      </c>
      <c r="B17" s="20"/>
      <c r="C17" s="49" t="s">
        <v>115</v>
      </c>
      <c r="E17" s="182">
        <v>51.70026079061553</v>
      </c>
      <c r="F17" s="182"/>
      <c r="G17" s="182">
        <f t="shared" si="0"/>
        <v>0.65043436798213605</v>
      </c>
      <c r="H17" s="176"/>
      <c r="I17" s="182">
        <v>52.350695158597667</v>
      </c>
      <c r="J17" s="121"/>
      <c r="M17" s="73"/>
    </row>
    <row r="18" spans="1:13" x14ac:dyDescent="0.2">
      <c r="A18" s="20">
        <v>11</v>
      </c>
      <c r="B18" s="20"/>
      <c r="C18" s="49" t="s">
        <v>116</v>
      </c>
      <c r="E18" s="182">
        <v>4035.6035204195073</v>
      </c>
      <c r="F18" s="182"/>
      <c r="G18" s="182">
        <f t="shared" si="0"/>
        <v>314.58050958049216</v>
      </c>
      <c r="H18" s="176"/>
      <c r="I18" s="182">
        <v>4350.1840299999994</v>
      </c>
      <c r="J18" s="19"/>
      <c r="M18" s="73"/>
    </row>
    <row r="19" spans="1:13" x14ac:dyDescent="0.2">
      <c r="A19" s="20">
        <v>12</v>
      </c>
      <c r="B19" s="20"/>
      <c r="C19" s="49" t="s">
        <v>117</v>
      </c>
      <c r="E19" s="201">
        <f t="shared" ref="E19" si="3">E18/E16*100</f>
        <v>15.93963102369092</v>
      </c>
      <c r="F19" s="201"/>
      <c r="G19" s="201">
        <f t="shared" si="0"/>
        <v>0.7075077680044739</v>
      </c>
      <c r="H19" s="176"/>
      <c r="I19" s="201">
        <f t="shared" ref="I19" si="4">I18/I16*100</f>
        <v>16.647138791695394</v>
      </c>
      <c r="J19" s="123"/>
      <c r="M19" s="73"/>
    </row>
    <row r="20" spans="1:13" x14ac:dyDescent="0.2">
      <c r="A20" s="20">
        <v>13</v>
      </c>
      <c r="B20" s="20"/>
      <c r="C20" s="120" t="s">
        <v>118</v>
      </c>
      <c r="E20" s="150"/>
      <c r="F20" s="182"/>
      <c r="G20" s="150"/>
      <c r="H20" s="176"/>
      <c r="I20" s="150"/>
      <c r="J20" s="20"/>
      <c r="M20" s="72"/>
    </row>
    <row r="21" spans="1:13" x14ac:dyDescent="0.2">
      <c r="A21" s="20">
        <v>14</v>
      </c>
      <c r="B21" s="20"/>
      <c r="C21" s="49" t="s">
        <v>135</v>
      </c>
      <c r="E21" s="182">
        <v>38219.093026666669</v>
      </c>
      <c r="F21" s="182"/>
      <c r="G21" s="182">
        <f t="shared" si="0"/>
        <v>5200.2173133333345</v>
      </c>
      <c r="H21" s="176"/>
      <c r="I21" s="182">
        <v>43419.310340000004</v>
      </c>
      <c r="J21" s="19"/>
      <c r="K21" s="180"/>
      <c r="M21" s="73"/>
    </row>
    <row r="22" spans="1:13" x14ac:dyDescent="0.2">
      <c r="A22" s="150">
        <v>15</v>
      </c>
      <c r="B22" s="150"/>
      <c r="C22" s="49" t="s">
        <v>116</v>
      </c>
      <c r="D22" s="176"/>
      <c r="E22" s="182">
        <v>4198.1820828409327</v>
      </c>
      <c r="F22" s="182"/>
      <c r="G22" s="182">
        <f t="shared" si="0"/>
        <v>630.7310671590667</v>
      </c>
      <c r="H22" s="176"/>
      <c r="I22" s="182">
        <v>4828.9131499999994</v>
      </c>
      <c r="J22" s="19"/>
      <c r="K22" s="20"/>
      <c r="M22" s="73"/>
    </row>
    <row r="23" spans="1:13" x14ac:dyDescent="0.2">
      <c r="A23" s="20">
        <v>16</v>
      </c>
      <c r="B23" s="20"/>
      <c r="C23" s="49" t="s">
        <v>117</v>
      </c>
      <c r="E23" s="201">
        <f t="shared" ref="E23" si="5">E22/E21*100</f>
        <v>10.984515200064346</v>
      </c>
      <c r="F23" s="182"/>
      <c r="G23" s="201">
        <f t="shared" si="0"/>
        <v>0.13706437406207073</v>
      </c>
      <c r="H23" s="176"/>
      <c r="I23" s="201">
        <f t="shared" ref="I23" si="6">I22/I21*100</f>
        <v>11.121579574126416</v>
      </c>
      <c r="J23" s="124"/>
      <c r="M23" s="73"/>
    </row>
    <row r="24" spans="1:13" x14ac:dyDescent="0.2">
      <c r="A24" s="20">
        <v>17</v>
      </c>
      <c r="B24" s="20"/>
      <c r="C24" s="120" t="s">
        <v>119</v>
      </c>
      <c r="E24" s="150"/>
      <c r="F24" s="182"/>
      <c r="G24" s="150"/>
      <c r="H24" s="176"/>
      <c r="I24" s="150"/>
      <c r="J24" s="20"/>
      <c r="M24" s="72"/>
    </row>
    <row r="25" spans="1:13" x14ac:dyDescent="0.2">
      <c r="A25" s="20">
        <v>18</v>
      </c>
      <c r="B25" s="20"/>
      <c r="C25" s="49" t="s">
        <v>135</v>
      </c>
      <c r="E25" s="182">
        <v>224.50800000000001</v>
      </c>
      <c r="F25" s="182"/>
      <c r="G25" s="182">
        <f t="shared" si="0"/>
        <v>3.6999999999999886</v>
      </c>
      <c r="H25" s="176"/>
      <c r="I25" s="182">
        <v>228.208</v>
      </c>
      <c r="J25" s="19"/>
      <c r="M25" s="73"/>
    </row>
    <row r="26" spans="1:13" x14ac:dyDescent="0.2">
      <c r="A26" s="20">
        <v>19</v>
      </c>
      <c r="B26" s="20"/>
      <c r="C26" s="49" t="s">
        <v>116</v>
      </c>
      <c r="D26" s="79"/>
      <c r="E26" s="182">
        <v>58.390873023464742</v>
      </c>
      <c r="F26" s="182"/>
      <c r="G26" s="182">
        <f t="shared" si="0"/>
        <v>29.79112697653526</v>
      </c>
      <c r="H26" s="176"/>
      <c r="I26" s="182">
        <v>88.182000000000002</v>
      </c>
      <c r="J26" s="19"/>
      <c r="M26" s="73"/>
    </row>
    <row r="27" spans="1:13" x14ac:dyDescent="0.2">
      <c r="A27" s="20">
        <v>20</v>
      </c>
      <c r="B27" s="20"/>
      <c r="C27" s="49" t="s">
        <v>117</v>
      </c>
      <c r="E27" s="201">
        <f t="shared" ref="E27" si="7">E26/E25*100</f>
        <v>26.008370758932752</v>
      </c>
      <c r="F27" s="201"/>
      <c r="G27" s="201">
        <f t="shared" si="0"/>
        <v>12.632693533291881</v>
      </c>
      <c r="H27" s="176"/>
      <c r="I27" s="201">
        <f t="shared" ref="I27" si="8">I26/I25*100</f>
        <v>38.641064292224634</v>
      </c>
      <c r="J27" s="123"/>
      <c r="M27" s="73"/>
    </row>
    <row r="28" spans="1:13" x14ac:dyDescent="0.2">
      <c r="A28" s="20">
        <v>21</v>
      </c>
      <c r="B28" s="20"/>
      <c r="C28" s="120" t="s">
        <v>120</v>
      </c>
      <c r="E28" s="150"/>
      <c r="F28" s="182"/>
      <c r="G28" s="150"/>
      <c r="H28" s="176"/>
      <c r="I28" s="150"/>
      <c r="J28" s="20"/>
      <c r="M28" s="72"/>
    </row>
    <row r="29" spans="1:13" x14ac:dyDescent="0.2">
      <c r="A29" s="20">
        <v>22</v>
      </c>
      <c r="B29" s="20"/>
      <c r="C29" s="49" t="s">
        <v>135</v>
      </c>
      <c r="E29" s="182">
        <v>11.724</v>
      </c>
      <c r="F29" s="182"/>
      <c r="G29" s="182">
        <f t="shared" si="0"/>
        <v>-8.0000000000000071E-2</v>
      </c>
      <c r="H29" s="176"/>
      <c r="I29" s="182">
        <v>11.644</v>
      </c>
      <c r="J29" s="19"/>
      <c r="M29" s="73"/>
    </row>
    <row r="30" spans="1:13" x14ac:dyDescent="0.2">
      <c r="A30" s="20">
        <v>23</v>
      </c>
      <c r="B30" s="20"/>
      <c r="C30" s="49" t="s">
        <v>116</v>
      </c>
      <c r="E30" s="182">
        <v>2.632959421354049</v>
      </c>
      <c r="F30" s="182"/>
      <c r="G30" s="182">
        <f t="shared" si="0"/>
        <v>0.69304057864595103</v>
      </c>
      <c r="H30" s="176"/>
      <c r="I30" s="182">
        <v>3.3260000000000001</v>
      </c>
      <c r="J30" s="36"/>
      <c r="M30" s="73"/>
    </row>
    <row r="31" spans="1:13" x14ac:dyDescent="0.2">
      <c r="A31" s="20">
        <v>24</v>
      </c>
      <c r="B31" s="20"/>
      <c r="C31" s="49" t="s">
        <v>117</v>
      </c>
      <c r="E31" s="201">
        <f t="shared" ref="E31" si="9">E30/E29*100</f>
        <v>22.457859274599532</v>
      </c>
      <c r="F31" s="201"/>
      <c r="G31" s="201">
        <f t="shared" si="0"/>
        <v>6.1062080562146193</v>
      </c>
      <c r="H31" s="176"/>
      <c r="I31" s="201">
        <f t="shared" ref="I31" si="10">I30/I29*100</f>
        <v>28.564067330814151</v>
      </c>
      <c r="J31" s="123"/>
      <c r="M31" s="73"/>
    </row>
    <row r="32" spans="1:13" x14ac:dyDescent="0.2">
      <c r="A32" s="20">
        <v>25</v>
      </c>
      <c r="B32" s="20"/>
      <c r="C32" s="120" t="s">
        <v>191</v>
      </c>
      <c r="E32" s="150"/>
      <c r="F32" s="182"/>
      <c r="G32" s="150"/>
      <c r="H32" s="176"/>
      <c r="I32" s="150"/>
      <c r="J32" s="20"/>
      <c r="M32" s="74"/>
    </row>
    <row r="33" spans="1:13" x14ac:dyDescent="0.2">
      <c r="A33" s="20">
        <v>26</v>
      </c>
      <c r="B33" s="20"/>
      <c r="C33" s="49" t="s">
        <v>114</v>
      </c>
      <c r="E33" s="202">
        <f t="shared" ref="E33" si="11">E9+E15</f>
        <v>2113.5029085016668</v>
      </c>
      <c r="F33" s="202"/>
      <c r="G33" s="202">
        <f t="shared" si="0"/>
        <v>38.340841498333248</v>
      </c>
      <c r="H33" s="176"/>
      <c r="I33" s="202">
        <f t="shared" ref="I33" si="12">I9+I15</f>
        <v>2151.84375</v>
      </c>
      <c r="J33" s="19"/>
      <c r="M33" s="73"/>
    </row>
    <row r="34" spans="1:13" x14ac:dyDescent="0.2">
      <c r="A34" s="20">
        <v>27</v>
      </c>
      <c r="B34" s="20"/>
      <c r="C34" s="49" t="s">
        <v>135</v>
      </c>
      <c r="E34" s="202">
        <f t="shared" ref="E34" si="13">E10+E16+E21+E25+E29</f>
        <v>77395.275041504225</v>
      </c>
      <c r="F34" s="202"/>
      <c r="G34" s="202">
        <f t="shared" si="0"/>
        <v>7360.8092984957912</v>
      </c>
      <c r="H34" s="176"/>
      <c r="I34" s="202">
        <f t="shared" ref="I34" si="14">I10+I16+I21+I25+I29</f>
        <v>84756.084340000016</v>
      </c>
      <c r="J34" s="19"/>
      <c r="K34" s="20"/>
      <c r="M34" s="73"/>
    </row>
    <row r="35" spans="1:13" x14ac:dyDescent="0.2">
      <c r="A35" s="20">
        <v>28</v>
      </c>
      <c r="B35" s="20"/>
      <c r="C35" s="49" t="s">
        <v>116</v>
      </c>
      <c r="E35" s="202">
        <f t="shared" ref="E35" si="15">E12+E18+E22+E26+E30</f>
        <v>10297.021885233051</v>
      </c>
      <c r="F35" s="202"/>
      <c r="G35" s="202">
        <f t="shared" si="0"/>
        <v>1176.8386647669486</v>
      </c>
      <c r="H35" s="176"/>
      <c r="I35" s="202">
        <f t="shared" ref="I35" si="16">I12+I18+I22+I26+I30</f>
        <v>11473.860549999999</v>
      </c>
      <c r="J35" s="19"/>
      <c r="K35" s="20"/>
      <c r="M35" s="73"/>
    </row>
    <row r="36" spans="1:13" x14ac:dyDescent="0.2">
      <c r="A36" s="20">
        <v>29</v>
      </c>
      <c r="B36" s="20"/>
      <c r="C36" s="49" t="s">
        <v>117</v>
      </c>
      <c r="E36" s="203">
        <f t="shared" ref="E36" si="17">SUM(E35/E34)*100</f>
        <v>13.304458030171917</v>
      </c>
      <c r="F36" s="203"/>
      <c r="G36" s="203">
        <f t="shared" si="0"/>
        <v>0.23304861533623722</v>
      </c>
      <c r="H36" s="176"/>
      <c r="I36" s="203">
        <f t="shared" ref="I36" si="18">SUM(I35/I34)*100</f>
        <v>13.537506645508154</v>
      </c>
      <c r="J36" s="123"/>
      <c r="M36" s="73"/>
    </row>
    <row r="37" spans="1:13" x14ac:dyDescent="0.2">
      <c r="A37" s="20">
        <v>30</v>
      </c>
      <c r="B37" s="20"/>
      <c r="C37" s="120" t="s">
        <v>121</v>
      </c>
      <c r="E37" s="150"/>
      <c r="F37" s="182"/>
      <c r="G37" s="150"/>
      <c r="H37" s="176"/>
      <c r="I37" s="150"/>
      <c r="J37" s="20"/>
      <c r="M37" s="72"/>
    </row>
    <row r="38" spans="1:13" x14ac:dyDescent="0.2">
      <c r="A38" s="20">
        <v>31</v>
      </c>
      <c r="B38" s="20"/>
      <c r="C38" s="49" t="s">
        <v>135</v>
      </c>
      <c r="E38" s="182">
        <v>309000.00012643787</v>
      </c>
      <c r="F38" s="182"/>
      <c r="G38" s="182">
        <f t="shared" si="0"/>
        <v>19426.151793562167</v>
      </c>
      <c r="H38" s="176"/>
      <c r="I38" s="182">
        <v>328426.15192000003</v>
      </c>
      <c r="J38" s="19"/>
      <c r="K38" s="180"/>
      <c r="M38" s="73"/>
    </row>
    <row r="39" spans="1:13" x14ac:dyDescent="0.2">
      <c r="A39" s="20">
        <v>32</v>
      </c>
      <c r="B39" s="20"/>
      <c r="C39" s="49" t="s">
        <v>116</v>
      </c>
      <c r="E39" s="182">
        <v>25640.820010491807</v>
      </c>
      <c r="F39" s="182"/>
      <c r="G39" s="182">
        <f t="shared" si="0"/>
        <v>1611.9818695081922</v>
      </c>
      <c r="H39" s="176"/>
      <c r="I39" s="182">
        <v>27252.801879999999</v>
      </c>
      <c r="J39" s="19"/>
      <c r="K39" s="20"/>
      <c r="M39" s="73"/>
    </row>
    <row r="40" spans="1:13" x14ac:dyDescent="0.2">
      <c r="A40" s="20">
        <v>33</v>
      </c>
      <c r="B40" s="20"/>
      <c r="C40" s="49" t="s">
        <v>117</v>
      </c>
      <c r="E40" s="201">
        <f t="shared" ref="E40" si="19">E39/E38*100</f>
        <v>8.2979999999999965</v>
      </c>
      <c r="F40" s="201"/>
      <c r="G40" s="201">
        <f t="shared" si="0"/>
        <v>-6.2821303714599708E-8</v>
      </c>
      <c r="H40" s="176"/>
      <c r="I40" s="201">
        <f t="shared" ref="I40" si="20">I39/I38*100</f>
        <v>8.2979999371786928</v>
      </c>
      <c r="J40" s="123"/>
      <c r="M40" s="73"/>
    </row>
    <row r="41" spans="1:13" x14ac:dyDescent="0.2">
      <c r="A41" s="20">
        <v>34</v>
      </c>
      <c r="B41" s="20"/>
      <c r="C41" s="120" t="s">
        <v>143</v>
      </c>
      <c r="E41" s="150"/>
      <c r="F41" s="182"/>
      <c r="G41" s="150"/>
      <c r="H41" s="176"/>
      <c r="I41" s="150"/>
      <c r="J41" s="20"/>
      <c r="M41" s="74"/>
    </row>
    <row r="42" spans="1:13" x14ac:dyDescent="0.2">
      <c r="A42" s="20">
        <v>35</v>
      </c>
      <c r="B42" s="20"/>
      <c r="C42" s="49" t="s">
        <v>135</v>
      </c>
      <c r="E42" s="204">
        <f t="shared" ref="E42:E43" si="21">E34+E38</f>
        <v>386395.27516794211</v>
      </c>
      <c r="F42" s="204"/>
      <c r="G42" s="204">
        <f t="shared" si="0"/>
        <v>26786.961092057929</v>
      </c>
      <c r="H42" s="176"/>
      <c r="I42" s="204">
        <f t="shared" ref="I42" si="22">I34+I38</f>
        <v>413182.23626000003</v>
      </c>
      <c r="J42" s="19"/>
      <c r="K42" s="20"/>
      <c r="M42" s="73"/>
    </row>
    <row r="43" spans="1:13" x14ac:dyDescent="0.2">
      <c r="A43" s="20">
        <v>36</v>
      </c>
      <c r="B43" s="20"/>
      <c r="C43" s="49" t="s">
        <v>116</v>
      </c>
      <c r="E43" s="204">
        <f t="shared" si="21"/>
        <v>35937.841895724858</v>
      </c>
      <c r="F43" s="204"/>
      <c r="G43" s="204">
        <f t="shared" si="0"/>
        <v>2788.8205342751389</v>
      </c>
      <c r="H43" s="176"/>
      <c r="I43" s="204">
        <f t="shared" ref="I43" si="23">I35+I39</f>
        <v>38726.662429999997</v>
      </c>
      <c r="J43" s="19"/>
      <c r="K43" s="20"/>
      <c r="M43" s="73"/>
    </row>
    <row r="44" spans="1:13" x14ac:dyDescent="0.2">
      <c r="A44" s="20">
        <v>37</v>
      </c>
      <c r="B44" s="20"/>
      <c r="C44" s="49" t="s">
        <v>117</v>
      </c>
      <c r="E44" s="201">
        <f t="shared" ref="E44" si="24">E43/E42*100</f>
        <v>9.3007974489607577</v>
      </c>
      <c r="F44" s="201"/>
      <c r="G44" s="201">
        <f t="shared" si="0"/>
        <v>7.1982654206786734E-2</v>
      </c>
      <c r="H44" s="176"/>
      <c r="I44" s="201">
        <f t="shared" ref="I44" si="25">I43/I42*100</f>
        <v>9.3727801031675444</v>
      </c>
      <c r="J44" s="123"/>
      <c r="M44" s="73"/>
    </row>
    <row r="45" spans="1:13" x14ac:dyDescent="0.2">
      <c r="A45" s="20">
        <v>38</v>
      </c>
      <c r="B45" s="20"/>
      <c r="C45" s="120" t="s">
        <v>144</v>
      </c>
      <c r="E45" s="201"/>
      <c r="F45" s="182"/>
      <c r="G45" s="201"/>
      <c r="H45" s="176"/>
      <c r="I45" s="201"/>
      <c r="J45" s="123"/>
      <c r="M45" s="72"/>
    </row>
    <row r="46" spans="1:13" x14ac:dyDescent="0.2">
      <c r="A46" s="20">
        <v>39</v>
      </c>
      <c r="B46" s="20"/>
      <c r="C46" s="49" t="s">
        <v>135</v>
      </c>
      <c r="E46" s="182">
        <v>11464</v>
      </c>
      <c r="F46" s="182"/>
      <c r="G46" s="182">
        <f t="shared" si="0"/>
        <v>-3078.9699999999993</v>
      </c>
      <c r="H46" s="176"/>
      <c r="I46" s="182">
        <v>8385.0300000000007</v>
      </c>
      <c r="J46" s="19"/>
      <c r="K46" s="180"/>
      <c r="M46" s="73"/>
    </row>
    <row r="47" spans="1:13" x14ac:dyDescent="0.2">
      <c r="A47" s="20">
        <v>40</v>
      </c>
      <c r="B47" s="20"/>
      <c r="C47" s="49" t="s">
        <v>116</v>
      </c>
      <c r="E47" s="182">
        <v>641.98400000000004</v>
      </c>
      <c r="F47" s="182"/>
      <c r="G47" s="182">
        <f t="shared" si="0"/>
        <v>-172.42232000000001</v>
      </c>
      <c r="H47" s="176"/>
      <c r="I47" s="182">
        <v>469.56168000000002</v>
      </c>
      <c r="J47" s="19"/>
      <c r="K47" s="20"/>
      <c r="M47" s="73"/>
    </row>
    <row r="48" spans="1:13" x14ac:dyDescent="0.2">
      <c r="A48" s="20">
        <v>41</v>
      </c>
      <c r="B48" s="20"/>
      <c r="C48" s="49" t="s">
        <v>117</v>
      </c>
      <c r="E48" s="201">
        <f t="shared" ref="E48" si="26">E47/E46*100</f>
        <v>5.6000000000000005</v>
      </c>
      <c r="F48" s="201"/>
      <c r="G48" s="182">
        <f t="shared" si="0"/>
        <v>0</v>
      </c>
      <c r="H48" s="176"/>
      <c r="I48" s="201">
        <f t="shared" ref="I48" si="27">I47/I46*100</f>
        <v>5.6000000000000005</v>
      </c>
      <c r="J48" s="123"/>
      <c r="M48" s="73"/>
    </row>
    <row r="49" spans="1:13" x14ac:dyDescent="0.2">
      <c r="A49" s="20">
        <v>42</v>
      </c>
      <c r="B49" s="20"/>
      <c r="C49" s="120" t="s">
        <v>122</v>
      </c>
      <c r="E49" s="150"/>
      <c r="F49" s="182"/>
      <c r="G49" s="150"/>
      <c r="H49" s="176"/>
      <c r="I49" s="150"/>
      <c r="J49" s="20"/>
      <c r="M49" s="72"/>
    </row>
    <row r="50" spans="1:13" x14ac:dyDescent="0.2">
      <c r="A50" s="20">
        <v>43</v>
      </c>
      <c r="B50" s="20"/>
      <c r="C50" s="49" t="s">
        <v>135</v>
      </c>
      <c r="E50" s="182">
        <f t="shared" ref="E50:E51" si="28">E42+E46</f>
        <v>397859.27516794211</v>
      </c>
      <c r="F50" s="182"/>
      <c r="G50" s="182">
        <f t="shared" si="0"/>
        <v>23707.991092057957</v>
      </c>
      <c r="H50" s="176"/>
      <c r="I50" s="182">
        <f>I42+I46</f>
        <v>421567.26626000006</v>
      </c>
      <c r="J50" s="19"/>
      <c r="K50" s="20"/>
      <c r="M50" s="73"/>
    </row>
    <row r="51" spans="1:13" x14ac:dyDescent="0.2">
      <c r="A51" s="20">
        <v>44</v>
      </c>
      <c r="B51" s="20"/>
      <c r="C51" s="49" t="s">
        <v>116</v>
      </c>
      <c r="E51" s="182">
        <f t="shared" si="28"/>
        <v>36579.825895724854</v>
      </c>
      <c r="F51" s="182"/>
      <c r="G51" s="182">
        <f t="shared" si="0"/>
        <v>2616.3982142751411</v>
      </c>
      <c r="H51" s="176"/>
      <c r="I51" s="182">
        <f>I43+I47</f>
        <v>39196.224109999996</v>
      </c>
      <c r="J51" s="19"/>
      <c r="K51" s="20"/>
      <c r="M51" s="73"/>
    </row>
    <row r="52" spans="1:13" x14ac:dyDescent="0.2">
      <c r="A52" s="20">
        <v>45</v>
      </c>
      <c r="B52" s="20"/>
      <c r="C52" s="49" t="s">
        <v>117</v>
      </c>
      <c r="E52" s="201">
        <f t="shared" ref="E52" si="29">E51/E50*100</f>
        <v>9.1941619006579618</v>
      </c>
      <c r="F52" s="201"/>
      <c r="G52" s="201">
        <f t="shared" si="0"/>
        <v>0.10357709547791671</v>
      </c>
      <c r="H52" s="176"/>
      <c r="I52" s="201">
        <f t="shared" ref="I52" si="30">I51/I50*100</f>
        <v>9.2977389961358785</v>
      </c>
      <c r="J52" s="123"/>
      <c r="M52" s="73"/>
    </row>
    <row r="53" spans="1:13" x14ac:dyDescent="0.2">
      <c r="A53" s="20"/>
      <c r="B53" s="20"/>
      <c r="C53" s="20"/>
      <c r="E53" s="201"/>
      <c r="F53" s="182"/>
      <c r="G53" s="201"/>
      <c r="H53" s="176"/>
      <c r="I53" s="201"/>
      <c r="J53" s="123"/>
    </row>
    <row r="54" spans="1:13" x14ac:dyDescent="0.2">
      <c r="A54" s="20">
        <v>46</v>
      </c>
      <c r="B54" s="20"/>
      <c r="C54" s="114" t="s">
        <v>145</v>
      </c>
      <c r="E54" s="182">
        <v>6363.3797206155605</v>
      </c>
      <c r="F54" s="182"/>
      <c r="G54" s="182"/>
      <c r="H54" s="176"/>
      <c r="I54" s="182">
        <v>6952.3138204990491</v>
      </c>
      <c r="J54" s="19"/>
    </row>
    <row r="55" spans="1:13" x14ac:dyDescent="0.2">
      <c r="A55" s="20">
        <f>A54+1</f>
        <v>47</v>
      </c>
      <c r="B55" s="20"/>
      <c r="C55" s="114" t="s">
        <v>195</v>
      </c>
      <c r="E55" s="182">
        <v>0</v>
      </c>
      <c r="F55" s="182"/>
      <c r="G55" s="182"/>
      <c r="H55" s="176"/>
      <c r="I55" s="182">
        <v>0</v>
      </c>
      <c r="J55" s="19"/>
    </row>
    <row r="56" spans="1:13" x14ac:dyDescent="0.2">
      <c r="A56" s="150">
        <f>A55+1</f>
        <v>48</v>
      </c>
      <c r="B56" s="150"/>
      <c r="C56" s="181" t="s">
        <v>206</v>
      </c>
      <c r="D56" s="176"/>
      <c r="E56" s="182">
        <v>5347.7484386689803</v>
      </c>
      <c r="F56" s="182"/>
      <c r="G56" s="182">
        <f t="shared" si="0"/>
        <v>-2613.3746567902863</v>
      </c>
      <c r="H56" s="176"/>
      <c r="I56" s="182">
        <v>2734.373781878694</v>
      </c>
      <c r="J56" s="19"/>
      <c r="K56" s="173"/>
    </row>
    <row r="57" spans="1:13" x14ac:dyDescent="0.2">
      <c r="E57" s="182"/>
      <c r="F57" s="182"/>
      <c r="G57" s="182"/>
      <c r="H57" s="176"/>
      <c r="I57" s="182"/>
      <c r="J57" s="19"/>
    </row>
    <row r="58" spans="1:13" ht="13.5" thickBot="1" x14ac:dyDescent="0.25">
      <c r="A58" s="20">
        <f>A56+1</f>
        <v>49</v>
      </c>
      <c r="B58" s="20"/>
      <c r="C58" s="114" t="s">
        <v>146</v>
      </c>
      <c r="E58" s="205">
        <f>E56+E51+E54</f>
        <v>48290.954055009395</v>
      </c>
      <c r="F58" s="190"/>
      <c r="G58" s="205">
        <f t="shared" si="0"/>
        <v>591.9576573683371</v>
      </c>
      <c r="H58" s="176"/>
      <c r="I58" s="205">
        <f>I56+I51+I54</f>
        <v>48882.911712377732</v>
      </c>
      <c r="J58" s="125"/>
      <c r="K58" s="20"/>
    </row>
    <row r="59" spans="1:13" x14ac:dyDescent="0.2">
      <c r="A59" s="20"/>
      <c r="B59" s="20"/>
      <c r="C59" s="114"/>
      <c r="E59" s="182"/>
      <c r="F59" s="182"/>
      <c r="G59" s="182"/>
      <c r="H59" s="176"/>
      <c r="I59" s="182"/>
      <c r="J59" s="19"/>
    </row>
    <row r="60" spans="1:13" x14ac:dyDescent="0.2">
      <c r="A60" s="20">
        <f>A58+1</f>
        <v>50</v>
      </c>
      <c r="B60" s="20"/>
      <c r="C60" s="114" t="s">
        <v>147</v>
      </c>
      <c r="E60" s="182">
        <v>252.96</v>
      </c>
      <c r="F60" s="182"/>
      <c r="G60" s="182">
        <f t="shared" si="0"/>
        <v>65.775349999999975</v>
      </c>
      <c r="H60" s="176"/>
      <c r="I60" s="182">
        <v>318.73534999999998</v>
      </c>
      <c r="J60" s="19"/>
    </row>
    <row r="61" spans="1:13" x14ac:dyDescent="0.2">
      <c r="A61" s="20"/>
      <c r="B61" s="20"/>
      <c r="C61" s="114"/>
      <c r="E61" s="182"/>
      <c r="F61" s="182"/>
      <c r="G61" s="182"/>
      <c r="H61" s="176"/>
      <c r="I61" s="182"/>
      <c r="J61" s="19"/>
    </row>
    <row r="62" spans="1:13" x14ac:dyDescent="0.2">
      <c r="A62" s="20">
        <f>A60+1</f>
        <v>51</v>
      </c>
      <c r="B62" s="20"/>
      <c r="C62" s="152" t="s">
        <v>216</v>
      </c>
      <c r="E62" s="182">
        <f t="shared" ref="E62" si="31">E58+E60</f>
        <v>48543.914055009394</v>
      </c>
      <c r="F62" s="182"/>
      <c r="G62" s="182">
        <f t="shared" si="0"/>
        <v>657.73300736834062</v>
      </c>
      <c r="H62" s="176"/>
      <c r="I62" s="182">
        <f t="shared" ref="I62" si="32">I58+I60</f>
        <v>49201.647062377735</v>
      </c>
      <c r="J62" s="19"/>
      <c r="K62" s="20"/>
      <c r="L62" s="29"/>
    </row>
    <row r="63" spans="1:13" x14ac:dyDescent="0.2">
      <c r="A63" s="20"/>
      <c r="B63" s="20"/>
      <c r="C63" s="114"/>
      <c r="E63" s="19"/>
      <c r="F63" s="19"/>
      <c r="G63" s="19"/>
      <c r="H63" s="27"/>
      <c r="I63" s="19"/>
      <c r="J63" s="19"/>
    </row>
    <row r="64" spans="1:13" x14ac:dyDescent="0.2">
      <c r="A64" s="20"/>
      <c r="B64" s="20"/>
      <c r="C64" s="143"/>
      <c r="E64" s="19"/>
      <c r="F64" s="19"/>
      <c r="G64" s="19"/>
      <c r="H64" s="27"/>
      <c r="I64" s="19"/>
      <c r="J64" s="19"/>
    </row>
    <row r="65" spans="1:10" x14ac:dyDescent="0.2">
      <c r="A65" s="20"/>
      <c r="B65" s="20"/>
      <c r="C65" s="226"/>
      <c r="D65" s="226"/>
      <c r="E65" s="226"/>
      <c r="F65" s="226"/>
      <c r="G65" s="226"/>
      <c r="H65" s="226"/>
      <c r="I65" s="226"/>
      <c r="J65" s="19"/>
    </row>
    <row r="66" spans="1:10" x14ac:dyDescent="0.2">
      <c r="A66" s="20"/>
      <c r="B66" s="20"/>
      <c r="C66" s="114"/>
      <c r="E66" s="19"/>
      <c r="F66" s="19"/>
      <c r="G66" s="19"/>
      <c r="H66" s="27"/>
      <c r="I66" s="19"/>
      <c r="J66" s="19"/>
    </row>
    <row r="67" spans="1:10" x14ac:dyDescent="0.2">
      <c r="A67" s="20"/>
      <c r="B67" s="20"/>
      <c r="C67" s="114"/>
      <c r="E67" s="19"/>
      <c r="F67" s="19"/>
      <c r="G67" s="19"/>
      <c r="H67" s="27"/>
      <c r="I67" s="19"/>
      <c r="J67" s="19"/>
    </row>
    <row r="68" spans="1:10" x14ac:dyDescent="0.2">
      <c r="A68" s="20"/>
      <c r="B68" s="20"/>
      <c r="C68" s="114"/>
      <c r="E68" s="19"/>
      <c r="F68" s="19"/>
      <c r="G68" s="19"/>
      <c r="H68" s="19"/>
      <c r="I68" s="19"/>
      <c r="J68" s="19"/>
    </row>
    <row r="69" spans="1:10" x14ac:dyDescent="0.2">
      <c r="A69" s="20"/>
      <c r="B69" s="20"/>
      <c r="C69" s="114"/>
      <c r="E69" s="19"/>
      <c r="F69" s="19"/>
      <c r="G69" s="19"/>
      <c r="H69" s="19"/>
      <c r="I69" s="19"/>
      <c r="J69" s="19"/>
    </row>
    <row r="70" spans="1:10" x14ac:dyDescent="0.2">
      <c r="A70" s="20"/>
      <c r="B70" s="20"/>
      <c r="C70" s="114"/>
      <c r="E70" s="19"/>
      <c r="F70" s="19"/>
      <c r="G70" s="19"/>
      <c r="H70" s="27"/>
      <c r="I70" s="19"/>
      <c r="J70" s="19"/>
    </row>
    <row r="71" spans="1:10" x14ac:dyDescent="0.2">
      <c r="A71" s="20"/>
      <c r="B71" s="20"/>
      <c r="C71" s="114"/>
      <c r="E71" s="19"/>
      <c r="F71" s="19"/>
      <c r="G71" s="19"/>
      <c r="H71" s="19"/>
      <c r="I71" s="19"/>
      <c r="J71" s="19"/>
    </row>
    <row r="72" spans="1:10" x14ac:dyDescent="0.2">
      <c r="A72" s="20"/>
      <c r="B72" s="20"/>
      <c r="C72" s="114"/>
      <c r="E72" s="99"/>
      <c r="F72" s="99"/>
      <c r="G72" s="99"/>
      <c r="H72" s="126"/>
      <c r="I72" s="99"/>
      <c r="J72" s="99"/>
    </row>
    <row r="73" spans="1:10" x14ac:dyDescent="0.2">
      <c r="A73" s="20"/>
      <c r="B73" s="20"/>
      <c r="C73" s="114"/>
      <c r="E73" s="99"/>
      <c r="F73" s="99"/>
      <c r="G73" s="99"/>
      <c r="H73" s="126"/>
      <c r="I73" s="99"/>
      <c r="J73" s="99"/>
    </row>
    <row r="74" spans="1:10" x14ac:dyDescent="0.2">
      <c r="A74" s="20"/>
      <c r="B74" s="20"/>
      <c r="C74" s="114"/>
      <c r="E74" s="99"/>
      <c r="F74" s="99"/>
      <c r="G74" s="99"/>
      <c r="H74" s="126"/>
      <c r="I74" s="99"/>
      <c r="J74" s="99"/>
    </row>
    <row r="75" spans="1:10" x14ac:dyDescent="0.2">
      <c r="A75" s="20"/>
      <c r="B75" s="20"/>
      <c r="C75" s="114"/>
      <c r="E75" s="99"/>
      <c r="F75" s="99"/>
      <c r="G75" s="99"/>
      <c r="H75" s="126"/>
      <c r="I75" s="99"/>
      <c r="J75" s="99"/>
    </row>
    <row r="76" spans="1:10" x14ac:dyDescent="0.2">
      <c r="A76" s="20"/>
      <c r="B76" s="20"/>
      <c r="C76" s="114"/>
      <c r="E76" s="99"/>
      <c r="F76" s="99"/>
      <c r="G76" s="99"/>
      <c r="H76" s="126"/>
      <c r="I76" s="99"/>
      <c r="J76" s="99"/>
    </row>
    <row r="77" spans="1:10" x14ac:dyDescent="0.2">
      <c r="A77" s="20"/>
      <c r="B77" s="20"/>
      <c r="C77" s="114"/>
      <c r="E77" s="99"/>
      <c r="F77" s="99"/>
      <c r="G77" s="99"/>
      <c r="H77" s="126"/>
      <c r="I77" s="99"/>
      <c r="J77" s="99"/>
    </row>
    <row r="78" spans="1:10" x14ac:dyDescent="0.2">
      <c r="A78" s="20"/>
      <c r="B78" s="20"/>
      <c r="C78" s="114"/>
      <c r="E78" s="99"/>
      <c r="F78" s="99"/>
      <c r="G78" s="99"/>
      <c r="H78" s="126"/>
      <c r="I78" s="99"/>
      <c r="J78" s="99"/>
    </row>
    <row r="79" spans="1:10" x14ac:dyDescent="0.2">
      <c r="C79" s="127"/>
      <c r="E79" s="99"/>
      <c r="F79" s="99"/>
      <c r="G79" s="99"/>
      <c r="H79" s="126"/>
      <c r="I79" s="99"/>
      <c r="J79" s="99"/>
    </row>
    <row r="80" spans="1:10" x14ac:dyDescent="0.2">
      <c r="C80" s="127"/>
      <c r="E80" s="99"/>
      <c r="F80" s="99"/>
      <c r="G80" s="99"/>
      <c r="H80" s="126"/>
      <c r="I80" s="99"/>
      <c r="J80" s="99"/>
    </row>
    <row r="81" spans="2:15" x14ac:dyDescent="0.2">
      <c r="C81" s="127"/>
      <c r="E81" s="99"/>
      <c r="F81" s="99"/>
      <c r="G81" s="99"/>
      <c r="H81" s="126"/>
      <c r="I81" s="99"/>
      <c r="J81" s="99"/>
    </row>
    <row r="82" spans="2:15" x14ac:dyDescent="0.2">
      <c r="C82" s="127"/>
      <c r="E82" s="99"/>
      <c r="F82" s="99"/>
      <c r="G82" s="99"/>
      <c r="H82" s="126"/>
      <c r="I82" s="99"/>
      <c r="J82" s="99"/>
    </row>
    <row r="83" spans="2:15" x14ac:dyDescent="0.2">
      <c r="C83" s="127"/>
      <c r="E83" s="99"/>
      <c r="F83" s="99"/>
      <c r="G83" s="99"/>
      <c r="H83" s="126"/>
      <c r="I83" s="99"/>
      <c r="J83" s="99"/>
    </row>
    <row r="84" spans="2:15" x14ac:dyDescent="0.2">
      <c r="C84" s="127"/>
      <c r="E84" s="99"/>
      <c r="F84" s="99"/>
      <c r="G84" s="99"/>
      <c r="H84" s="126"/>
      <c r="I84" s="99"/>
      <c r="J84" s="99"/>
    </row>
    <row r="85" spans="2:15" x14ac:dyDescent="0.2">
      <c r="C85" s="127"/>
      <c r="E85" s="126"/>
      <c r="F85" s="126"/>
      <c r="G85" s="126"/>
      <c r="H85" s="126"/>
      <c r="I85" s="126"/>
      <c r="J85" s="126"/>
      <c r="K85" s="11"/>
      <c r="L85" s="11"/>
      <c r="M85" s="11"/>
      <c r="N85" s="11"/>
      <c r="O85" s="11"/>
    </row>
    <row r="86" spans="2:15" x14ac:dyDescent="0.2">
      <c r="C86" s="127"/>
      <c r="E86" s="126"/>
      <c r="F86" s="126"/>
      <c r="G86" s="126"/>
      <c r="H86" s="126"/>
      <c r="I86" s="126"/>
      <c r="J86" s="126"/>
      <c r="K86" s="11"/>
      <c r="L86" s="11"/>
      <c r="M86" s="11"/>
      <c r="N86" s="11"/>
      <c r="O86" s="11"/>
    </row>
    <row r="87" spans="2:15" x14ac:dyDescent="0.2">
      <c r="B87" s="16"/>
      <c r="C87" s="128"/>
      <c r="E87" s="129"/>
      <c r="F87" s="129"/>
      <c r="G87" s="129"/>
      <c r="H87" s="129"/>
      <c r="I87" s="129"/>
      <c r="J87" s="129"/>
      <c r="K87" s="11"/>
      <c r="L87" s="11"/>
      <c r="M87" s="11"/>
      <c r="N87" s="11"/>
      <c r="O87" s="11"/>
    </row>
    <row r="88" spans="2:15" x14ac:dyDescent="0.2">
      <c r="C88" s="127"/>
      <c r="E88" s="104"/>
      <c r="F88" s="104"/>
      <c r="G88" s="104"/>
      <c r="H88" s="104"/>
      <c r="I88" s="104"/>
      <c r="J88" s="104"/>
      <c r="K88" s="11"/>
      <c r="L88" s="11"/>
      <c r="M88" s="11"/>
      <c r="N88" s="11"/>
      <c r="O88" s="11"/>
    </row>
    <row r="89" spans="2:15" x14ac:dyDescent="0.2">
      <c r="E89" s="104"/>
      <c r="F89" s="104"/>
      <c r="G89" s="104"/>
      <c r="H89" s="104"/>
      <c r="I89" s="104"/>
      <c r="J89" s="104"/>
      <c r="K89" s="11"/>
      <c r="L89" s="11"/>
      <c r="M89" s="11"/>
      <c r="N89" s="11"/>
      <c r="O89" s="11"/>
    </row>
    <row r="90" spans="2:15" x14ac:dyDescent="0.2">
      <c r="C90" s="127"/>
      <c r="E90" s="104"/>
      <c r="F90" s="104"/>
      <c r="G90" s="104"/>
      <c r="H90" s="104"/>
      <c r="I90" s="104"/>
      <c r="J90" s="104"/>
      <c r="K90" s="11"/>
      <c r="L90" s="11"/>
      <c r="M90" s="11"/>
      <c r="N90" s="11"/>
      <c r="O90" s="11"/>
    </row>
    <row r="91" spans="2:15" x14ac:dyDescent="0.2">
      <c r="C91" s="127"/>
      <c r="E91" s="104"/>
      <c r="F91" s="104"/>
      <c r="G91" s="104"/>
      <c r="H91" s="104"/>
      <c r="I91" s="104"/>
      <c r="J91" s="104"/>
      <c r="K91" s="11"/>
      <c r="L91" s="11"/>
      <c r="M91" s="11"/>
      <c r="N91" s="11"/>
      <c r="O91" s="11"/>
    </row>
    <row r="92" spans="2:15" x14ac:dyDescent="0.2">
      <c r="E92" s="11"/>
      <c r="F92" s="11"/>
      <c r="G92" s="11"/>
      <c r="I92" s="11"/>
      <c r="J92" s="11"/>
      <c r="K92" s="11"/>
      <c r="L92" s="11"/>
      <c r="M92" s="11"/>
      <c r="N92" s="11"/>
      <c r="O92" s="11"/>
    </row>
  </sheetData>
  <mergeCells count="2">
    <mergeCell ref="C65:I65"/>
    <mergeCell ref="E6:I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39997558519241921"/>
    <pageSetUpPr fitToPage="1"/>
  </sheetPr>
  <dimension ref="A1:M57"/>
  <sheetViews>
    <sheetView view="pageBreakPreview" zoomScale="115" zoomScaleSheetLayoutView="115" workbookViewId="0">
      <selection activeCell="I2" sqref="I2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9.140625" style="17"/>
    <col min="6" max="6" width="1.85546875" style="7" customWidth="1"/>
    <col min="7" max="7" width="11.85546875" style="7" customWidth="1"/>
    <col min="8" max="8" width="2" style="7" customWidth="1"/>
    <col min="9" max="9" width="11.85546875" style="7" customWidth="1"/>
    <col min="10" max="10" width="2" style="11" customWidth="1"/>
    <col min="11" max="11" width="11.85546875" style="7" customWidth="1"/>
    <col min="12" max="12" width="2.42578125" style="7" customWidth="1"/>
    <col min="13" max="13" width="33.7109375" style="7" customWidth="1"/>
    <col min="14" max="16384" width="9.140625" style="7"/>
  </cols>
  <sheetData>
    <row r="1" spans="1:13" ht="15.75" x14ac:dyDescent="0.25">
      <c r="C1" s="158" t="s">
        <v>233</v>
      </c>
      <c r="D1" s="165"/>
      <c r="E1" s="165"/>
      <c r="F1" s="165"/>
      <c r="G1" s="170"/>
      <c r="H1" s="170"/>
      <c r="I1" s="170"/>
      <c r="J1" s="170"/>
      <c r="K1" s="165"/>
      <c r="M1" s="8" t="s">
        <v>209</v>
      </c>
    </row>
    <row r="2" spans="1:13" x14ac:dyDescent="0.2">
      <c r="C2" s="161" t="s">
        <v>23</v>
      </c>
      <c r="D2" s="165"/>
      <c r="E2" s="165"/>
      <c r="F2" s="165"/>
      <c r="G2" s="170"/>
      <c r="H2" s="170"/>
      <c r="I2" s="170"/>
      <c r="J2" s="170"/>
      <c r="K2" s="165"/>
      <c r="M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70"/>
      <c r="H3" s="170"/>
      <c r="I3" s="170"/>
      <c r="J3" s="170"/>
      <c r="K3" s="165"/>
    </row>
    <row r="6" spans="1:13" s="17" customFormat="1" ht="13.5" customHeight="1" x14ac:dyDescent="0.2">
      <c r="G6" s="225">
        <v>2017</v>
      </c>
      <c r="H6" s="225"/>
      <c r="I6" s="225"/>
      <c r="J6" s="225"/>
      <c r="K6" s="225"/>
      <c r="L6" s="71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L7" s="25"/>
      <c r="M7" s="157" t="s">
        <v>220</v>
      </c>
    </row>
    <row r="9" spans="1:13" x14ac:dyDescent="0.2">
      <c r="A9" s="7">
        <v>1</v>
      </c>
      <c r="C9" s="16" t="s">
        <v>131</v>
      </c>
    </row>
    <row r="10" spans="1:13" x14ac:dyDescent="0.2">
      <c r="A10" s="7">
        <v>2</v>
      </c>
      <c r="C10" s="130" t="s">
        <v>123</v>
      </c>
      <c r="G10" s="19">
        <v>5759.7541769857626</v>
      </c>
      <c r="H10" s="19"/>
      <c r="I10" s="19">
        <f>K10-G10</f>
        <v>606.47628076056026</v>
      </c>
      <c r="J10" s="7"/>
      <c r="K10" s="19">
        <v>6366.2304577463228</v>
      </c>
      <c r="L10" s="19"/>
      <c r="M10" s="231" t="s">
        <v>258</v>
      </c>
    </row>
    <row r="11" spans="1:13" x14ac:dyDescent="0.2">
      <c r="A11" s="7">
        <v>3</v>
      </c>
      <c r="C11" s="130" t="s">
        <v>124</v>
      </c>
      <c r="G11" s="19">
        <v>3352.4561331902514</v>
      </c>
      <c r="H11" s="19"/>
      <c r="I11" s="19">
        <f t="shared" ref="I11:I15" si="0">K11-G11</f>
        <v>182.60200680974822</v>
      </c>
      <c r="J11" s="7"/>
      <c r="K11" s="19">
        <v>3535.0581399999996</v>
      </c>
      <c r="L11" s="19"/>
      <c r="M11" s="231"/>
    </row>
    <row r="12" spans="1:13" x14ac:dyDescent="0.2">
      <c r="A12" s="7">
        <v>4</v>
      </c>
      <c r="C12" s="130" t="s">
        <v>125</v>
      </c>
      <c r="G12" s="19">
        <v>1632.5883734533149</v>
      </c>
      <c r="H12" s="19"/>
      <c r="I12" s="19">
        <f t="shared" si="0"/>
        <v>139.34452654668485</v>
      </c>
      <c r="J12" s="7"/>
      <c r="K12" s="19">
        <v>1771.9328999999998</v>
      </c>
      <c r="L12" s="19"/>
      <c r="M12" s="231"/>
    </row>
    <row r="13" spans="1:13" x14ac:dyDescent="0.2">
      <c r="A13" s="176">
        <v>5</v>
      </c>
      <c r="B13" s="176"/>
      <c r="C13" s="176" t="s">
        <v>197</v>
      </c>
      <c r="D13" s="176"/>
      <c r="E13" s="183"/>
      <c r="F13" s="176"/>
      <c r="G13" s="182">
        <v>9109.5707500531371</v>
      </c>
      <c r="H13" s="182"/>
      <c r="I13" s="182">
        <f t="shared" si="0"/>
        <v>-534.76521005313771</v>
      </c>
      <c r="J13" s="176"/>
      <c r="K13" s="182">
        <v>8574.8055399999994</v>
      </c>
      <c r="L13" s="19"/>
      <c r="M13" s="231"/>
    </row>
    <row r="14" spans="1:13" x14ac:dyDescent="0.2">
      <c r="A14" s="7">
        <v>6</v>
      </c>
      <c r="C14" s="131" t="s">
        <v>196</v>
      </c>
      <c r="G14" s="19">
        <v>1031.4720000000002</v>
      </c>
      <c r="H14" s="19"/>
      <c r="I14" s="19">
        <f t="shared" si="0"/>
        <v>0.96742333333304487</v>
      </c>
      <c r="J14" s="7"/>
      <c r="K14" s="19">
        <v>1032.4394233333333</v>
      </c>
      <c r="L14" s="19"/>
    </row>
    <row r="15" spans="1:13" x14ac:dyDescent="0.2">
      <c r="A15" s="7">
        <v>7</v>
      </c>
      <c r="C15" s="130" t="s">
        <v>126</v>
      </c>
      <c r="G15" s="109">
        <f>SUM(G10:G14)</f>
        <v>20885.841433682468</v>
      </c>
      <c r="H15" s="27"/>
      <c r="I15" s="109">
        <f t="shared" si="0"/>
        <v>394.62502739718911</v>
      </c>
      <c r="J15" s="7"/>
      <c r="K15" s="109">
        <f>SUM(K10:K14)</f>
        <v>21280.466461079657</v>
      </c>
      <c r="L15" s="27"/>
    </row>
    <row r="16" spans="1:13" x14ac:dyDescent="0.2">
      <c r="C16" s="130"/>
      <c r="G16" s="11"/>
      <c r="H16" s="11"/>
      <c r="I16" s="11"/>
      <c r="J16" s="7"/>
      <c r="K16" s="11"/>
      <c r="L16" s="11"/>
    </row>
    <row r="17" spans="1:13" x14ac:dyDescent="0.2">
      <c r="A17" s="7">
        <v>8</v>
      </c>
      <c r="C17" s="131" t="s">
        <v>111</v>
      </c>
      <c r="G17" s="66">
        <v>95.999999999999957</v>
      </c>
      <c r="H17" s="66"/>
      <c r="I17" s="66">
        <f>K17-G17</f>
        <v>-0.49427999999996075</v>
      </c>
      <c r="J17" s="7"/>
      <c r="K17" s="66">
        <v>95.505719999999997</v>
      </c>
      <c r="L17" s="132"/>
    </row>
    <row r="18" spans="1:13" x14ac:dyDescent="0.2">
      <c r="C18" s="131"/>
      <c r="G18" s="11"/>
      <c r="H18" s="11"/>
      <c r="I18" s="11"/>
      <c r="J18" s="7"/>
      <c r="K18" s="11"/>
      <c r="L18" s="11"/>
    </row>
    <row r="19" spans="1:13" x14ac:dyDescent="0.2">
      <c r="A19" s="7">
        <v>9</v>
      </c>
      <c r="C19" s="130" t="s">
        <v>126</v>
      </c>
      <c r="G19" s="109">
        <f t="shared" ref="G19" si="1">SUM(G17:G17)</f>
        <v>95.999999999999957</v>
      </c>
      <c r="H19" s="27"/>
      <c r="I19" s="109">
        <f>K19-G19</f>
        <v>-0.49427999999996075</v>
      </c>
      <c r="J19" s="7"/>
      <c r="K19" s="109">
        <f>SUM(K17:K17)</f>
        <v>95.505719999999997</v>
      </c>
      <c r="L19" s="27"/>
    </row>
    <row r="20" spans="1:13" x14ac:dyDescent="0.2">
      <c r="C20" s="130"/>
      <c r="G20" s="11"/>
      <c r="H20" s="11"/>
      <c r="I20" s="11"/>
      <c r="J20" s="7"/>
      <c r="K20" s="11"/>
      <c r="L20" s="11"/>
    </row>
    <row r="21" spans="1:13" x14ac:dyDescent="0.2">
      <c r="A21" s="7">
        <v>10</v>
      </c>
      <c r="C21" s="230" t="s">
        <v>226</v>
      </c>
      <c r="G21" s="11"/>
      <c r="H21" s="11"/>
      <c r="I21" s="11"/>
      <c r="J21" s="7"/>
      <c r="K21" s="11"/>
      <c r="L21" s="11"/>
    </row>
    <row r="22" spans="1:13" ht="13.5" thickBot="1" x14ac:dyDescent="0.25">
      <c r="A22" s="7">
        <v>11</v>
      </c>
      <c r="C22" s="230"/>
      <c r="G22" s="133">
        <f t="shared" ref="G22" si="2">SUM(G15+G19)</f>
        <v>20981.841433682468</v>
      </c>
      <c r="H22" s="27"/>
      <c r="I22" s="133">
        <f>K22-G22</f>
        <v>394.13074739719013</v>
      </c>
      <c r="J22" s="7"/>
      <c r="K22" s="133">
        <f>SUM(K15+K19)</f>
        <v>21375.972181079658</v>
      </c>
      <c r="L22" s="27"/>
      <c r="M22" s="20" t="s">
        <v>224</v>
      </c>
    </row>
    <row r="23" spans="1:13" x14ac:dyDescent="0.2">
      <c r="G23" s="11"/>
      <c r="H23" s="11"/>
      <c r="I23" s="11"/>
      <c r="J23" s="7"/>
      <c r="K23" s="11"/>
      <c r="L23" s="11"/>
    </row>
    <row r="24" spans="1:13" x14ac:dyDescent="0.2">
      <c r="A24" s="176">
        <v>12</v>
      </c>
      <c r="B24" s="176"/>
      <c r="C24" s="176" t="s">
        <v>127</v>
      </c>
      <c r="D24" s="176"/>
      <c r="E24" s="183"/>
      <c r="F24" s="176"/>
      <c r="G24" s="184">
        <v>2341.8574446723042</v>
      </c>
      <c r="H24" s="184"/>
      <c r="I24" s="184">
        <f>K24-G24</f>
        <v>69.417695327695583</v>
      </c>
      <c r="J24" s="176"/>
      <c r="K24" s="184">
        <v>2411.2751399999997</v>
      </c>
      <c r="L24" s="132"/>
      <c r="M24" s="20" t="s">
        <v>259</v>
      </c>
    </row>
    <row r="25" spans="1:13" x14ac:dyDescent="0.2">
      <c r="A25" s="7">
        <v>13</v>
      </c>
      <c r="C25" s="7" t="s">
        <v>130</v>
      </c>
      <c r="G25" s="132">
        <v>39.175874811781597</v>
      </c>
      <c r="H25" s="132"/>
      <c r="I25" s="132">
        <f>K25-G25</f>
        <v>9.5185851882184096</v>
      </c>
      <c r="J25" s="7"/>
      <c r="K25" s="132">
        <v>48.694460000000007</v>
      </c>
      <c r="L25" s="132"/>
      <c r="M25" s="20" t="s">
        <v>259</v>
      </c>
    </row>
    <row r="26" spans="1:13" x14ac:dyDescent="0.2">
      <c r="A26" s="7">
        <v>14</v>
      </c>
      <c r="C26" s="7" t="s">
        <v>126</v>
      </c>
      <c r="G26" s="109">
        <f t="shared" ref="G26" si="3">SUM(G24:G25)</f>
        <v>2381.033319484086</v>
      </c>
      <c r="H26" s="27"/>
      <c r="I26" s="109">
        <f>K26-G26</f>
        <v>78.93628051591395</v>
      </c>
      <c r="J26" s="7"/>
      <c r="K26" s="109">
        <f>SUM(K24:K25)</f>
        <v>2459.9695999999999</v>
      </c>
      <c r="L26" s="27"/>
    </row>
    <row r="27" spans="1:13" x14ac:dyDescent="0.2">
      <c r="G27" s="11"/>
      <c r="H27" s="11"/>
      <c r="I27" s="11"/>
      <c r="J27" s="7"/>
      <c r="K27" s="11"/>
      <c r="L27" s="11"/>
    </row>
    <row r="28" spans="1:13" ht="13.5" thickBot="1" x14ac:dyDescent="0.25">
      <c r="A28" s="7">
        <v>15</v>
      </c>
      <c r="C28" s="7" t="s">
        <v>128</v>
      </c>
      <c r="E28" s="17" t="s">
        <v>132</v>
      </c>
      <c r="G28" s="133">
        <f t="shared" ref="G28" si="4">SUM(G15+G19+G26)</f>
        <v>23362.874753166554</v>
      </c>
      <c r="H28" s="27"/>
      <c r="I28" s="133">
        <f>K28-G28</f>
        <v>473.06702791310454</v>
      </c>
      <c r="J28" s="7"/>
      <c r="K28" s="133">
        <f t="shared" ref="K28" si="5">SUM(K15+K19+K26)</f>
        <v>23835.941781079659</v>
      </c>
      <c r="L28" s="27"/>
      <c r="M28" s="20" t="s">
        <v>224</v>
      </c>
    </row>
    <row r="29" spans="1:13" x14ac:dyDescent="0.2">
      <c r="G29" s="27"/>
      <c r="H29" s="27"/>
      <c r="I29" s="27"/>
      <c r="J29" s="7"/>
      <c r="K29" s="27"/>
      <c r="L29" s="27"/>
    </row>
    <row r="30" spans="1:13" s="13" customFormat="1" x14ac:dyDescent="0.2">
      <c r="C30" s="216" t="s">
        <v>235</v>
      </c>
      <c r="E30" s="23"/>
      <c r="G30" s="134"/>
      <c r="H30" s="134"/>
      <c r="I30" s="134"/>
      <c r="K30" s="134"/>
      <c r="L30" s="134"/>
    </row>
    <row r="31" spans="1:13" s="13" customFormat="1" x14ac:dyDescent="0.2">
      <c r="A31" s="13">
        <v>16</v>
      </c>
      <c r="C31" s="13" t="s">
        <v>153</v>
      </c>
      <c r="D31" s="209"/>
      <c r="E31" s="210"/>
      <c r="F31" s="209"/>
      <c r="G31" s="184">
        <v>478.93700000000001</v>
      </c>
      <c r="H31" s="185"/>
      <c r="I31" s="184">
        <f t="shared" ref="I31:I33" si="6">K31-G31</f>
        <v>0</v>
      </c>
      <c r="J31" s="209"/>
      <c r="K31" s="184">
        <v>478.93700000000001</v>
      </c>
      <c r="L31" s="134"/>
      <c r="M31" s="20" t="s">
        <v>259</v>
      </c>
    </row>
    <row r="32" spans="1:13" s="13" customFormat="1" x14ac:dyDescent="0.2">
      <c r="A32" s="13">
        <v>17</v>
      </c>
      <c r="C32" s="13" t="s">
        <v>236</v>
      </c>
      <c r="D32" s="211"/>
      <c r="E32" s="212"/>
      <c r="F32" s="211"/>
      <c r="G32" s="184">
        <v>695.56769535040007</v>
      </c>
      <c r="H32" s="135"/>
      <c r="I32" s="184">
        <f t="shared" si="6"/>
        <v>-2.7816778170665657</v>
      </c>
      <c r="J32" s="211"/>
      <c r="K32" s="184">
        <v>692.78601753333351</v>
      </c>
      <c r="L32" s="135"/>
      <c r="M32" s="20" t="s">
        <v>259</v>
      </c>
    </row>
    <row r="33" spans="1:13" s="13" customFormat="1" x14ac:dyDescent="0.2">
      <c r="A33" s="13">
        <v>18</v>
      </c>
      <c r="C33" s="13" t="s">
        <v>237</v>
      </c>
      <c r="D33" s="211"/>
      <c r="E33" s="212"/>
      <c r="F33" s="211"/>
      <c r="G33" s="184">
        <v>-95.999999999999957</v>
      </c>
      <c r="H33" s="136"/>
      <c r="I33" s="184">
        <f t="shared" si="6"/>
        <v>0.49427999999996075</v>
      </c>
      <c r="J33" s="211"/>
      <c r="K33" s="184">
        <v>-95.505719999999997</v>
      </c>
      <c r="L33" s="136"/>
      <c r="M33" s="20" t="s">
        <v>259</v>
      </c>
    </row>
    <row r="34" spans="1:13" s="13" customFormat="1" x14ac:dyDescent="0.2">
      <c r="D34" s="211"/>
      <c r="E34" s="212"/>
      <c r="F34" s="211"/>
      <c r="G34" s="134"/>
      <c r="H34" s="134"/>
      <c r="I34" s="134"/>
      <c r="J34" s="211"/>
      <c r="K34" s="134"/>
      <c r="L34" s="134"/>
    </row>
    <row r="35" spans="1:13" s="13" customFormat="1" ht="13.5" thickBot="1" x14ac:dyDescent="0.25">
      <c r="A35" s="13">
        <v>19</v>
      </c>
      <c r="C35" s="13" t="s">
        <v>238</v>
      </c>
      <c r="D35" s="211"/>
      <c r="E35" s="212"/>
      <c r="F35" s="211"/>
      <c r="G35" s="133">
        <f>SUM(G22,G31:G33)</f>
        <v>22060.346129032871</v>
      </c>
      <c r="H35" s="134"/>
      <c r="I35" s="133">
        <f>SUM(I22,I31:I33)</f>
        <v>391.84334958012352</v>
      </c>
      <c r="J35" s="211"/>
      <c r="K35" s="133">
        <f>SUM(K22,K31:K33)</f>
        <v>22452.189478612992</v>
      </c>
      <c r="L35" s="134"/>
    </row>
    <row r="36" spans="1:13" x14ac:dyDescent="0.2">
      <c r="C36" s="11"/>
      <c r="D36" s="11"/>
      <c r="E36" s="213"/>
      <c r="F36" s="11"/>
      <c r="G36" s="27"/>
      <c r="H36" s="27"/>
      <c r="I36" s="27"/>
      <c r="J36" s="27"/>
      <c r="K36" s="27"/>
      <c r="L36" s="27"/>
    </row>
    <row r="37" spans="1:13" x14ac:dyDescent="0.2">
      <c r="C37" s="11"/>
      <c r="D37" s="11"/>
      <c r="E37" s="213"/>
      <c r="F37" s="11"/>
      <c r="G37" s="27"/>
      <c r="H37" s="27"/>
      <c r="I37" s="27"/>
      <c r="J37" s="27"/>
      <c r="K37" s="27"/>
      <c r="L37" s="27"/>
    </row>
    <row r="38" spans="1:13" x14ac:dyDescent="0.2">
      <c r="A38" s="28"/>
      <c r="C38" s="229"/>
      <c r="D38" s="229"/>
      <c r="E38" s="229"/>
      <c r="F38" s="229"/>
      <c r="G38" s="229"/>
      <c r="H38" s="229"/>
      <c r="I38" s="229"/>
      <c r="J38" s="229"/>
      <c r="K38" s="229"/>
      <c r="L38" s="156"/>
    </row>
    <row r="39" spans="1:13" ht="18.75" customHeight="1" x14ac:dyDescent="0.2">
      <c r="A39" s="28"/>
      <c r="C39" s="137"/>
      <c r="D39" s="137"/>
      <c r="E39" s="137"/>
      <c r="F39" s="137"/>
      <c r="G39" s="137"/>
      <c r="H39" s="156"/>
      <c r="I39" s="156"/>
      <c r="J39" s="137"/>
      <c r="K39" s="137"/>
      <c r="L39" s="156"/>
    </row>
    <row r="40" spans="1:13" ht="18.75" customHeight="1" x14ac:dyDescent="0.2">
      <c r="A40" s="28"/>
      <c r="C40" s="137"/>
      <c r="D40" s="137"/>
      <c r="E40" s="137"/>
      <c r="F40" s="137"/>
      <c r="G40" s="134"/>
      <c r="H40" s="134"/>
      <c r="I40" s="134"/>
      <c r="J40" s="137"/>
      <c r="K40" s="134"/>
      <c r="L40" s="134"/>
    </row>
    <row r="41" spans="1:13" ht="18.75" customHeight="1" x14ac:dyDescent="0.2">
      <c r="A41" s="28"/>
      <c r="C41" s="137"/>
      <c r="D41" s="137"/>
      <c r="E41" s="137"/>
      <c r="F41" s="137"/>
      <c r="G41" s="144"/>
      <c r="H41" s="144"/>
      <c r="I41" s="144"/>
      <c r="J41" s="145"/>
      <c r="K41" s="144"/>
      <c r="L41" s="144"/>
    </row>
    <row r="42" spans="1:13" ht="18.75" customHeight="1" x14ac:dyDescent="0.2">
      <c r="A42" s="28"/>
      <c r="C42" s="137"/>
      <c r="D42" s="137"/>
      <c r="E42" s="137"/>
      <c r="F42" s="137"/>
      <c r="G42" s="137"/>
      <c r="H42" s="156"/>
      <c r="I42" s="156"/>
      <c r="J42" s="137"/>
      <c r="K42" s="137"/>
      <c r="L42" s="156"/>
    </row>
    <row r="43" spans="1:13" ht="18.75" customHeight="1" x14ac:dyDescent="0.2">
      <c r="A43" s="28"/>
      <c r="C43" s="137"/>
      <c r="D43" s="137"/>
      <c r="E43" s="137"/>
      <c r="F43" s="137"/>
      <c r="G43" s="137"/>
      <c r="H43" s="156"/>
      <c r="I43" s="156"/>
      <c r="J43" s="137"/>
      <c r="K43" s="137"/>
      <c r="L43" s="156"/>
    </row>
    <row r="44" spans="1:13" ht="18.75" customHeight="1" x14ac:dyDescent="0.2">
      <c r="A44" s="28"/>
      <c r="C44" s="137"/>
      <c r="D44" s="137"/>
      <c r="E44" s="137"/>
      <c r="F44" s="137"/>
      <c r="G44" s="137"/>
      <c r="H44" s="156"/>
      <c r="I44" s="156"/>
      <c r="J44" s="137"/>
      <c r="K44" s="137"/>
      <c r="L44" s="156"/>
    </row>
    <row r="45" spans="1:13" ht="18.75" customHeight="1" x14ac:dyDescent="0.2">
      <c r="A45" s="28"/>
      <c r="C45" s="137"/>
      <c r="D45" s="137"/>
      <c r="E45" s="137"/>
      <c r="F45" s="137"/>
      <c r="G45" s="137"/>
      <c r="H45" s="156"/>
      <c r="I45" s="156"/>
      <c r="J45" s="137"/>
      <c r="K45" s="137"/>
      <c r="L45" s="156"/>
    </row>
    <row r="46" spans="1:13" ht="18.75" customHeight="1" x14ac:dyDescent="0.2">
      <c r="A46" s="28"/>
      <c r="C46" s="137"/>
      <c r="D46" s="137"/>
      <c r="E46" s="137"/>
      <c r="F46" s="137"/>
      <c r="G46" s="137"/>
      <c r="H46" s="156"/>
      <c r="I46" s="156"/>
      <c r="J46" s="137"/>
      <c r="K46" s="137"/>
      <c r="L46" s="156"/>
    </row>
    <row r="47" spans="1:13" ht="18.75" customHeight="1" x14ac:dyDescent="0.2">
      <c r="A47" s="28"/>
      <c r="C47" s="137"/>
      <c r="D47" s="137"/>
      <c r="E47" s="137"/>
      <c r="F47" s="137"/>
      <c r="G47" s="137"/>
      <c r="H47" s="156"/>
      <c r="I47" s="156"/>
      <c r="J47" s="137"/>
      <c r="K47" s="137"/>
      <c r="L47" s="156"/>
    </row>
    <row r="48" spans="1:13" x14ac:dyDescent="0.2">
      <c r="G48" s="138"/>
      <c r="H48" s="138"/>
      <c r="I48" s="138"/>
      <c r="J48" s="138"/>
      <c r="K48" s="138"/>
      <c r="L48" s="138"/>
    </row>
    <row r="51" spans="7:13" x14ac:dyDescent="0.2">
      <c r="G51" s="139"/>
      <c r="H51" s="139"/>
      <c r="I51" s="139"/>
      <c r="J51" s="139"/>
      <c r="K51" s="139"/>
      <c r="L51" s="139"/>
    </row>
    <row r="53" spans="7:13" x14ac:dyDescent="0.2">
      <c r="G53" s="140"/>
      <c r="H53" s="140"/>
      <c r="I53" s="140"/>
      <c r="J53" s="140"/>
      <c r="K53" s="140"/>
      <c r="L53" s="140"/>
      <c r="M53" s="140"/>
    </row>
    <row r="55" spans="7:13" x14ac:dyDescent="0.2">
      <c r="G55" s="141"/>
      <c r="H55" s="141"/>
      <c r="I55" s="141"/>
      <c r="J55" s="141"/>
      <c r="K55" s="141"/>
      <c r="L55" s="141"/>
    </row>
    <row r="57" spans="7:13" x14ac:dyDescent="0.2">
      <c r="G57" s="140"/>
      <c r="H57" s="140"/>
      <c r="I57" s="140"/>
      <c r="J57" s="140"/>
      <c r="K57" s="140"/>
      <c r="L57" s="140"/>
    </row>
  </sheetData>
  <mergeCells count="4">
    <mergeCell ref="C38:K38"/>
    <mergeCell ref="C21:C22"/>
    <mergeCell ref="G6:K6"/>
    <mergeCell ref="M10:M13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  <pageSetUpPr fitToPage="1"/>
  </sheetPr>
  <dimension ref="A1:U59"/>
  <sheetViews>
    <sheetView view="pageBreakPreview" topLeftCell="A13" zoomScale="130" zoomScaleSheetLayoutView="130" workbookViewId="0">
      <selection activeCell="D24" sqref="D24"/>
    </sheetView>
  </sheetViews>
  <sheetFormatPr defaultRowHeight="12.75" x14ac:dyDescent="0.2"/>
  <cols>
    <col min="1" max="1" width="5.28515625" style="20" customWidth="1"/>
    <col min="2" max="2" width="1.85546875" style="12" customWidth="1"/>
    <col min="3" max="3" width="27.42578125" style="12" customWidth="1"/>
    <col min="4" max="4" width="1.85546875" style="12" customWidth="1"/>
    <col min="5" max="5" width="9.140625" style="44" customWidth="1"/>
    <col min="6" max="6" width="1.85546875" style="12" customWidth="1"/>
    <col min="7" max="7" width="11.85546875" style="12" customWidth="1"/>
    <col min="8" max="8" width="2" style="12" customWidth="1"/>
    <col min="9" max="9" width="11.85546875" style="12" customWidth="1"/>
    <col min="10" max="10" width="2" style="12" customWidth="1"/>
    <col min="11" max="11" width="11.85546875" style="12" customWidth="1"/>
    <col min="12" max="12" width="1.5703125" style="12" customWidth="1"/>
    <col min="13" max="13" width="43.28515625" style="12" customWidth="1"/>
    <col min="14" max="16384" width="9.140625" style="12"/>
  </cols>
  <sheetData>
    <row r="1" spans="1:15" ht="15.75" x14ac:dyDescent="0.25">
      <c r="C1" s="166" t="s">
        <v>233</v>
      </c>
      <c r="D1" s="167"/>
      <c r="E1" s="159"/>
      <c r="F1" s="167"/>
      <c r="G1" s="167"/>
      <c r="H1" s="167"/>
      <c r="I1" s="167"/>
      <c r="J1" s="167"/>
      <c r="K1" s="167"/>
      <c r="M1" s="46" t="s">
        <v>21</v>
      </c>
    </row>
    <row r="2" spans="1:15" x14ac:dyDescent="0.2">
      <c r="C2" s="169" t="s">
        <v>166</v>
      </c>
      <c r="D2" s="167"/>
      <c r="E2" s="159"/>
      <c r="F2" s="167"/>
      <c r="G2" s="167"/>
      <c r="H2" s="167"/>
      <c r="I2" s="167"/>
      <c r="J2" s="167"/>
      <c r="K2" s="167"/>
      <c r="M2" s="47" t="str">
        <f>'Schedule 1'!$N$2</f>
        <v>February 25, 2019 Filing</v>
      </c>
    </row>
    <row r="3" spans="1:15" x14ac:dyDescent="0.2">
      <c r="C3" s="169" t="s">
        <v>5</v>
      </c>
      <c r="D3" s="167"/>
      <c r="E3" s="159"/>
      <c r="F3" s="167"/>
      <c r="G3" s="167"/>
      <c r="H3" s="167"/>
      <c r="I3" s="167"/>
      <c r="J3" s="167"/>
      <c r="K3" s="167"/>
    </row>
    <row r="4" spans="1:15" x14ac:dyDescent="0.2">
      <c r="L4" s="45"/>
    </row>
    <row r="5" spans="1:15" x14ac:dyDescent="0.2">
      <c r="L5" s="45"/>
    </row>
    <row r="6" spans="1:15" s="43" customFormat="1" x14ac:dyDescent="0.2">
      <c r="A6" s="44"/>
      <c r="E6" s="44"/>
      <c r="G6" s="225">
        <v>2017</v>
      </c>
      <c r="H6" s="225"/>
      <c r="I6" s="225"/>
      <c r="J6" s="225"/>
      <c r="K6" s="225"/>
    </row>
    <row r="7" spans="1:15" s="2" customFormat="1" ht="25.5" x14ac:dyDescent="0.2">
      <c r="A7" s="14" t="s">
        <v>0</v>
      </c>
      <c r="C7" s="1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8" spans="1:15" ht="12.75" customHeight="1" x14ac:dyDescent="0.2">
      <c r="L8" s="45"/>
    </row>
    <row r="9" spans="1:15" ht="12.75" customHeight="1" x14ac:dyDescent="0.2">
      <c r="C9" s="16" t="s">
        <v>162</v>
      </c>
      <c r="D9" s="20"/>
      <c r="F9" s="20"/>
      <c r="G9" s="20"/>
      <c r="H9" s="20"/>
      <c r="I9" s="20"/>
      <c r="J9" s="20"/>
      <c r="K9" s="20"/>
      <c r="L9" s="45"/>
    </row>
    <row r="10" spans="1:15" ht="12.75" customHeight="1" x14ac:dyDescent="0.2">
      <c r="B10" s="20"/>
      <c r="C10" s="49"/>
      <c r="D10" s="20"/>
      <c r="F10" s="20"/>
      <c r="G10" s="19"/>
      <c r="H10" s="19"/>
      <c r="I10" s="19"/>
      <c r="J10" s="19"/>
      <c r="K10" s="19"/>
    </row>
    <row r="11" spans="1:15" ht="12.75" customHeight="1" x14ac:dyDescent="0.2">
      <c r="A11" s="20">
        <v>1</v>
      </c>
      <c r="B11" s="20"/>
      <c r="C11" s="50" t="s">
        <v>239</v>
      </c>
      <c r="D11" s="20"/>
      <c r="F11" s="20"/>
      <c r="G11" s="19">
        <v>0</v>
      </c>
      <c r="H11" s="19"/>
      <c r="I11" s="190">
        <f t="shared" ref="I11:I24" si="0">K11-G11</f>
        <v>0</v>
      </c>
      <c r="J11" s="19"/>
      <c r="K11" s="190">
        <v>0</v>
      </c>
    </row>
    <row r="12" spans="1:15" ht="12.75" customHeight="1" x14ac:dyDescent="0.2">
      <c r="A12" s="20">
        <f>A11+1</f>
        <v>2</v>
      </c>
      <c r="B12" s="20"/>
      <c r="C12" s="50" t="s">
        <v>240</v>
      </c>
      <c r="D12" s="20"/>
      <c r="F12" s="20"/>
      <c r="G12" s="19">
        <v>0</v>
      </c>
      <c r="H12" s="182"/>
      <c r="I12" s="190">
        <f t="shared" si="0"/>
        <v>0</v>
      </c>
      <c r="J12" s="179"/>
      <c r="K12" s="190">
        <v>0</v>
      </c>
    </row>
    <row r="13" spans="1:15" ht="12.75" customHeight="1" x14ac:dyDescent="0.2">
      <c r="A13" s="20">
        <f t="shared" ref="A13:A24" si="1">A12+1</f>
        <v>3</v>
      </c>
      <c r="B13" s="20"/>
      <c r="C13" s="50" t="s">
        <v>241</v>
      </c>
      <c r="D13" s="20"/>
      <c r="F13" s="20"/>
      <c r="G13" s="19">
        <v>19878.461719999999</v>
      </c>
      <c r="H13" s="182"/>
      <c r="I13" s="190">
        <f t="shared" si="0"/>
        <v>0</v>
      </c>
      <c r="J13" s="179"/>
      <c r="K13" s="190">
        <v>19878.461719999999</v>
      </c>
    </row>
    <row r="14" spans="1:15" ht="12.75" customHeight="1" x14ac:dyDescent="0.2">
      <c r="A14" s="20">
        <f t="shared" si="1"/>
        <v>4</v>
      </c>
      <c r="B14" s="20"/>
      <c r="C14" s="50" t="s">
        <v>242</v>
      </c>
      <c r="D14" s="20"/>
      <c r="F14" s="20"/>
      <c r="G14" s="19">
        <v>9348.3439223527403</v>
      </c>
      <c r="H14" s="182"/>
      <c r="I14" s="190">
        <f t="shared" si="0"/>
        <v>0</v>
      </c>
      <c r="J14" s="179"/>
      <c r="K14" s="190">
        <v>9348.3439223527403</v>
      </c>
      <c r="M14" s="20"/>
    </row>
    <row r="15" spans="1:15" ht="24.75" customHeight="1" x14ac:dyDescent="0.2">
      <c r="A15" s="150">
        <f t="shared" si="1"/>
        <v>5</v>
      </c>
      <c r="B15" s="150"/>
      <c r="C15" s="150" t="s">
        <v>243</v>
      </c>
      <c r="D15" s="150"/>
      <c r="E15" s="146"/>
      <c r="F15" s="150"/>
      <c r="G15" s="19">
        <v>0</v>
      </c>
      <c r="H15" s="182"/>
      <c r="I15" s="190">
        <f t="shared" si="0"/>
        <v>0</v>
      </c>
      <c r="J15" s="179"/>
      <c r="K15" s="190">
        <v>0</v>
      </c>
      <c r="M15" s="214"/>
    </row>
    <row r="16" spans="1:15" ht="27" customHeight="1" x14ac:dyDescent="0.2">
      <c r="A16" s="150">
        <f t="shared" si="1"/>
        <v>6</v>
      </c>
      <c r="B16" s="150"/>
      <c r="C16" s="150" t="s">
        <v>244</v>
      </c>
      <c r="D16" s="150"/>
      <c r="E16" s="146"/>
      <c r="F16" s="150"/>
      <c r="G16" s="19">
        <v>0</v>
      </c>
      <c r="H16" s="182"/>
      <c r="I16" s="190">
        <f t="shared" si="0"/>
        <v>0</v>
      </c>
      <c r="J16" s="179"/>
      <c r="K16" s="190">
        <v>0</v>
      </c>
      <c r="M16" s="214"/>
      <c r="O16" s="51"/>
    </row>
    <row r="17" spans="1:15" ht="25.5" customHeight="1" x14ac:dyDescent="0.2">
      <c r="A17" s="150">
        <f t="shared" si="1"/>
        <v>7</v>
      </c>
      <c r="B17" s="20"/>
      <c r="C17" s="150" t="s">
        <v>245</v>
      </c>
      <c r="D17" s="20"/>
      <c r="F17" s="20"/>
      <c r="G17" s="19">
        <v>0</v>
      </c>
      <c r="H17" s="182"/>
      <c r="I17" s="190">
        <f t="shared" si="0"/>
        <v>0</v>
      </c>
      <c r="J17" s="179"/>
      <c r="K17" s="190">
        <v>0</v>
      </c>
      <c r="M17" s="214"/>
      <c r="O17" s="51"/>
    </row>
    <row r="18" spans="1:15" ht="12.75" customHeight="1" x14ac:dyDescent="0.2">
      <c r="A18" s="20">
        <f t="shared" si="1"/>
        <v>8</v>
      </c>
      <c r="B18" s="20"/>
      <c r="C18" s="50" t="s">
        <v>246</v>
      </c>
      <c r="D18" s="20"/>
      <c r="F18" s="20"/>
      <c r="G18" s="19">
        <v>2659.8278245377955</v>
      </c>
      <c r="H18" s="182"/>
      <c r="I18" s="190">
        <f t="shared" si="0"/>
        <v>0</v>
      </c>
      <c r="J18" s="150"/>
      <c r="K18" s="190">
        <v>2659.8278245377955</v>
      </c>
      <c r="L18" s="20"/>
      <c r="M18" s="20"/>
      <c r="O18" s="51"/>
    </row>
    <row r="19" spans="1:15" ht="12.75" customHeight="1" x14ac:dyDescent="0.2">
      <c r="A19" s="20">
        <f t="shared" si="1"/>
        <v>9</v>
      </c>
      <c r="B19" s="20"/>
      <c r="C19" s="50" t="s">
        <v>247</v>
      </c>
      <c r="D19" s="20"/>
      <c r="F19" s="20"/>
      <c r="G19" s="19">
        <v>5505</v>
      </c>
      <c r="H19" s="182"/>
      <c r="I19" s="190">
        <f t="shared" si="0"/>
        <v>0</v>
      </c>
      <c r="J19" s="179"/>
      <c r="K19" s="190">
        <v>5505</v>
      </c>
      <c r="M19" s="20"/>
    </row>
    <row r="20" spans="1:15" ht="12.75" customHeight="1" x14ac:dyDescent="0.2">
      <c r="A20" s="20">
        <f t="shared" si="1"/>
        <v>10</v>
      </c>
      <c r="B20" s="20"/>
      <c r="C20" s="50" t="s">
        <v>248</v>
      </c>
      <c r="D20" s="20"/>
      <c r="F20" s="20"/>
      <c r="G20" s="19">
        <v>81407.073279999997</v>
      </c>
      <c r="H20" s="182"/>
      <c r="I20" s="190">
        <f t="shared" si="0"/>
        <v>0</v>
      </c>
      <c r="J20" s="179"/>
      <c r="K20" s="190">
        <v>81407.073279999997</v>
      </c>
      <c r="M20" s="20"/>
    </row>
    <row r="21" spans="1:15" ht="12.75" customHeight="1" x14ac:dyDescent="0.2">
      <c r="A21" s="20">
        <f t="shared" si="1"/>
        <v>11</v>
      </c>
      <c r="B21" s="20"/>
      <c r="C21" s="20" t="s">
        <v>249</v>
      </c>
      <c r="D21" s="20"/>
      <c r="F21" s="20"/>
      <c r="G21" s="19">
        <v>19305.651679999999</v>
      </c>
      <c r="H21" s="182"/>
      <c r="I21" s="190">
        <f t="shared" si="0"/>
        <v>0</v>
      </c>
      <c r="J21" s="179"/>
      <c r="K21" s="190">
        <v>19305.651679999999</v>
      </c>
      <c r="M21" s="20"/>
    </row>
    <row r="22" spans="1:15" ht="12.75" customHeight="1" x14ac:dyDescent="0.2">
      <c r="A22" s="20">
        <f t="shared" si="1"/>
        <v>12</v>
      </c>
      <c r="B22" s="20"/>
      <c r="C22" s="50" t="s">
        <v>250</v>
      </c>
      <c r="D22" s="20"/>
      <c r="F22" s="20"/>
      <c r="G22" s="19">
        <v>12136</v>
      </c>
      <c r="H22" s="182"/>
      <c r="I22" s="190">
        <f t="shared" si="0"/>
        <v>0</v>
      </c>
      <c r="J22" s="179"/>
      <c r="K22" s="190">
        <v>12136</v>
      </c>
      <c r="M22" s="20"/>
    </row>
    <row r="23" spans="1:15" ht="12.75" customHeight="1" x14ac:dyDescent="0.2">
      <c r="A23" s="20">
        <f t="shared" si="1"/>
        <v>13</v>
      </c>
      <c r="B23" s="20"/>
      <c r="C23" s="50" t="s">
        <v>251</v>
      </c>
      <c r="D23" s="20"/>
      <c r="F23" s="20"/>
      <c r="G23" s="19">
        <v>23827.594972625666</v>
      </c>
      <c r="H23" s="182"/>
      <c r="I23" s="190">
        <f t="shared" si="0"/>
        <v>-1887.1057487162652</v>
      </c>
      <c r="J23" s="179"/>
      <c r="K23" s="190">
        <v>21940.489223909401</v>
      </c>
      <c r="M23" s="20" t="s">
        <v>257</v>
      </c>
    </row>
    <row r="24" spans="1:15" ht="12.75" customHeight="1" x14ac:dyDescent="0.2">
      <c r="A24" s="20">
        <f t="shared" si="1"/>
        <v>14</v>
      </c>
      <c r="B24" s="20"/>
      <c r="C24" s="50" t="s">
        <v>252</v>
      </c>
      <c r="D24" s="20"/>
      <c r="F24" s="20"/>
      <c r="G24" s="19">
        <v>0</v>
      </c>
      <c r="H24" s="188"/>
      <c r="I24" s="190">
        <f t="shared" si="0"/>
        <v>0</v>
      </c>
      <c r="J24" s="179"/>
      <c r="K24" s="190">
        <v>0</v>
      </c>
      <c r="M24" s="20"/>
    </row>
    <row r="25" spans="1:15" ht="9.75" customHeight="1" x14ac:dyDescent="0.25">
      <c r="C25" s="32"/>
      <c r="D25" s="20"/>
      <c r="F25" s="20"/>
      <c r="G25" s="189"/>
      <c r="H25" s="189"/>
      <c r="I25" s="189"/>
      <c r="J25" s="179"/>
      <c r="K25" s="189"/>
      <c r="M25" s="20"/>
    </row>
    <row r="26" spans="1:15" x14ac:dyDescent="0.2">
      <c r="A26" s="20">
        <f>A24+1</f>
        <v>15</v>
      </c>
      <c r="C26" s="12" t="s">
        <v>44</v>
      </c>
      <c r="D26" s="20"/>
      <c r="F26" s="20"/>
      <c r="G26" s="190">
        <f>SUM(G11:G24)</f>
        <v>174067.95339951621</v>
      </c>
      <c r="H26" s="190"/>
      <c r="I26" s="190">
        <f>K26-G26</f>
        <v>-1887.1057487162761</v>
      </c>
      <c r="J26" s="179"/>
      <c r="K26" s="190">
        <f>SUM(K11:K24)</f>
        <v>172180.84765079993</v>
      </c>
      <c r="M26" s="20" t="s">
        <v>224</v>
      </c>
    </row>
    <row r="27" spans="1:15" ht="12.75" customHeight="1" x14ac:dyDescent="0.2">
      <c r="A27" s="20">
        <f>A26+1</f>
        <v>16</v>
      </c>
      <c r="C27" s="12" t="s">
        <v>45</v>
      </c>
      <c r="D27" s="20"/>
      <c r="F27" s="20"/>
      <c r="G27" s="191">
        <v>155425.05198203065</v>
      </c>
      <c r="H27" s="190"/>
      <c r="I27" s="191">
        <f>K27-G27</f>
        <v>0</v>
      </c>
      <c r="J27" s="179"/>
      <c r="K27" s="191">
        <v>155425.05198203065</v>
      </c>
      <c r="M27" s="20"/>
    </row>
    <row r="28" spans="1:15" x14ac:dyDescent="0.2">
      <c r="A28" s="20">
        <f>A27+1</f>
        <v>17</v>
      </c>
      <c r="C28" s="20" t="s">
        <v>161</v>
      </c>
      <c r="D28" s="20"/>
      <c r="F28" s="20"/>
      <c r="G28" s="190">
        <f t="shared" ref="G28" si="2">(G27+G26)/2</f>
        <v>164746.50269077343</v>
      </c>
      <c r="H28" s="190"/>
      <c r="I28" s="190">
        <f>K28-G28</f>
        <v>-943.55287435813807</v>
      </c>
      <c r="J28" s="179"/>
      <c r="K28" s="190">
        <f>(K27+K26)/2</f>
        <v>163802.94981641529</v>
      </c>
      <c r="M28" s="20" t="s">
        <v>224</v>
      </c>
    </row>
    <row r="29" spans="1:15" x14ac:dyDescent="0.2">
      <c r="C29" s="20"/>
      <c r="D29" s="20"/>
      <c r="F29" s="20"/>
      <c r="G29" s="189"/>
      <c r="H29" s="189"/>
      <c r="I29" s="189"/>
      <c r="J29" s="179"/>
      <c r="K29" s="189"/>
      <c r="M29" s="20"/>
    </row>
    <row r="30" spans="1:15" x14ac:dyDescent="0.2">
      <c r="C30" s="34"/>
      <c r="D30" s="34"/>
      <c r="E30" s="35"/>
      <c r="F30" s="34"/>
      <c r="G30" s="189"/>
      <c r="H30" s="189"/>
      <c r="I30" s="189"/>
      <c r="J30" s="179"/>
      <c r="K30" s="189"/>
      <c r="M30" s="20"/>
    </row>
    <row r="31" spans="1:15" s="20" customFormat="1" x14ac:dyDescent="0.2">
      <c r="C31" s="16" t="s">
        <v>160</v>
      </c>
      <c r="G31" s="182"/>
      <c r="H31" s="182"/>
      <c r="I31" s="182"/>
      <c r="J31" s="150"/>
      <c r="K31" s="182"/>
    </row>
    <row r="32" spans="1:15" x14ac:dyDescent="0.2">
      <c r="G32" s="189"/>
      <c r="H32" s="189"/>
      <c r="I32" s="189"/>
      <c r="J32" s="179"/>
      <c r="K32" s="189"/>
      <c r="M32" s="20"/>
    </row>
    <row r="33" spans="1:21" x14ac:dyDescent="0.2">
      <c r="A33" s="20">
        <f>A28+1</f>
        <v>18</v>
      </c>
      <c r="C33" s="50" t="s">
        <v>239</v>
      </c>
      <c r="G33" s="19">
        <v>0</v>
      </c>
      <c r="H33" s="190"/>
      <c r="I33" s="190">
        <f t="shared" ref="I33:I46" si="3">K33-G33</f>
        <v>0</v>
      </c>
      <c r="J33" s="179"/>
      <c r="K33" s="190">
        <v>0</v>
      </c>
      <c r="M33" s="20"/>
    </row>
    <row r="34" spans="1:21" x14ac:dyDescent="0.2">
      <c r="A34" s="20">
        <f>A33+1</f>
        <v>19</v>
      </c>
      <c r="C34" s="50" t="s">
        <v>240</v>
      </c>
      <c r="G34" s="19">
        <v>0</v>
      </c>
      <c r="H34" s="190"/>
      <c r="I34" s="190">
        <f t="shared" si="3"/>
        <v>0</v>
      </c>
      <c r="J34" s="179"/>
      <c r="K34" s="190">
        <v>0</v>
      </c>
      <c r="M34" s="20"/>
    </row>
    <row r="35" spans="1:21" x14ac:dyDescent="0.2">
      <c r="A35" s="20">
        <f>A34+1</f>
        <v>20</v>
      </c>
      <c r="B35" s="20"/>
      <c r="C35" s="50" t="s">
        <v>241</v>
      </c>
      <c r="D35" s="20"/>
      <c r="F35" s="20"/>
      <c r="G35" s="19">
        <v>431.59799584026547</v>
      </c>
      <c r="H35" s="190"/>
      <c r="I35" s="190">
        <f t="shared" si="3"/>
        <v>338.89263764223602</v>
      </c>
      <c r="J35" s="179"/>
      <c r="K35" s="190">
        <v>770.49063348250149</v>
      </c>
      <c r="M35" s="20" t="s">
        <v>257</v>
      </c>
      <c r="Q35" s="217"/>
      <c r="R35"/>
      <c r="S35"/>
      <c r="T35"/>
      <c r="U35"/>
    </row>
    <row r="36" spans="1:21" x14ac:dyDescent="0.2">
      <c r="A36" s="20">
        <f>A35+1</f>
        <v>21</v>
      </c>
      <c r="B36" s="20"/>
      <c r="C36" s="50" t="s">
        <v>242</v>
      </c>
      <c r="D36" s="20"/>
      <c r="F36" s="20"/>
      <c r="G36" s="19">
        <v>256.56655000000001</v>
      </c>
      <c r="H36" s="190"/>
      <c r="I36" s="190">
        <f t="shared" si="3"/>
        <v>0</v>
      </c>
      <c r="J36" s="179"/>
      <c r="K36" s="190">
        <v>256.56655000000001</v>
      </c>
      <c r="M36" s="20"/>
      <c r="Q36" s="218"/>
      <c r="R36"/>
      <c r="S36"/>
      <c r="T36"/>
      <c r="U36"/>
    </row>
    <row r="37" spans="1:21" ht="14.25" customHeight="1" x14ac:dyDescent="0.2">
      <c r="A37" s="20">
        <f t="shared" ref="A37:A46" si="4">A36+1</f>
        <v>22</v>
      </c>
      <c r="B37" s="20"/>
      <c r="C37" s="50" t="s">
        <v>243</v>
      </c>
      <c r="D37" s="20"/>
      <c r="F37" s="20"/>
      <c r="G37" s="19">
        <v>0</v>
      </c>
      <c r="H37" s="190"/>
      <c r="I37" s="190">
        <f t="shared" si="3"/>
        <v>0</v>
      </c>
      <c r="J37" s="179"/>
      <c r="K37" s="190">
        <v>0</v>
      </c>
      <c r="M37" s="214"/>
      <c r="Q37" s="218"/>
      <c r="R37"/>
      <c r="S37"/>
      <c r="T37" s="217"/>
      <c r="U37" s="217"/>
    </row>
    <row r="38" spans="1:21" x14ac:dyDescent="0.2">
      <c r="A38" s="150">
        <f t="shared" si="4"/>
        <v>23</v>
      </c>
      <c r="B38" s="20"/>
      <c r="C38" s="150" t="s">
        <v>244</v>
      </c>
      <c r="D38" s="20"/>
      <c r="F38" s="20"/>
      <c r="G38" s="19">
        <v>0</v>
      </c>
      <c r="H38" s="190"/>
      <c r="I38" s="190">
        <f t="shared" si="3"/>
        <v>0</v>
      </c>
      <c r="J38" s="179"/>
      <c r="K38" s="190">
        <v>0</v>
      </c>
      <c r="M38" s="214"/>
      <c r="Q38" s="217"/>
      <c r="R38"/>
      <c r="S38" s="219"/>
      <c r="T38" s="217"/>
      <c r="U38"/>
    </row>
    <row r="39" spans="1:21" x14ac:dyDescent="0.2">
      <c r="A39" s="20">
        <f t="shared" si="4"/>
        <v>24</v>
      </c>
      <c r="B39" s="20"/>
      <c r="C39" s="50" t="s">
        <v>245</v>
      </c>
      <c r="D39" s="20"/>
      <c r="F39" s="20"/>
      <c r="G39" s="19">
        <v>0</v>
      </c>
      <c r="H39" s="190"/>
      <c r="I39" s="190">
        <f t="shared" si="3"/>
        <v>0</v>
      </c>
      <c r="J39" s="179"/>
      <c r="K39" s="190">
        <v>0</v>
      </c>
      <c r="M39" s="20"/>
      <c r="Q39" s="218"/>
      <c r="R39"/>
      <c r="S39" s="220"/>
      <c r="T39" s="221"/>
      <c r="U39" s="222"/>
    </row>
    <row r="40" spans="1:21" x14ac:dyDescent="0.2">
      <c r="A40" s="20">
        <f>A39+1</f>
        <v>25</v>
      </c>
      <c r="B40" s="20"/>
      <c r="C40" s="50" t="s">
        <v>246</v>
      </c>
      <c r="D40" s="20"/>
      <c r="F40" s="20"/>
      <c r="G40" s="19">
        <v>23.722957784551173</v>
      </c>
      <c r="H40" s="190"/>
      <c r="I40" s="190">
        <f t="shared" si="3"/>
        <v>0</v>
      </c>
      <c r="J40" s="150"/>
      <c r="K40" s="190">
        <v>23.722957784551173</v>
      </c>
      <c r="L40" s="20"/>
      <c r="M40" s="20"/>
    </row>
    <row r="41" spans="1:21" x14ac:dyDescent="0.2">
      <c r="A41" s="20">
        <f t="shared" si="4"/>
        <v>26</v>
      </c>
      <c r="B41" s="20"/>
      <c r="C41" s="50" t="s">
        <v>247</v>
      </c>
      <c r="D41" s="20"/>
      <c r="F41" s="20"/>
      <c r="G41" s="19">
        <v>132.12</v>
      </c>
      <c r="H41" s="190"/>
      <c r="I41" s="190">
        <f t="shared" si="3"/>
        <v>0</v>
      </c>
      <c r="J41" s="179"/>
      <c r="K41" s="190">
        <v>132.12</v>
      </c>
      <c r="M41" s="20"/>
    </row>
    <row r="42" spans="1:21" x14ac:dyDescent="0.2">
      <c r="A42" s="20">
        <f t="shared" si="4"/>
        <v>27</v>
      </c>
      <c r="B42" s="20"/>
      <c r="C42" s="50" t="s">
        <v>248</v>
      </c>
      <c r="D42" s="20"/>
      <c r="F42" s="20"/>
      <c r="G42" s="19">
        <v>2042.1809587199998</v>
      </c>
      <c r="H42" s="190"/>
      <c r="I42" s="190">
        <f t="shared" si="3"/>
        <v>0</v>
      </c>
      <c r="J42" s="179"/>
      <c r="K42" s="190">
        <v>2042.1809587199998</v>
      </c>
      <c r="M42" s="20"/>
    </row>
    <row r="43" spans="1:21" s="20" customFormat="1" x14ac:dyDescent="0.2">
      <c r="A43" s="20">
        <f t="shared" si="4"/>
        <v>28</v>
      </c>
      <c r="C43" s="20" t="s">
        <v>249</v>
      </c>
      <c r="E43" s="44"/>
      <c r="G43" s="19">
        <v>445.20511526400003</v>
      </c>
      <c r="H43" s="190"/>
      <c r="I43" s="190">
        <f t="shared" si="3"/>
        <v>0</v>
      </c>
      <c r="J43" s="150"/>
      <c r="K43" s="190">
        <v>445.20511526400003</v>
      </c>
    </row>
    <row r="44" spans="1:21" s="20" customFormat="1" x14ac:dyDescent="0.2">
      <c r="A44" s="20">
        <f t="shared" si="4"/>
        <v>29</v>
      </c>
      <c r="C44" s="50" t="s">
        <v>250</v>
      </c>
      <c r="E44" s="44"/>
      <c r="G44" s="19">
        <v>254.85600000000002</v>
      </c>
      <c r="H44" s="190"/>
      <c r="I44" s="190">
        <f t="shared" si="3"/>
        <v>0</v>
      </c>
      <c r="J44" s="150"/>
      <c r="K44" s="190">
        <v>254.85600000000005</v>
      </c>
    </row>
    <row r="45" spans="1:21" s="20" customFormat="1" x14ac:dyDescent="0.2">
      <c r="A45" s="20">
        <f t="shared" si="4"/>
        <v>30</v>
      </c>
      <c r="C45" s="50" t="s">
        <v>251</v>
      </c>
      <c r="E45" s="44"/>
      <c r="G45" s="19">
        <v>0</v>
      </c>
      <c r="H45" s="190"/>
      <c r="I45" s="190">
        <f t="shared" si="3"/>
        <v>0</v>
      </c>
      <c r="J45" s="150"/>
      <c r="K45" s="190">
        <v>0</v>
      </c>
    </row>
    <row r="46" spans="1:21" s="20" customFormat="1" x14ac:dyDescent="0.2">
      <c r="A46" s="20">
        <f t="shared" si="4"/>
        <v>31</v>
      </c>
      <c r="C46" s="154" t="s">
        <v>252</v>
      </c>
      <c r="E46" s="44"/>
      <c r="G46" s="19">
        <v>0</v>
      </c>
      <c r="H46" s="190"/>
      <c r="I46" s="190">
        <f t="shared" si="3"/>
        <v>0</v>
      </c>
      <c r="J46" s="150"/>
      <c r="K46" s="190">
        <v>0</v>
      </c>
    </row>
    <row r="47" spans="1:21" x14ac:dyDescent="0.2">
      <c r="B47" s="20"/>
      <c r="C47" s="33"/>
      <c r="D47" s="20"/>
      <c r="F47" s="20"/>
      <c r="G47" s="190"/>
      <c r="H47" s="190"/>
      <c r="I47" s="190"/>
      <c r="J47" s="179"/>
      <c r="K47" s="190"/>
      <c r="M47" s="20"/>
    </row>
    <row r="48" spans="1:21" x14ac:dyDescent="0.2">
      <c r="A48" s="20">
        <f>A46+1</f>
        <v>32</v>
      </c>
      <c r="C48" s="3" t="s">
        <v>163</v>
      </c>
      <c r="G48" s="190">
        <f>SUM(G33:G46)</f>
        <v>3586.2495776088167</v>
      </c>
      <c r="H48" s="190"/>
      <c r="I48" s="190">
        <f>K48-G48</f>
        <v>338.89263764223642</v>
      </c>
      <c r="J48" s="179"/>
      <c r="K48" s="190">
        <f>SUM(K33:K46)</f>
        <v>3925.1422152510531</v>
      </c>
      <c r="M48" s="20" t="s">
        <v>224</v>
      </c>
    </row>
    <row r="49" spans="1:13" x14ac:dyDescent="0.2">
      <c r="G49" s="189"/>
      <c r="H49" s="189"/>
      <c r="I49" s="189"/>
      <c r="J49" s="179"/>
      <c r="K49" s="189"/>
      <c r="M49" s="20"/>
    </row>
    <row r="50" spans="1:13" x14ac:dyDescent="0.2">
      <c r="A50" s="20">
        <f>A48+1</f>
        <v>33</v>
      </c>
      <c r="C50" s="12" t="s">
        <v>164</v>
      </c>
      <c r="G50" s="192">
        <f>G48/G28</f>
        <v>2.1768289578444955E-2</v>
      </c>
      <c r="H50" s="192"/>
      <c r="I50" s="192">
        <f>K50-G50</f>
        <v>2.194296074928305E-3</v>
      </c>
      <c r="J50" s="179"/>
      <c r="K50" s="192">
        <f>K48/K28</f>
        <v>2.396258565337326E-2</v>
      </c>
      <c r="M50" s="20" t="s">
        <v>224</v>
      </c>
    </row>
    <row r="51" spans="1:13" x14ac:dyDescent="0.2">
      <c r="G51" s="192"/>
      <c r="H51" s="192"/>
      <c r="I51" s="192"/>
      <c r="J51" s="192"/>
      <c r="K51" s="192"/>
    </row>
    <row r="52" spans="1:13" x14ac:dyDescent="0.2">
      <c r="C52" s="153"/>
      <c r="G52" s="53"/>
      <c r="H52" s="53"/>
      <c r="I52" s="53"/>
      <c r="J52" s="53"/>
      <c r="K52" s="53"/>
    </row>
    <row r="53" spans="1:13" x14ac:dyDescent="0.2">
      <c r="C53" s="153"/>
    </row>
    <row r="56" spans="1:13" s="54" customFormat="1" x14ac:dyDescent="0.2">
      <c r="E56" s="55"/>
      <c r="G56" s="56"/>
      <c r="H56" s="56"/>
      <c r="I56" s="56"/>
      <c r="J56" s="56"/>
      <c r="K56" s="56"/>
    </row>
    <row r="59" spans="1:13" x14ac:dyDescent="0.2">
      <c r="A59" s="54"/>
      <c r="B59" s="54"/>
      <c r="C59" s="54"/>
      <c r="D59" s="54"/>
      <c r="E59" s="55"/>
      <c r="F59" s="54"/>
      <c r="G59" s="57"/>
      <c r="H59" s="57"/>
      <c r="I59" s="57"/>
      <c r="J59" s="57"/>
      <c r="K59" s="57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  <pageSetUpPr fitToPage="1"/>
  </sheetPr>
  <dimension ref="A1:T74"/>
  <sheetViews>
    <sheetView tabSelected="1" view="pageBreakPreview" topLeftCell="A16" zoomScaleSheetLayoutView="100" workbookViewId="0">
      <selection activeCell="N16" sqref="N16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30.28515625" style="20" customWidth="1"/>
    <col min="4" max="4" width="1.85546875" style="20" customWidth="1"/>
    <col min="5" max="5" width="9.140625" style="44" customWidth="1"/>
    <col min="6" max="6" width="1.85546875" style="20" customWidth="1"/>
    <col min="7" max="7" width="1.7109375" style="48" customWidth="1"/>
    <col min="8" max="8" width="10.42578125" style="20" customWidth="1"/>
    <col min="9" max="9" width="1.7109375" style="48" customWidth="1"/>
    <col min="10" max="10" width="11" style="48" customWidth="1"/>
    <col min="11" max="11" width="2.140625" style="48" customWidth="1"/>
    <col min="12" max="12" width="11.7109375" style="20" customWidth="1"/>
    <col min="13" max="13" width="1.5703125" style="20" customWidth="1"/>
    <col min="14" max="14" width="66.28515625" style="20" customWidth="1"/>
    <col min="15" max="16384" width="9.140625" style="20"/>
  </cols>
  <sheetData>
    <row r="1" spans="1:14" ht="15.75" x14ac:dyDescent="0.25">
      <c r="C1" s="158" t="s">
        <v>233</v>
      </c>
      <c r="D1" s="159"/>
      <c r="E1" s="159"/>
      <c r="F1" s="159"/>
      <c r="G1" s="160"/>
      <c r="H1" s="159"/>
      <c r="I1" s="160"/>
      <c r="J1" s="160"/>
      <c r="K1" s="160"/>
      <c r="L1" s="159"/>
      <c r="N1" s="75" t="s">
        <v>3</v>
      </c>
    </row>
    <row r="2" spans="1:14" x14ac:dyDescent="0.2">
      <c r="C2" s="161" t="s">
        <v>4</v>
      </c>
      <c r="D2" s="159"/>
      <c r="E2" s="159"/>
      <c r="F2" s="159"/>
      <c r="G2" s="160"/>
      <c r="H2" s="159"/>
      <c r="I2" s="160"/>
      <c r="J2" s="160"/>
      <c r="K2" s="160"/>
      <c r="L2" s="159"/>
      <c r="N2" s="69" t="s">
        <v>268</v>
      </c>
    </row>
    <row r="3" spans="1:14" x14ac:dyDescent="0.2">
      <c r="C3" s="161" t="s">
        <v>5</v>
      </c>
      <c r="D3" s="159"/>
      <c r="E3" s="159"/>
      <c r="F3" s="159"/>
      <c r="G3" s="160"/>
      <c r="H3" s="159"/>
      <c r="I3" s="160"/>
      <c r="J3" s="160"/>
      <c r="K3" s="160"/>
      <c r="L3" s="159"/>
    </row>
    <row r="6" spans="1:14" s="44" customFormat="1" x14ac:dyDescent="0.2">
      <c r="G6" s="71"/>
      <c r="H6" s="225">
        <v>2017</v>
      </c>
      <c r="I6" s="225"/>
      <c r="J6" s="225"/>
      <c r="K6" s="225"/>
      <c r="L6" s="225"/>
    </row>
    <row r="7" spans="1:14" s="15" customFormat="1" ht="25.5" x14ac:dyDescent="0.2">
      <c r="A7" s="14" t="s">
        <v>0</v>
      </c>
      <c r="C7" s="157" t="s">
        <v>1</v>
      </c>
      <c r="E7" s="14" t="s">
        <v>2</v>
      </c>
      <c r="G7" s="25"/>
      <c r="H7" s="157" t="s">
        <v>221</v>
      </c>
      <c r="I7" s="162"/>
      <c r="J7" s="157" t="s">
        <v>222</v>
      </c>
      <c r="K7" s="162"/>
      <c r="L7" s="157" t="s">
        <v>223</v>
      </c>
      <c r="N7" s="157" t="s">
        <v>220</v>
      </c>
    </row>
    <row r="9" spans="1:14" x14ac:dyDescent="0.2">
      <c r="A9" s="20">
        <v>1</v>
      </c>
      <c r="C9" s="16" t="s">
        <v>36</v>
      </c>
    </row>
    <row r="10" spans="1:14" ht="25.5" x14ac:dyDescent="0.2">
      <c r="A10" s="20">
        <v>2</v>
      </c>
      <c r="C10" s="150" t="s">
        <v>37</v>
      </c>
      <c r="D10" s="150"/>
      <c r="E10" s="146" t="s">
        <v>78</v>
      </c>
      <c r="F10" s="150"/>
      <c r="G10" s="171"/>
      <c r="H10" s="151">
        <v>603879.26377999992</v>
      </c>
      <c r="I10" s="151"/>
      <c r="J10" s="151">
        <f>L10-H10</f>
        <v>-5122.9371999999275</v>
      </c>
      <c r="K10" s="150"/>
      <c r="L10" s="151">
        <v>598756.32657999999</v>
      </c>
      <c r="N10" s="173" t="s">
        <v>269</v>
      </c>
    </row>
    <row r="11" spans="1:14" x14ac:dyDescent="0.2">
      <c r="C11" s="150"/>
      <c r="D11" s="150"/>
      <c r="E11" s="146" t="s">
        <v>134</v>
      </c>
      <c r="F11" s="150"/>
      <c r="G11" s="171"/>
      <c r="H11" s="151"/>
      <c r="I11" s="151"/>
      <c r="J11" s="151"/>
      <c r="K11" s="150"/>
      <c r="L11" s="151"/>
    </row>
    <row r="12" spans="1:14" x14ac:dyDescent="0.2">
      <c r="C12" s="150" t="s">
        <v>38</v>
      </c>
      <c r="D12" s="150"/>
      <c r="E12" s="146"/>
      <c r="F12" s="150"/>
      <c r="G12" s="171"/>
      <c r="H12" s="151"/>
      <c r="I12" s="151"/>
      <c r="J12" s="151"/>
      <c r="K12" s="150"/>
      <c r="L12" s="151"/>
    </row>
    <row r="13" spans="1:14" x14ac:dyDescent="0.2">
      <c r="A13" s="20">
        <v>3</v>
      </c>
      <c r="C13" s="150" t="s">
        <v>172</v>
      </c>
      <c r="D13" s="150"/>
      <c r="E13" s="146" t="s">
        <v>74</v>
      </c>
      <c r="F13" s="150"/>
      <c r="G13" s="171"/>
      <c r="H13" s="151">
        <v>156806.19795640151</v>
      </c>
      <c r="I13" s="151"/>
      <c r="J13" s="151">
        <f>L13-H13</f>
        <v>-1644.4560914014874</v>
      </c>
      <c r="K13" s="150"/>
      <c r="L13" s="151">
        <v>155161.74186500002</v>
      </c>
      <c r="N13" s="173" t="s">
        <v>264</v>
      </c>
    </row>
    <row r="14" spans="1:14" x14ac:dyDescent="0.2">
      <c r="C14" s="150"/>
      <c r="D14" s="150"/>
      <c r="E14" s="146"/>
      <c r="F14" s="150"/>
      <c r="G14" s="171"/>
      <c r="H14" s="151"/>
      <c r="I14" s="151"/>
      <c r="J14" s="151"/>
      <c r="K14" s="150"/>
      <c r="L14" s="151"/>
    </row>
    <row r="15" spans="1:14" x14ac:dyDescent="0.2">
      <c r="A15" s="20">
        <v>4</v>
      </c>
      <c r="C15" s="150" t="s">
        <v>52</v>
      </c>
      <c r="D15" s="150"/>
      <c r="E15" s="146" t="s">
        <v>173</v>
      </c>
      <c r="F15" s="150"/>
      <c r="G15" s="171"/>
      <c r="H15" s="151">
        <v>4358.0240199999989</v>
      </c>
      <c r="I15" s="151"/>
      <c r="J15" s="151">
        <f>L15-H15</f>
        <v>418.3825700000034</v>
      </c>
      <c r="K15" s="150"/>
      <c r="L15" s="151">
        <v>4776.4065900000023</v>
      </c>
      <c r="N15" s="173" t="s">
        <v>264</v>
      </c>
    </row>
    <row r="16" spans="1:14" x14ac:dyDescent="0.2">
      <c r="A16" s="20">
        <v>5</v>
      </c>
      <c r="C16" s="150" t="s">
        <v>72</v>
      </c>
      <c r="D16" s="150"/>
      <c r="E16" s="146" t="s">
        <v>84</v>
      </c>
      <c r="F16" s="150"/>
      <c r="G16" s="171"/>
      <c r="H16" s="151">
        <v>691.1425999999999</v>
      </c>
      <c r="I16" s="151"/>
      <c r="J16" s="151">
        <f>L16-H16</f>
        <v>2054.7109799999998</v>
      </c>
      <c r="K16" s="150"/>
      <c r="L16" s="151">
        <v>2745.85358</v>
      </c>
      <c r="N16" s="48" t="s">
        <v>270</v>
      </c>
    </row>
    <row r="17" spans="1:14" x14ac:dyDescent="0.2">
      <c r="A17" s="20">
        <v>6</v>
      </c>
      <c r="C17" s="150" t="s">
        <v>133</v>
      </c>
      <c r="D17" s="150"/>
      <c r="E17" s="146" t="s">
        <v>85</v>
      </c>
      <c r="F17" s="150"/>
      <c r="G17" s="171"/>
      <c r="H17" s="174">
        <v>4118.8909999999996</v>
      </c>
      <c r="I17" s="171"/>
      <c r="J17" s="174">
        <f>L17-H17</f>
        <v>-399.39546999999993</v>
      </c>
      <c r="K17" s="150"/>
      <c r="L17" s="174">
        <v>3719.4955299999997</v>
      </c>
      <c r="N17" s="173" t="s">
        <v>264</v>
      </c>
    </row>
    <row r="18" spans="1:14" x14ac:dyDescent="0.2">
      <c r="A18" s="20">
        <v>7</v>
      </c>
      <c r="C18" s="150" t="s">
        <v>39</v>
      </c>
      <c r="D18" s="150"/>
      <c r="E18" s="146"/>
      <c r="F18" s="150"/>
      <c r="G18" s="171"/>
      <c r="H18" s="151">
        <f>SUM(H13:H17)</f>
        <v>165974.25557640151</v>
      </c>
      <c r="I18" s="151"/>
      <c r="J18" s="151">
        <f>L18-H18</f>
        <v>429.24198859848548</v>
      </c>
      <c r="K18" s="150"/>
      <c r="L18" s="151">
        <f>SUM(L13:L17)</f>
        <v>166403.497565</v>
      </c>
    </row>
    <row r="19" spans="1:14" x14ac:dyDescent="0.2">
      <c r="C19" s="150"/>
      <c r="D19" s="150"/>
      <c r="E19" s="146"/>
      <c r="F19" s="150"/>
      <c r="G19" s="171"/>
      <c r="H19" s="151"/>
      <c r="I19" s="151"/>
      <c r="J19" s="151"/>
      <c r="K19" s="150"/>
      <c r="L19" s="151"/>
    </row>
    <row r="20" spans="1:14" x14ac:dyDescent="0.2">
      <c r="C20" s="150" t="s">
        <v>40</v>
      </c>
      <c r="D20" s="150"/>
      <c r="E20" s="146"/>
      <c r="F20" s="150"/>
      <c r="G20" s="171"/>
      <c r="H20" s="151"/>
      <c r="I20" s="151"/>
      <c r="J20" s="151"/>
      <c r="K20" s="150"/>
      <c r="L20" s="151"/>
    </row>
    <row r="21" spans="1:14" x14ac:dyDescent="0.2">
      <c r="A21" s="150">
        <v>8</v>
      </c>
      <c r="B21" s="150"/>
      <c r="C21" s="150" t="s">
        <v>167</v>
      </c>
      <c r="D21" s="150"/>
      <c r="E21" s="146" t="s">
        <v>174</v>
      </c>
      <c r="F21" s="150"/>
      <c r="G21" s="171"/>
      <c r="H21" s="171">
        <v>29346.373931000002</v>
      </c>
      <c r="I21" s="171"/>
      <c r="J21" s="171">
        <f>L21-H21</f>
        <v>-308.74403200000233</v>
      </c>
      <c r="K21" s="150"/>
      <c r="L21" s="171">
        <v>29037.629899</v>
      </c>
      <c r="M21" s="172"/>
      <c r="N21" s="173" t="s">
        <v>264</v>
      </c>
    </row>
    <row r="22" spans="1:14" x14ac:dyDescent="0.2">
      <c r="A22" s="150">
        <v>9</v>
      </c>
      <c r="B22" s="150"/>
      <c r="C22" s="150" t="s">
        <v>170</v>
      </c>
      <c r="D22" s="150"/>
      <c r="E22" s="146" t="s">
        <v>175</v>
      </c>
      <c r="F22" s="150"/>
      <c r="G22" s="171"/>
      <c r="H22" s="171">
        <v>-16167.195400000002</v>
      </c>
      <c r="I22" s="171"/>
      <c r="J22" s="171">
        <f>L22-H22</f>
        <v>1203.1036500000027</v>
      </c>
      <c r="K22" s="150"/>
      <c r="L22" s="171">
        <v>-14964.09175</v>
      </c>
      <c r="M22" s="48"/>
      <c r="N22" s="173" t="s">
        <v>264</v>
      </c>
    </row>
    <row r="23" spans="1:14" x14ac:dyDescent="0.2">
      <c r="A23" s="20">
        <v>10</v>
      </c>
      <c r="C23" s="150" t="s">
        <v>171</v>
      </c>
      <c r="D23" s="150"/>
      <c r="E23" s="146" t="s">
        <v>148</v>
      </c>
      <c r="F23" s="150"/>
      <c r="G23" s="171"/>
      <c r="H23" s="171">
        <v>0</v>
      </c>
      <c r="I23" s="171"/>
      <c r="J23" s="171">
        <f>L23-H23</f>
        <v>0</v>
      </c>
      <c r="K23" s="150"/>
      <c r="L23" s="171">
        <v>0</v>
      </c>
      <c r="M23" s="48"/>
    </row>
    <row r="24" spans="1:14" x14ac:dyDescent="0.2">
      <c r="A24" s="150">
        <v>11</v>
      </c>
      <c r="B24" s="150"/>
      <c r="C24" s="150" t="s">
        <v>41</v>
      </c>
      <c r="D24" s="150"/>
      <c r="E24" s="146" t="s">
        <v>86</v>
      </c>
      <c r="F24" s="150"/>
      <c r="G24" s="171"/>
      <c r="H24" s="171">
        <v>183.67139000000003</v>
      </c>
      <c r="I24" s="171"/>
      <c r="J24" s="171">
        <f>L24-H24</f>
        <v>165.47289799999999</v>
      </c>
      <c r="K24" s="150"/>
      <c r="L24" s="171">
        <v>349.14428800000002</v>
      </c>
      <c r="N24" s="173" t="s">
        <v>264</v>
      </c>
    </row>
    <row r="25" spans="1:14" x14ac:dyDescent="0.2">
      <c r="A25" s="20">
        <v>12</v>
      </c>
      <c r="C25" s="150" t="s">
        <v>42</v>
      </c>
      <c r="D25" s="150"/>
      <c r="E25" s="146"/>
      <c r="F25" s="150"/>
      <c r="G25" s="171"/>
      <c r="H25" s="193">
        <f>SUM(H21:H24)</f>
        <v>13362.849920999999</v>
      </c>
      <c r="I25" s="171"/>
      <c r="J25" s="193">
        <f>L25-H25</f>
        <v>1059.8325160000004</v>
      </c>
      <c r="K25" s="150"/>
      <c r="L25" s="193">
        <f>SUM(L21:L24)</f>
        <v>14422.682436999999</v>
      </c>
    </row>
    <row r="26" spans="1:14" x14ac:dyDescent="0.2">
      <c r="C26" s="150"/>
      <c r="D26" s="150"/>
      <c r="E26" s="146"/>
      <c r="F26" s="150"/>
      <c r="G26" s="171"/>
      <c r="H26" s="151"/>
      <c r="I26" s="151"/>
      <c r="J26" s="151"/>
      <c r="K26" s="150"/>
      <c r="L26" s="151"/>
    </row>
    <row r="27" spans="1:14" x14ac:dyDescent="0.2">
      <c r="C27" s="194" t="s">
        <v>43</v>
      </c>
      <c r="D27" s="150"/>
      <c r="E27" s="146"/>
      <c r="F27" s="150"/>
      <c r="G27" s="171"/>
      <c r="H27" s="151"/>
      <c r="I27" s="151"/>
      <c r="J27" s="151"/>
      <c r="K27" s="150"/>
      <c r="L27" s="151"/>
    </row>
    <row r="28" spans="1:14" x14ac:dyDescent="0.2">
      <c r="A28" s="20">
        <v>13</v>
      </c>
      <c r="C28" s="150" t="s">
        <v>44</v>
      </c>
      <c r="D28" s="150"/>
      <c r="E28" s="146" t="s">
        <v>176</v>
      </c>
      <c r="F28" s="150"/>
      <c r="G28" s="171"/>
      <c r="H28" s="151">
        <f>H10-H18+H25</f>
        <v>451267.85812459845</v>
      </c>
      <c r="I28" s="151"/>
      <c r="J28" s="151">
        <f>J10-J18+J25</f>
        <v>-4492.3466725984126</v>
      </c>
      <c r="K28" s="150"/>
      <c r="L28" s="151">
        <v>446775.51145200001</v>
      </c>
      <c r="N28" s="173" t="s">
        <v>264</v>
      </c>
    </row>
    <row r="29" spans="1:14" x14ac:dyDescent="0.2">
      <c r="A29" s="150">
        <v>14</v>
      </c>
      <c r="B29" s="150"/>
      <c r="C29" s="150" t="s">
        <v>45</v>
      </c>
      <c r="D29" s="150"/>
      <c r="E29" s="146"/>
      <c r="F29" s="150"/>
      <c r="G29" s="171"/>
      <c r="H29" s="174">
        <v>424008.56128999998</v>
      </c>
      <c r="I29" s="171"/>
      <c r="J29" s="174">
        <f>L29-H29</f>
        <v>0</v>
      </c>
      <c r="K29" s="150"/>
      <c r="L29" s="174">
        <v>424008.56128999998</v>
      </c>
      <c r="N29" s="173"/>
    </row>
    <row r="30" spans="1:14" x14ac:dyDescent="0.2">
      <c r="A30" s="20">
        <v>15</v>
      </c>
      <c r="C30" s="150" t="s">
        <v>32</v>
      </c>
      <c r="D30" s="150"/>
      <c r="E30" s="146"/>
      <c r="F30" s="150"/>
      <c r="G30" s="171"/>
      <c r="H30" s="151">
        <f>H29+H28</f>
        <v>875276.41941459849</v>
      </c>
      <c r="I30" s="151"/>
      <c r="J30" s="151">
        <f>L30-H30</f>
        <v>-4492.3466725985054</v>
      </c>
      <c r="K30" s="150"/>
      <c r="L30" s="151">
        <f>L29+L28</f>
        <v>870784.07274199999</v>
      </c>
    </row>
    <row r="31" spans="1:14" x14ac:dyDescent="0.2">
      <c r="C31" s="150"/>
      <c r="D31" s="150"/>
      <c r="E31" s="146"/>
      <c r="F31" s="150"/>
      <c r="G31" s="171"/>
      <c r="H31" s="151"/>
      <c r="I31" s="151"/>
      <c r="J31" s="151"/>
      <c r="K31" s="150"/>
      <c r="L31" s="151"/>
    </row>
    <row r="32" spans="1:14" x14ac:dyDescent="0.2">
      <c r="A32" s="20">
        <v>16</v>
      </c>
      <c r="C32" s="150" t="s">
        <v>46</v>
      </c>
      <c r="D32" s="150"/>
      <c r="E32" s="146"/>
      <c r="F32" s="150"/>
      <c r="G32" s="171"/>
      <c r="H32" s="151">
        <f>(H29+H28)/2</f>
        <v>437638.20970729925</v>
      </c>
      <c r="I32" s="151"/>
      <c r="J32" s="151">
        <f>L32-H32</f>
        <v>-2246.1733362992527</v>
      </c>
      <c r="K32" s="150"/>
      <c r="L32" s="151">
        <f>(L29+L28)/2</f>
        <v>435392.03637099999</v>
      </c>
      <c r="M32" s="48"/>
      <c r="N32" s="173" t="s">
        <v>264</v>
      </c>
    </row>
    <row r="33" spans="1:14" x14ac:dyDescent="0.2">
      <c r="C33" s="150"/>
      <c r="D33" s="150"/>
      <c r="E33" s="146"/>
      <c r="F33" s="150"/>
      <c r="G33" s="171"/>
      <c r="H33" s="151"/>
      <c r="I33" s="151"/>
      <c r="J33" s="151"/>
      <c r="K33" s="150"/>
      <c r="L33" s="151"/>
      <c r="M33" s="48"/>
      <c r="N33" s="48"/>
    </row>
    <row r="34" spans="1:14" x14ac:dyDescent="0.2">
      <c r="A34" s="150">
        <v>18</v>
      </c>
      <c r="B34" s="150"/>
      <c r="C34" s="150" t="s">
        <v>47</v>
      </c>
      <c r="D34" s="150"/>
      <c r="E34" s="146"/>
      <c r="F34" s="150"/>
      <c r="G34" s="171"/>
      <c r="H34" s="151">
        <v>2447</v>
      </c>
      <c r="I34" s="151"/>
      <c r="J34" s="151">
        <f>L34-H34</f>
        <v>587</v>
      </c>
      <c r="K34" s="150"/>
      <c r="L34" s="151">
        <v>3034</v>
      </c>
      <c r="M34" s="48"/>
      <c r="N34" s="173" t="s">
        <v>264</v>
      </c>
    </row>
    <row r="35" spans="1:14" x14ac:dyDescent="0.2">
      <c r="A35" s="20">
        <v>19</v>
      </c>
      <c r="C35" s="150" t="s">
        <v>48</v>
      </c>
      <c r="D35" s="150"/>
      <c r="E35" s="146" t="s">
        <v>208</v>
      </c>
      <c r="F35" s="150"/>
      <c r="G35" s="171"/>
      <c r="H35" s="174">
        <v>5200.0330292510271</v>
      </c>
      <c r="I35" s="171"/>
      <c r="J35" s="174">
        <f>L35-H35</f>
        <v>90.43202379705599</v>
      </c>
      <c r="K35" s="150"/>
      <c r="L35" s="174">
        <v>5290.4650530480831</v>
      </c>
      <c r="M35" s="26">
        <f>'Schedule 2'!L21</f>
        <v>0</v>
      </c>
      <c r="N35" s="173" t="s">
        <v>264</v>
      </c>
    </row>
    <row r="36" spans="1:14" x14ac:dyDescent="0.2">
      <c r="C36" s="150"/>
      <c r="D36" s="150"/>
      <c r="E36" s="146"/>
      <c r="F36" s="150"/>
      <c r="G36" s="171"/>
      <c r="H36" s="151"/>
      <c r="I36" s="151"/>
      <c r="J36" s="151"/>
      <c r="K36" s="150"/>
      <c r="L36" s="151"/>
      <c r="M36" s="48"/>
      <c r="N36" s="48"/>
    </row>
    <row r="37" spans="1:14" x14ac:dyDescent="0.2">
      <c r="C37" s="150"/>
      <c r="D37" s="150"/>
      <c r="E37" s="146"/>
      <c r="F37" s="150"/>
      <c r="G37" s="171"/>
      <c r="H37" s="151"/>
      <c r="I37" s="151"/>
      <c r="J37" s="151"/>
      <c r="K37" s="150"/>
      <c r="L37" s="151"/>
      <c r="M37" s="48"/>
      <c r="N37" s="48"/>
    </row>
    <row r="38" spans="1:14" x14ac:dyDescent="0.2">
      <c r="A38" s="20">
        <v>20</v>
      </c>
      <c r="C38" s="194" t="s">
        <v>49</v>
      </c>
      <c r="D38" s="150"/>
      <c r="E38" s="146"/>
      <c r="F38" s="150"/>
      <c r="G38" s="171"/>
      <c r="H38" s="151">
        <f>H32+H34+H35+H37</f>
        <v>445285.24273655028</v>
      </c>
      <c r="I38" s="151"/>
      <c r="J38" s="151">
        <f>L38-H38</f>
        <v>-1568.7413125021849</v>
      </c>
      <c r="K38" s="150"/>
      <c r="L38" s="151">
        <f>L35+L34+L32</f>
        <v>443716.5014240481</v>
      </c>
      <c r="M38" s="48"/>
      <c r="N38" s="173" t="s">
        <v>264</v>
      </c>
    </row>
    <row r="39" spans="1:14" x14ac:dyDescent="0.2">
      <c r="C39" s="150"/>
      <c r="D39" s="150"/>
      <c r="E39" s="146"/>
      <c r="F39" s="150"/>
      <c r="G39" s="171"/>
      <c r="H39" s="151"/>
      <c r="I39" s="151"/>
      <c r="J39" s="151"/>
      <c r="K39" s="150"/>
      <c r="L39" s="151"/>
      <c r="M39" s="48"/>
      <c r="N39" s="48"/>
    </row>
    <row r="40" spans="1:14" x14ac:dyDescent="0.2">
      <c r="C40" s="150" t="s">
        <v>38</v>
      </c>
      <c r="D40" s="150"/>
      <c r="E40" s="146"/>
      <c r="F40" s="150"/>
      <c r="G40" s="171"/>
      <c r="H40" s="151"/>
      <c r="I40" s="151"/>
      <c r="J40" s="151"/>
      <c r="K40" s="150"/>
      <c r="L40" s="151"/>
      <c r="M40" s="48"/>
      <c r="N40" s="48"/>
    </row>
    <row r="41" spans="1:14" x14ac:dyDescent="0.2">
      <c r="C41" s="194" t="s">
        <v>50</v>
      </c>
      <c r="D41" s="150"/>
      <c r="E41" s="146"/>
      <c r="F41" s="150"/>
      <c r="G41" s="171"/>
      <c r="H41" s="151"/>
      <c r="I41" s="151"/>
      <c r="J41" s="151"/>
      <c r="K41" s="150"/>
      <c r="L41" s="151"/>
      <c r="M41" s="48"/>
      <c r="N41" s="48"/>
    </row>
    <row r="42" spans="1:14" x14ac:dyDescent="0.2">
      <c r="A42" s="20">
        <v>21</v>
      </c>
      <c r="C42" s="150" t="s">
        <v>44</v>
      </c>
      <c r="D42" s="150"/>
      <c r="E42" s="146"/>
      <c r="F42" s="150"/>
      <c r="G42" s="171"/>
      <c r="H42" s="151">
        <v>200899.73363</v>
      </c>
      <c r="I42" s="151"/>
      <c r="J42" s="151">
        <f>L42-H42</f>
        <v>-68.116490000014892</v>
      </c>
      <c r="K42" s="150"/>
      <c r="L42" s="151">
        <v>200831.61713999999</v>
      </c>
      <c r="M42" s="26" t="e">
        <f>#REF!</f>
        <v>#REF!</v>
      </c>
      <c r="N42" s="173" t="s">
        <v>264</v>
      </c>
    </row>
    <row r="43" spans="1:14" x14ac:dyDescent="0.2">
      <c r="A43" s="20">
        <f>A42+1</f>
        <v>22</v>
      </c>
      <c r="C43" s="150" t="s">
        <v>137</v>
      </c>
      <c r="D43" s="150"/>
      <c r="E43" s="146"/>
      <c r="F43" s="150"/>
      <c r="G43" s="171"/>
      <c r="H43" s="174">
        <v>0</v>
      </c>
      <c r="I43" s="171"/>
      <c r="J43" s="174">
        <f>L43-H43</f>
        <v>20.69265</v>
      </c>
      <c r="K43" s="150"/>
      <c r="L43" s="174">
        <v>20.69265</v>
      </c>
      <c r="M43" s="26" t="e">
        <f>#REF!</f>
        <v>#REF!</v>
      </c>
      <c r="N43" s="173" t="s">
        <v>264</v>
      </c>
    </row>
    <row r="44" spans="1:14" x14ac:dyDescent="0.2">
      <c r="A44" s="20">
        <f t="shared" ref="A44:A46" si="0">A43+1</f>
        <v>23</v>
      </c>
      <c r="C44" s="150" t="s">
        <v>138</v>
      </c>
      <c r="D44" s="150"/>
      <c r="E44" s="146"/>
      <c r="F44" s="150"/>
      <c r="G44" s="171"/>
      <c r="H44" s="151">
        <f>H42-H43</f>
        <v>200899.73363</v>
      </c>
      <c r="I44" s="151"/>
      <c r="J44" s="151">
        <f>L44-H44</f>
        <v>-88.809140000026673</v>
      </c>
      <c r="K44" s="150"/>
      <c r="L44" s="151">
        <f>L42-L43</f>
        <v>200810.92448999998</v>
      </c>
      <c r="M44" s="26" t="e">
        <f t="shared" ref="M44" si="1">M42-M43</f>
        <v>#REF!</v>
      </c>
      <c r="N44" s="48"/>
    </row>
    <row r="45" spans="1:14" x14ac:dyDescent="0.2">
      <c r="A45" s="20">
        <f t="shared" si="0"/>
        <v>24</v>
      </c>
      <c r="C45" s="150" t="s">
        <v>139</v>
      </c>
      <c r="D45" s="150"/>
      <c r="E45" s="146"/>
      <c r="F45" s="150"/>
      <c r="G45" s="171"/>
      <c r="H45" s="174">
        <v>31851.226830428572</v>
      </c>
      <c r="I45" s="171"/>
      <c r="J45" s="174">
        <f>L45-H45</f>
        <v>-7.3833804285750375</v>
      </c>
      <c r="K45" s="150"/>
      <c r="L45" s="174">
        <v>31843.843449999997</v>
      </c>
      <c r="M45" s="26"/>
      <c r="N45" s="173" t="s">
        <v>264</v>
      </c>
    </row>
    <row r="46" spans="1:14" x14ac:dyDescent="0.2">
      <c r="A46" s="20">
        <f t="shared" si="0"/>
        <v>25</v>
      </c>
      <c r="C46" s="150" t="s">
        <v>140</v>
      </c>
      <c r="D46" s="150"/>
      <c r="E46" s="146"/>
      <c r="F46" s="150"/>
      <c r="G46" s="171"/>
      <c r="H46" s="151">
        <f>H44-H45</f>
        <v>169048.50679957142</v>
      </c>
      <c r="I46" s="151"/>
      <c r="J46" s="151">
        <f>L46-H46</f>
        <v>-81.425759571429808</v>
      </c>
      <c r="K46" s="150"/>
      <c r="L46" s="151">
        <f>L44-L45</f>
        <v>168967.08103999999</v>
      </c>
      <c r="M46" s="26"/>
      <c r="N46" s="48"/>
    </row>
    <row r="47" spans="1:14" x14ac:dyDescent="0.2">
      <c r="C47" s="150"/>
      <c r="D47" s="150"/>
      <c r="E47" s="146"/>
      <c r="F47" s="150"/>
      <c r="G47" s="171"/>
      <c r="H47" s="151"/>
      <c r="I47" s="151"/>
      <c r="J47" s="151"/>
      <c r="K47" s="150"/>
      <c r="L47" s="151"/>
      <c r="M47" s="26"/>
      <c r="N47" s="48"/>
    </row>
    <row r="48" spans="1:14" x14ac:dyDescent="0.2">
      <c r="A48" s="20">
        <f>A46+1</f>
        <v>26</v>
      </c>
      <c r="C48" s="150" t="s">
        <v>45</v>
      </c>
      <c r="D48" s="150"/>
      <c r="E48" s="146"/>
      <c r="F48" s="150"/>
      <c r="G48" s="171"/>
      <c r="H48" s="174">
        <v>172603.63763000001</v>
      </c>
      <c r="I48" s="171"/>
      <c r="J48" s="174">
        <f>L48-H48</f>
        <v>0</v>
      </c>
      <c r="K48" s="150"/>
      <c r="L48" s="174">
        <v>172603.63763000001</v>
      </c>
      <c r="M48" s="26" t="e">
        <f>#REF!</f>
        <v>#REF!</v>
      </c>
      <c r="N48" s="48"/>
    </row>
    <row r="49" spans="1:20" x14ac:dyDescent="0.2">
      <c r="A49" s="20">
        <f>A48+1</f>
        <v>27</v>
      </c>
      <c r="C49" s="150" t="s">
        <v>32</v>
      </c>
      <c r="D49" s="150"/>
      <c r="E49" s="146"/>
      <c r="F49" s="150"/>
      <c r="G49" s="171"/>
      <c r="H49" s="151">
        <f>(H48+H46)</f>
        <v>341652.14442957146</v>
      </c>
      <c r="I49" s="151"/>
      <c r="J49" s="151">
        <f>L49-H49</f>
        <v>-81.425759571488015</v>
      </c>
      <c r="K49" s="150"/>
      <c r="L49" s="151">
        <f>(L48+L46)</f>
        <v>341570.71866999997</v>
      </c>
      <c r="M49" s="26" t="e">
        <f>(M48+M44)</f>
        <v>#REF!</v>
      </c>
      <c r="N49" s="48"/>
    </row>
    <row r="50" spans="1:20" x14ac:dyDescent="0.2">
      <c r="C50" s="150"/>
      <c r="D50" s="150"/>
      <c r="E50" s="146"/>
      <c r="F50" s="150"/>
      <c r="G50" s="171"/>
      <c r="H50" s="151"/>
      <c r="I50" s="151"/>
      <c r="J50" s="151"/>
      <c r="K50" s="150"/>
      <c r="L50" s="151"/>
      <c r="M50" s="26"/>
      <c r="N50" s="48"/>
    </row>
    <row r="51" spans="1:20" x14ac:dyDescent="0.2">
      <c r="A51" s="20">
        <f>A49+1</f>
        <v>28</v>
      </c>
      <c r="C51" s="150" t="s">
        <v>46</v>
      </c>
      <c r="D51" s="150"/>
      <c r="E51" s="146"/>
      <c r="F51" s="150"/>
      <c r="G51" s="171"/>
      <c r="H51" s="174">
        <f>H49/2</f>
        <v>170826.07221478573</v>
      </c>
      <c r="I51" s="171"/>
      <c r="J51" s="174">
        <f>L51-H51</f>
        <v>-40.712879785744008</v>
      </c>
      <c r="K51" s="150"/>
      <c r="L51" s="174">
        <f>L49/2</f>
        <v>170785.35933499999</v>
      </c>
      <c r="M51" s="26" t="e">
        <f t="shared" ref="M51" si="2">M49/2</f>
        <v>#REF!</v>
      </c>
      <c r="N51" s="48"/>
    </row>
    <row r="52" spans="1:20" x14ac:dyDescent="0.2">
      <c r="C52" s="150"/>
      <c r="D52" s="150"/>
      <c r="E52" s="146"/>
      <c r="F52" s="150"/>
      <c r="G52" s="171"/>
      <c r="H52" s="151"/>
      <c r="I52" s="151"/>
      <c r="J52" s="151"/>
      <c r="K52" s="150"/>
      <c r="L52" s="151"/>
      <c r="M52" s="48"/>
      <c r="N52" s="48"/>
    </row>
    <row r="53" spans="1:20" ht="13.5" thickBot="1" x14ac:dyDescent="0.25">
      <c r="A53" s="20">
        <f>A51+1</f>
        <v>29</v>
      </c>
      <c r="C53" s="194" t="s">
        <v>51</v>
      </c>
      <c r="D53" s="150"/>
      <c r="E53" s="146" t="s">
        <v>87</v>
      </c>
      <c r="F53" s="150"/>
      <c r="G53" s="171"/>
      <c r="H53" s="195">
        <f>H38-H51</f>
        <v>274459.17052176455</v>
      </c>
      <c r="I53" s="171"/>
      <c r="J53" s="195">
        <f>L53-H53</f>
        <v>-1528.0284327164409</v>
      </c>
      <c r="K53" s="150"/>
      <c r="L53" s="195">
        <f>L38-L51</f>
        <v>272931.14208904811</v>
      </c>
      <c r="M53" s="48"/>
      <c r="N53" s="20" t="s">
        <v>265</v>
      </c>
    </row>
    <row r="54" spans="1:20" x14ac:dyDescent="0.2">
      <c r="C54" s="150"/>
      <c r="D54" s="150"/>
      <c r="E54" s="146"/>
      <c r="F54" s="150"/>
      <c r="G54" s="171"/>
      <c r="H54" s="151"/>
      <c r="I54" s="171"/>
      <c r="J54" s="171"/>
      <c r="K54" s="171"/>
      <c r="L54" s="151"/>
      <c r="T54" s="26"/>
    </row>
    <row r="55" spans="1:20" x14ac:dyDescent="0.2">
      <c r="C55" s="150" t="s">
        <v>189</v>
      </c>
      <c r="D55" s="150"/>
      <c r="E55" s="146"/>
      <c r="F55" s="150"/>
      <c r="G55" s="171"/>
      <c r="H55" s="151"/>
      <c r="I55" s="171"/>
      <c r="J55" s="171"/>
      <c r="K55" s="171"/>
      <c r="L55" s="151"/>
    </row>
    <row r="56" spans="1:20" x14ac:dyDescent="0.2">
      <c r="C56" s="150" t="s">
        <v>217</v>
      </c>
      <c r="D56" s="150"/>
      <c r="E56" s="146"/>
      <c r="F56" s="150"/>
      <c r="G56" s="172"/>
      <c r="H56" s="150"/>
      <c r="I56" s="172"/>
      <c r="J56" s="172"/>
      <c r="K56" s="172"/>
      <c r="L56" s="150"/>
    </row>
    <row r="57" spans="1:20" x14ac:dyDescent="0.2">
      <c r="C57" s="223"/>
      <c r="D57" s="223"/>
      <c r="E57" s="223"/>
      <c r="F57" s="223"/>
      <c r="G57" s="196"/>
      <c r="H57" s="149"/>
      <c r="I57" s="196"/>
      <c r="J57" s="196"/>
      <c r="K57" s="196"/>
      <c r="L57" s="149"/>
    </row>
    <row r="58" spans="1:20" ht="25.5" customHeight="1" x14ac:dyDescent="0.2">
      <c r="C58" s="224"/>
      <c r="D58" s="224"/>
      <c r="E58" s="224"/>
      <c r="F58" s="224"/>
      <c r="G58" s="224"/>
      <c r="H58" s="224"/>
      <c r="I58" s="224"/>
      <c r="J58" s="224"/>
      <c r="K58" s="224"/>
      <c r="L58" s="224"/>
    </row>
    <row r="59" spans="1:20" x14ac:dyDescent="0.2">
      <c r="C59" s="150"/>
      <c r="D59" s="150"/>
      <c r="E59" s="146"/>
      <c r="F59" s="150"/>
      <c r="G59" s="197"/>
      <c r="H59" s="197"/>
      <c r="I59" s="198"/>
      <c r="J59" s="198"/>
      <c r="K59" s="198"/>
      <c r="L59" s="197"/>
      <c r="M59" s="64"/>
    </row>
    <row r="60" spans="1:20" x14ac:dyDescent="0.2">
      <c r="C60" s="150"/>
      <c r="D60" s="150"/>
      <c r="E60" s="146"/>
      <c r="F60" s="150"/>
      <c r="G60" s="172"/>
      <c r="H60" s="197"/>
      <c r="I60" s="172"/>
      <c r="J60" s="172"/>
      <c r="K60" s="172"/>
      <c r="L60" s="197"/>
    </row>
    <row r="61" spans="1:20" x14ac:dyDescent="0.2">
      <c r="C61" s="150"/>
      <c r="D61" s="150"/>
      <c r="E61" s="146"/>
      <c r="F61" s="150"/>
      <c r="G61" s="172"/>
      <c r="H61" s="197"/>
      <c r="I61" s="172"/>
      <c r="J61" s="172"/>
      <c r="K61" s="172"/>
      <c r="L61" s="197"/>
    </row>
    <row r="62" spans="1:20" x14ac:dyDescent="0.2">
      <c r="C62" s="150"/>
      <c r="D62" s="150"/>
      <c r="E62" s="146"/>
      <c r="F62" s="150"/>
      <c r="G62" s="172"/>
      <c r="H62" s="150"/>
      <c r="I62" s="172"/>
      <c r="J62" s="172"/>
      <c r="K62" s="172"/>
      <c r="L62" s="150"/>
    </row>
    <row r="63" spans="1:20" x14ac:dyDescent="0.2">
      <c r="C63" s="150"/>
      <c r="D63" s="150"/>
      <c r="E63" s="146"/>
      <c r="F63" s="150"/>
      <c r="G63" s="172"/>
      <c r="H63" s="150"/>
      <c r="I63" s="172"/>
      <c r="J63" s="172"/>
      <c r="K63" s="172"/>
      <c r="L63" s="150"/>
    </row>
    <row r="64" spans="1:20" x14ac:dyDescent="0.2">
      <c r="C64" s="150"/>
      <c r="D64" s="150"/>
      <c r="E64" s="146"/>
      <c r="F64" s="150"/>
      <c r="G64" s="172"/>
      <c r="H64" s="150"/>
      <c r="I64" s="172"/>
      <c r="J64" s="172"/>
      <c r="K64" s="172"/>
      <c r="L64" s="197"/>
    </row>
    <row r="65" spans="3:13" x14ac:dyDescent="0.2">
      <c r="C65" s="150"/>
      <c r="D65" s="150"/>
      <c r="E65" s="146"/>
      <c r="F65" s="150"/>
      <c r="G65" s="197"/>
      <c r="H65" s="197"/>
      <c r="I65" s="197"/>
      <c r="J65" s="197"/>
      <c r="K65" s="197"/>
      <c r="L65" s="197"/>
    </row>
    <row r="66" spans="3:13" x14ac:dyDescent="0.2">
      <c r="G66" s="64"/>
      <c r="H66" s="64"/>
      <c r="I66" s="64"/>
      <c r="J66" s="64"/>
      <c r="K66" s="64"/>
      <c r="L66" s="64"/>
      <c r="M66" s="64"/>
    </row>
    <row r="71" spans="3:13" x14ac:dyDescent="0.2">
      <c r="H71" s="64"/>
      <c r="I71" s="64"/>
      <c r="J71" s="64"/>
      <c r="K71" s="64"/>
      <c r="L71" s="64"/>
    </row>
    <row r="72" spans="3:13" x14ac:dyDescent="0.2">
      <c r="H72" s="64"/>
      <c r="I72" s="64"/>
      <c r="J72" s="64"/>
      <c r="K72" s="64"/>
      <c r="L72" s="64"/>
    </row>
    <row r="73" spans="3:13" x14ac:dyDescent="0.2">
      <c r="H73" s="64"/>
      <c r="I73" s="64"/>
      <c r="J73" s="64"/>
      <c r="K73" s="64"/>
      <c r="L73" s="64"/>
    </row>
    <row r="74" spans="3:13" x14ac:dyDescent="0.2">
      <c r="H74" s="64"/>
      <c r="I74" s="64"/>
      <c r="J74" s="64"/>
      <c r="K74" s="64"/>
      <c r="L74" s="64"/>
    </row>
  </sheetData>
  <mergeCells count="3">
    <mergeCell ref="C57:F57"/>
    <mergeCell ref="C58:L58"/>
    <mergeCell ref="H6:L6"/>
  </mergeCells>
  <phoneticPr fontId="0" type="noConversion"/>
  <printOptions horizontalCentered="1"/>
  <pageMargins left="0.55118110236220474" right="0.31496062992125984" top="0.51181102362204722" bottom="0.51181102362204722" header="0.51181102362204722" footer="0.51181102362204722"/>
  <pageSetup scale="61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I1" sqref="I1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27.5703125" style="20" customWidth="1"/>
    <col min="4" max="4" width="1.85546875" style="20" customWidth="1"/>
    <col min="5" max="5" width="9.140625" style="44"/>
    <col min="6" max="6" width="1.85546875" style="20" customWidth="1"/>
    <col min="7" max="7" width="11.28515625" style="20" customWidth="1"/>
    <col min="8" max="8" width="2.140625" style="20" customWidth="1"/>
    <col min="9" max="9" width="11.28515625" style="20" customWidth="1"/>
    <col min="10" max="10" width="2.28515625" style="48" customWidth="1"/>
    <col min="11" max="11" width="12.7109375" style="20" customWidth="1"/>
    <col min="12" max="12" width="1.85546875" style="20" customWidth="1"/>
    <col min="13" max="13" width="50.85546875" style="20" customWidth="1"/>
    <col min="14" max="16384" width="9.140625" style="20"/>
  </cols>
  <sheetData>
    <row r="1" spans="1:13" ht="15.75" x14ac:dyDescent="0.25">
      <c r="C1" s="158" t="s">
        <v>233</v>
      </c>
      <c r="D1" s="159"/>
      <c r="E1" s="159"/>
      <c r="F1" s="159"/>
      <c r="G1" s="160"/>
      <c r="H1" s="160"/>
      <c r="I1" s="160"/>
      <c r="J1" s="160"/>
      <c r="K1" s="159"/>
      <c r="M1" s="75" t="s">
        <v>6</v>
      </c>
    </row>
    <row r="2" spans="1:13" ht="15" x14ac:dyDescent="0.25">
      <c r="C2" s="163" t="s">
        <v>7</v>
      </c>
      <c r="D2" s="159"/>
      <c r="E2" s="164"/>
      <c r="F2" s="164"/>
      <c r="G2" s="160"/>
      <c r="H2" s="160"/>
      <c r="I2" s="160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60"/>
      <c r="H3" s="160"/>
      <c r="I3" s="160"/>
      <c r="J3" s="160"/>
      <c r="K3" s="159"/>
    </row>
    <row r="6" spans="1:13" s="44" customFormat="1" x14ac:dyDescent="0.2">
      <c r="G6" s="225">
        <v>2017</v>
      </c>
      <c r="H6" s="225"/>
      <c r="I6" s="225"/>
      <c r="J6" s="225"/>
      <c r="K6" s="225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9" spans="1:13" x14ac:dyDescent="0.2">
      <c r="A9" s="150">
        <v>1</v>
      </c>
      <c r="B9" s="150"/>
      <c r="C9" s="150" t="s">
        <v>53</v>
      </c>
      <c r="D9" s="150"/>
      <c r="E9" s="146" t="s">
        <v>82</v>
      </c>
      <c r="F9" s="150"/>
      <c r="G9" s="151">
        <v>23362.874753166569</v>
      </c>
      <c r="H9" s="52"/>
      <c r="I9" s="151">
        <f>K9-G9</f>
        <v>473.06719791308933</v>
      </c>
      <c r="J9" s="20"/>
      <c r="K9" s="151">
        <v>23835.941951079658</v>
      </c>
      <c r="L9" s="52"/>
      <c r="M9" s="117" t="s">
        <v>259</v>
      </c>
    </row>
    <row r="10" spans="1:13" x14ac:dyDescent="0.2">
      <c r="A10" s="20">
        <v>2</v>
      </c>
      <c r="C10" s="20" t="s">
        <v>54</v>
      </c>
      <c r="E10" s="44" t="s">
        <v>83</v>
      </c>
      <c r="G10" s="52">
        <v>695.56769535040007</v>
      </c>
      <c r="H10" s="52"/>
      <c r="I10" s="52">
        <f>K10-G10</f>
        <v>-2.7816778170665657</v>
      </c>
      <c r="J10" s="20"/>
      <c r="K10" s="52">
        <v>692.78601753333351</v>
      </c>
      <c r="L10" s="52"/>
      <c r="M10" s="117" t="s">
        <v>259</v>
      </c>
    </row>
    <row r="11" spans="1:13" x14ac:dyDescent="0.2">
      <c r="A11" s="20">
        <v>3</v>
      </c>
      <c r="C11" s="20" t="s">
        <v>55</v>
      </c>
      <c r="G11" s="42">
        <v>-95.999999999999957</v>
      </c>
      <c r="H11" s="52"/>
      <c r="I11" s="42">
        <f>K11-G11</f>
        <v>0.49427999999996075</v>
      </c>
      <c r="J11" s="20"/>
      <c r="K11" s="42">
        <v>-95.505719999999997</v>
      </c>
      <c r="L11" s="52"/>
    </row>
    <row r="12" spans="1:13" x14ac:dyDescent="0.2">
      <c r="G12" s="52"/>
      <c r="H12" s="52"/>
      <c r="I12" s="52"/>
      <c r="J12" s="20"/>
      <c r="K12" s="52"/>
      <c r="L12" s="52"/>
    </row>
    <row r="13" spans="1:13" x14ac:dyDescent="0.2">
      <c r="A13" s="20">
        <v>4</v>
      </c>
      <c r="C13" s="20" t="s">
        <v>57</v>
      </c>
      <c r="G13" s="52">
        <f>SUM(G9:G11)</f>
        <v>23962.442448516969</v>
      </c>
      <c r="H13" s="52"/>
      <c r="I13" s="52">
        <f>K13-G13</f>
        <v>470.77980009602106</v>
      </c>
      <c r="J13" s="20"/>
      <c r="K13" s="52">
        <f>SUM(K9:K11)</f>
        <v>24433.22224861299</v>
      </c>
      <c r="M13" s="20" t="s">
        <v>265</v>
      </c>
    </row>
    <row r="14" spans="1:13" x14ac:dyDescent="0.2">
      <c r="G14" s="77"/>
      <c r="H14" s="77"/>
      <c r="I14" s="77"/>
      <c r="J14" s="20"/>
      <c r="K14" s="77"/>
    </row>
    <row r="15" spans="1:13" x14ac:dyDescent="0.2">
      <c r="A15" s="20">
        <v>5</v>
      </c>
      <c r="C15" s="20" t="s">
        <v>194</v>
      </c>
      <c r="G15" s="77">
        <f>G13*27/365</f>
        <v>1772.5642359176938</v>
      </c>
      <c r="H15" s="77"/>
      <c r="I15" s="77">
        <f>K15-G15</f>
        <v>34.824807130390354</v>
      </c>
      <c r="J15" s="20"/>
      <c r="K15" s="77">
        <f>K13*27/365</f>
        <v>1807.3890430480842</v>
      </c>
      <c r="M15" s="20" t="s">
        <v>265</v>
      </c>
    </row>
    <row r="16" spans="1:13" x14ac:dyDescent="0.2">
      <c r="G16" s="52"/>
      <c r="H16" s="52"/>
      <c r="I16" s="52"/>
      <c r="J16" s="20"/>
      <c r="K16" s="52"/>
      <c r="L16" s="52"/>
    </row>
    <row r="17" spans="1:13" x14ac:dyDescent="0.2">
      <c r="A17" s="20">
        <v>6</v>
      </c>
      <c r="C17" s="20" t="s">
        <v>211</v>
      </c>
      <c r="G17" s="52">
        <v>3603.4687933333335</v>
      </c>
      <c r="H17" s="52"/>
      <c r="I17" s="52">
        <f>K17-G17</f>
        <v>61.607216666665863</v>
      </c>
      <c r="J17" s="20"/>
      <c r="K17" s="52">
        <v>3665.0760099999993</v>
      </c>
      <c r="L17" s="52"/>
      <c r="M17" s="117" t="s">
        <v>259</v>
      </c>
    </row>
    <row r="18" spans="1:13" x14ac:dyDescent="0.2">
      <c r="G18" s="52"/>
      <c r="H18" s="52"/>
      <c r="I18" s="52"/>
      <c r="J18" s="20"/>
      <c r="K18" s="52"/>
      <c r="L18" s="52"/>
    </row>
    <row r="19" spans="1:13" x14ac:dyDescent="0.2">
      <c r="A19" s="20">
        <v>7</v>
      </c>
      <c r="C19" s="20" t="s">
        <v>56</v>
      </c>
      <c r="E19" s="44" t="s">
        <v>58</v>
      </c>
      <c r="G19" s="42">
        <v>-176</v>
      </c>
      <c r="H19" s="26"/>
      <c r="I19" s="42">
        <f>K19-G19</f>
        <v>-6</v>
      </c>
      <c r="J19" s="20"/>
      <c r="K19" s="42">
        <v>-182</v>
      </c>
      <c r="L19" s="26">
        <f>'Schedule 2A'!L30</f>
        <v>0</v>
      </c>
      <c r="M19" s="20" t="s">
        <v>265</v>
      </c>
    </row>
    <row r="20" spans="1:13" x14ac:dyDescent="0.2">
      <c r="G20" s="52"/>
      <c r="H20" s="52"/>
      <c r="I20" s="52"/>
      <c r="J20" s="20"/>
      <c r="K20" s="52"/>
      <c r="L20" s="52"/>
    </row>
    <row r="21" spans="1:13" ht="13.5" thickBot="1" x14ac:dyDescent="0.25">
      <c r="A21" s="20">
        <v>8</v>
      </c>
      <c r="C21" s="20" t="s">
        <v>48</v>
      </c>
      <c r="E21" s="44" t="s">
        <v>192</v>
      </c>
      <c r="G21" s="80">
        <f>G15+G17+G19</f>
        <v>5200.0330292510271</v>
      </c>
      <c r="H21" s="78"/>
      <c r="I21" s="80">
        <f>K21-G21</f>
        <v>90.43202379705599</v>
      </c>
      <c r="J21" s="20"/>
      <c r="K21" s="80">
        <f>K15+K17+K19</f>
        <v>5290.4650530480831</v>
      </c>
      <c r="M21" s="20" t="s">
        <v>265</v>
      </c>
    </row>
    <row r="22" spans="1:13" x14ac:dyDescent="0.2">
      <c r="G22" s="52"/>
      <c r="H22" s="52"/>
      <c r="I22" s="52"/>
      <c r="J22" s="26"/>
      <c r="K22" s="52"/>
      <c r="L22" s="52"/>
    </row>
    <row r="23" spans="1:13" x14ac:dyDescent="0.2">
      <c r="C23" s="79" t="s">
        <v>134</v>
      </c>
      <c r="G23" s="52"/>
      <c r="H23" s="52"/>
      <c r="I23" s="52"/>
      <c r="J23" s="26"/>
      <c r="K23" s="52"/>
      <c r="L23" s="52"/>
    </row>
    <row r="25" spans="1:13" x14ac:dyDescent="0.2">
      <c r="E25" s="21"/>
      <c r="F25" s="16"/>
      <c r="G25" s="81"/>
      <c r="H25" s="81"/>
      <c r="I25" s="81"/>
      <c r="J25" s="82"/>
      <c r="K25" s="81"/>
      <c r="L25" s="81">
        <f>L19-'Schedule 2A'!L30</f>
        <v>0</v>
      </c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M30"/>
  <sheetViews>
    <sheetView view="pageBreakPreview" zoomScale="130" zoomScaleSheetLayoutView="130" workbookViewId="0">
      <selection activeCell="G6" sqref="G6:K6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28515625" style="7" customWidth="1"/>
    <col min="4" max="4" width="1.85546875" style="7" customWidth="1"/>
    <col min="5" max="5" width="9.140625" style="7"/>
    <col min="6" max="6" width="1.85546875" style="7" customWidth="1"/>
    <col min="7" max="7" width="11" style="7" customWidth="1"/>
    <col min="8" max="8" width="2.42578125" style="7" customWidth="1"/>
    <col min="9" max="9" width="11" style="7" customWidth="1"/>
    <col min="10" max="10" width="2.140625" style="7" customWidth="1"/>
    <col min="11" max="11" width="11" style="7" customWidth="1"/>
    <col min="12" max="12" width="1.85546875" style="7" customWidth="1"/>
    <col min="13" max="13" width="34.5703125" style="7" customWidth="1"/>
    <col min="14" max="16384" width="9.140625" style="7"/>
  </cols>
  <sheetData>
    <row r="1" spans="1:13" ht="15.75" x14ac:dyDescent="0.25">
      <c r="C1" s="158" t="s">
        <v>233</v>
      </c>
      <c r="D1" s="165"/>
      <c r="E1" s="165"/>
      <c r="F1" s="165"/>
      <c r="G1" s="165"/>
      <c r="H1" s="165"/>
      <c r="I1" s="165"/>
      <c r="J1" s="165"/>
      <c r="K1" s="165"/>
      <c r="M1" s="8" t="s">
        <v>9</v>
      </c>
    </row>
    <row r="2" spans="1:13" x14ac:dyDescent="0.2">
      <c r="C2" s="161" t="s">
        <v>8</v>
      </c>
      <c r="D2" s="165"/>
      <c r="E2" s="165"/>
      <c r="F2" s="165"/>
      <c r="G2" s="165"/>
      <c r="H2" s="165"/>
      <c r="I2" s="165"/>
      <c r="J2" s="165"/>
      <c r="K2" s="165"/>
      <c r="M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65"/>
      <c r="H3" s="165"/>
      <c r="I3" s="165"/>
      <c r="J3" s="165"/>
      <c r="K3" s="165"/>
    </row>
    <row r="6" spans="1:13" s="17" customFormat="1" x14ac:dyDescent="0.2">
      <c r="G6" s="225">
        <v>2017</v>
      </c>
      <c r="H6" s="225"/>
      <c r="I6" s="225"/>
      <c r="J6" s="225"/>
      <c r="K6" s="225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9" spans="1:13" x14ac:dyDescent="0.2">
      <c r="A9" s="176">
        <v>1</v>
      </c>
      <c r="B9" s="176"/>
      <c r="C9" s="176" t="s">
        <v>59</v>
      </c>
      <c r="D9" s="176"/>
      <c r="E9" s="176"/>
      <c r="F9" s="176"/>
      <c r="G9" s="177">
        <v>29574.574132744579</v>
      </c>
      <c r="H9" s="84"/>
      <c r="I9" s="177">
        <f>K9-G9</f>
        <v>-1273.290157411313</v>
      </c>
      <c r="K9" s="177">
        <v>28301.283975333266</v>
      </c>
      <c r="L9" s="84"/>
      <c r="M9" s="117" t="s">
        <v>259</v>
      </c>
    </row>
    <row r="11" spans="1:13" x14ac:dyDescent="0.2">
      <c r="A11" s="7">
        <v>2</v>
      </c>
      <c r="C11" s="7" t="s">
        <v>60</v>
      </c>
      <c r="G11" s="175">
        <v>0.05</v>
      </c>
      <c r="H11" s="87"/>
      <c r="I11" s="175">
        <f>K11-G11</f>
        <v>0</v>
      </c>
      <c r="K11" s="175">
        <v>0.05</v>
      </c>
    </row>
    <row r="13" spans="1:13" x14ac:dyDescent="0.2">
      <c r="A13" s="7">
        <v>3</v>
      </c>
      <c r="C13" s="7" t="s">
        <v>61</v>
      </c>
      <c r="G13" s="83">
        <f>G11*G9</f>
        <v>1478.7287066372292</v>
      </c>
      <c r="H13" s="83"/>
      <c r="I13" s="83">
        <f>K13-G13</f>
        <v>-63.664507870565785</v>
      </c>
      <c r="K13" s="83">
        <f>K11*K9</f>
        <v>1415.0641987666634</v>
      </c>
      <c r="L13" s="83">
        <f t="shared" ref="L13" si="0">L11*L9</f>
        <v>0</v>
      </c>
      <c r="M13" s="20" t="s">
        <v>265</v>
      </c>
    </row>
    <row r="15" spans="1:13" x14ac:dyDescent="0.2">
      <c r="A15" s="7">
        <v>4</v>
      </c>
      <c r="C15" s="7" t="s">
        <v>62</v>
      </c>
      <c r="G15" s="89">
        <v>14</v>
      </c>
      <c r="H15" s="88"/>
      <c r="I15" s="89">
        <f>K15-G15</f>
        <v>0</v>
      </c>
      <c r="K15" s="89">
        <v>14</v>
      </c>
    </row>
    <row r="17" spans="1:13" x14ac:dyDescent="0.2">
      <c r="A17" s="7">
        <v>5</v>
      </c>
      <c r="C17" s="7" t="s">
        <v>63</v>
      </c>
      <c r="G17" s="89">
        <f>ROUND(G13*G15/365,0)</f>
        <v>57</v>
      </c>
      <c r="H17" s="88"/>
      <c r="I17" s="89">
        <f>K17-G17</f>
        <v>-3</v>
      </c>
      <c r="K17" s="89">
        <f>ROUND(K13*K15/365,0)</f>
        <v>54</v>
      </c>
      <c r="M17" s="20" t="s">
        <v>265</v>
      </c>
    </row>
    <row r="20" spans="1:13" x14ac:dyDescent="0.2">
      <c r="A20" s="176">
        <v>6</v>
      </c>
      <c r="B20" s="176"/>
      <c r="C20" s="176" t="s">
        <v>64</v>
      </c>
      <c r="D20" s="176"/>
      <c r="E20" s="176"/>
      <c r="F20" s="176"/>
      <c r="G20" s="178">
        <v>48543.914055009394</v>
      </c>
      <c r="H20" s="83"/>
      <c r="I20" s="178">
        <f>K20-G20</f>
        <v>657.73389736834361</v>
      </c>
      <c r="K20" s="177">
        <v>49201.647952377738</v>
      </c>
      <c r="L20" s="83"/>
      <c r="M20" s="117" t="s">
        <v>259</v>
      </c>
    </row>
    <row r="21" spans="1:13" x14ac:dyDescent="0.2">
      <c r="G21" s="11"/>
      <c r="H21" s="11"/>
      <c r="I21" s="11"/>
      <c r="K21" s="11"/>
      <c r="L21" s="11"/>
    </row>
    <row r="22" spans="1:13" x14ac:dyDescent="0.2">
      <c r="A22" s="7">
        <v>7</v>
      </c>
      <c r="C22" s="7" t="s">
        <v>207</v>
      </c>
      <c r="G22" s="175">
        <v>0.05</v>
      </c>
      <c r="H22" s="87"/>
      <c r="I22" s="175">
        <f>K22-G22</f>
        <v>0</v>
      </c>
      <c r="K22" s="175">
        <v>0.05</v>
      </c>
      <c r="L22" s="87"/>
    </row>
    <row r="23" spans="1:13" x14ac:dyDescent="0.2">
      <c r="L23" s="11"/>
    </row>
    <row r="24" spans="1:13" x14ac:dyDescent="0.2">
      <c r="A24" s="7">
        <v>8</v>
      </c>
      <c r="C24" s="7" t="s">
        <v>65</v>
      </c>
      <c r="G24" s="83">
        <f>G22*G20</f>
        <v>2427.19570275047</v>
      </c>
      <c r="H24" s="83"/>
      <c r="I24" s="83">
        <f>K24-G24</f>
        <v>32.88669486841718</v>
      </c>
      <c r="K24" s="83">
        <f>K22*K20</f>
        <v>2460.0823976188872</v>
      </c>
      <c r="L24" s="83">
        <f t="shared" ref="L24" si="1">L22*L20</f>
        <v>0</v>
      </c>
      <c r="M24" s="20" t="s">
        <v>265</v>
      </c>
    </row>
    <row r="26" spans="1:13" x14ac:dyDescent="0.2">
      <c r="A26" s="7">
        <v>9</v>
      </c>
      <c r="C26" s="7" t="s">
        <v>66</v>
      </c>
      <c r="F26" s="7" t="s">
        <v>134</v>
      </c>
      <c r="G26" s="89">
        <v>35</v>
      </c>
      <c r="H26" s="88"/>
      <c r="I26" s="89">
        <f>K26-G26</f>
        <v>0</v>
      </c>
      <c r="K26" s="89">
        <v>35</v>
      </c>
    </row>
    <row r="28" spans="1:13" x14ac:dyDescent="0.2">
      <c r="A28" s="7">
        <v>10</v>
      </c>
      <c r="C28" s="7" t="s">
        <v>67</v>
      </c>
      <c r="G28" s="89">
        <f>ROUND(G24*G26/365,0)</f>
        <v>233</v>
      </c>
      <c r="H28" s="88"/>
      <c r="I28" s="89">
        <f>K28-G28</f>
        <v>3</v>
      </c>
      <c r="K28" s="89">
        <f>ROUND(K24*K26/365,0)</f>
        <v>236</v>
      </c>
      <c r="M28" s="20" t="s">
        <v>265</v>
      </c>
    </row>
    <row r="30" spans="1:13" ht="13.5" thickBot="1" x14ac:dyDescent="0.25">
      <c r="A30" s="7">
        <v>11</v>
      </c>
      <c r="C30" s="7" t="s">
        <v>68</v>
      </c>
      <c r="E30" s="7" t="s">
        <v>193</v>
      </c>
      <c r="G30" s="90">
        <f>G17-G28</f>
        <v>-176</v>
      </c>
      <c r="H30" s="85"/>
      <c r="I30" s="90">
        <f>K30-G30</f>
        <v>-6</v>
      </c>
      <c r="K30" s="90">
        <f>K17-K28</f>
        <v>-182</v>
      </c>
      <c r="M30" s="20" t="s">
        <v>265</v>
      </c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M57"/>
  <sheetViews>
    <sheetView view="pageBreakPreview" zoomScaleSheetLayoutView="100" workbookViewId="0">
      <selection activeCell="M27" sqref="M27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43.85546875" style="20" customWidth="1"/>
    <col min="4" max="4" width="1.85546875" style="20" customWidth="1"/>
    <col min="5" max="5" width="9.140625" style="44" customWidth="1"/>
    <col min="6" max="6" width="1.42578125" style="48" customWidth="1"/>
    <col min="7" max="7" width="12" style="20" customWidth="1"/>
    <col min="8" max="8" width="2.28515625" style="20" customWidth="1"/>
    <col min="9" max="9" width="12" style="20" customWidth="1"/>
    <col min="10" max="10" width="2" style="48" customWidth="1"/>
    <col min="11" max="11" width="12" style="20" customWidth="1"/>
    <col min="12" max="12" width="1.85546875" style="20" customWidth="1"/>
    <col min="13" max="13" width="53.28515625" style="20" customWidth="1"/>
    <col min="14" max="16384" width="9.140625" style="20"/>
  </cols>
  <sheetData>
    <row r="1" spans="1:13" ht="15.75" x14ac:dyDescent="0.25">
      <c r="C1" s="158" t="s">
        <v>233</v>
      </c>
      <c r="D1" s="159"/>
      <c r="E1" s="159"/>
      <c r="F1" s="160"/>
      <c r="G1" s="160"/>
      <c r="H1" s="160"/>
      <c r="I1" s="160"/>
      <c r="J1" s="160"/>
      <c r="K1" s="159"/>
      <c r="M1" s="75" t="s">
        <v>10</v>
      </c>
    </row>
    <row r="2" spans="1:13" x14ac:dyDescent="0.2">
      <c r="C2" s="161" t="s">
        <v>11</v>
      </c>
      <c r="D2" s="159"/>
      <c r="E2" s="159"/>
      <c r="F2" s="160"/>
      <c r="G2" s="160"/>
      <c r="H2" s="160"/>
      <c r="I2" s="160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60"/>
      <c r="G3" s="160"/>
      <c r="H3" s="160"/>
      <c r="I3" s="160"/>
      <c r="J3" s="160"/>
      <c r="K3" s="159"/>
    </row>
    <row r="6" spans="1:13" s="44" customFormat="1" x14ac:dyDescent="0.2">
      <c r="E6" s="44" t="s">
        <v>134</v>
      </c>
      <c r="F6" s="71"/>
      <c r="G6" s="225">
        <v>2017</v>
      </c>
      <c r="H6" s="225"/>
      <c r="I6" s="225"/>
      <c r="J6" s="225"/>
      <c r="K6" s="225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F7" s="25"/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9" spans="1:13" x14ac:dyDescent="0.2">
      <c r="A9" s="20">
        <v>1</v>
      </c>
      <c r="C9" s="16" t="s">
        <v>36</v>
      </c>
    </row>
    <row r="11" spans="1:13" x14ac:dyDescent="0.2">
      <c r="A11" s="20">
        <v>2</v>
      </c>
      <c r="C11" s="20" t="s">
        <v>69</v>
      </c>
      <c r="F11" s="26"/>
      <c r="G11" s="52">
        <v>589387.23499999999</v>
      </c>
      <c r="H11" s="52"/>
      <c r="I11" s="52">
        <f>K11-G11</f>
        <v>0</v>
      </c>
      <c r="J11" s="20"/>
      <c r="K11" s="52">
        <v>589387.23499999999</v>
      </c>
      <c r="L11" s="36"/>
    </row>
    <row r="12" spans="1:13" x14ac:dyDescent="0.2">
      <c r="A12" s="20">
        <v>3</v>
      </c>
      <c r="C12" s="20" t="s">
        <v>263</v>
      </c>
      <c r="F12" s="26"/>
      <c r="G12" s="52">
        <v>14492.028779999971</v>
      </c>
      <c r="H12" s="52"/>
      <c r="I12" s="52">
        <f>K12-G12</f>
        <v>-4694.2653699999737</v>
      </c>
      <c r="J12" s="20"/>
      <c r="K12" s="52">
        <v>9797.7634099999977</v>
      </c>
      <c r="L12" s="36"/>
      <c r="M12" s="20" t="s">
        <v>259</v>
      </c>
    </row>
    <row r="13" spans="1:13" x14ac:dyDescent="0.2">
      <c r="A13" s="20">
        <v>4</v>
      </c>
      <c r="C13" s="20" t="s">
        <v>165</v>
      </c>
      <c r="F13" s="26"/>
      <c r="G13" s="62">
        <v>0</v>
      </c>
      <c r="H13" s="63"/>
      <c r="I13" s="62"/>
      <c r="J13" s="20"/>
      <c r="K13" s="62">
        <v>-428.67182999999994</v>
      </c>
      <c r="L13" s="36"/>
      <c r="M13" s="20" t="s">
        <v>259</v>
      </c>
    </row>
    <row r="14" spans="1:13" x14ac:dyDescent="0.2">
      <c r="F14" s="26"/>
      <c r="G14" s="52"/>
      <c r="H14" s="52"/>
      <c r="I14" s="52"/>
      <c r="J14" s="20"/>
      <c r="K14" s="52"/>
    </row>
    <row r="15" spans="1:13" ht="25.5" x14ac:dyDescent="0.2">
      <c r="A15" s="20">
        <v>5</v>
      </c>
      <c r="C15" s="20" t="s">
        <v>70</v>
      </c>
      <c r="E15" s="44" t="s">
        <v>79</v>
      </c>
      <c r="F15" s="26"/>
      <c r="G15" s="52">
        <f>G11+G12+G13</f>
        <v>603879.26377999992</v>
      </c>
      <c r="H15" s="52"/>
      <c r="I15" s="52">
        <f>K15-G15</f>
        <v>-5122.9371999999275</v>
      </c>
      <c r="J15" s="20"/>
      <c r="K15" s="52">
        <f>K11+K12+K13</f>
        <v>598756.32657999999</v>
      </c>
      <c r="L15" s="36"/>
      <c r="M15" s="173" t="s">
        <v>269</v>
      </c>
    </row>
    <row r="16" spans="1:13" x14ac:dyDescent="0.2">
      <c r="J16" s="20"/>
    </row>
    <row r="17" spans="1:13" x14ac:dyDescent="0.2">
      <c r="A17" s="20">
        <v>6</v>
      </c>
      <c r="C17" s="16" t="s">
        <v>185</v>
      </c>
      <c r="J17" s="20"/>
    </row>
    <row r="18" spans="1:13" x14ac:dyDescent="0.2">
      <c r="J18" s="20"/>
    </row>
    <row r="19" spans="1:13" x14ac:dyDescent="0.2">
      <c r="A19" s="20">
        <v>7</v>
      </c>
      <c r="C19" s="20" t="s">
        <v>69</v>
      </c>
      <c r="F19" s="26"/>
      <c r="G19" s="52">
        <v>144702.619595</v>
      </c>
      <c r="H19" s="52"/>
      <c r="I19" s="52">
        <f>K19-G19</f>
        <v>0</v>
      </c>
      <c r="J19" s="20"/>
      <c r="K19" s="52">
        <v>144702.619595</v>
      </c>
    </row>
    <row r="20" spans="1:13" x14ac:dyDescent="0.2">
      <c r="A20" s="20">
        <v>8</v>
      </c>
      <c r="C20" s="20" t="s">
        <v>71</v>
      </c>
      <c r="E20" s="44" t="s">
        <v>89</v>
      </c>
      <c r="F20" s="26"/>
      <c r="G20" s="52">
        <v>12105.161041401509</v>
      </c>
      <c r="H20" s="52"/>
      <c r="I20" s="52">
        <f>K20-G20</f>
        <v>162.42408859849093</v>
      </c>
      <c r="J20" s="20"/>
      <c r="K20" s="52">
        <v>12267.585129999999</v>
      </c>
      <c r="M20" s="20" t="s">
        <v>259</v>
      </c>
    </row>
    <row r="21" spans="1:13" x14ac:dyDescent="0.2">
      <c r="A21" s="20">
        <v>9</v>
      </c>
      <c r="C21" s="20" t="s">
        <v>165</v>
      </c>
      <c r="F21" s="26"/>
      <c r="G21" s="42">
        <v>-1.5826800000000001</v>
      </c>
      <c r="H21" s="26"/>
      <c r="I21" s="42"/>
      <c r="J21" s="20"/>
      <c r="K21" s="42">
        <v>-1808.4628599999999</v>
      </c>
    </row>
    <row r="22" spans="1:13" x14ac:dyDescent="0.2">
      <c r="F22" s="26"/>
      <c r="G22" s="52"/>
      <c r="H22" s="52"/>
      <c r="I22" s="52"/>
      <c r="J22" s="20"/>
      <c r="K22" s="52"/>
    </row>
    <row r="23" spans="1:13" x14ac:dyDescent="0.2">
      <c r="A23" s="20">
        <v>10</v>
      </c>
      <c r="C23" s="20" t="s">
        <v>70</v>
      </c>
      <c r="F23" s="65"/>
      <c r="G23" s="64">
        <v>156806.19795640151</v>
      </c>
      <c r="H23" s="64"/>
      <c r="I23" s="64">
        <f>K23-G23</f>
        <v>-1644.4560914014874</v>
      </c>
      <c r="J23" s="20"/>
      <c r="K23" s="64">
        <v>155161.74186500002</v>
      </c>
    </row>
    <row r="24" spans="1:13" x14ac:dyDescent="0.2">
      <c r="F24" s="65"/>
      <c r="G24" s="64"/>
      <c r="H24" s="64"/>
      <c r="I24" s="64"/>
      <c r="J24" s="20"/>
      <c r="K24" s="64"/>
    </row>
    <row r="25" spans="1:13" x14ac:dyDescent="0.2">
      <c r="C25" s="20" t="s">
        <v>38</v>
      </c>
      <c r="J25" s="20"/>
    </row>
    <row r="26" spans="1:13" x14ac:dyDescent="0.2">
      <c r="A26" s="20">
        <v>11</v>
      </c>
      <c r="C26" s="20" t="s">
        <v>52</v>
      </c>
      <c r="E26" s="44" t="s">
        <v>80</v>
      </c>
      <c r="F26" s="26"/>
      <c r="G26" s="52">
        <v>4358.0240199999989</v>
      </c>
      <c r="H26" s="52"/>
      <c r="I26" s="52">
        <f>K26-G26</f>
        <v>418.3825700000034</v>
      </c>
      <c r="J26" s="20"/>
      <c r="K26" s="52">
        <v>4776.4065900000023</v>
      </c>
      <c r="M26" s="20" t="s">
        <v>259</v>
      </c>
    </row>
    <row r="27" spans="1:13" ht="25.5" x14ac:dyDescent="0.2">
      <c r="A27" s="20">
        <v>12</v>
      </c>
      <c r="C27" s="20" t="s">
        <v>72</v>
      </c>
      <c r="E27" s="44" t="s">
        <v>76</v>
      </c>
      <c r="F27" s="26"/>
      <c r="G27" s="52">
        <v>691.1425999999999</v>
      </c>
      <c r="H27" s="52"/>
      <c r="I27" s="52">
        <f>K27-G27</f>
        <v>2054.7109799999998</v>
      </c>
      <c r="J27" s="20"/>
      <c r="K27" s="52">
        <v>2745.85358</v>
      </c>
      <c r="M27" s="173" t="s">
        <v>270</v>
      </c>
    </row>
    <row r="28" spans="1:13" x14ac:dyDescent="0.2">
      <c r="A28" s="150">
        <v>13</v>
      </c>
      <c r="B28" s="150"/>
      <c r="C28" s="150" t="s">
        <v>188</v>
      </c>
      <c r="D28" s="150"/>
      <c r="E28" s="146" t="s">
        <v>81</v>
      </c>
      <c r="F28" s="171"/>
      <c r="G28" s="199">
        <v>4118.8909999999996</v>
      </c>
      <c r="H28" s="200"/>
      <c r="I28" s="199">
        <f>K28-G28</f>
        <v>-399.39546999999993</v>
      </c>
      <c r="J28" s="150"/>
      <c r="K28" s="199">
        <v>3719.4955299999997</v>
      </c>
      <c r="M28" s="173"/>
    </row>
    <row r="29" spans="1:13" x14ac:dyDescent="0.2">
      <c r="A29" s="20">
        <v>14</v>
      </c>
      <c r="C29" s="20" t="s">
        <v>32</v>
      </c>
      <c r="F29" s="26"/>
      <c r="G29" s="52">
        <f>G28+G27+G26</f>
        <v>9168.0576199999996</v>
      </c>
      <c r="H29" s="52"/>
      <c r="I29" s="52"/>
      <c r="J29" s="20"/>
      <c r="K29" s="52">
        <f>K28+K27+K26</f>
        <v>11241.755700000002</v>
      </c>
    </row>
    <row r="30" spans="1:13" x14ac:dyDescent="0.2">
      <c r="J30" s="20"/>
    </row>
    <row r="31" spans="1:13" x14ac:dyDescent="0.2">
      <c r="C31" s="20" t="s">
        <v>40</v>
      </c>
      <c r="J31" s="20"/>
    </row>
    <row r="32" spans="1:13" x14ac:dyDescent="0.2">
      <c r="A32" s="150">
        <v>15</v>
      </c>
      <c r="B32" s="150"/>
      <c r="C32" s="150" t="s">
        <v>187</v>
      </c>
      <c r="D32" s="150"/>
      <c r="E32" s="146" t="s">
        <v>177</v>
      </c>
      <c r="F32" s="151">
        <f>'Schedule 1'!G21</f>
        <v>0</v>
      </c>
      <c r="G32" s="151">
        <v>29346.373931000002</v>
      </c>
      <c r="H32" s="151"/>
      <c r="I32" s="151">
        <f>K32-G32</f>
        <v>-308.74403200000233</v>
      </c>
      <c r="J32" s="150"/>
      <c r="K32" s="151">
        <v>29037.629899</v>
      </c>
      <c r="M32" s="20" t="s">
        <v>259</v>
      </c>
    </row>
    <row r="33" spans="1:13" x14ac:dyDescent="0.2">
      <c r="A33" s="150">
        <v>16</v>
      </c>
      <c r="B33" s="150"/>
      <c r="C33" s="150" t="s">
        <v>170</v>
      </c>
      <c r="D33" s="150"/>
      <c r="E33" s="146" t="s">
        <v>178</v>
      </c>
      <c r="F33" s="151">
        <f>'Schedule 1'!G22</f>
        <v>0</v>
      </c>
      <c r="G33" s="151">
        <v>-16167.195400000002</v>
      </c>
      <c r="H33" s="151"/>
      <c r="I33" s="151">
        <f>K33-G33</f>
        <v>1203.1036500000027</v>
      </c>
      <c r="J33" s="150"/>
      <c r="K33" s="151">
        <v>-14964.09175</v>
      </c>
      <c r="M33" s="20" t="s">
        <v>259</v>
      </c>
    </row>
    <row r="34" spans="1:13" x14ac:dyDescent="0.2">
      <c r="A34" s="150">
        <v>17</v>
      </c>
      <c r="B34" s="150"/>
      <c r="C34" s="150" t="s">
        <v>171</v>
      </c>
      <c r="D34" s="150"/>
      <c r="E34" s="146" t="s">
        <v>149</v>
      </c>
      <c r="F34" s="171"/>
      <c r="G34" s="151">
        <v>0</v>
      </c>
      <c r="H34" s="151"/>
      <c r="I34" s="151">
        <f>K34-G34</f>
        <v>0</v>
      </c>
      <c r="J34" s="150"/>
      <c r="K34" s="151">
        <v>0</v>
      </c>
    </row>
    <row r="35" spans="1:13" x14ac:dyDescent="0.2">
      <c r="A35" s="150">
        <v>18</v>
      </c>
      <c r="B35" s="150"/>
      <c r="C35" s="150" t="s">
        <v>41</v>
      </c>
      <c r="D35" s="150"/>
      <c r="E35" s="146" t="s">
        <v>77</v>
      </c>
      <c r="F35" s="171"/>
      <c r="G35" s="174">
        <v>183.67139000000003</v>
      </c>
      <c r="H35" s="171"/>
      <c r="I35" s="174">
        <f>K35-G35</f>
        <v>165.47289799999999</v>
      </c>
      <c r="J35" s="150"/>
      <c r="K35" s="174">
        <v>349.14428800000002</v>
      </c>
      <c r="M35" s="20" t="s">
        <v>259</v>
      </c>
    </row>
    <row r="36" spans="1:13" x14ac:dyDescent="0.2">
      <c r="A36" s="20">
        <v>19</v>
      </c>
      <c r="C36" s="20" t="s">
        <v>32</v>
      </c>
      <c r="F36" s="26">
        <f t="shared" ref="F36" si="0">SUM(F32:F35)</f>
        <v>0</v>
      </c>
      <c r="G36" s="174">
        <f t="shared" ref="G36" si="1">SUM(G32:G35)</f>
        <v>13362.849920999999</v>
      </c>
      <c r="H36" s="171"/>
      <c r="I36" s="174">
        <f>K36-G36</f>
        <v>1059.8325160000004</v>
      </c>
      <c r="J36" s="150"/>
      <c r="K36" s="174">
        <f t="shared" ref="K36" si="2">SUM(K32:K35)</f>
        <v>14422.682436999999</v>
      </c>
    </row>
    <row r="37" spans="1:13" x14ac:dyDescent="0.2">
      <c r="J37" s="20"/>
    </row>
    <row r="38" spans="1:13" ht="13.5" thickBot="1" x14ac:dyDescent="0.25">
      <c r="A38" s="20">
        <v>20</v>
      </c>
      <c r="C38" s="20" t="s">
        <v>73</v>
      </c>
      <c r="E38" s="44" t="s">
        <v>179</v>
      </c>
      <c r="F38" s="65"/>
      <c r="G38" s="215">
        <f>G15-G23-G29+G36</f>
        <v>451267.85812459845</v>
      </c>
      <c r="H38" s="65"/>
      <c r="I38" s="68">
        <f>K38-G38</f>
        <v>-4492.3466725984472</v>
      </c>
      <c r="J38" s="20"/>
      <c r="K38" s="68">
        <f>K15-K23-K29+K36</f>
        <v>446775.51145200001</v>
      </c>
      <c r="M38" s="20" t="s">
        <v>265</v>
      </c>
    </row>
    <row r="40" spans="1:13" x14ac:dyDescent="0.2">
      <c r="C40" s="20" t="s">
        <v>228</v>
      </c>
    </row>
    <row r="41" spans="1:13" x14ac:dyDescent="0.2">
      <c r="C41" s="226" t="s">
        <v>229</v>
      </c>
      <c r="D41" s="226"/>
      <c r="E41" s="226"/>
      <c r="F41" s="226"/>
      <c r="G41" s="226"/>
      <c r="H41" s="226"/>
      <c r="I41" s="226"/>
      <c r="J41" s="226"/>
      <c r="K41" s="226"/>
    </row>
    <row r="42" spans="1:13" ht="12.75" customHeight="1" x14ac:dyDescent="0.2">
      <c r="C42" s="227" t="s">
        <v>218</v>
      </c>
      <c r="D42" s="227"/>
      <c r="E42" s="227"/>
      <c r="F42" s="227"/>
      <c r="G42" s="227"/>
      <c r="H42" s="227"/>
      <c r="I42" s="227"/>
      <c r="J42" s="227"/>
      <c r="K42" s="227"/>
    </row>
    <row r="43" spans="1:13" ht="12.75" customHeight="1" x14ac:dyDescent="0.2">
      <c r="E43" s="20"/>
      <c r="F43" s="20"/>
      <c r="J43" s="20"/>
    </row>
    <row r="44" spans="1:13" ht="12.75" customHeight="1" x14ac:dyDescent="0.2">
      <c r="C44" s="142"/>
      <c r="D44" s="142"/>
      <c r="E44" s="142"/>
      <c r="F44" s="142"/>
      <c r="G44" s="142"/>
      <c r="H44" s="155"/>
      <c r="I44" s="155"/>
      <c r="J44" s="142"/>
      <c r="K44" s="142"/>
    </row>
    <row r="45" spans="1:13" ht="12.75" customHeight="1" x14ac:dyDescent="0.2">
      <c r="C45" s="142"/>
      <c r="D45" s="142"/>
      <c r="E45" s="142"/>
      <c r="F45" s="142"/>
      <c r="G45" s="142"/>
      <c r="H45" s="155"/>
      <c r="I45" s="155"/>
      <c r="J45" s="142"/>
      <c r="K45" s="142"/>
    </row>
    <row r="46" spans="1:13" x14ac:dyDescent="0.2">
      <c r="F46" s="64"/>
      <c r="G46" s="64"/>
      <c r="H46" s="64"/>
      <c r="I46" s="64"/>
      <c r="J46" s="64"/>
      <c r="K46" s="64"/>
    </row>
    <row r="47" spans="1:13" x14ac:dyDescent="0.2">
      <c r="E47" s="64"/>
      <c r="F47" s="64"/>
      <c r="G47" s="64"/>
      <c r="H47" s="64"/>
      <c r="I47" s="64"/>
      <c r="J47" s="64"/>
      <c r="K47" s="64"/>
    </row>
    <row r="48" spans="1:13" x14ac:dyDescent="0.2">
      <c r="E48" s="20"/>
      <c r="F48" s="20"/>
      <c r="J48" s="20"/>
    </row>
    <row r="49" spans="5:11" x14ac:dyDescent="0.2">
      <c r="E49" s="64"/>
      <c r="F49" s="64"/>
      <c r="G49" s="64"/>
      <c r="H49" s="64"/>
      <c r="I49" s="64"/>
      <c r="J49" s="64"/>
      <c r="K49" s="64"/>
    </row>
    <row r="51" spans="5:11" x14ac:dyDescent="0.2">
      <c r="F51" s="64"/>
      <c r="G51" s="64"/>
      <c r="H51" s="64"/>
      <c r="I51" s="64"/>
      <c r="J51" s="64"/>
      <c r="K51" s="64"/>
    </row>
    <row r="56" spans="5:11" x14ac:dyDescent="0.2">
      <c r="F56" s="64"/>
      <c r="G56" s="64"/>
      <c r="H56" s="64"/>
      <c r="I56" s="64"/>
      <c r="J56" s="64"/>
      <c r="K56" s="64"/>
    </row>
    <row r="57" spans="5:11" x14ac:dyDescent="0.2">
      <c r="F57" s="64"/>
      <c r="G57" s="64"/>
      <c r="H57" s="64"/>
      <c r="I57" s="64"/>
      <c r="J57" s="64"/>
      <c r="K57" s="64"/>
    </row>
  </sheetData>
  <mergeCells count="3">
    <mergeCell ref="C41:K41"/>
    <mergeCell ref="C42:K42"/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  <pageSetUpPr fitToPage="1"/>
  </sheetPr>
  <dimension ref="A1:T59"/>
  <sheetViews>
    <sheetView view="pageBreakPreview" zoomScale="85" zoomScaleSheetLayoutView="85" workbookViewId="0">
      <selection activeCell="I2" sqref="I2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7109375" style="7" customWidth="1"/>
    <col min="4" max="4" width="1.85546875" style="7" customWidth="1"/>
    <col min="5" max="5" width="11.28515625" style="22" customWidth="1"/>
    <col min="6" max="6" width="1.85546875" style="7" customWidth="1"/>
    <col min="7" max="7" width="15.5703125" style="29" customWidth="1"/>
    <col min="8" max="8" width="1.85546875" style="7" customWidth="1"/>
    <col min="9" max="9" width="15.5703125" style="7" customWidth="1"/>
    <col min="10" max="10" width="1.85546875" style="7" customWidth="1"/>
    <col min="11" max="11" width="15.5703125" style="29" customWidth="1"/>
    <col min="12" max="12" width="1.85546875" style="7" customWidth="1"/>
    <col min="13" max="13" width="15.5703125" style="7" customWidth="1"/>
    <col min="14" max="14" width="1.85546875" style="7" customWidth="1"/>
    <col min="15" max="15" width="15.5703125" style="29" customWidth="1"/>
    <col min="16" max="17" width="1.85546875" style="7" customWidth="1"/>
    <col min="18" max="19" width="11.28515625" style="7" customWidth="1"/>
    <col min="20" max="33" width="10.7109375" style="7" customWidth="1"/>
    <col min="34" max="16384" width="9.140625" style="7"/>
  </cols>
  <sheetData>
    <row r="1" spans="1:16" x14ac:dyDescent="0.2">
      <c r="G1" s="104"/>
      <c r="I1" s="87"/>
      <c r="K1" s="104"/>
      <c r="M1" s="105"/>
      <c r="N1" s="18"/>
      <c r="O1" s="104"/>
    </row>
    <row r="2" spans="1:16" ht="15.75" x14ac:dyDescent="0.25">
      <c r="G2" s="37" t="s">
        <v>233</v>
      </c>
      <c r="O2" s="38" t="s">
        <v>230</v>
      </c>
    </row>
    <row r="3" spans="1:16" x14ac:dyDescent="0.2">
      <c r="G3" s="39" t="s">
        <v>24</v>
      </c>
      <c r="O3" s="40" t="str">
        <f>'Schedule 1'!$N$2</f>
        <v>February 25, 2019 Filing</v>
      </c>
      <c r="P3" s="41"/>
    </row>
    <row r="4" spans="1:16" x14ac:dyDescent="0.2">
      <c r="G4" s="39"/>
    </row>
    <row r="5" spans="1:16" x14ac:dyDescent="0.2">
      <c r="G5" s="39" t="s">
        <v>5</v>
      </c>
    </row>
    <row r="8" spans="1:16" x14ac:dyDescent="0.2">
      <c r="A8" s="17"/>
      <c r="B8" s="17"/>
      <c r="C8" s="17"/>
      <c r="D8" s="17"/>
      <c r="F8" s="17"/>
      <c r="G8" s="96"/>
      <c r="H8" s="17"/>
      <c r="I8" s="17"/>
      <c r="J8" s="17"/>
      <c r="K8" s="96"/>
      <c r="L8" s="17"/>
      <c r="M8" s="17"/>
      <c r="N8" s="17"/>
      <c r="O8" s="96"/>
    </row>
    <row r="9" spans="1:16" ht="25.5" x14ac:dyDescent="0.2">
      <c r="A9" s="14" t="s">
        <v>0</v>
      </c>
      <c r="B9" s="15"/>
      <c r="C9" s="14" t="s">
        <v>1</v>
      </c>
      <c r="D9" s="15"/>
      <c r="E9" s="14" t="s">
        <v>2</v>
      </c>
      <c r="F9" s="15"/>
      <c r="G9" s="97" t="s">
        <v>25</v>
      </c>
      <c r="H9" s="15"/>
      <c r="I9" s="14" t="s">
        <v>26</v>
      </c>
      <c r="J9" s="15"/>
      <c r="K9" s="97" t="s">
        <v>27</v>
      </c>
      <c r="L9" s="15"/>
      <c r="M9" s="14" t="s">
        <v>28</v>
      </c>
      <c r="N9" s="15"/>
      <c r="O9" s="97" t="s">
        <v>29</v>
      </c>
    </row>
    <row r="11" spans="1:16" x14ac:dyDescent="0.2">
      <c r="C11" s="16" t="s">
        <v>255</v>
      </c>
    </row>
    <row r="13" spans="1:16" x14ac:dyDescent="0.2">
      <c r="A13" s="7">
        <v>1</v>
      </c>
      <c r="C13" s="7" t="s">
        <v>30</v>
      </c>
      <c r="E13" s="22" t="s">
        <v>200</v>
      </c>
      <c r="G13" s="29">
        <v>164746.50269077343</v>
      </c>
      <c r="I13" s="61">
        <f>SUM(G13)/(G13+G15)</f>
        <v>0.59888250170493174</v>
      </c>
      <c r="K13" s="101">
        <v>164368.79465793481</v>
      </c>
      <c r="M13" s="91">
        <v>2.1768289578444955E-2</v>
      </c>
      <c r="N13" s="18"/>
      <c r="O13" s="101">
        <f>SUM(K13)*(M13)</f>
        <v>3578.0275197738811</v>
      </c>
    </row>
    <row r="14" spans="1:16" x14ac:dyDescent="0.2">
      <c r="G14" s="29" t="s">
        <v>134</v>
      </c>
      <c r="I14" s="61"/>
      <c r="M14" s="18"/>
      <c r="N14" s="18" t="s">
        <v>134</v>
      </c>
      <c r="O14" s="29" t="s">
        <v>134</v>
      </c>
    </row>
    <row r="15" spans="1:16" x14ac:dyDescent="0.2">
      <c r="A15" s="7">
        <v>2</v>
      </c>
      <c r="C15" s="7" t="s">
        <v>31</v>
      </c>
      <c r="E15" s="22" t="s">
        <v>199</v>
      </c>
      <c r="G15" s="98">
        <v>110343.35587374296</v>
      </c>
      <c r="I15" s="106">
        <f>SUM(G15)/(G13+G15)</f>
        <v>0.40111749829506815</v>
      </c>
      <c r="K15" s="102">
        <v>110090.37586382971</v>
      </c>
      <c r="M15" s="86">
        <v>8.8210189526311197E-2</v>
      </c>
      <c r="N15" s="18"/>
      <c r="O15" s="102">
        <f>K15*M15</f>
        <v>9711.0929199712555</v>
      </c>
    </row>
    <row r="16" spans="1:16" x14ac:dyDescent="0.2">
      <c r="I16" s="61"/>
      <c r="M16" s="18"/>
      <c r="N16" s="18"/>
      <c r="O16" s="29" t="s">
        <v>134</v>
      </c>
    </row>
    <row r="17" spans="1:20" ht="13.5" thickBot="1" x14ac:dyDescent="0.25">
      <c r="A17" s="7">
        <v>3</v>
      </c>
      <c r="C17" s="7" t="s">
        <v>32</v>
      </c>
      <c r="E17" s="22" t="s">
        <v>33</v>
      </c>
      <c r="G17" s="103">
        <f>SUM(G13+G15)</f>
        <v>275089.85856451641</v>
      </c>
      <c r="I17" s="107">
        <f>SUM(I13+I15)</f>
        <v>0.99999999999999989</v>
      </c>
      <c r="K17" s="103">
        <v>274459.17052176455</v>
      </c>
      <c r="M17" s="100">
        <v>4.8419298267504275E-2</v>
      </c>
      <c r="N17" s="18"/>
      <c r="O17" s="103">
        <f>O13+O15</f>
        <v>13289.120439745137</v>
      </c>
    </row>
    <row r="18" spans="1:20" x14ac:dyDescent="0.2">
      <c r="G18" s="186"/>
      <c r="I18" s="187"/>
      <c r="K18" s="186"/>
      <c r="M18" s="87"/>
      <c r="N18" s="18"/>
      <c r="O18" s="186"/>
      <c r="R18" s="108"/>
      <c r="S18" s="108"/>
      <c r="T18" s="108"/>
    </row>
    <row r="19" spans="1:20" x14ac:dyDescent="0.2">
      <c r="G19" s="186"/>
      <c r="I19" s="187"/>
      <c r="K19" s="186"/>
      <c r="M19" s="87"/>
      <c r="N19" s="18"/>
      <c r="O19" s="186"/>
    </row>
    <row r="20" spans="1:20" x14ac:dyDescent="0.2">
      <c r="C20" s="16" t="s">
        <v>222</v>
      </c>
      <c r="G20" s="186"/>
      <c r="I20" s="187"/>
      <c r="K20" s="186"/>
      <c r="M20" s="87"/>
      <c r="N20" s="18"/>
      <c r="O20" s="186"/>
    </row>
    <row r="21" spans="1:20" x14ac:dyDescent="0.2">
      <c r="G21" s="186"/>
      <c r="I21" s="187"/>
      <c r="K21" s="186"/>
      <c r="M21" s="87"/>
      <c r="N21" s="18"/>
      <c r="O21" s="186"/>
    </row>
    <row r="22" spans="1:20" x14ac:dyDescent="0.2">
      <c r="A22" s="7">
        <v>4</v>
      </c>
      <c r="C22" s="7" t="s">
        <v>30</v>
      </c>
      <c r="G22" s="29">
        <f>G30-G13</f>
        <v>-943.55287435813807</v>
      </c>
      <c r="I22" s="61">
        <f>I30-I13</f>
        <v>-6.4250588069914016E-6</v>
      </c>
      <c r="K22" s="101">
        <f>K30-K13</f>
        <v>-916.86308909967192</v>
      </c>
      <c r="M22" s="91">
        <f>M30-M13</f>
        <v>2.194296074928305E-3</v>
      </c>
      <c r="N22" s="18"/>
      <c r="O22" s="101">
        <f>O30-O13</f>
        <v>338.70339065363532</v>
      </c>
    </row>
    <row r="23" spans="1:20" x14ac:dyDescent="0.2">
      <c r="G23" s="29" t="s">
        <v>134</v>
      </c>
      <c r="I23" s="61" t="s">
        <v>134</v>
      </c>
      <c r="K23" s="29" t="s">
        <v>134</v>
      </c>
      <c r="M23" s="18" t="s">
        <v>134</v>
      </c>
      <c r="N23" s="18" t="s">
        <v>134</v>
      </c>
      <c r="O23" s="29" t="s">
        <v>134</v>
      </c>
    </row>
    <row r="24" spans="1:20" x14ac:dyDescent="0.2">
      <c r="A24" s="7">
        <v>5</v>
      </c>
      <c r="C24" s="7" t="s">
        <v>31</v>
      </c>
      <c r="G24" s="98">
        <f>G32-G15</f>
        <v>-629.0352495720872</v>
      </c>
      <c r="I24" s="106">
        <f>I32-I15</f>
        <v>6.4250588071579351E-6</v>
      </c>
      <c r="K24" s="102">
        <f>K32-K15</f>
        <v>-611.16534361672529</v>
      </c>
      <c r="M24" s="86">
        <f>M32-M15</f>
        <v>-1.2051781061715172E-3</v>
      </c>
      <c r="N24" s="18"/>
      <c r="O24" s="102">
        <f>O32-O15</f>
        <v>-185.85295839224818</v>
      </c>
    </row>
    <row r="25" spans="1:20" x14ac:dyDescent="0.2">
      <c r="I25" s="61"/>
      <c r="M25" s="18"/>
      <c r="N25" s="18"/>
      <c r="O25" s="29" t="s">
        <v>134</v>
      </c>
    </row>
    <row r="26" spans="1:20" ht="13.5" thickBot="1" x14ac:dyDescent="0.25">
      <c r="A26" s="7">
        <v>6</v>
      </c>
      <c r="C26" s="7" t="s">
        <v>32</v>
      </c>
      <c r="G26" s="103">
        <f>SUM(G22+G24)</f>
        <v>-1572.5881239302253</v>
      </c>
      <c r="I26" s="107">
        <f>SUM(I22+I24)</f>
        <v>1.6653345369377348E-16</v>
      </c>
      <c r="K26" s="103">
        <f>K34-K17</f>
        <v>-1528.0284327164409</v>
      </c>
      <c r="M26" s="100">
        <f>M34-M17</f>
        <v>8.3111254717976868E-4</v>
      </c>
      <c r="N26" s="18"/>
      <c r="O26" s="103">
        <f>O22+O24</f>
        <v>152.85043226138714</v>
      </c>
    </row>
    <row r="27" spans="1:20" x14ac:dyDescent="0.2">
      <c r="R27" s="108"/>
      <c r="S27" s="108"/>
      <c r="T27" s="108"/>
    </row>
    <row r="28" spans="1:20" x14ac:dyDescent="0.2">
      <c r="C28" s="16" t="s">
        <v>256</v>
      </c>
    </row>
    <row r="30" spans="1:20" x14ac:dyDescent="0.2">
      <c r="A30" s="7">
        <f>A26+1</f>
        <v>7</v>
      </c>
      <c r="C30" s="7" t="s">
        <v>30</v>
      </c>
      <c r="E30" s="22" t="s">
        <v>200</v>
      </c>
      <c r="G30" s="29">
        <v>163802.94981641529</v>
      </c>
      <c r="I30" s="61">
        <f>SUM(G30)/(G30+G32)</f>
        <v>0.59887607664612474</v>
      </c>
      <c r="K30" s="101">
        <f>SUM(K34)*(I30)</f>
        <v>163451.93156883513</v>
      </c>
      <c r="M30" s="91">
        <v>2.396258565337326E-2</v>
      </c>
      <c r="N30" s="18"/>
      <c r="O30" s="101">
        <f>SUM(K30)*(M30)</f>
        <v>3916.7309104275164</v>
      </c>
    </row>
    <row r="31" spans="1:20" x14ac:dyDescent="0.2">
      <c r="G31" s="29" t="s">
        <v>134</v>
      </c>
      <c r="I31" s="61"/>
      <c r="M31" s="18"/>
      <c r="N31" s="18" t="s">
        <v>134</v>
      </c>
      <c r="O31" s="29" t="s">
        <v>134</v>
      </c>
    </row>
    <row r="32" spans="1:20" x14ac:dyDescent="0.2">
      <c r="A32" s="7">
        <f>A30+1</f>
        <v>8</v>
      </c>
      <c r="C32" s="7" t="s">
        <v>31</v>
      </c>
      <c r="E32" s="22" t="s">
        <v>199</v>
      </c>
      <c r="G32" s="98">
        <v>109714.32062417087</v>
      </c>
      <c r="I32" s="106">
        <f>SUM(G32)/(G30+G32)</f>
        <v>0.40112392335387531</v>
      </c>
      <c r="K32" s="102">
        <f>SUM(K34)*(I32)</f>
        <v>109479.21052021299</v>
      </c>
      <c r="M32" s="86">
        <v>8.700501142013968E-2</v>
      </c>
      <c r="N32" s="18"/>
      <c r="O32" s="102">
        <f>K32*M32</f>
        <v>9525.2399615790073</v>
      </c>
    </row>
    <row r="33" spans="1:15" x14ac:dyDescent="0.2">
      <c r="I33" s="61"/>
      <c r="M33" s="18"/>
      <c r="N33" s="18"/>
      <c r="O33" s="29" t="s">
        <v>134</v>
      </c>
    </row>
    <row r="34" spans="1:15" ht="13.5" thickBot="1" x14ac:dyDescent="0.25">
      <c r="A34" s="7">
        <f>A32+1</f>
        <v>9</v>
      </c>
      <c r="C34" s="7" t="s">
        <v>32</v>
      </c>
      <c r="E34" s="22" t="s">
        <v>33</v>
      </c>
      <c r="G34" s="103">
        <f>SUM(G30+G32)</f>
        <v>273517.27044058614</v>
      </c>
      <c r="I34" s="107">
        <f>SUM(I30+I32)</f>
        <v>1</v>
      </c>
      <c r="K34" s="103">
        <v>272931.14208904811</v>
      </c>
      <c r="M34" s="100">
        <f>SUM(I30)*(M30)+SUM(I32)*(M32)</f>
        <v>4.9250410814684044E-2</v>
      </c>
      <c r="N34" s="18"/>
      <c r="O34" s="103">
        <f>O30+O32</f>
        <v>13441.970872006525</v>
      </c>
    </row>
    <row r="42" spans="1:15" x14ac:dyDescent="0.2">
      <c r="G42" s="7"/>
      <c r="K42" s="7"/>
      <c r="O42" s="7"/>
    </row>
    <row r="43" spans="1:15" x14ac:dyDescent="0.2">
      <c r="G43" s="7"/>
      <c r="K43" s="7"/>
      <c r="O43" s="7"/>
    </row>
    <row r="44" spans="1:15" x14ac:dyDescent="0.2">
      <c r="G44" s="7"/>
      <c r="K44" s="7"/>
      <c r="O44" s="7"/>
    </row>
    <row r="45" spans="1:15" x14ac:dyDescent="0.2">
      <c r="G45" s="7"/>
      <c r="K45" s="7"/>
      <c r="O45" s="7"/>
    </row>
    <row r="46" spans="1:15" x14ac:dyDescent="0.2">
      <c r="G46" s="7"/>
      <c r="K46" s="7"/>
      <c r="O46" s="7"/>
    </row>
    <row r="47" spans="1:15" x14ac:dyDescent="0.2">
      <c r="G47" s="7"/>
      <c r="K47" s="7"/>
      <c r="O47" s="7"/>
    </row>
    <row r="48" spans="1:15" x14ac:dyDescent="0.2">
      <c r="G48" s="7"/>
      <c r="K48" s="7"/>
      <c r="O48" s="7"/>
    </row>
    <row r="49" spans="7:15" x14ac:dyDescent="0.2">
      <c r="G49" s="7"/>
      <c r="K49" s="7"/>
      <c r="O49" s="7"/>
    </row>
    <row r="50" spans="7:15" x14ac:dyDescent="0.2">
      <c r="G50" s="7"/>
      <c r="K50" s="7"/>
      <c r="O50" s="7"/>
    </row>
    <row r="51" spans="7:15" x14ac:dyDescent="0.2">
      <c r="G51" s="7"/>
      <c r="K51" s="7"/>
      <c r="O51" s="7"/>
    </row>
    <row r="53" spans="7:15" x14ac:dyDescent="0.2">
      <c r="G53" s="7"/>
      <c r="K53" s="7"/>
      <c r="O53" s="7"/>
    </row>
    <row r="54" spans="7:15" x14ac:dyDescent="0.2">
      <c r="G54" s="7"/>
      <c r="K54" s="7"/>
      <c r="O54" s="7"/>
    </row>
    <row r="55" spans="7:15" x14ac:dyDescent="0.2">
      <c r="G55" s="7"/>
      <c r="K55" s="7"/>
      <c r="O55" s="7"/>
    </row>
    <row r="56" spans="7:15" x14ac:dyDescent="0.2">
      <c r="G56" s="7"/>
      <c r="K56" s="7"/>
      <c r="O56" s="7"/>
    </row>
    <row r="57" spans="7:15" x14ac:dyDescent="0.2">
      <c r="G57" s="7"/>
      <c r="K57" s="7"/>
      <c r="O57" s="7"/>
    </row>
    <row r="58" spans="7:15" x14ac:dyDescent="0.2">
      <c r="G58" s="7"/>
      <c r="K58" s="7"/>
      <c r="O58" s="7"/>
    </row>
    <row r="59" spans="7:15" x14ac:dyDescent="0.2">
      <c r="G59" s="7"/>
      <c r="K59" s="7"/>
      <c r="O59" s="7"/>
    </row>
  </sheetData>
  <phoneticPr fontId="0" type="noConversion"/>
  <conditionalFormatting sqref="R27:T27 R18:T18">
    <cfRule type="cellIs" dxfId="0" priority="7" operator="equal">
      <formula>0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  <pageSetUpPr fitToPage="1"/>
  </sheetPr>
  <dimension ref="A1:M38"/>
  <sheetViews>
    <sheetView view="pageBreakPreview" zoomScaleSheetLayoutView="100" workbookViewId="0">
      <selection activeCell="I2" sqref="I2"/>
    </sheetView>
  </sheetViews>
  <sheetFormatPr defaultRowHeight="12.75" x14ac:dyDescent="0.2"/>
  <cols>
    <col min="1" max="1" width="7.42578125" style="20" customWidth="1"/>
    <col min="2" max="2" width="1.85546875" style="20" customWidth="1"/>
    <col min="3" max="3" width="28" style="20" customWidth="1"/>
    <col min="4" max="4" width="3.5703125" style="20" customWidth="1"/>
    <col min="5" max="5" width="9.140625" style="44"/>
    <col min="6" max="6" width="1.85546875" style="20" customWidth="1"/>
    <col min="7" max="7" width="12.5703125" style="20" customWidth="1"/>
    <col min="8" max="8" width="1.5703125" style="20" customWidth="1"/>
    <col min="9" max="9" width="12.5703125" style="20" customWidth="1"/>
    <col min="10" max="10" width="2.140625" style="48" customWidth="1"/>
    <col min="11" max="11" width="12.5703125" style="20" customWidth="1"/>
    <col min="12" max="12" width="1.85546875" style="20" customWidth="1"/>
    <col min="13" max="13" width="33.85546875" style="20" customWidth="1"/>
    <col min="14" max="16384" width="9.140625" style="20"/>
  </cols>
  <sheetData>
    <row r="1" spans="1:13" ht="15.75" x14ac:dyDescent="0.25">
      <c r="C1" s="158" t="s">
        <v>233</v>
      </c>
      <c r="D1" s="159"/>
      <c r="E1" s="159"/>
      <c r="F1" s="159"/>
      <c r="G1" s="159"/>
      <c r="H1" s="159"/>
      <c r="I1" s="159"/>
      <c r="J1" s="159"/>
      <c r="K1" s="159"/>
      <c r="M1" s="75" t="s">
        <v>13</v>
      </c>
    </row>
    <row r="2" spans="1:13" x14ac:dyDescent="0.2">
      <c r="C2" s="161" t="s">
        <v>12</v>
      </c>
      <c r="D2" s="159"/>
      <c r="E2" s="159"/>
      <c r="F2" s="159"/>
      <c r="G2" s="159"/>
      <c r="H2" s="159"/>
      <c r="I2" s="159"/>
      <c r="J2" s="159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59"/>
      <c r="H3" s="159"/>
      <c r="I3" s="159"/>
      <c r="J3" s="159"/>
      <c r="K3" s="159"/>
    </row>
    <row r="4" spans="1:13" x14ac:dyDescent="0.2">
      <c r="L4" s="20" t="s">
        <v>134</v>
      </c>
    </row>
    <row r="6" spans="1:13" s="44" customFormat="1" x14ac:dyDescent="0.2">
      <c r="G6" s="225">
        <v>2017</v>
      </c>
      <c r="H6" s="225"/>
      <c r="I6" s="225"/>
      <c r="J6" s="225"/>
      <c r="K6" s="225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</row>
    <row r="9" spans="1:13" ht="25.5" x14ac:dyDescent="0.2">
      <c r="A9" s="20">
        <v>1</v>
      </c>
      <c r="C9" s="20" t="s">
        <v>90</v>
      </c>
      <c r="E9" s="44" t="s">
        <v>225</v>
      </c>
      <c r="G9" s="52">
        <v>274459.17052176455</v>
      </c>
      <c r="H9" s="52"/>
      <c r="I9" s="52">
        <f>K9-G9</f>
        <v>-1528.0284327164409</v>
      </c>
      <c r="J9" s="20"/>
      <c r="K9" s="52">
        <v>272931.14208904811</v>
      </c>
      <c r="L9" s="36"/>
      <c r="M9" s="173" t="s">
        <v>261</v>
      </c>
    </row>
    <row r="10" spans="1:13" x14ac:dyDescent="0.2">
      <c r="G10" s="20" t="s">
        <v>134</v>
      </c>
      <c r="J10" s="20"/>
      <c r="K10" s="20" t="s">
        <v>134</v>
      </c>
    </row>
    <row r="11" spans="1:13" ht="25.5" x14ac:dyDescent="0.2">
      <c r="A11" s="20">
        <v>2</v>
      </c>
      <c r="C11" s="20" t="s">
        <v>190</v>
      </c>
      <c r="G11" s="93">
        <v>4.8419298267504282E-2</v>
      </c>
      <c r="H11" s="93"/>
      <c r="I11" s="93">
        <f>K11-G11</f>
        <v>8.3111254717976868E-4</v>
      </c>
      <c r="J11" s="20"/>
      <c r="K11" s="93">
        <v>4.9250410814684051E-2</v>
      </c>
      <c r="L11" s="93" t="s">
        <v>134</v>
      </c>
      <c r="M11" s="173" t="s">
        <v>262</v>
      </c>
    </row>
    <row r="12" spans="1:13" x14ac:dyDescent="0.2">
      <c r="J12" s="20"/>
    </row>
    <row r="13" spans="1:13" x14ac:dyDescent="0.2">
      <c r="A13" s="20">
        <v>3</v>
      </c>
      <c r="C13" s="20" t="s">
        <v>91</v>
      </c>
      <c r="E13" s="44" t="s">
        <v>201</v>
      </c>
      <c r="G13" s="52">
        <v>13289.120439745137</v>
      </c>
      <c r="H13" s="52"/>
      <c r="I13" s="52">
        <f>K13-G13</f>
        <v>152.85043226138805</v>
      </c>
      <c r="J13" s="20"/>
      <c r="K13" s="52">
        <v>13441.970872006525</v>
      </c>
      <c r="M13" s="173" t="s">
        <v>259</v>
      </c>
    </row>
    <row r="14" spans="1:13" x14ac:dyDescent="0.2">
      <c r="G14" s="52"/>
      <c r="H14" s="52"/>
      <c r="I14" s="52"/>
      <c r="J14" s="20"/>
      <c r="K14" s="52"/>
    </row>
    <row r="15" spans="1:13" x14ac:dyDescent="0.2">
      <c r="A15" s="20">
        <v>4</v>
      </c>
      <c r="C15" s="20" t="s">
        <v>92</v>
      </c>
      <c r="G15" s="52"/>
      <c r="H15" s="52"/>
      <c r="I15" s="52"/>
      <c r="J15" s="20"/>
      <c r="K15" s="52"/>
    </row>
    <row r="16" spans="1:13" x14ac:dyDescent="0.2">
      <c r="A16" s="150">
        <v>5</v>
      </c>
      <c r="B16" s="150"/>
      <c r="C16" s="150" t="s">
        <v>169</v>
      </c>
      <c r="D16" s="150"/>
      <c r="E16" s="146" t="s">
        <v>132</v>
      </c>
      <c r="F16" s="150"/>
      <c r="G16" s="52">
        <v>23362.874753166569</v>
      </c>
      <c r="H16" s="52"/>
      <c r="I16" s="52">
        <f t="shared" ref="I16:I24" si="0">K16-G16</f>
        <v>473.06719791308933</v>
      </c>
      <c r="J16" s="20"/>
      <c r="K16" s="52">
        <v>23835.941951079658</v>
      </c>
      <c r="M16" s="173" t="s">
        <v>259</v>
      </c>
    </row>
    <row r="17" spans="1:13" x14ac:dyDescent="0.2">
      <c r="A17" s="20">
        <v>6</v>
      </c>
      <c r="C17" s="20" t="s">
        <v>54</v>
      </c>
      <c r="E17" s="44" t="s">
        <v>150</v>
      </c>
      <c r="G17" s="52">
        <v>695.56769535040007</v>
      </c>
      <c r="H17" s="52"/>
      <c r="I17" s="52">
        <f t="shared" si="0"/>
        <v>-2.7816778170665657</v>
      </c>
      <c r="J17" s="20"/>
      <c r="K17" s="52">
        <v>692.78601753333351</v>
      </c>
      <c r="M17" s="173" t="s">
        <v>259</v>
      </c>
    </row>
    <row r="18" spans="1:13" x14ac:dyDescent="0.2">
      <c r="A18" s="150">
        <v>7</v>
      </c>
      <c r="B18" s="150"/>
      <c r="C18" s="150" t="s">
        <v>93</v>
      </c>
      <c r="D18" s="150"/>
      <c r="E18" s="146" t="s">
        <v>88</v>
      </c>
      <c r="F18" s="150"/>
      <c r="G18" s="151">
        <v>3882.5717284999987</v>
      </c>
      <c r="H18" s="151"/>
      <c r="I18" s="151">
        <f t="shared" si="0"/>
        <v>624.5301325000014</v>
      </c>
      <c r="J18" s="150"/>
      <c r="K18" s="151">
        <v>4507.1018610000001</v>
      </c>
      <c r="M18" s="173" t="s">
        <v>259</v>
      </c>
    </row>
    <row r="19" spans="1:13" x14ac:dyDescent="0.2">
      <c r="A19" s="150">
        <v>8</v>
      </c>
      <c r="B19" s="150"/>
      <c r="C19" s="150" t="s">
        <v>153</v>
      </c>
      <c r="D19" s="150"/>
      <c r="E19" s="146" t="s">
        <v>75</v>
      </c>
      <c r="F19" s="150"/>
      <c r="G19" s="151">
        <v>478.93700000000001</v>
      </c>
      <c r="H19" s="151"/>
      <c r="I19" s="151">
        <f t="shared" si="0"/>
        <v>0</v>
      </c>
      <c r="J19" s="150"/>
      <c r="K19" s="151">
        <v>478.93700000000001</v>
      </c>
      <c r="M19" s="173" t="s">
        <v>259</v>
      </c>
    </row>
    <row r="20" spans="1:13" x14ac:dyDescent="0.2">
      <c r="A20" s="20">
        <v>9</v>
      </c>
      <c r="C20" s="20" t="s">
        <v>94</v>
      </c>
      <c r="E20" s="44" t="s">
        <v>89</v>
      </c>
      <c r="G20" s="52">
        <v>12216.718041401509</v>
      </c>
      <c r="H20" s="52"/>
      <c r="I20" s="52">
        <f t="shared" si="0"/>
        <v>106.13223859848949</v>
      </c>
      <c r="J20" s="20"/>
      <c r="K20" s="52">
        <v>12322.850279999999</v>
      </c>
      <c r="M20" s="173" t="s">
        <v>259</v>
      </c>
    </row>
    <row r="21" spans="1:13" ht="25.5" x14ac:dyDescent="0.2">
      <c r="A21" s="150">
        <v>10</v>
      </c>
      <c r="C21" s="149" t="s">
        <v>214</v>
      </c>
      <c r="E21" s="146" t="s">
        <v>157</v>
      </c>
      <c r="F21" s="150"/>
      <c r="G21" s="151">
        <v>-5269.4296104285713</v>
      </c>
      <c r="H21" s="151"/>
      <c r="I21" s="151">
        <f t="shared" si="0"/>
        <v>-531.1155195714291</v>
      </c>
      <c r="J21" s="20"/>
      <c r="K21" s="151">
        <v>-5800.5451300000004</v>
      </c>
      <c r="L21" s="36"/>
      <c r="M21" s="173" t="s">
        <v>259</v>
      </c>
    </row>
    <row r="22" spans="1:13" ht="25.5" x14ac:dyDescent="0.2">
      <c r="A22" s="150">
        <v>11</v>
      </c>
      <c r="B22" s="150"/>
      <c r="C22" s="150" t="s">
        <v>95</v>
      </c>
      <c r="D22" s="150"/>
      <c r="E22" s="146"/>
      <c r="F22" s="150"/>
      <c r="G22" s="151">
        <v>-16.278565</v>
      </c>
      <c r="H22" s="151"/>
      <c r="I22" s="151">
        <f t="shared" si="0"/>
        <v>-165.47289799999999</v>
      </c>
      <c r="J22" s="150"/>
      <c r="K22" s="151">
        <v>-181.751463</v>
      </c>
      <c r="M22" s="173" t="s">
        <v>266</v>
      </c>
    </row>
    <row r="23" spans="1:13" x14ac:dyDescent="0.2">
      <c r="A23" s="20">
        <v>12</v>
      </c>
      <c r="C23" s="20" t="s">
        <v>111</v>
      </c>
      <c r="G23" s="52">
        <v>-95.999999999999957</v>
      </c>
      <c r="H23" s="52"/>
      <c r="I23" s="52">
        <f t="shared" si="0"/>
        <v>0.49427999999996075</v>
      </c>
      <c r="J23" s="20"/>
      <c r="K23" s="52">
        <v>-95.505719999999997</v>
      </c>
    </row>
    <row r="24" spans="1:13" x14ac:dyDescent="0.2">
      <c r="A24" s="20">
        <v>13</v>
      </c>
      <c r="C24" s="20" t="s">
        <v>231</v>
      </c>
      <c r="G24" s="52">
        <v>0</v>
      </c>
      <c r="H24" s="52"/>
      <c r="I24" s="52">
        <f t="shared" si="0"/>
        <v>0</v>
      </c>
      <c r="J24" s="20"/>
      <c r="K24" s="52"/>
    </row>
    <row r="25" spans="1:13" x14ac:dyDescent="0.2">
      <c r="A25" s="20">
        <v>14</v>
      </c>
      <c r="C25" s="20" t="s">
        <v>96</v>
      </c>
      <c r="G25" s="76">
        <f>SUM(G15:G24)</f>
        <v>35254.961042989904</v>
      </c>
      <c r="H25" s="26"/>
      <c r="I25" s="76">
        <f>SUM(I15:I24)</f>
        <v>504.85375362308451</v>
      </c>
      <c r="J25" s="20"/>
      <c r="K25" s="76">
        <f>SUM(K15:K24)</f>
        <v>35759.814796612991</v>
      </c>
      <c r="M25" s="173" t="s">
        <v>265</v>
      </c>
    </row>
    <row r="26" spans="1:13" x14ac:dyDescent="0.2">
      <c r="G26" s="26"/>
      <c r="H26" s="26"/>
      <c r="I26" s="26"/>
      <c r="J26" s="20"/>
      <c r="K26" s="26"/>
    </row>
    <row r="27" spans="1:13" ht="13.5" thickBot="1" x14ac:dyDescent="0.25">
      <c r="A27" s="20">
        <v>15</v>
      </c>
      <c r="C27" s="20" t="s">
        <v>168</v>
      </c>
      <c r="E27" s="44" t="s">
        <v>97</v>
      </c>
      <c r="G27" s="80">
        <f>G13+G25</f>
        <v>48544.08148273504</v>
      </c>
      <c r="H27" s="78"/>
      <c r="I27" s="80">
        <f>I13+I25</f>
        <v>657.70418588447251</v>
      </c>
      <c r="J27" s="20"/>
      <c r="K27" s="80">
        <f>K13+K25</f>
        <v>49201.785668619515</v>
      </c>
      <c r="M27" s="173" t="s">
        <v>265</v>
      </c>
    </row>
    <row r="30" spans="1:13" ht="12.75" customHeight="1" x14ac:dyDescent="0.2">
      <c r="A30" s="60"/>
      <c r="C30" s="20" t="s">
        <v>186</v>
      </c>
      <c r="D30" s="206"/>
      <c r="E30" s="206"/>
      <c r="F30" s="206"/>
      <c r="G30" s="206"/>
      <c r="H30" s="206"/>
      <c r="I30" s="206"/>
      <c r="J30" s="206"/>
      <c r="K30" s="206"/>
    </row>
    <row r="31" spans="1:13" x14ac:dyDescent="0.2"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13" x14ac:dyDescent="0.2">
      <c r="G32" s="94"/>
      <c r="H32" s="94"/>
      <c r="I32" s="94"/>
      <c r="J32" s="94"/>
      <c r="K32" s="94"/>
    </row>
    <row r="33" spans="6:13" x14ac:dyDescent="0.2">
      <c r="G33" s="94"/>
      <c r="H33" s="94"/>
      <c r="I33" s="94"/>
      <c r="J33" s="94"/>
      <c r="K33" s="94"/>
    </row>
    <row r="34" spans="6:13" x14ac:dyDescent="0.2">
      <c r="F34" s="48"/>
      <c r="G34" s="92"/>
      <c r="H34" s="92"/>
      <c r="I34" s="92"/>
      <c r="J34" s="92"/>
      <c r="K34" s="92"/>
      <c r="L34" s="48"/>
      <c r="M34" s="48"/>
    </row>
    <row r="35" spans="6:13" x14ac:dyDescent="0.2">
      <c r="F35" s="48"/>
      <c r="G35" s="92"/>
      <c r="H35" s="92"/>
      <c r="I35" s="92"/>
      <c r="J35" s="92"/>
      <c r="K35" s="92"/>
      <c r="L35" s="48"/>
      <c r="M35" s="48"/>
    </row>
    <row r="36" spans="6:13" x14ac:dyDescent="0.2">
      <c r="F36" s="48"/>
      <c r="G36" s="78"/>
      <c r="H36" s="78"/>
      <c r="I36" s="78"/>
      <c r="J36" s="78"/>
      <c r="K36" s="78"/>
      <c r="L36" s="48"/>
      <c r="M36" s="48"/>
    </row>
    <row r="37" spans="6:13" x14ac:dyDescent="0.2">
      <c r="F37" s="48"/>
      <c r="G37" s="92"/>
      <c r="H37" s="92"/>
      <c r="I37" s="92"/>
      <c r="J37" s="92"/>
      <c r="K37" s="92"/>
      <c r="L37" s="48"/>
      <c r="M37" s="48"/>
    </row>
    <row r="38" spans="6:13" x14ac:dyDescent="0.2">
      <c r="F38" s="48"/>
      <c r="G38" s="92"/>
      <c r="H38" s="92"/>
      <c r="I38" s="92"/>
      <c r="K38" s="48"/>
      <c r="L38" s="48"/>
      <c r="M38" s="4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  <pageSetUpPr fitToPage="1"/>
  </sheetPr>
  <dimension ref="A1:N43"/>
  <sheetViews>
    <sheetView view="pageBreakPreview" zoomScaleSheetLayoutView="100" workbookViewId="0">
      <selection activeCell="I2" sqref="I2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29" style="20" customWidth="1"/>
    <col min="4" max="4" width="1.85546875" style="20" customWidth="1"/>
    <col min="5" max="5" width="11" style="44" customWidth="1"/>
    <col min="6" max="6" width="1.85546875" style="20" customWidth="1"/>
    <col min="7" max="7" width="12" style="20" customWidth="1"/>
    <col min="8" max="8" width="1.85546875" style="20" customWidth="1"/>
    <col min="9" max="9" width="12" style="20" customWidth="1"/>
    <col min="10" max="10" width="2" style="48" customWidth="1"/>
    <col min="11" max="11" width="12" style="20" customWidth="1"/>
    <col min="12" max="12" width="1.85546875" style="20" customWidth="1"/>
    <col min="13" max="13" width="37.28515625" style="20" customWidth="1"/>
    <col min="14" max="14" width="11.28515625" style="20" customWidth="1"/>
    <col min="15" max="16384" width="9.140625" style="20"/>
  </cols>
  <sheetData>
    <row r="1" spans="1:14" ht="15.75" x14ac:dyDescent="0.25">
      <c r="C1" s="158" t="s">
        <v>233</v>
      </c>
      <c r="D1" s="159"/>
      <c r="E1" s="159"/>
      <c r="F1" s="159"/>
      <c r="G1" s="159"/>
      <c r="H1" s="159"/>
      <c r="I1" s="159"/>
      <c r="J1" s="160"/>
      <c r="K1" s="159"/>
      <c r="M1" s="75" t="s">
        <v>14</v>
      </c>
    </row>
    <row r="2" spans="1:14" x14ac:dyDescent="0.2">
      <c r="C2" s="161" t="s">
        <v>15</v>
      </c>
      <c r="D2" s="159"/>
      <c r="E2" s="159"/>
      <c r="F2" s="159"/>
      <c r="G2" s="159"/>
      <c r="H2" s="159"/>
      <c r="I2" s="159"/>
      <c r="J2" s="160"/>
      <c r="K2" s="159"/>
      <c r="M2" s="47" t="str">
        <f>'Schedule 1'!$N$2</f>
        <v>February 25, 2019 Filing</v>
      </c>
    </row>
    <row r="3" spans="1:14" x14ac:dyDescent="0.2">
      <c r="A3" s="24" t="s">
        <v>134</v>
      </c>
      <c r="C3" s="161" t="s">
        <v>5</v>
      </c>
      <c r="D3" s="159"/>
      <c r="E3" s="159"/>
      <c r="F3" s="159"/>
      <c r="G3" s="159"/>
      <c r="H3" s="159"/>
      <c r="I3" s="159"/>
      <c r="J3" s="160"/>
      <c r="K3" s="159"/>
    </row>
    <row r="4" spans="1:14" x14ac:dyDescent="0.2">
      <c r="C4" s="20" t="s">
        <v>134</v>
      </c>
    </row>
    <row r="5" spans="1:14" x14ac:dyDescent="0.2">
      <c r="C5" s="20" t="s">
        <v>134</v>
      </c>
      <c r="M5" s="48"/>
      <c r="N5" s="48"/>
    </row>
    <row r="6" spans="1:14" s="44" customFormat="1" x14ac:dyDescent="0.2">
      <c r="G6" s="225">
        <v>2017</v>
      </c>
      <c r="H6" s="225"/>
      <c r="I6" s="225"/>
      <c r="J6" s="225"/>
      <c r="K6" s="225"/>
      <c r="M6" s="71"/>
      <c r="N6" s="71"/>
    </row>
    <row r="7" spans="1:14" s="15" customFormat="1" ht="25.5" x14ac:dyDescent="0.2">
      <c r="A7" s="14" t="s">
        <v>0</v>
      </c>
      <c r="C7" s="14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  <c r="N7" s="25"/>
    </row>
    <row r="8" spans="1:14" x14ac:dyDescent="0.2">
      <c r="M8" s="48"/>
      <c r="N8" s="48"/>
    </row>
    <row r="9" spans="1:14" x14ac:dyDescent="0.2">
      <c r="A9" s="20">
        <v>1</v>
      </c>
      <c r="C9" s="20" t="s">
        <v>181</v>
      </c>
      <c r="E9" s="44" t="s">
        <v>227</v>
      </c>
      <c r="G9" s="52">
        <v>48543.914055009394</v>
      </c>
      <c r="H9" s="52"/>
      <c r="I9" s="52">
        <f>K9-G9</f>
        <v>657.73389736834361</v>
      </c>
      <c r="J9" s="20"/>
      <c r="K9" s="52">
        <v>49201.647952377738</v>
      </c>
      <c r="M9" s="173" t="s">
        <v>259</v>
      </c>
      <c r="N9" s="92"/>
    </row>
    <row r="10" spans="1:14" x14ac:dyDescent="0.2">
      <c r="J10" s="20"/>
      <c r="N10" s="48"/>
    </row>
    <row r="11" spans="1:14" x14ac:dyDescent="0.2">
      <c r="A11" s="20">
        <v>2</v>
      </c>
      <c r="C11" s="16" t="s">
        <v>98</v>
      </c>
      <c r="J11" s="20"/>
      <c r="N11" s="48"/>
    </row>
    <row r="12" spans="1:14" x14ac:dyDescent="0.2">
      <c r="A12" s="20">
        <v>3</v>
      </c>
      <c r="C12" s="20" t="s">
        <v>53</v>
      </c>
      <c r="E12" s="44" t="s">
        <v>202</v>
      </c>
      <c r="G12" s="52">
        <v>23362.874753166569</v>
      </c>
      <c r="H12" s="52"/>
      <c r="I12" s="52">
        <f t="shared" ref="I12:I17" si="0">K12-G12</f>
        <v>473.06719791308933</v>
      </c>
      <c r="J12" s="20"/>
      <c r="K12" s="52">
        <v>23835.941951079658</v>
      </c>
      <c r="M12" s="173" t="s">
        <v>259</v>
      </c>
      <c r="N12" s="92"/>
    </row>
    <row r="13" spans="1:14" x14ac:dyDescent="0.2">
      <c r="A13" s="20">
        <v>4</v>
      </c>
      <c r="C13" s="20" t="s">
        <v>54</v>
      </c>
      <c r="E13" s="44" t="s">
        <v>83</v>
      </c>
      <c r="G13" s="52">
        <v>695.56769535040007</v>
      </c>
      <c r="H13" s="52"/>
      <c r="I13" s="52">
        <f t="shared" si="0"/>
        <v>-2.7816778170665657</v>
      </c>
      <c r="J13" s="20"/>
      <c r="K13" s="52">
        <v>692.78601753333351</v>
      </c>
      <c r="M13" s="173" t="s">
        <v>259</v>
      </c>
      <c r="N13" s="92"/>
    </row>
    <row r="14" spans="1:14" x14ac:dyDescent="0.2">
      <c r="A14" s="20">
        <v>5</v>
      </c>
      <c r="C14" s="20" t="s">
        <v>129</v>
      </c>
      <c r="E14" s="44" t="s">
        <v>151</v>
      </c>
      <c r="G14" s="52">
        <v>3882.5717284999987</v>
      </c>
      <c r="H14" s="52"/>
      <c r="I14" s="52">
        <f t="shared" si="0"/>
        <v>624.5301325000014</v>
      </c>
      <c r="J14" s="20"/>
      <c r="K14" s="52">
        <v>4507.1018610000001</v>
      </c>
      <c r="L14" s="20" t="s">
        <v>134</v>
      </c>
      <c r="M14" s="173" t="s">
        <v>259</v>
      </c>
      <c r="N14" s="92"/>
    </row>
    <row r="15" spans="1:14" x14ac:dyDescent="0.2">
      <c r="A15" s="150">
        <v>6</v>
      </c>
      <c r="B15" s="150"/>
      <c r="C15" s="150" t="s">
        <v>153</v>
      </c>
      <c r="D15" s="150"/>
      <c r="E15" s="146" t="s">
        <v>154</v>
      </c>
      <c r="F15" s="150"/>
      <c r="G15" s="151">
        <v>478.93700000000001</v>
      </c>
      <c r="H15" s="52"/>
      <c r="I15" s="151">
        <f t="shared" si="0"/>
        <v>0</v>
      </c>
      <c r="J15" s="20"/>
      <c r="K15" s="151">
        <v>478.93700000000001</v>
      </c>
      <c r="M15" s="173" t="s">
        <v>259</v>
      </c>
      <c r="N15" s="92"/>
    </row>
    <row r="16" spans="1:14" x14ac:dyDescent="0.2">
      <c r="A16" s="20">
        <v>7</v>
      </c>
      <c r="C16" s="20" t="s">
        <v>94</v>
      </c>
      <c r="E16" s="44" t="s">
        <v>105</v>
      </c>
      <c r="G16" s="52">
        <v>12216.718041401509</v>
      </c>
      <c r="H16" s="52"/>
      <c r="I16" s="52">
        <f t="shared" si="0"/>
        <v>106.13223859848949</v>
      </c>
      <c r="J16" s="20"/>
      <c r="K16" s="52">
        <v>12322.850279999999</v>
      </c>
      <c r="M16" s="173" t="s">
        <v>259</v>
      </c>
      <c r="N16" s="92"/>
    </row>
    <row r="17" spans="1:14" ht="25.5" x14ac:dyDescent="0.2">
      <c r="A17" s="148">
        <v>8</v>
      </c>
      <c r="B17" s="146"/>
      <c r="C17" s="149" t="s">
        <v>214</v>
      </c>
      <c r="D17" s="146"/>
      <c r="E17" s="146" t="s">
        <v>155</v>
      </c>
      <c r="F17" s="146"/>
      <c r="G17" s="147">
        <v>-5269.4296104285713</v>
      </c>
      <c r="H17" s="147"/>
      <c r="I17" s="147">
        <f t="shared" si="0"/>
        <v>-531.1155195714291</v>
      </c>
      <c r="J17" s="20"/>
      <c r="K17" s="147">
        <v>-5800.5451300000004</v>
      </c>
      <c r="M17" s="173" t="s">
        <v>259</v>
      </c>
      <c r="N17" s="92"/>
    </row>
    <row r="18" spans="1:14" x14ac:dyDescent="0.2">
      <c r="G18" s="42"/>
      <c r="H18" s="26"/>
      <c r="I18" s="42"/>
      <c r="J18" s="20"/>
      <c r="K18" s="42"/>
      <c r="N18" s="92"/>
    </row>
    <row r="19" spans="1:14" s="19" customFormat="1" x14ac:dyDescent="0.2">
      <c r="A19" s="19">
        <v>9</v>
      </c>
      <c r="C19" s="19" t="s">
        <v>32</v>
      </c>
      <c r="E19" s="59"/>
      <c r="G19" s="110">
        <f>SUM(G12:G14)+G16+G17+G15+G18</f>
        <v>35367.239607989897</v>
      </c>
      <c r="H19" s="67"/>
      <c r="I19" s="110">
        <f>K19-G19</f>
        <v>669.83237162309524</v>
      </c>
      <c r="K19" s="110">
        <f>SUM(K12:K14)+K16+K17+K15+K18</f>
        <v>36037.071979612992</v>
      </c>
      <c r="M19" s="173" t="s">
        <v>259</v>
      </c>
      <c r="N19" s="27"/>
    </row>
    <row r="20" spans="1:14" x14ac:dyDescent="0.2">
      <c r="C20" s="20" t="s">
        <v>134</v>
      </c>
      <c r="J20" s="20"/>
      <c r="N20" s="48"/>
    </row>
    <row r="21" spans="1:14" x14ac:dyDescent="0.2">
      <c r="A21" s="19">
        <f>A19+1</f>
        <v>10</v>
      </c>
      <c r="C21" s="16" t="s">
        <v>99</v>
      </c>
      <c r="G21" s="52">
        <f>SUM(G9-G19)</f>
        <v>13176.674447019497</v>
      </c>
      <c r="H21" s="111"/>
      <c r="I21" s="52">
        <f>K21-G21</f>
        <v>-12.098474254751636</v>
      </c>
      <c r="J21" s="20"/>
      <c r="K21" s="52">
        <f>SUM(K9-K19)</f>
        <v>13164.575972764746</v>
      </c>
      <c r="M21" s="173" t="s">
        <v>259</v>
      </c>
      <c r="N21" s="48"/>
    </row>
    <row r="22" spans="1:14" x14ac:dyDescent="0.2">
      <c r="J22" s="20"/>
      <c r="N22" s="48"/>
    </row>
    <row r="23" spans="1:14" x14ac:dyDescent="0.2">
      <c r="A23" s="19">
        <f>A21+1</f>
        <v>11</v>
      </c>
      <c r="C23" s="16" t="s">
        <v>100</v>
      </c>
      <c r="J23" s="20"/>
      <c r="N23" s="48"/>
    </row>
    <row r="24" spans="1:14" x14ac:dyDescent="0.2">
      <c r="A24" s="19">
        <f>A23+1</f>
        <v>12</v>
      </c>
      <c r="C24" s="20" t="s">
        <v>101</v>
      </c>
      <c r="E24" s="44" t="s">
        <v>203</v>
      </c>
      <c r="G24" s="52">
        <v>863.20982205887219</v>
      </c>
      <c r="H24" s="52"/>
      <c r="I24" s="52">
        <f>K24-G24</f>
        <v>-397.60612205887224</v>
      </c>
      <c r="J24" s="20"/>
      <c r="K24" s="52">
        <v>465.60369999999995</v>
      </c>
      <c r="M24" s="173" t="s">
        <v>259</v>
      </c>
      <c r="N24" s="92"/>
    </row>
    <row r="25" spans="1:14" x14ac:dyDescent="0.2">
      <c r="A25" s="19">
        <f t="shared" ref="A25:A26" si="1">A24+1</f>
        <v>13</v>
      </c>
      <c r="C25" s="20" t="s">
        <v>182</v>
      </c>
      <c r="E25" s="44" t="s">
        <v>204</v>
      </c>
      <c r="G25" s="52">
        <v>-31.769462215448822</v>
      </c>
      <c r="H25" s="52"/>
      <c r="I25" s="52">
        <f>K25-G25</f>
        <v>-252.79643000000004</v>
      </c>
      <c r="J25" s="20"/>
      <c r="K25" s="52">
        <v>-284.56589221544886</v>
      </c>
      <c r="L25" s="36"/>
      <c r="M25" s="173" t="s">
        <v>259</v>
      </c>
      <c r="N25" s="48"/>
    </row>
    <row r="26" spans="1:14" x14ac:dyDescent="0.2">
      <c r="A26" s="19">
        <f t="shared" si="1"/>
        <v>14</v>
      </c>
      <c r="C26" s="20" t="s">
        <v>32</v>
      </c>
      <c r="G26" s="76">
        <f>SUM(G24+G25)</f>
        <v>831.44035984342338</v>
      </c>
      <c r="H26" s="26"/>
      <c r="I26" s="76">
        <f>K26-G26</f>
        <v>-650.40255205887229</v>
      </c>
      <c r="J26" s="20"/>
      <c r="K26" s="76">
        <f>SUM(K24+K25)</f>
        <v>181.03780778455109</v>
      </c>
      <c r="N26" s="92"/>
    </row>
    <row r="27" spans="1:14" x14ac:dyDescent="0.2">
      <c r="J27" s="20"/>
      <c r="N27" s="48"/>
    </row>
    <row r="28" spans="1:14" x14ac:dyDescent="0.2">
      <c r="A28" s="19">
        <f>A26+1</f>
        <v>15</v>
      </c>
      <c r="C28" s="16" t="s">
        <v>102</v>
      </c>
      <c r="J28" s="20"/>
      <c r="L28" s="48"/>
      <c r="N28" s="48"/>
    </row>
    <row r="29" spans="1:14" x14ac:dyDescent="0.2">
      <c r="A29" s="19">
        <f>A28+1</f>
        <v>16</v>
      </c>
      <c r="C29" s="20" t="s">
        <v>103</v>
      </c>
      <c r="E29" s="44" t="s">
        <v>205</v>
      </c>
      <c r="G29" s="42">
        <v>3944.712468009333</v>
      </c>
      <c r="H29" s="26"/>
      <c r="I29" s="42">
        <f>K29-G29</f>
        <v>-64.653922758281169</v>
      </c>
      <c r="J29" s="20"/>
      <c r="K29" s="42">
        <v>3880.0585452510518</v>
      </c>
      <c r="L29" s="48"/>
      <c r="M29" s="173" t="s">
        <v>259</v>
      </c>
      <c r="N29" s="92"/>
    </row>
    <row r="30" spans="1:14" x14ac:dyDescent="0.2">
      <c r="A30" s="19">
        <f t="shared" ref="A30" si="2">A29+1</f>
        <v>17</v>
      </c>
      <c r="C30" s="20" t="s">
        <v>32</v>
      </c>
      <c r="G30" s="76">
        <f>SUM(G29:G29)</f>
        <v>3944.712468009333</v>
      </c>
      <c r="H30" s="26"/>
      <c r="I30" s="76">
        <f>K30-G30</f>
        <v>-64.653922758281169</v>
      </c>
      <c r="J30" s="20"/>
      <c r="K30" s="76">
        <f>SUM(K29:K29)</f>
        <v>3880.0585452510518</v>
      </c>
      <c r="L30" s="92" t="s">
        <v>134</v>
      </c>
      <c r="N30" s="92"/>
    </row>
    <row r="31" spans="1:14" x14ac:dyDescent="0.2">
      <c r="E31" s="21"/>
      <c r="J31" s="20"/>
      <c r="L31" s="48"/>
      <c r="N31" s="48"/>
    </row>
    <row r="32" spans="1:14" ht="13.5" thickBot="1" x14ac:dyDescent="0.25">
      <c r="A32" s="19">
        <f>A30+1</f>
        <v>18</v>
      </c>
      <c r="C32" s="16" t="s">
        <v>104</v>
      </c>
      <c r="E32" s="44" t="s">
        <v>212</v>
      </c>
      <c r="G32" s="80">
        <f>SUM(G21+G26-G30)</f>
        <v>10063.402338853588</v>
      </c>
      <c r="H32" s="78"/>
      <c r="I32" s="80">
        <f>K32-G32</f>
        <v>-597.84710355534298</v>
      </c>
      <c r="J32" s="20"/>
      <c r="K32" s="80">
        <f>SUM(K21+K26-K30)</f>
        <v>9465.555235298245</v>
      </c>
      <c r="M32" s="173" t="s">
        <v>259</v>
      </c>
      <c r="N32" s="92"/>
    </row>
    <row r="33" spans="1:14" x14ac:dyDescent="0.2">
      <c r="A33" s="20" t="s">
        <v>134</v>
      </c>
      <c r="C33" s="20" t="s">
        <v>134</v>
      </c>
      <c r="M33" s="48"/>
      <c r="N33" s="48"/>
    </row>
    <row r="34" spans="1:14" x14ac:dyDescent="0.2">
      <c r="A34" s="60"/>
      <c r="C34" s="228" t="s">
        <v>232</v>
      </c>
      <c r="D34" s="228"/>
      <c r="E34" s="228"/>
      <c r="F34" s="228"/>
      <c r="G34" s="228"/>
      <c r="H34" s="228"/>
      <c r="I34" s="228"/>
      <c r="J34" s="228"/>
      <c r="K34" s="228"/>
      <c r="M34" s="48"/>
      <c r="N34" s="48"/>
    </row>
    <row r="35" spans="1:14" ht="27.75" customHeight="1" x14ac:dyDescent="0.2">
      <c r="C35" s="226" t="s">
        <v>210</v>
      </c>
      <c r="D35" s="226"/>
      <c r="E35" s="226"/>
      <c r="F35" s="226"/>
      <c r="G35" s="226"/>
      <c r="H35" s="226"/>
      <c r="I35" s="226"/>
      <c r="J35" s="226"/>
      <c r="K35" s="226"/>
    </row>
    <row r="36" spans="1:14" x14ac:dyDescent="0.2">
      <c r="G36" s="112"/>
      <c r="H36" s="112"/>
      <c r="I36" s="112"/>
      <c r="J36" s="113"/>
      <c r="K36" s="112"/>
    </row>
    <row r="37" spans="1:14" x14ac:dyDescent="0.2">
      <c r="G37" s="19"/>
      <c r="H37" s="19"/>
      <c r="I37" s="19"/>
      <c r="K37" s="19"/>
    </row>
    <row r="38" spans="1:14" x14ac:dyDescent="0.2">
      <c r="G38" s="94"/>
      <c r="H38" s="94"/>
      <c r="I38" s="94"/>
      <c r="K38" s="94"/>
    </row>
    <row r="39" spans="1:14" x14ac:dyDescent="0.2">
      <c r="C39" s="13" t="s">
        <v>134</v>
      </c>
      <c r="G39" s="94"/>
      <c r="H39" s="94"/>
      <c r="I39" s="94"/>
      <c r="J39" s="92"/>
      <c r="K39" s="94"/>
      <c r="N39" s="36"/>
    </row>
    <row r="40" spans="1:14" x14ac:dyDescent="0.2">
      <c r="C40" s="13" t="s">
        <v>134</v>
      </c>
      <c r="G40" s="94"/>
      <c r="H40" s="94"/>
      <c r="I40" s="94"/>
      <c r="J40" s="92"/>
      <c r="K40" s="94"/>
      <c r="N40" s="36"/>
    </row>
    <row r="41" spans="1:14" x14ac:dyDescent="0.2">
      <c r="G41" s="94"/>
      <c r="H41" s="94"/>
      <c r="I41" s="94"/>
      <c r="K41" s="94"/>
    </row>
    <row r="42" spans="1:14" x14ac:dyDescent="0.2">
      <c r="G42" s="94"/>
      <c r="H42" s="94"/>
      <c r="I42" s="94"/>
      <c r="K42" s="94"/>
    </row>
    <row r="43" spans="1:14" x14ac:dyDescent="0.2">
      <c r="G43" s="94"/>
      <c r="H43" s="94"/>
      <c r="I43" s="94"/>
      <c r="K43" s="94"/>
    </row>
  </sheetData>
  <mergeCells count="3">
    <mergeCell ref="C34:K34"/>
    <mergeCell ref="C35:K35"/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  <pageSetUpPr fitToPage="1"/>
  </sheetPr>
  <dimension ref="A1:N33"/>
  <sheetViews>
    <sheetView view="pageBreakPreview" zoomScaleSheetLayoutView="100" workbookViewId="0">
      <selection activeCell="I2" sqref="I2"/>
    </sheetView>
  </sheetViews>
  <sheetFormatPr defaultRowHeight="12.75" x14ac:dyDescent="0.2"/>
  <cols>
    <col min="1" max="1" width="5.28515625" style="20" customWidth="1"/>
    <col min="2" max="2" width="1.85546875" style="12" customWidth="1"/>
    <col min="3" max="3" width="31.85546875" style="12" customWidth="1"/>
    <col min="4" max="4" width="1.85546875" style="12" customWidth="1"/>
    <col min="5" max="5" width="9.140625" style="44"/>
    <col min="6" max="6" width="1.85546875" style="12" customWidth="1"/>
    <col min="7" max="7" width="11.5703125" style="12" customWidth="1"/>
    <col min="8" max="8" width="2" style="12" customWidth="1"/>
    <col min="9" max="9" width="11.5703125" style="12" customWidth="1"/>
    <col min="10" max="10" width="2.140625" style="45" customWidth="1"/>
    <col min="11" max="11" width="11.5703125" style="12" customWidth="1"/>
    <col min="12" max="12" width="1.85546875" style="12" customWidth="1"/>
    <col min="13" max="13" width="41.28515625" style="12" customWidth="1"/>
    <col min="14" max="14" width="11.28515625" style="12" customWidth="1"/>
    <col min="15" max="16384" width="9.140625" style="12"/>
  </cols>
  <sheetData>
    <row r="1" spans="1:14" ht="15.75" x14ac:dyDescent="0.25">
      <c r="C1" s="166" t="s">
        <v>233</v>
      </c>
      <c r="D1" s="167"/>
      <c r="E1" s="159"/>
      <c r="F1" s="167"/>
      <c r="G1" s="167"/>
      <c r="H1" s="167"/>
      <c r="I1" s="167"/>
      <c r="J1" s="168"/>
      <c r="K1" s="167"/>
      <c r="M1" s="46" t="s">
        <v>16</v>
      </c>
    </row>
    <row r="2" spans="1:14" x14ac:dyDescent="0.2">
      <c r="C2" s="169" t="s">
        <v>17</v>
      </c>
      <c r="D2" s="167"/>
      <c r="E2" s="159"/>
      <c r="F2" s="167"/>
      <c r="G2" s="167"/>
      <c r="H2" s="167"/>
      <c r="I2" s="167"/>
      <c r="J2" s="168"/>
      <c r="K2" s="167"/>
      <c r="M2" s="47" t="str">
        <f>'Schedule 1'!$N$2</f>
        <v>February 25, 2019 Filing</v>
      </c>
    </row>
    <row r="3" spans="1:14" x14ac:dyDescent="0.2">
      <c r="C3" s="169" t="s">
        <v>5</v>
      </c>
      <c r="D3" s="167"/>
      <c r="E3" s="159"/>
      <c r="F3" s="167"/>
      <c r="G3" s="167"/>
      <c r="H3" s="167"/>
      <c r="I3" s="167"/>
      <c r="J3" s="168"/>
      <c r="K3" s="167"/>
    </row>
    <row r="4" spans="1:14" x14ac:dyDescent="0.2">
      <c r="M4" s="45"/>
      <c r="N4" s="45"/>
    </row>
    <row r="5" spans="1:14" x14ac:dyDescent="0.2">
      <c r="M5" s="45"/>
      <c r="N5" s="45"/>
    </row>
    <row r="6" spans="1:14" s="43" customFormat="1" x14ac:dyDescent="0.2">
      <c r="A6" s="44"/>
      <c r="E6" s="44"/>
      <c r="G6" s="225">
        <v>2017</v>
      </c>
      <c r="H6" s="225"/>
      <c r="I6" s="225"/>
      <c r="J6" s="225"/>
      <c r="K6" s="225"/>
      <c r="M6" s="9"/>
      <c r="N6" s="9"/>
    </row>
    <row r="7" spans="1:14" s="2" customFormat="1" ht="25.5" x14ac:dyDescent="0.2">
      <c r="A7" s="14" t="s">
        <v>0</v>
      </c>
      <c r="C7" s="1" t="s">
        <v>1</v>
      </c>
      <c r="E7" s="14" t="s">
        <v>2</v>
      </c>
      <c r="G7" s="157" t="s">
        <v>221</v>
      </c>
      <c r="H7" s="162"/>
      <c r="I7" s="157" t="s">
        <v>222</v>
      </c>
      <c r="J7" s="162"/>
      <c r="K7" s="157" t="s">
        <v>223</v>
      </c>
      <c r="M7" s="157" t="s">
        <v>220</v>
      </c>
      <c r="N7" s="10"/>
    </row>
    <row r="8" spans="1:14" x14ac:dyDescent="0.2">
      <c r="G8" s="20"/>
      <c r="H8" s="20"/>
      <c r="I8" s="20"/>
      <c r="J8" s="48"/>
      <c r="K8" s="20"/>
      <c r="M8" s="45"/>
      <c r="N8" s="45"/>
    </row>
    <row r="9" spans="1:14" x14ac:dyDescent="0.2">
      <c r="A9" s="20">
        <v>1</v>
      </c>
      <c r="C9" s="12" t="s">
        <v>69</v>
      </c>
      <c r="G9" s="52">
        <v>51037.409481141745</v>
      </c>
      <c r="H9" s="52"/>
      <c r="I9" s="52">
        <f>K9-G9</f>
        <v>0</v>
      </c>
      <c r="J9" s="12"/>
      <c r="K9" s="52">
        <v>51037.409481141745</v>
      </c>
      <c r="M9" s="173" t="s">
        <v>259</v>
      </c>
      <c r="N9" s="45"/>
    </row>
    <row r="10" spans="1:14" x14ac:dyDescent="0.2">
      <c r="G10" s="20"/>
      <c r="H10" s="20"/>
      <c r="I10" s="20"/>
      <c r="J10" s="12"/>
      <c r="K10" s="20"/>
      <c r="M10" s="20"/>
      <c r="N10" s="45"/>
    </row>
    <row r="11" spans="1:14" x14ac:dyDescent="0.2">
      <c r="C11" s="12" t="s">
        <v>40</v>
      </c>
      <c r="G11" s="20"/>
      <c r="H11" s="20"/>
      <c r="I11" s="20"/>
      <c r="J11" s="12"/>
      <c r="K11" s="20"/>
      <c r="M11" s="173"/>
      <c r="N11" s="45"/>
    </row>
    <row r="12" spans="1:14" x14ac:dyDescent="0.2">
      <c r="A12" s="20">
        <v>2</v>
      </c>
      <c r="C12" s="12" t="s">
        <v>104</v>
      </c>
      <c r="E12" s="44" t="s">
        <v>213</v>
      </c>
      <c r="G12" s="26">
        <v>10063.402338853588</v>
      </c>
      <c r="H12" s="26"/>
      <c r="I12" s="26">
        <f>K12-G12</f>
        <v>-597.84710355534298</v>
      </c>
      <c r="J12" s="12"/>
      <c r="K12" s="26">
        <v>9465.555235298245</v>
      </c>
      <c r="M12" s="173" t="s">
        <v>259</v>
      </c>
      <c r="N12" s="45"/>
    </row>
    <row r="13" spans="1:14" x14ac:dyDescent="0.2">
      <c r="A13" s="20">
        <v>3</v>
      </c>
      <c r="C13" s="12" t="s">
        <v>253</v>
      </c>
      <c r="E13" s="44" t="s">
        <v>213</v>
      </c>
      <c r="G13" s="42">
        <v>0</v>
      </c>
      <c r="H13" s="26"/>
      <c r="I13" s="42">
        <f>K13-G13</f>
        <v>251.78700000000001</v>
      </c>
      <c r="J13" s="12"/>
      <c r="K13" s="42">
        <v>251.78700000000001</v>
      </c>
      <c r="M13" s="173" t="s">
        <v>259</v>
      </c>
      <c r="N13" s="58"/>
    </row>
    <row r="14" spans="1:14" x14ac:dyDescent="0.2">
      <c r="A14" s="20">
        <v>4</v>
      </c>
      <c r="C14" s="12" t="s">
        <v>254</v>
      </c>
      <c r="G14" s="52">
        <f>SUM(G9:G13)</f>
        <v>61100.811819995331</v>
      </c>
      <c r="H14" s="52"/>
      <c r="I14" s="52">
        <f>K14-G14</f>
        <v>-346.0601035553409</v>
      </c>
      <c r="J14" s="12"/>
      <c r="K14" s="52">
        <f>SUM(K9:K13)</f>
        <v>60754.751716439991</v>
      </c>
      <c r="M14" s="20"/>
      <c r="N14" s="45"/>
    </row>
    <row r="15" spans="1:14" x14ac:dyDescent="0.2">
      <c r="G15" s="20"/>
      <c r="H15" s="20"/>
      <c r="I15" s="20"/>
      <c r="J15" s="12"/>
      <c r="K15" s="20"/>
      <c r="M15" s="20"/>
      <c r="N15" s="45"/>
    </row>
    <row r="16" spans="1:14" x14ac:dyDescent="0.2">
      <c r="C16" s="12" t="s">
        <v>106</v>
      </c>
      <c r="G16" s="20"/>
      <c r="H16" s="20"/>
      <c r="I16" s="20"/>
      <c r="J16" s="12"/>
      <c r="K16" s="20"/>
      <c r="M16" s="20"/>
      <c r="N16" s="45"/>
    </row>
    <row r="17" spans="1:14" x14ac:dyDescent="0.2">
      <c r="A17" s="150">
        <v>5</v>
      </c>
      <c r="B17" s="179"/>
      <c r="C17" s="150" t="s">
        <v>219</v>
      </c>
      <c r="D17" s="179"/>
      <c r="E17" s="146"/>
      <c r="F17" s="179"/>
      <c r="G17" s="174">
        <v>0</v>
      </c>
      <c r="H17" s="171"/>
      <c r="I17" s="174">
        <f>K17-G17</f>
        <v>0</v>
      </c>
      <c r="J17" s="179"/>
      <c r="K17" s="174">
        <v>0</v>
      </c>
      <c r="M17" s="173"/>
      <c r="N17" s="45"/>
    </row>
    <row r="18" spans="1:14" x14ac:dyDescent="0.2">
      <c r="G18" s="20"/>
      <c r="H18" s="20"/>
      <c r="I18" s="20"/>
      <c r="J18" s="12"/>
      <c r="K18" s="20"/>
      <c r="M18" s="20"/>
      <c r="N18" s="45"/>
    </row>
    <row r="19" spans="1:14" ht="13.5" thickBot="1" x14ac:dyDescent="0.25">
      <c r="A19" s="20">
        <v>6</v>
      </c>
      <c r="C19" s="12" t="s">
        <v>70</v>
      </c>
      <c r="G19" s="80">
        <f>SUM(G14-G17)</f>
        <v>61100.811819995331</v>
      </c>
      <c r="H19" s="78"/>
      <c r="I19" s="80">
        <f>K19-G19</f>
        <v>-346.0601035553409</v>
      </c>
      <c r="J19" s="12"/>
      <c r="K19" s="80">
        <f>SUM(K14-K17)</f>
        <v>60754.751716439991</v>
      </c>
      <c r="M19" s="20"/>
      <c r="N19" s="45"/>
    </row>
    <row r="20" spans="1:14" x14ac:dyDescent="0.2">
      <c r="J20" s="12"/>
      <c r="M20" s="20"/>
      <c r="N20" s="45"/>
    </row>
    <row r="21" spans="1:14" x14ac:dyDescent="0.2">
      <c r="J21" s="12"/>
      <c r="M21" s="20"/>
      <c r="N21" s="45"/>
    </row>
    <row r="22" spans="1:14" x14ac:dyDescent="0.2">
      <c r="B22" s="20"/>
      <c r="C22" s="16" t="s">
        <v>107</v>
      </c>
      <c r="J22" s="12"/>
      <c r="M22" s="20"/>
    </row>
    <row r="23" spans="1:14" x14ac:dyDescent="0.2">
      <c r="A23" s="20">
        <f>A19+1</f>
        <v>7</v>
      </c>
      <c r="B23" s="20"/>
      <c r="C23" s="20" t="s">
        <v>108</v>
      </c>
      <c r="G23" s="52">
        <v>54948.49044634882</v>
      </c>
      <c r="H23" s="52"/>
      <c r="I23" s="52">
        <f>K23-G23</f>
        <v>-912.01039558881894</v>
      </c>
      <c r="J23" s="12"/>
      <c r="K23" s="52">
        <v>54036.480050760001</v>
      </c>
      <c r="M23" s="173" t="s">
        <v>259</v>
      </c>
    </row>
    <row r="24" spans="1:14" x14ac:dyDescent="0.2">
      <c r="A24" s="20">
        <f>A23+1</f>
        <v>8</v>
      </c>
      <c r="B24" s="20"/>
      <c r="C24" s="20" t="s">
        <v>109</v>
      </c>
      <c r="G24" s="26">
        <f>G19</f>
        <v>61100.811819995331</v>
      </c>
      <c r="H24" s="26"/>
      <c r="I24" s="26">
        <f>K24-G24</f>
        <v>-346.0601035553409</v>
      </c>
      <c r="J24" s="12"/>
      <c r="K24" s="26">
        <f>K19</f>
        <v>60754.751716439991</v>
      </c>
      <c r="M24" s="173" t="s">
        <v>259</v>
      </c>
    </row>
    <row r="25" spans="1:14" x14ac:dyDescent="0.2">
      <c r="A25" s="20">
        <f>A24+1</f>
        <v>9</v>
      </c>
      <c r="B25" s="20"/>
      <c r="C25" s="20" t="s">
        <v>32</v>
      </c>
      <c r="G25" s="76">
        <f>SUM(G23:G24)</f>
        <v>116049.30226634415</v>
      </c>
      <c r="H25" s="26"/>
      <c r="I25" s="76">
        <f>K25-G25</f>
        <v>-1258.0704991441598</v>
      </c>
      <c r="J25" s="12"/>
      <c r="K25" s="76">
        <f>SUM(K23:K24)</f>
        <v>114791.23176719999</v>
      </c>
    </row>
    <row r="28" spans="1:14" x14ac:dyDescent="0.2">
      <c r="C28" s="12" t="s">
        <v>198</v>
      </c>
    </row>
    <row r="29" spans="1:14" x14ac:dyDescent="0.2">
      <c r="C29" s="12" t="s">
        <v>215</v>
      </c>
    </row>
    <row r="32" spans="1:14" x14ac:dyDescent="0.2">
      <c r="I32" s="208"/>
    </row>
    <row r="33" spans="9:9" x14ac:dyDescent="0.2">
      <c r="I33" s="20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2013-06-19T19:06:04Z</dcterms:created>
  <dcterms:modified xsi:type="dcterms:W3CDTF">2019-02-25T17:14:04Z</dcterms:modified>
</cp:coreProperties>
</file>