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updateLinks="never" codeName="ThisWorkbook" defaultThemeVersion="124226"/>
  <xr:revisionPtr revIDLastSave="0" documentId="13_ncr:1_{88FC0126-8DCF-40E4-AFAB-5C7BF27ECF64}" xr6:coauthVersionLast="47" xr6:coauthVersionMax="47" xr10:uidLastSave="{00000000-0000-0000-0000-000000000000}"/>
  <bookViews>
    <workbookView xWindow="19090" yWindow="-230" windowWidth="19420" windowHeight="10420" tabRatio="728" xr2:uid="{00000000-000D-0000-FFFF-FFFF00000000}"/>
  </bookViews>
  <sheets>
    <sheet name="Index" sheetId="31" r:id="rId1"/>
    <sheet name="Schedule 1" sheetId="14" r:id="rId2"/>
    <sheet name="Schedule 2" sheetId="11" r:id="rId3"/>
    <sheet name="Schedule 2A" sheetId="12" r:id="rId4"/>
    <sheet name="Schedule 3" sheetId="13" r:id="rId5"/>
    <sheet name="Schedule 3A - 2025" sheetId="42" r:id="rId6"/>
    <sheet name="Schedule 3A - 2026" sheetId="51" r:id="rId7"/>
    <sheet name="Schedule 3A - 2027" sheetId="52" r:id="rId8"/>
    <sheet name="Schedule 3B - 2025" sheetId="50" r:id="rId9"/>
    <sheet name="Schedule 3B - 2026" sheetId="53" r:id="rId10"/>
    <sheet name="Schedule 3B - 2027" sheetId="54" r:id="rId11"/>
    <sheet name="Schedule 4" sheetId="29" r:id="rId12"/>
    <sheet name="Schedule 5" sheetId="18" r:id="rId13"/>
    <sheet name="Schedule 6" sheetId="19" r:id="rId14"/>
    <sheet name="Schedule 7" sheetId="20" r:id="rId15"/>
    <sheet name="Schedule 8" sheetId="23" r:id="rId16"/>
    <sheet name="Schedule 9" sheetId="25" r:id="rId17"/>
    <sheet name="Schedule 10" sheetId="27" r:id="rId18"/>
    <sheet name="Schedule 10A" sheetId="38" r:id="rId19"/>
    <sheet name="Schedule 11" sheetId="36" r:id="rId20"/>
  </sheets>
  <definedNames>
    <definedName name="_Key1" hidden="1">#REF!</definedName>
    <definedName name="_Order1" hidden="1">255</definedName>
    <definedName name="_Sort" hidden="1">#REF!</definedName>
    <definedName name="NvsASD">"V1999-06-30"</definedName>
    <definedName name="NvsAutoDrillOk">"VN"</definedName>
    <definedName name="NvsElapsedTime">0.000781365735747386</definedName>
    <definedName name="NvsEndTime">36349.6769064815</definedName>
    <definedName name="NvsInstSpec">"%"</definedName>
    <definedName name="NvsLayoutType">"M3"</definedName>
    <definedName name="NvsPanelEffdt">"V1997-01-01"</definedName>
    <definedName name="NvsPanelSetid">"VYEC"</definedName>
    <definedName name="NvsReqBU">"VYEC"</definedName>
    <definedName name="NvsReqBUOnly">"VY"</definedName>
    <definedName name="NvsTransLed">"VN"</definedName>
    <definedName name="NvsTreeASD">"V1999-06-30"</definedName>
    <definedName name="page6_7" localSheetId="8">#REF!,#REF!</definedName>
    <definedName name="page6_7" localSheetId="9">#REF!,#REF!</definedName>
    <definedName name="page6_7" localSheetId="10">#REF!,#REF!</definedName>
    <definedName name="page6_7">#REF!,#REF!</definedName>
    <definedName name="_xlnm.Print_Area" localSheetId="0">Index!$B$1:$J$36</definedName>
    <definedName name="_xlnm.Print_Area" localSheetId="1">'Schedule 1'!$A$1:$M$51</definedName>
    <definedName name="_xlnm.Print_Area" localSheetId="17">'Schedule 10'!$A$1:$M$36</definedName>
    <definedName name="_xlnm.Print_Area" localSheetId="18">'Schedule 10A'!$A$1:$M$23</definedName>
    <definedName name="_xlnm.Print_Area" localSheetId="19">'Schedule 11'!$A$1:$M$65</definedName>
    <definedName name="_xlnm.Print_Area" localSheetId="2">'Schedule 2'!$A$1:$M$22</definedName>
    <definedName name="_xlnm.Print_Area" localSheetId="3">'Schedule 2A'!$A$1:$M$30</definedName>
    <definedName name="_xlnm.Print_Area" localSheetId="4">'Schedule 3'!$A$1:$M$117</definedName>
    <definedName name="_xlnm.Print_Area" localSheetId="5">'Schedule 3A - 2025'!$A$1:$H$151</definedName>
    <definedName name="_xlnm.Print_Area" localSheetId="6">'Schedule 3A - 2026'!$A$1:$H$151</definedName>
    <definedName name="_xlnm.Print_Area" localSheetId="7">'Schedule 3A - 2027'!$A$1:$H$151</definedName>
    <definedName name="_xlnm.Print_Area" localSheetId="8">'Schedule 3B - 2025'!$A$1:$K$124</definedName>
    <definedName name="_xlnm.Print_Area" localSheetId="9">'Schedule 3B - 2026'!$A$1:$K$117</definedName>
    <definedName name="_xlnm.Print_Area" localSheetId="10">'Schedule 3B - 2027'!$A$1:$K$110</definedName>
    <definedName name="_xlnm.Print_Area" localSheetId="11">'Schedule 4'!$A$1:$R$60</definedName>
    <definedName name="_xlnm.Print_Area" localSheetId="12">'Schedule 5'!$A$1:$M$29</definedName>
    <definedName name="_xlnm.Print_Area" localSheetId="13">'Schedule 6'!$A$1:$M$35</definedName>
    <definedName name="_xlnm.Print_Area" localSheetId="14">'Schedule 7'!$A$1:$M$30</definedName>
    <definedName name="_xlnm.Print_Area" localSheetId="15">'Schedule 8'!$A$1:$M$24</definedName>
    <definedName name="_xlnm.Print_Area" localSheetId="16">'Schedule 9'!$A$1:$K$63</definedName>
    <definedName name="_xlnm.Print_Titles" localSheetId="1">'Schedule 1'!$1:$7</definedName>
    <definedName name="_xlnm.Print_Titles" localSheetId="4">'Schedule 3'!$7:$8</definedName>
    <definedName name="_xlnm.Print_Titles" localSheetId="5">'Schedule 3A - 2025'!$1:$6</definedName>
    <definedName name="_xlnm.Print_Titles" localSheetId="6">'Schedule 3A - 2026'!$1:$6</definedName>
    <definedName name="_xlnm.Print_Titles" localSheetId="7">'Schedule 3A - 2027'!$1:$6</definedName>
    <definedName name="_xlnm.Print_Titles" localSheetId="8">'Schedule 3B - 2025'!$1:$7</definedName>
    <definedName name="_xlnm.Print_Titles" localSheetId="9">'Schedule 3B - 2026'!$1:$7</definedName>
    <definedName name="_xlnm.Print_Titles" localSheetId="10">'Schedule 3B - 2027'!$1:$7</definedName>
    <definedName name="Z_2E51B7C0_6CEE_11D3_AD1A_A5A650036065_.wvu.Cols" localSheetId="8" hidden="1">#REF!</definedName>
    <definedName name="Z_2E51B7C0_6CEE_11D3_AD1A_A5A650036065_.wvu.Cols" localSheetId="9" hidden="1">#REF!</definedName>
    <definedName name="Z_2E51B7C0_6CEE_11D3_AD1A_A5A650036065_.wvu.Cols" localSheetId="10" hidden="1">#REF!</definedName>
    <definedName name="Z_2E51B7C0_6CEE_11D3_AD1A_A5A650036065_.wvu.Cols" hidden="1">#REF!</definedName>
    <definedName name="Z_418DF6FE_13EF_11D2_8C37_00A0C92A9A63_.wvu.PrintArea" localSheetId="8" hidden="1">#REF!</definedName>
    <definedName name="Z_418DF6FE_13EF_11D2_8C37_00A0C92A9A63_.wvu.PrintArea" localSheetId="9" hidden="1">#REF!</definedName>
    <definedName name="Z_418DF6FE_13EF_11D2_8C37_00A0C92A9A63_.wvu.PrintArea" localSheetId="10" hidden="1">#REF!</definedName>
    <definedName name="Z_418DF6FE_13EF_11D2_8C37_00A0C92A9A63_.wvu.PrintArea" hidden="1">#REF!</definedName>
    <definedName name="Z_418DF6FE_13EF_11D2_8C37_00A0C92A9A63_.wvu.PrintTitles" localSheetId="8" hidden="1">#REF!</definedName>
    <definedName name="Z_418DF6FE_13EF_11D2_8C37_00A0C92A9A63_.wvu.PrintTitles" localSheetId="9" hidden="1">#REF!</definedName>
    <definedName name="Z_418DF6FE_13EF_11D2_8C37_00A0C92A9A63_.wvu.PrintTitles" localSheetId="10" hidden="1">#REF!</definedName>
    <definedName name="Z_418DF6FE_13EF_11D2_8C37_00A0C92A9A63_.wvu.PrintTitles" hidden="1">#REF!</definedName>
    <definedName name="Z_418DF6FE_13EF_11D2_8C37_00A0C92A9A63_.wvu.Rows" localSheetId="8" hidden="1">#REF!,#REF!,#REF!,#REF!,#REF!,#REF!,#REF!</definedName>
    <definedName name="Z_418DF6FE_13EF_11D2_8C37_00A0C92A9A63_.wvu.Rows" localSheetId="9" hidden="1">#REF!,#REF!,#REF!,#REF!,#REF!,#REF!,#REF!</definedName>
    <definedName name="Z_418DF6FE_13EF_11D2_8C37_00A0C92A9A63_.wvu.Rows" localSheetId="10" hidden="1">#REF!,#REF!,#REF!,#REF!,#REF!,#REF!,#REF!</definedName>
    <definedName name="Z_418DF6FE_13EF_11D2_8C37_00A0C92A9A63_.wvu.Rows" hidden="1">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" i="29" l="1"/>
  <c r="K58" i="29"/>
  <c r="K49" i="29"/>
  <c r="K51" i="29" s="1"/>
  <c r="K40" i="29"/>
  <c r="K42" i="29" s="1"/>
  <c r="K13" i="29"/>
  <c r="K15" i="29" s="1"/>
  <c r="I13" i="29" l="1"/>
  <c r="G85" i="13" l="1"/>
  <c r="G105" i="13"/>
  <c r="D17" i="31" l="1"/>
  <c r="D16" i="31"/>
  <c r="D99" i="54"/>
  <c r="D85" i="54"/>
  <c r="D69" i="54"/>
  <c r="D58" i="54"/>
  <c r="E7" i="54"/>
  <c r="J6" i="54"/>
  <c r="J2" i="54"/>
  <c r="D106" i="53"/>
  <c r="D91" i="53"/>
  <c r="D76" i="53"/>
  <c r="D65" i="53"/>
  <c r="E7" i="53"/>
  <c r="J6" i="53"/>
  <c r="J2" i="53"/>
  <c r="D81" i="50"/>
  <c r="D91" i="54" l="1"/>
  <c r="D102" i="54" s="1"/>
  <c r="D98" i="53"/>
  <c r="D109" i="53" s="1"/>
  <c r="C91" i="53"/>
  <c r="B86" i="50" l="1"/>
  <c r="B109" i="50" l="1"/>
  <c r="B110" i="50" l="1"/>
  <c r="B81" i="50" l="1"/>
  <c r="J78" i="50"/>
  <c r="E78" i="50"/>
  <c r="B72" i="53" s="1"/>
  <c r="J49" i="50"/>
  <c r="J46" i="50"/>
  <c r="J41" i="50"/>
  <c r="J40" i="50"/>
  <c r="J39" i="50"/>
  <c r="J38" i="50"/>
  <c r="J37" i="50"/>
  <c r="J34" i="50"/>
  <c r="E49" i="50"/>
  <c r="B44" i="53" s="1"/>
  <c r="E48" i="50"/>
  <c r="B43" i="53" s="1"/>
  <c r="E47" i="50"/>
  <c r="B42" i="53" s="1"/>
  <c r="E46" i="50"/>
  <c r="B41" i="53" s="1"/>
  <c r="E41" i="53" s="1"/>
  <c r="B34" i="54" s="1"/>
  <c r="E45" i="50"/>
  <c r="B40" i="53" s="1"/>
  <c r="J43" i="50"/>
  <c r="E40" i="50"/>
  <c r="B35" i="53" s="1"/>
  <c r="E35" i="53" s="1"/>
  <c r="B28" i="54" s="1"/>
  <c r="E38" i="50"/>
  <c r="B33" i="53" s="1"/>
  <c r="E37" i="50"/>
  <c r="B32" i="53" s="1"/>
  <c r="E35" i="50"/>
  <c r="B30" i="53" s="1"/>
  <c r="E44" i="50"/>
  <c r="B39" i="53" s="1"/>
  <c r="E43" i="50"/>
  <c r="B38" i="53" s="1"/>
  <c r="E42" i="50"/>
  <c r="B37" i="53" s="1"/>
  <c r="E41" i="50"/>
  <c r="B36" i="53" s="1"/>
  <c r="E39" i="50"/>
  <c r="B34" i="53" s="1"/>
  <c r="E34" i="53" s="1"/>
  <c r="B27" i="54" s="1"/>
  <c r="E27" i="54" s="1"/>
  <c r="E36" i="50"/>
  <c r="B31" i="53" s="1"/>
  <c r="E34" i="50"/>
  <c r="B29" i="53" s="1"/>
  <c r="E29" i="53" s="1"/>
  <c r="B22" i="54" s="1"/>
  <c r="J33" i="50"/>
  <c r="J32" i="50"/>
  <c r="J31" i="50"/>
  <c r="J30" i="50"/>
  <c r="J28" i="50"/>
  <c r="J27" i="50"/>
  <c r="E33" i="50"/>
  <c r="B28" i="53" s="1"/>
  <c r="E32" i="50"/>
  <c r="B27" i="53" s="1"/>
  <c r="E31" i="50"/>
  <c r="B26" i="53" s="1"/>
  <c r="E30" i="50"/>
  <c r="B25" i="53" s="1"/>
  <c r="E29" i="50"/>
  <c r="B24" i="53" s="1"/>
  <c r="E28" i="50"/>
  <c r="B23" i="53" s="1"/>
  <c r="E23" i="53" s="1"/>
  <c r="B16" i="54" s="1"/>
  <c r="E27" i="50"/>
  <c r="B22" i="53" s="1"/>
  <c r="E7" i="50"/>
  <c r="J44" i="53" l="1"/>
  <c r="J25" i="53"/>
  <c r="J26" i="53"/>
  <c r="J72" i="53"/>
  <c r="J28" i="53"/>
  <c r="J32" i="53"/>
  <c r="J33" i="53"/>
  <c r="J27" i="53"/>
  <c r="J38" i="53"/>
  <c r="J34" i="53"/>
  <c r="J35" i="53"/>
  <c r="J36" i="53"/>
  <c r="J23" i="53"/>
  <c r="J22" i="53"/>
  <c r="J29" i="53"/>
  <c r="E28" i="53"/>
  <c r="B21" i="54" s="1"/>
  <c r="E21" i="54" s="1"/>
  <c r="E44" i="53"/>
  <c r="B37" i="54" s="1"/>
  <c r="E37" i="54" s="1"/>
  <c r="E27" i="53"/>
  <c r="B20" i="54" s="1"/>
  <c r="E20" i="54" s="1"/>
  <c r="E37" i="53"/>
  <c r="B30" i="54" s="1"/>
  <c r="E30" i="54" s="1"/>
  <c r="E30" i="53"/>
  <c r="B23" i="54" s="1"/>
  <c r="E23" i="54" s="1"/>
  <c r="E72" i="53"/>
  <c r="B65" i="54" s="1"/>
  <c r="E26" i="53"/>
  <c r="B19" i="54" s="1"/>
  <c r="E19" i="54" s="1"/>
  <c r="E34" i="54"/>
  <c r="E22" i="53"/>
  <c r="B15" i="54" s="1"/>
  <c r="E15" i="54" s="1"/>
  <c r="E70" i="53"/>
  <c r="E32" i="53"/>
  <c r="B25" i="54" s="1"/>
  <c r="E25" i="54" s="1"/>
  <c r="E33" i="53"/>
  <c r="B26" i="54" s="1"/>
  <c r="E26" i="54" s="1"/>
  <c r="E16" i="54"/>
  <c r="E28" i="54"/>
  <c r="E24" i="53"/>
  <c r="B17" i="54" s="1"/>
  <c r="E17" i="54" s="1"/>
  <c r="E22" i="54"/>
  <c r="E25" i="53"/>
  <c r="B18" i="54" s="1"/>
  <c r="E18" i="54" s="1"/>
  <c r="E31" i="53"/>
  <c r="B24" i="54" s="1"/>
  <c r="E24" i="54" s="1"/>
  <c r="E36" i="53"/>
  <c r="B29" i="54" s="1"/>
  <c r="E29" i="54" s="1"/>
  <c r="E40" i="53"/>
  <c r="B33" i="54" s="1"/>
  <c r="E33" i="54" s="1"/>
  <c r="E38" i="53"/>
  <c r="B31" i="54" s="1"/>
  <c r="E31" i="54" s="1"/>
  <c r="E42" i="53"/>
  <c r="B35" i="54" s="1"/>
  <c r="E35" i="54" s="1"/>
  <c r="J41" i="53"/>
  <c r="E39" i="53"/>
  <c r="B32" i="54" s="1"/>
  <c r="E32" i="54" s="1"/>
  <c r="E43" i="53"/>
  <c r="B36" i="54" s="1"/>
  <c r="E36" i="54" s="1"/>
  <c r="J42" i="50"/>
  <c r="J48" i="50"/>
  <c r="J45" i="50"/>
  <c r="J35" i="50"/>
  <c r="J47" i="50"/>
  <c r="J44" i="50"/>
  <c r="J36" i="50"/>
  <c r="J31" i="53" l="1"/>
  <c r="J24" i="54" s="1"/>
  <c r="J42" i="53"/>
  <c r="J30" i="53"/>
  <c r="J23" i="54" s="1"/>
  <c r="J40" i="53"/>
  <c r="J33" i="54" s="1"/>
  <c r="J43" i="53"/>
  <c r="J37" i="53"/>
  <c r="J30" i="54"/>
  <c r="J26" i="54"/>
  <c r="J20" i="54"/>
  <c r="J34" i="54"/>
  <c r="J21" i="54"/>
  <c r="J18" i="54"/>
  <c r="J22" i="54"/>
  <c r="J28" i="54"/>
  <c r="J36" i="54"/>
  <c r="J65" i="54"/>
  <c r="J16" i="54"/>
  <c r="J25" i="54"/>
  <c r="J15" i="54"/>
  <c r="E65" i="54"/>
  <c r="J19" i="54"/>
  <c r="J29" i="54"/>
  <c r="J27" i="54"/>
  <c r="J31" i="54"/>
  <c r="J37" i="54"/>
  <c r="E63" i="54"/>
  <c r="G104" i="13"/>
  <c r="G87" i="13"/>
  <c r="G83" i="13"/>
  <c r="G103" i="13" s="1"/>
  <c r="J39" i="53" l="1"/>
  <c r="J32" i="54" s="1"/>
  <c r="J35" i="54"/>
  <c r="D14" i="31" l="1"/>
  <c r="D13" i="31"/>
  <c r="I100" i="13" l="1"/>
  <c r="J97" i="13" s="1"/>
  <c r="J100" i="13" s="1"/>
  <c r="K97" i="13" s="1"/>
  <c r="K100" i="13" s="1"/>
  <c r="L97" i="13" s="1"/>
  <c r="L100" i="13" s="1"/>
  <c r="M97" i="13" s="1"/>
  <c r="M100" i="13" s="1"/>
  <c r="E148" i="52" l="1"/>
  <c r="E143" i="52"/>
  <c r="E139" i="52"/>
  <c r="H128" i="52"/>
  <c r="E128" i="52"/>
  <c r="E124" i="52"/>
  <c r="E113" i="52"/>
  <c r="E96" i="52"/>
  <c r="E76" i="52"/>
  <c r="E61" i="52"/>
  <c r="H46" i="52"/>
  <c r="E46" i="52"/>
  <c r="D46" i="52"/>
  <c r="E42" i="52"/>
  <c r="E30" i="52"/>
  <c r="H2" i="52"/>
  <c r="E148" i="51"/>
  <c r="E143" i="51"/>
  <c r="E139" i="51"/>
  <c r="H128" i="51"/>
  <c r="E128" i="51"/>
  <c r="E124" i="51"/>
  <c r="E113" i="51"/>
  <c r="E96" i="51"/>
  <c r="E76" i="51"/>
  <c r="E61" i="51"/>
  <c r="H46" i="51"/>
  <c r="E46" i="51"/>
  <c r="D46" i="51"/>
  <c r="E42" i="51"/>
  <c r="E30" i="51"/>
  <c r="H2" i="51"/>
  <c r="E143" i="42"/>
  <c r="C143" i="42"/>
  <c r="D148" i="52"/>
  <c r="D148" i="51"/>
  <c r="A20" i="29" l="1"/>
  <c r="A22" i="29" s="1"/>
  <c r="A24" i="29" s="1"/>
  <c r="A29" i="29" s="1"/>
  <c r="A31" i="29" s="1"/>
  <c r="A33" i="29" s="1"/>
  <c r="A38" i="29" s="1"/>
  <c r="A40" i="29" s="1"/>
  <c r="A42" i="29" s="1"/>
  <c r="A47" i="29" s="1"/>
  <c r="A49" i="29" s="1"/>
  <c r="A51" i="29" s="1"/>
  <c r="A56" i="29" s="1"/>
  <c r="A58" i="29" s="1"/>
  <c r="A60" i="29" s="1"/>
  <c r="L7" i="36" l="1"/>
  <c r="L7" i="38"/>
  <c r="L7" i="27"/>
  <c r="J7" i="25"/>
  <c r="L19" i="23"/>
  <c r="L7" i="23"/>
  <c r="L7" i="20"/>
  <c r="L7" i="19"/>
  <c r="L20" i="23"/>
  <c r="L7" i="18"/>
  <c r="L7" i="13"/>
  <c r="L7" i="12"/>
  <c r="L7" i="11"/>
  <c r="E111" i="50"/>
  <c r="B104" i="53" s="1"/>
  <c r="E104" i="53" s="1"/>
  <c r="B97" i="54" s="1"/>
  <c r="E97" i="54" s="1"/>
  <c r="J111" i="50" l="1"/>
  <c r="J104" i="53" l="1"/>
  <c r="M2" i="36"/>
  <c r="M2" i="38"/>
  <c r="M2" i="27"/>
  <c r="K2" i="25"/>
  <c r="M2" i="23"/>
  <c r="M2" i="20"/>
  <c r="M2" i="19"/>
  <c r="M2" i="18"/>
  <c r="Q2" i="29"/>
  <c r="J2" i="50"/>
  <c r="H2" i="42" l="1"/>
  <c r="M2" i="13"/>
  <c r="M2" i="12"/>
  <c r="M2" i="11"/>
  <c r="J97" i="54" l="1"/>
  <c r="A56" i="25"/>
  <c r="D15" i="31"/>
  <c r="D113" i="50"/>
  <c r="D98" i="50"/>
  <c r="J90" i="50"/>
  <c r="D70" i="50"/>
  <c r="J6" i="50"/>
  <c r="G81" i="50" l="1"/>
  <c r="J76" i="50"/>
  <c r="E77" i="50"/>
  <c r="J77" i="50"/>
  <c r="E19" i="50"/>
  <c r="B14" i="53" s="1"/>
  <c r="J19" i="50"/>
  <c r="E25" i="50"/>
  <c r="B20" i="53" s="1"/>
  <c r="J25" i="50"/>
  <c r="D105" i="50"/>
  <c r="D116" i="50" s="1"/>
  <c r="E76" i="50"/>
  <c r="B71" i="53" s="1"/>
  <c r="J20" i="53" l="1"/>
  <c r="J14" i="53"/>
  <c r="E71" i="53"/>
  <c r="E14" i="53"/>
  <c r="E20" i="53"/>
  <c r="B13" i="54" s="1"/>
  <c r="E13" i="54" s="1"/>
  <c r="J88" i="50"/>
  <c r="J13" i="54" l="1"/>
  <c r="B64" i="54"/>
  <c r="J71" i="53"/>
  <c r="E64" i="54" l="1"/>
  <c r="E90" i="50" l="1"/>
  <c r="E88" i="50"/>
  <c r="J16" i="50"/>
  <c r="J23" i="50"/>
  <c r="J22" i="50"/>
  <c r="J20" i="50"/>
  <c r="J17" i="50"/>
  <c r="J14" i="50"/>
  <c r="J11" i="50"/>
  <c r="E22" i="50" l="1"/>
  <c r="B17" i="53" s="1"/>
  <c r="E17" i="53" s="1"/>
  <c r="B10" i="54" s="1"/>
  <c r="E23" i="50"/>
  <c r="B18" i="53" s="1"/>
  <c r="E18" i="53" s="1"/>
  <c r="B11" i="54" s="1"/>
  <c r="E11" i="54" s="1"/>
  <c r="E16" i="50"/>
  <c r="B11" i="53" s="1"/>
  <c r="E11" i="53" s="1"/>
  <c r="E11" i="50"/>
  <c r="E87" i="50"/>
  <c r="B82" i="53" s="1"/>
  <c r="E14" i="50"/>
  <c r="E10" i="50"/>
  <c r="B10" i="53" s="1"/>
  <c r="E17" i="50"/>
  <c r="B12" i="53" s="1"/>
  <c r="E20" i="50"/>
  <c r="B15" i="53" s="1"/>
  <c r="J18" i="50"/>
  <c r="J12" i="50"/>
  <c r="J15" i="50"/>
  <c r="J24" i="50"/>
  <c r="J13" i="50"/>
  <c r="J11" i="53" l="1"/>
  <c r="J18" i="53"/>
  <c r="J15" i="53"/>
  <c r="J17" i="53"/>
  <c r="J12" i="53"/>
  <c r="E82" i="53"/>
  <c r="E15" i="53"/>
  <c r="E10" i="54"/>
  <c r="E12" i="53"/>
  <c r="E10" i="53"/>
  <c r="J64" i="54"/>
  <c r="E24" i="50"/>
  <c r="B19" i="53" s="1"/>
  <c r="E12" i="50"/>
  <c r="E15" i="50"/>
  <c r="E13" i="50"/>
  <c r="E18" i="50"/>
  <c r="B13" i="53" s="1"/>
  <c r="J19" i="53" l="1"/>
  <c r="J10" i="54"/>
  <c r="E13" i="53"/>
  <c r="J13" i="53"/>
  <c r="E19" i="53"/>
  <c r="B12" i="54" s="1"/>
  <c r="E12" i="54" s="1"/>
  <c r="B75" i="54"/>
  <c r="J87" i="50"/>
  <c r="J82" i="53" l="1"/>
  <c r="J75" i="54" s="1"/>
  <c r="J12" i="54"/>
  <c r="J11" i="54"/>
  <c r="E75" i="54"/>
  <c r="J10" i="50"/>
  <c r="J10" i="53" l="1"/>
  <c r="H56" i="42" l="1"/>
  <c r="H57" i="42"/>
  <c r="E148" i="42" l="1"/>
  <c r="F56" i="42" l="1"/>
  <c r="C56" i="51" s="1"/>
  <c r="F57" i="42"/>
  <c r="C57" i="51" s="1"/>
  <c r="H57" i="51" l="1"/>
  <c r="F57" i="51"/>
  <c r="C57" i="52" s="1"/>
  <c r="F56" i="51"/>
  <c r="C56" i="52" s="1"/>
  <c r="H56" i="51"/>
  <c r="H55" i="42"/>
  <c r="H85" i="42"/>
  <c r="F22" i="42"/>
  <c r="H22" i="42"/>
  <c r="F85" i="42"/>
  <c r="C85" i="51" s="1"/>
  <c r="F55" i="42"/>
  <c r="C55" i="51" s="1"/>
  <c r="F55" i="51" l="1"/>
  <c r="C55" i="52" s="1"/>
  <c r="H55" i="51"/>
  <c r="F56" i="52"/>
  <c r="H56" i="52"/>
  <c r="H85" i="51"/>
  <c r="F85" i="51"/>
  <c r="C85" i="52" s="1"/>
  <c r="F57" i="52"/>
  <c r="H57" i="52"/>
  <c r="C22" i="51"/>
  <c r="H22" i="51" l="1"/>
  <c r="F22" i="51"/>
  <c r="C22" i="52" s="1"/>
  <c r="H55" i="52"/>
  <c r="F55" i="52"/>
  <c r="H85" i="52"/>
  <c r="F85" i="52"/>
  <c r="H22" i="52" l="1"/>
  <c r="F22" i="52"/>
  <c r="E48" i="25" l="1"/>
  <c r="E40" i="25"/>
  <c r="E35" i="25"/>
  <c r="E34" i="25"/>
  <c r="E42" i="25" s="1"/>
  <c r="E50" i="25" s="1"/>
  <c r="E33" i="25"/>
  <c r="E31" i="25"/>
  <c r="E27" i="25"/>
  <c r="E23" i="25"/>
  <c r="E19" i="25"/>
  <c r="E17" i="25"/>
  <c r="E13" i="25"/>
  <c r="E11" i="25"/>
  <c r="G17" i="27"/>
  <c r="G15" i="27"/>
  <c r="E36" i="25" l="1"/>
  <c r="E43" i="25"/>
  <c r="E51" i="25" l="1"/>
  <c r="E52" i="25" s="1"/>
  <c r="E44" i="25"/>
  <c r="G7" i="38" l="1"/>
  <c r="G33" i="36"/>
  <c r="M7" i="36" l="1"/>
  <c r="M7" i="27"/>
  <c r="I7" i="25"/>
  <c r="K7" i="25"/>
  <c r="M7" i="20"/>
  <c r="M7" i="19"/>
  <c r="M7" i="13"/>
  <c r="M7" i="12"/>
  <c r="M7" i="11"/>
  <c r="D12" i="31" l="1"/>
  <c r="E139" i="42"/>
  <c r="E128" i="42"/>
  <c r="E124" i="42"/>
  <c r="E113" i="42"/>
  <c r="E96" i="42"/>
  <c r="E76" i="42"/>
  <c r="E61" i="42"/>
  <c r="E46" i="42"/>
  <c r="H46" i="42"/>
  <c r="D46" i="42" l="1"/>
  <c r="H128" i="42"/>
  <c r="J19" i="23" l="1"/>
  <c r="J7" i="36"/>
  <c r="M7" i="38"/>
  <c r="K7" i="38"/>
  <c r="J7" i="38"/>
  <c r="I7" i="38"/>
  <c r="J7" i="27"/>
  <c r="H7" i="25"/>
  <c r="J7" i="23"/>
  <c r="J7" i="20"/>
  <c r="J7" i="19"/>
  <c r="J7" i="18"/>
  <c r="J7" i="13"/>
  <c r="J7" i="12"/>
  <c r="J7" i="11"/>
  <c r="J20" i="23"/>
  <c r="D32" i="31"/>
  <c r="A11" i="38" l="1"/>
  <c r="A12" i="38" s="1"/>
  <c r="A13" i="38" s="1"/>
  <c r="A16" i="38" s="1"/>
  <c r="G22" i="14" l="1"/>
  <c r="A10" i="14" l="1"/>
  <c r="A13" i="14" s="1"/>
  <c r="A15" i="14" s="1"/>
  <c r="A16" i="14" s="1"/>
  <c r="A17" i="14" s="1"/>
  <c r="A18" i="14" s="1"/>
  <c r="A21" i="14" s="1"/>
  <c r="A22" i="14" s="1"/>
  <c r="A23" i="14" s="1"/>
  <c r="A26" i="14" s="1"/>
  <c r="A27" i="14" s="1"/>
  <c r="A29" i="14" s="1"/>
  <c r="A31" i="14" l="1"/>
  <c r="A34" i="14" s="1"/>
  <c r="A38" i="14" s="1"/>
  <c r="A39" i="14" s="1"/>
  <c r="A40" i="14" s="1"/>
  <c r="A41" i="14" s="1"/>
  <c r="A42" i="14" s="1"/>
  <c r="A44" i="14" s="1"/>
  <c r="G13" i="13"/>
  <c r="A11" i="13"/>
  <c r="A12" i="13" s="1"/>
  <c r="A13" i="13" s="1"/>
  <c r="A16" i="13" s="1"/>
  <c r="A17" i="13" s="1"/>
  <c r="A18" i="13" s="1"/>
  <c r="A19" i="13" s="1"/>
  <c r="A22" i="13" s="1"/>
  <c r="A23" i="13" s="1"/>
  <c r="A24" i="13" s="1"/>
  <c r="A26" i="13" s="1"/>
  <c r="A29" i="13" s="1"/>
  <c r="A30" i="13" s="1"/>
  <c r="A17" i="38"/>
  <c r="A18" i="38" s="1"/>
  <c r="A19" i="38" s="1"/>
  <c r="A20" i="38" s="1"/>
  <c r="A22" i="38" s="1"/>
  <c r="A12" i="36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K20" i="23"/>
  <c r="C46" i="36"/>
  <c r="G63" i="36"/>
  <c r="G31" i="27"/>
  <c r="G21" i="18"/>
  <c r="D31" i="31"/>
  <c r="K7" i="36"/>
  <c r="I7" i="36"/>
  <c r="G7" i="36"/>
  <c r="K7" i="27"/>
  <c r="I7" i="27"/>
  <c r="G7" i="27"/>
  <c r="E7" i="25"/>
  <c r="G7" i="25"/>
  <c r="M7" i="23"/>
  <c r="K7" i="23"/>
  <c r="I7" i="23"/>
  <c r="G7" i="23"/>
  <c r="K7" i="20"/>
  <c r="I7" i="20"/>
  <c r="G7" i="20"/>
  <c r="K7" i="19"/>
  <c r="I7" i="19"/>
  <c r="G7" i="19"/>
  <c r="M7" i="18"/>
  <c r="K7" i="18"/>
  <c r="I7" i="18"/>
  <c r="G7" i="18"/>
  <c r="K7" i="13"/>
  <c r="I7" i="13"/>
  <c r="G7" i="13"/>
  <c r="K7" i="12"/>
  <c r="I7" i="12"/>
  <c r="G7" i="12"/>
  <c r="K7" i="11"/>
  <c r="I7" i="11"/>
  <c r="G7" i="11"/>
  <c r="M19" i="23"/>
  <c r="I19" i="23"/>
  <c r="C40" i="36"/>
  <c r="C41" i="36"/>
  <c r="C60" i="36"/>
  <c r="C43" i="36"/>
  <c r="C42" i="36"/>
  <c r="C44" i="36"/>
  <c r="C45" i="36"/>
  <c r="G19" i="18"/>
  <c r="G19" i="23"/>
  <c r="G12" i="23"/>
  <c r="G20" i="23"/>
  <c r="G40" i="14"/>
  <c r="G42" i="14" s="1"/>
  <c r="A21" i="19"/>
  <c r="A23" i="19" s="1"/>
  <c r="A24" i="19" s="1"/>
  <c r="A25" i="19" s="1"/>
  <c r="A26" i="19" s="1"/>
  <c r="A28" i="19" s="1"/>
  <c r="A29" i="19" s="1"/>
  <c r="A30" i="19" s="1"/>
  <c r="A32" i="19" s="1"/>
  <c r="B31" i="31"/>
  <c r="B34" i="31" s="1"/>
  <c r="D29" i="31"/>
  <c r="D27" i="31"/>
  <c r="A23" i="20"/>
  <c r="A24" i="20" s="1"/>
  <c r="A25" i="20" s="1"/>
  <c r="A58" i="25"/>
  <c r="A60" i="25" s="1"/>
  <c r="A62" i="25" s="1"/>
  <c r="K19" i="23"/>
  <c r="D6" i="31"/>
  <c r="D8" i="31"/>
  <c r="D9" i="31"/>
  <c r="D11" i="31"/>
  <c r="D21" i="31"/>
  <c r="D23" i="31"/>
  <c r="D25" i="31"/>
  <c r="D34" i="31"/>
  <c r="A28" i="36" l="1"/>
  <c r="A29" i="36" s="1"/>
  <c r="A30" i="36" s="1"/>
  <c r="A31" i="36" s="1"/>
  <c r="A33" i="36" s="1"/>
  <c r="A34" i="36" s="1"/>
  <c r="A35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  <c r="A51" i="36" s="1"/>
  <c r="A52" i="36" s="1"/>
  <c r="A53" i="36" s="1"/>
  <c r="A54" i="36" s="1"/>
  <c r="A55" i="36" s="1"/>
  <c r="A56" i="36" s="1"/>
  <c r="A31" i="13"/>
  <c r="A32" i="13" s="1"/>
  <c r="A34" i="13" s="1"/>
  <c r="A36" i="13" s="1"/>
  <c r="A39" i="13" s="1"/>
  <c r="A40" i="13" s="1"/>
  <c r="A41" i="13" s="1"/>
  <c r="A42" i="13" s="1"/>
  <c r="A43" i="13" s="1"/>
  <c r="A44" i="13" s="1"/>
  <c r="G46" i="14"/>
  <c r="G10" i="14"/>
  <c r="G18" i="18"/>
  <c r="A46" i="14"/>
  <c r="A48" i="14" s="1"/>
  <c r="A57" i="36" l="1"/>
  <c r="A58" i="36" s="1"/>
  <c r="A59" i="36" s="1"/>
  <c r="A60" i="36" s="1"/>
  <c r="A61" i="36" s="1"/>
  <c r="A63" i="36" s="1"/>
  <c r="A65" i="36" s="1"/>
  <c r="A45" i="13"/>
  <c r="A47" i="13" s="1"/>
  <c r="A48" i="13" s="1"/>
  <c r="A49" i="13" s="1"/>
  <c r="A50" i="13" s="1"/>
  <c r="A51" i="13" s="1"/>
  <c r="A52" i="13" s="1"/>
  <c r="A54" i="13" s="1"/>
  <c r="A55" i="13" s="1"/>
  <c r="A56" i="13" s="1"/>
  <c r="A57" i="13" s="1"/>
  <c r="A58" i="13" s="1"/>
  <c r="A59" i="13" s="1"/>
  <c r="A61" i="13" s="1"/>
  <c r="A62" i="13" s="1"/>
  <c r="A63" i="13" s="1"/>
  <c r="A64" i="13" s="1"/>
  <c r="A65" i="13" s="1"/>
  <c r="A66" i="13" s="1"/>
  <c r="A68" i="13" s="1"/>
  <c r="A69" i="13" s="1"/>
  <c r="A70" i="13" s="1"/>
  <c r="A71" i="13" s="1"/>
  <c r="A72" i="13" s="1"/>
  <c r="A73" i="13" s="1"/>
  <c r="A75" i="13" s="1"/>
  <c r="A76" i="13" s="1"/>
  <c r="A77" i="13" s="1"/>
  <c r="A78" i="13" s="1"/>
  <c r="A79" i="13" s="1"/>
  <c r="A80" i="13" s="1"/>
  <c r="A82" i="13" l="1"/>
  <c r="A83" i="13" s="1"/>
  <c r="A84" i="13" s="1"/>
  <c r="A85" i="13" s="1"/>
  <c r="C46" i="42"/>
  <c r="F45" i="42"/>
  <c r="A87" i="13" l="1"/>
  <c r="A88" i="13" s="1"/>
  <c r="A90" i="13" s="1"/>
  <c r="A91" i="13" s="1"/>
  <c r="A92" i="13" s="1"/>
  <c r="A93" i="13" s="1"/>
  <c r="A94" i="13" s="1"/>
  <c r="A96" i="13" s="1"/>
  <c r="A97" i="13" s="1"/>
  <c r="A98" i="13" s="1"/>
  <c r="A99" i="13" s="1"/>
  <c r="A100" i="13" s="1"/>
  <c r="A102" i="13" s="1"/>
  <c r="A103" i="13" s="1"/>
  <c r="A104" i="13" s="1"/>
  <c r="A105" i="13" s="1"/>
  <c r="A106" i="13" s="1"/>
  <c r="C45" i="51"/>
  <c r="F46" i="42"/>
  <c r="F45" i="51" l="1"/>
  <c r="C46" i="51"/>
  <c r="G15" i="14"/>
  <c r="G24" i="13"/>
  <c r="F46" i="51" l="1"/>
  <c r="C45" i="52"/>
  <c r="G16" i="14"/>
  <c r="C46" i="52" l="1"/>
  <c r="F45" i="52"/>
  <c r="F46" i="52" s="1"/>
  <c r="G20" i="18"/>
  <c r="G19" i="13"/>
  <c r="G13" i="14" l="1"/>
  <c r="I20" i="23" l="1"/>
  <c r="G106" i="13" l="1"/>
  <c r="G110" i="13" s="1"/>
  <c r="G21" i="14" l="1"/>
  <c r="G23" i="14" s="1"/>
  <c r="A108" i="13" l="1"/>
  <c r="A110" i="13" s="1"/>
  <c r="A112" i="13" s="1"/>
  <c r="E58" i="25" l="1"/>
  <c r="E62" i="25" s="1"/>
  <c r="G35" i="36" l="1"/>
  <c r="G11" i="29" l="1"/>
  <c r="G65" i="36"/>
  <c r="O11" i="29" s="1"/>
  <c r="O15" i="29" s="1"/>
  <c r="G17" i="18" l="1"/>
  <c r="G10" i="11" s="1"/>
  <c r="G32" i="27"/>
  <c r="G18" i="23" l="1"/>
  <c r="G19" i="27" l="1"/>
  <c r="G33" i="27"/>
  <c r="G32" i="13" l="1"/>
  <c r="G34" i="13" l="1"/>
  <c r="G36" i="13" s="1"/>
  <c r="G112" i="13" s="1"/>
  <c r="G17" i="14"/>
  <c r="G18" i="14" s="1"/>
  <c r="G26" i="14" l="1"/>
  <c r="G29" i="14" s="1"/>
  <c r="G24" i="12"/>
  <c r="G28" i="12" s="1"/>
  <c r="G16" i="18" l="1"/>
  <c r="G19" i="19"/>
  <c r="G13" i="12"/>
  <c r="G17" i="12" s="1"/>
  <c r="G30" i="12" s="1"/>
  <c r="G19" i="11" s="1"/>
  <c r="G9" i="11" l="1"/>
  <c r="G13" i="11" s="1"/>
  <c r="G15" i="11" s="1"/>
  <c r="G21" i="11" s="1"/>
  <c r="G25" i="18"/>
  <c r="G31" i="14" l="1"/>
  <c r="G34" i="14" l="1"/>
  <c r="G48" i="14" s="1"/>
  <c r="G26" i="19"/>
  <c r="G13" i="23"/>
  <c r="G9" i="18" l="1"/>
  <c r="M15" i="29"/>
  <c r="G17" i="23"/>
  <c r="G21" i="23" s="1"/>
  <c r="G30" i="19"/>
  <c r="M11" i="29" l="1"/>
  <c r="M13" i="29"/>
  <c r="G15" i="29"/>
  <c r="I15" i="29" l="1"/>
  <c r="Q11" i="29"/>
  <c r="Q13" i="29" l="1"/>
  <c r="Q15" i="29" s="1"/>
  <c r="G13" i="18" s="1"/>
  <c r="G27" i="18" l="1"/>
  <c r="G9" i="19" s="1"/>
  <c r="G21" i="19" s="1"/>
  <c r="G32" i="19" s="1"/>
  <c r="G9" i="23"/>
  <c r="G14" i="23" s="1"/>
  <c r="G23" i="23" s="1"/>
  <c r="G11" i="18"/>
  <c r="G12" i="20" l="1"/>
  <c r="G14" i="20" s="1"/>
  <c r="G19" i="20" s="1"/>
  <c r="G24" i="20" s="1"/>
  <c r="G25" i="20" s="1"/>
  <c r="G26" i="27" l="1"/>
  <c r="G22" i="38"/>
  <c r="G12" i="38" s="1"/>
  <c r="G11" i="38" s="1"/>
  <c r="G28" i="27" l="1"/>
  <c r="G22" i="27"/>
  <c r="G35" i="27" s="1"/>
  <c r="I24" i="13" l="1"/>
  <c r="I16" i="14" s="1"/>
  <c r="J24" i="13" l="1"/>
  <c r="J16" i="14" l="1"/>
  <c r="E75" i="50" l="1"/>
  <c r="J29" i="50" l="1"/>
  <c r="J24" i="53" l="1"/>
  <c r="J17" i="54" s="1"/>
  <c r="J21" i="50"/>
  <c r="E21" i="50"/>
  <c r="B16" i="53" s="1"/>
  <c r="E16" i="53" l="1"/>
  <c r="J16" i="53" l="1"/>
  <c r="E26" i="50" l="1"/>
  <c r="B21" i="53" l="1"/>
  <c r="J26" i="50"/>
  <c r="E21" i="53" l="1"/>
  <c r="B14" i="54" l="1"/>
  <c r="C148" i="42"/>
  <c r="E14" i="54" l="1"/>
  <c r="J21" i="53"/>
  <c r="J14" i="54" l="1"/>
  <c r="E109" i="50" l="1"/>
  <c r="B102" i="53" s="1"/>
  <c r="E102" i="53" l="1"/>
  <c r="B113" i="50"/>
  <c r="B95" i="54" l="1"/>
  <c r="E95" i="54" l="1"/>
  <c r="I65" i="13" l="1"/>
  <c r="J62" i="13" s="1"/>
  <c r="J65" i="13" l="1"/>
  <c r="K62" i="13" l="1"/>
  <c r="K65" i="13" l="1"/>
  <c r="L62" i="13" s="1"/>
  <c r="L65" i="13" l="1"/>
  <c r="M62" i="13" s="1"/>
  <c r="M65" i="13" s="1"/>
  <c r="M20" i="23" l="1"/>
  <c r="E92" i="50" l="1"/>
  <c r="B85" i="53" l="1"/>
  <c r="E85" i="53" s="1"/>
  <c r="B78" i="54" l="1"/>
  <c r="E78" i="54" l="1"/>
  <c r="J92" i="50"/>
  <c r="J85" i="53" l="1"/>
  <c r="D148" i="42" l="1"/>
  <c r="F147" i="42"/>
  <c r="C147" i="51" s="1"/>
  <c r="C148" i="51" l="1"/>
  <c r="F147" i="51"/>
  <c r="F148" i="42"/>
  <c r="F148" i="51" l="1"/>
  <c r="C147" i="52"/>
  <c r="J78" i="54" l="1"/>
  <c r="F147" i="52"/>
  <c r="F148" i="52" s="1"/>
  <c r="C148" i="52"/>
  <c r="G113" i="50" l="1"/>
  <c r="I22" i="38" l="1"/>
  <c r="I12" i="38" l="1"/>
  <c r="I11" i="38" s="1"/>
  <c r="J22" i="38" l="1"/>
  <c r="J12" i="38" s="1"/>
  <c r="J11" i="38" s="1"/>
  <c r="K24" i="13" l="1"/>
  <c r="K16" i="14" s="1"/>
  <c r="L24" i="13" l="1"/>
  <c r="L16" i="14" s="1"/>
  <c r="M24" i="13" l="1"/>
  <c r="M16" i="14" s="1"/>
  <c r="I17" i="18" l="1"/>
  <c r="I10" i="11" s="1"/>
  <c r="I32" i="27"/>
  <c r="I11" i="11" l="1"/>
  <c r="I18" i="23"/>
  <c r="I17" i="27"/>
  <c r="I19" i="27" l="1"/>
  <c r="I33" i="27"/>
  <c r="J32" i="27" l="1"/>
  <c r="J17" i="18"/>
  <c r="J10" i="11" s="1"/>
  <c r="K17" i="18" l="1"/>
  <c r="K10" i="11" s="1"/>
  <c r="K32" i="27"/>
  <c r="L17" i="18" l="1"/>
  <c r="L10" i="11" s="1"/>
  <c r="L32" i="27"/>
  <c r="M17" i="18" l="1"/>
  <c r="M10" i="11" s="1"/>
  <c r="M32" i="27"/>
  <c r="J11" i="11" l="1"/>
  <c r="J18" i="23"/>
  <c r="J17" i="27"/>
  <c r="J19" i="27" l="1"/>
  <c r="J33" i="27"/>
  <c r="I21" i="18" l="1"/>
  <c r="I20" i="18" l="1"/>
  <c r="I31" i="27" l="1"/>
  <c r="I19" i="18"/>
  <c r="I12" i="23"/>
  <c r="I18" i="18" l="1"/>
  <c r="K11" i="11" l="1"/>
  <c r="K18" i="23"/>
  <c r="K17" i="27"/>
  <c r="L11" i="11" l="1"/>
  <c r="L17" i="27"/>
  <c r="L18" i="23"/>
  <c r="M17" i="27"/>
  <c r="M18" i="23"/>
  <c r="M11" i="11"/>
  <c r="K33" i="27"/>
  <c r="K19" i="27"/>
  <c r="M33" i="27" l="1"/>
  <c r="M19" i="27"/>
  <c r="L19" i="27"/>
  <c r="L33" i="27"/>
  <c r="L22" i="38" l="1"/>
  <c r="L12" i="38" l="1"/>
  <c r="L11" i="38" s="1"/>
  <c r="K22" i="38" l="1"/>
  <c r="K12" i="38" s="1"/>
  <c r="K11" i="38" s="1"/>
  <c r="I15" i="27" l="1"/>
  <c r="I22" i="27" s="1"/>
  <c r="I35" i="27" s="1"/>
  <c r="J15" i="27" l="1"/>
  <c r="J22" i="27" s="1"/>
  <c r="M22" i="38" l="1"/>
  <c r="M12" i="38" l="1"/>
  <c r="M11" i="38" s="1"/>
  <c r="J68" i="50" l="1"/>
  <c r="E68" i="50"/>
  <c r="B63" i="53" s="1"/>
  <c r="E63" i="53" l="1"/>
  <c r="B56" i="54" s="1"/>
  <c r="J63" i="53" l="1"/>
  <c r="E56" i="54"/>
  <c r="J56" i="54" l="1"/>
  <c r="E95" i="50"/>
  <c r="B88" i="53" s="1"/>
  <c r="E88" i="53" s="1"/>
  <c r="B81" i="54" s="1"/>
  <c r="J95" i="50"/>
  <c r="J88" i="53" l="1"/>
  <c r="E81" i="54"/>
  <c r="J81" i="54" l="1"/>
  <c r="E66" i="50"/>
  <c r="B61" i="53" s="1"/>
  <c r="E61" i="53" s="1"/>
  <c r="B54" i="54" s="1"/>
  <c r="J66" i="50"/>
  <c r="J61" i="53" l="1"/>
  <c r="J65" i="50"/>
  <c r="E65" i="50"/>
  <c r="B60" i="53" s="1"/>
  <c r="E54" i="54"/>
  <c r="J60" i="53" l="1"/>
  <c r="J54" i="54"/>
  <c r="E60" i="53"/>
  <c r="B53" i="54" s="1"/>
  <c r="E53" i="54" s="1"/>
  <c r="J53" i="54" l="1"/>
  <c r="E64" i="50" l="1"/>
  <c r="B59" i="53" s="1"/>
  <c r="E59" i="53" s="1"/>
  <c r="B52" i="54" s="1"/>
  <c r="J64" i="50"/>
  <c r="J59" i="53" l="1"/>
  <c r="J52" i="54" s="1"/>
  <c r="E52" i="54"/>
  <c r="E61" i="50" l="1"/>
  <c r="B56" i="53" s="1"/>
  <c r="E56" i="53" s="1"/>
  <c r="B49" i="54" s="1"/>
  <c r="J61" i="50"/>
  <c r="J56" i="53" l="1"/>
  <c r="E60" i="50"/>
  <c r="B55" i="53" s="1"/>
  <c r="J60" i="50"/>
  <c r="E59" i="50"/>
  <c r="B54" i="53" s="1"/>
  <c r="E54" i="53" s="1"/>
  <c r="B47" i="54" s="1"/>
  <c r="J59" i="50"/>
  <c r="E49" i="54"/>
  <c r="J55" i="53" l="1"/>
  <c r="J54" i="53"/>
  <c r="J49" i="54"/>
  <c r="E47" i="54"/>
  <c r="E55" i="53"/>
  <c r="B48" i="54" s="1"/>
  <c r="J48" i="54" l="1"/>
  <c r="J47" i="54"/>
  <c r="E48" i="54"/>
  <c r="E57" i="50" l="1"/>
  <c r="B52" i="53" s="1"/>
  <c r="E52" i="53" s="1"/>
  <c r="B45" i="54" s="1"/>
  <c r="J57" i="50"/>
  <c r="J52" i="53" l="1"/>
  <c r="E45" i="54"/>
  <c r="J45" i="54" l="1"/>
  <c r="J62" i="50"/>
  <c r="E62" i="50"/>
  <c r="B57" i="53" s="1"/>
  <c r="J63" i="50"/>
  <c r="E63" i="50"/>
  <c r="B58" i="53" s="1"/>
  <c r="J58" i="53" l="1"/>
  <c r="J57" i="53"/>
  <c r="E58" i="53"/>
  <c r="B51" i="54" s="1"/>
  <c r="E51" i="54" s="1"/>
  <c r="E57" i="53"/>
  <c r="B50" i="54" s="1"/>
  <c r="E50" i="54" s="1"/>
  <c r="J50" i="54" l="1"/>
  <c r="J51" i="54"/>
  <c r="B70" i="50" l="1"/>
  <c r="J50" i="50"/>
  <c r="E50" i="50"/>
  <c r="J58" i="50" l="1"/>
  <c r="E58" i="50"/>
  <c r="B53" i="53" s="1"/>
  <c r="B45" i="53"/>
  <c r="G70" i="50"/>
  <c r="J53" i="53" l="1"/>
  <c r="J79" i="50"/>
  <c r="E79" i="50"/>
  <c r="B73" i="53" s="1"/>
  <c r="J93" i="50"/>
  <c r="E93" i="50"/>
  <c r="B86" i="53" s="1"/>
  <c r="J45" i="53"/>
  <c r="E45" i="53"/>
  <c r="E53" i="53"/>
  <c r="B46" i="54" s="1"/>
  <c r="J73" i="53" l="1"/>
  <c r="J86" i="53"/>
  <c r="J46" i="54"/>
  <c r="B38" i="54"/>
  <c r="E86" i="53"/>
  <c r="B79" i="54" s="1"/>
  <c r="E73" i="53"/>
  <c r="B66" i="54" s="1"/>
  <c r="J94" i="50"/>
  <c r="E94" i="50"/>
  <c r="B87" i="53" s="1"/>
  <c r="E46" i="54"/>
  <c r="J87" i="53" l="1"/>
  <c r="J66" i="54"/>
  <c r="J79" i="54"/>
  <c r="E87" i="53"/>
  <c r="B80" i="54" s="1"/>
  <c r="E66" i="54"/>
  <c r="E79" i="54"/>
  <c r="E38" i="54"/>
  <c r="J38" i="54"/>
  <c r="J80" i="54" l="1"/>
  <c r="E80" i="54"/>
  <c r="E56" i="50" l="1"/>
  <c r="B51" i="53" s="1"/>
  <c r="E51" i="53" s="1"/>
  <c r="B44" i="54" s="1"/>
  <c r="J56" i="50"/>
  <c r="J51" i="53" l="1"/>
  <c r="J44" i="54" s="1"/>
  <c r="E44" i="54"/>
  <c r="J54" i="50" l="1"/>
  <c r="E54" i="50"/>
  <c r="B49" i="53" s="1"/>
  <c r="J49" i="53" l="1"/>
  <c r="E49" i="53"/>
  <c r="B42" i="54" s="1"/>
  <c r="E42" i="54" s="1"/>
  <c r="J42" i="54" l="1"/>
  <c r="E74" i="53" l="1"/>
  <c r="B67" i="54" s="1"/>
  <c r="J74" i="53"/>
  <c r="J67" i="54" l="1"/>
  <c r="E67" i="54"/>
  <c r="E53" i="50" l="1"/>
  <c r="B48" i="53" s="1"/>
  <c r="E48" i="53" s="1"/>
  <c r="B41" i="54" s="1"/>
  <c r="J53" i="50"/>
  <c r="J48" i="53" l="1"/>
  <c r="E41" i="54"/>
  <c r="J41" i="54" l="1"/>
  <c r="C65" i="53" l="1"/>
  <c r="J55" i="50" l="1"/>
  <c r="E55" i="50"/>
  <c r="B50" i="53" s="1"/>
  <c r="J50" i="53" l="1"/>
  <c r="E50" i="53"/>
  <c r="B43" i="54" s="1"/>
  <c r="E43" i="54" s="1"/>
  <c r="J43" i="54" l="1"/>
  <c r="E67" i="50"/>
  <c r="B62" i="53" s="1"/>
  <c r="E62" i="53" s="1"/>
  <c r="B55" i="54" s="1"/>
  <c r="J67" i="50"/>
  <c r="J52" i="50"/>
  <c r="E52" i="50"/>
  <c r="B47" i="53" s="1"/>
  <c r="J47" i="53" l="1"/>
  <c r="J62" i="53"/>
  <c r="E47" i="53"/>
  <c r="B40" i="54" s="1"/>
  <c r="E55" i="54"/>
  <c r="J40" i="54" l="1"/>
  <c r="E40" i="54"/>
  <c r="J55" i="54" l="1"/>
  <c r="C69" i="54"/>
  <c r="C76" i="53"/>
  <c r="C81" i="50" l="1"/>
  <c r="E74" i="50" l="1"/>
  <c r="E81" i="50" s="1"/>
  <c r="J81" i="50"/>
  <c r="B76" i="53"/>
  <c r="B69" i="54" l="1"/>
  <c r="E69" i="53"/>
  <c r="E76" i="53" s="1"/>
  <c r="E62" i="54" l="1"/>
  <c r="E69" i="54" s="1"/>
  <c r="G76" i="53" l="1"/>
  <c r="J76" i="53" l="1"/>
  <c r="G69" i="54" l="1"/>
  <c r="J69" i="54" l="1"/>
  <c r="E51" i="50" l="1"/>
  <c r="C70" i="50"/>
  <c r="J51" i="50"/>
  <c r="J83" i="54" l="1"/>
  <c r="C85" i="54"/>
  <c r="E83" i="54"/>
  <c r="J70" i="50"/>
  <c r="B46" i="53"/>
  <c r="E70" i="50"/>
  <c r="E46" i="53" l="1"/>
  <c r="B65" i="53"/>
  <c r="B39" i="54" l="1"/>
  <c r="E65" i="53"/>
  <c r="E39" i="54" l="1"/>
  <c r="B58" i="54"/>
  <c r="G65" i="53"/>
  <c r="J46" i="53"/>
  <c r="J65" i="53" l="1"/>
  <c r="G58" i="54" l="1"/>
  <c r="J39" i="54"/>
  <c r="C106" i="53" l="1"/>
  <c r="C99" i="54" l="1"/>
  <c r="J58" i="54" l="1"/>
  <c r="C58" i="54"/>
  <c r="C91" i="54" s="1"/>
  <c r="C102" i="54" s="1"/>
  <c r="E58" i="54"/>
  <c r="E110" i="50" l="1"/>
  <c r="C113" i="50"/>
  <c r="E113" i="50" l="1"/>
  <c r="B103" i="53"/>
  <c r="E103" i="53" l="1"/>
  <c r="B106" i="53"/>
  <c r="B96" i="54" l="1"/>
  <c r="E106" i="53"/>
  <c r="E96" i="54" l="1"/>
  <c r="E99" i="54" s="1"/>
  <c r="B99" i="54"/>
  <c r="J89" i="50" l="1"/>
  <c r="E89" i="50"/>
  <c r="B83" i="53" s="1"/>
  <c r="J83" i="53" l="1"/>
  <c r="E83" i="53"/>
  <c r="B76" i="54" s="1"/>
  <c r="E76" i="54" s="1"/>
  <c r="J76" i="54" l="1"/>
  <c r="E86" i="50" l="1"/>
  <c r="J86" i="50"/>
  <c r="B81" i="53" l="1"/>
  <c r="E81" i="53" l="1"/>
  <c r="B74" i="54" l="1"/>
  <c r="E74" i="54" l="1"/>
  <c r="J81" i="53"/>
  <c r="J74" i="54" l="1"/>
  <c r="E42" i="42" l="1"/>
  <c r="E30" i="42"/>
  <c r="I13" i="13" l="1"/>
  <c r="J10" i="13" l="1"/>
  <c r="I10" i="14"/>
  <c r="E96" i="50" l="1"/>
  <c r="B98" i="50"/>
  <c r="B105" i="50" s="1"/>
  <c r="B116" i="50" s="1"/>
  <c r="B89" i="53" l="1"/>
  <c r="E89" i="53" l="1"/>
  <c r="G98" i="50" l="1"/>
  <c r="J96" i="50"/>
  <c r="B82" i="54"/>
  <c r="E82" i="54" l="1"/>
  <c r="G105" i="50"/>
  <c r="G116" i="50" s="1"/>
  <c r="J89" i="53" l="1"/>
  <c r="J82" i="54" l="1"/>
  <c r="H148" i="42" l="1"/>
  <c r="H148" i="51"/>
  <c r="H148" i="52"/>
  <c r="C128" i="42" l="1"/>
  <c r="C16" i="42" l="1"/>
  <c r="J13" i="13" l="1"/>
  <c r="J10" i="14" l="1"/>
  <c r="K10" i="13"/>
  <c r="C76" i="42" l="1"/>
  <c r="J55" i="13" l="1"/>
  <c r="I56" i="13"/>
  <c r="J56" i="13" l="1"/>
  <c r="K55" i="13"/>
  <c r="C139" i="42" l="1"/>
  <c r="C124" i="42" l="1"/>
  <c r="C113" i="42" l="1"/>
  <c r="E91" i="50" l="1"/>
  <c r="J91" i="50"/>
  <c r="C98" i="50"/>
  <c r="J98" i="50" l="1"/>
  <c r="B84" i="53"/>
  <c r="E98" i="50"/>
  <c r="I40" i="14"/>
  <c r="I42" i="14" s="1"/>
  <c r="E84" i="53" l="1"/>
  <c r="B91" i="53"/>
  <c r="I46" i="14"/>
  <c r="J44" i="14"/>
  <c r="B77" i="54" l="1"/>
  <c r="E91" i="53"/>
  <c r="E77" i="54" l="1"/>
  <c r="E85" i="54" s="1"/>
  <c r="B85" i="54"/>
  <c r="J84" i="53"/>
  <c r="G91" i="53"/>
  <c r="J91" i="53" l="1"/>
  <c r="J77" i="54" l="1"/>
  <c r="G85" i="54"/>
  <c r="J85" i="54" l="1"/>
  <c r="J99" i="54" l="1"/>
  <c r="J106" i="53" l="1"/>
  <c r="J113" i="50" l="1"/>
  <c r="G106" i="53" l="1"/>
  <c r="G99" i="54" l="1"/>
  <c r="C30" i="42" l="1"/>
  <c r="C42" i="42" l="1"/>
  <c r="I32" i="13" l="1"/>
  <c r="I17" i="14" s="1"/>
  <c r="J108" i="13" l="1"/>
  <c r="C96" i="42"/>
  <c r="J22" i="14" l="1"/>
  <c r="J48" i="13"/>
  <c r="I49" i="13"/>
  <c r="I70" i="13"/>
  <c r="J69" i="13"/>
  <c r="J41" i="13"/>
  <c r="I42" i="13"/>
  <c r="I108" i="13"/>
  <c r="C61" i="42"/>
  <c r="C150" i="42" l="1"/>
  <c r="I22" i="14"/>
  <c r="J40" i="14" l="1"/>
  <c r="I19" i="13" l="1"/>
  <c r="I13" i="14" l="1"/>
  <c r="J16" i="13"/>
  <c r="J19" i="13" l="1"/>
  <c r="J42" i="14"/>
  <c r="J46" i="14" l="1"/>
  <c r="K44" i="14"/>
  <c r="J13" i="14"/>
  <c r="K16" i="13"/>
  <c r="K48" i="13" l="1"/>
  <c r="J49" i="13"/>
  <c r="K41" i="13"/>
  <c r="J42" i="13"/>
  <c r="K69" i="13" l="1"/>
  <c r="L69" i="13"/>
  <c r="J70" i="13"/>
  <c r="I15" i="14" l="1"/>
  <c r="I18" i="14" s="1"/>
  <c r="I34" i="13"/>
  <c r="I36" i="13" s="1"/>
  <c r="J15" i="14"/>
  <c r="C98" i="53" l="1"/>
  <c r="C109" i="53" s="1"/>
  <c r="D16" i="52" l="1"/>
  <c r="D128" i="52" l="1"/>
  <c r="D143" i="52" l="1"/>
  <c r="D128" i="51" l="1"/>
  <c r="F91" i="42" l="1"/>
  <c r="C91" i="51" s="1"/>
  <c r="H91" i="42"/>
  <c r="H67" i="42"/>
  <c r="F67" i="42"/>
  <c r="C67" i="51" s="1"/>
  <c r="F119" i="42"/>
  <c r="C119" i="51" s="1"/>
  <c r="H119" i="42"/>
  <c r="H28" i="42"/>
  <c r="F28" i="42"/>
  <c r="C28" i="51" s="1"/>
  <c r="H92" i="42"/>
  <c r="F92" i="42"/>
  <c r="C92" i="51" s="1"/>
  <c r="H69" i="42"/>
  <c r="F69" i="42"/>
  <c r="C69" i="51" s="1"/>
  <c r="F122" i="42"/>
  <c r="C122" i="51" s="1"/>
  <c r="H122" i="42"/>
  <c r="H33" i="42"/>
  <c r="F33" i="42"/>
  <c r="H93" i="42"/>
  <c r="F93" i="42"/>
  <c r="C93" i="51" s="1"/>
  <c r="F70" i="42"/>
  <c r="C70" i="51" s="1"/>
  <c r="H70" i="42"/>
  <c r="F131" i="42"/>
  <c r="H131" i="42"/>
  <c r="H38" i="42"/>
  <c r="F38" i="42"/>
  <c r="C38" i="51" s="1"/>
  <c r="H94" i="42"/>
  <c r="F94" i="42"/>
  <c r="C94" i="51" s="1"/>
  <c r="F71" i="42"/>
  <c r="C71" i="51" s="1"/>
  <c r="H71" i="42"/>
  <c r="F132" i="42"/>
  <c r="C132" i="51" s="1"/>
  <c r="H132" i="42"/>
  <c r="F80" i="42"/>
  <c r="C80" i="51" s="1"/>
  <c r="H80" i="42"/>
  <c r="F50" i="42"/>
  <c r="C50" i="51" s="1"/>
  <c r="H50" i="42"/>
  <c r="H72" i="42"/>
  <c r="F72" i="42"/>
  <c r="C72" i="51" s="1"/>
  <c r="F135" i="42"/>
  <c r="C135" i="51" s="1"/>
  <c r="H135" i="42"/>
  <c r="F81" i="42"/>
  <c r="C81" i="51" s="1"/>
  <c r="H81" i="42"/>
  <c r="F52" i="42"/>
  <c r="C52" i="51" s="1"/>
  <c r="H52" i="42"/>
  <c r="H74" i="42"/>
  <c r="F74" i="42"/>
  <c r="C74" i="51" s="1"/>
  <c r="H137" i="42"/>
  <c r="F137" i="42"/>
  <c r="C137" i="51" s="1"/>
  <c r="H83" i="42"/>
  <c r="F83" i="42"/>
  <c r="C83" i="51" s="1"/>
  <c r="F53" i="42"/>
  <c r="C53" i="51" s="1"/>
  <c r="H53" i="42"/>
  <c r="F99" i="42"/>
  <c r="H99" i="42"/>
  <c r="D16" i="51"/>
  <c r="H10" i="42"/>
  <c r="F10" i="42"/>
  <c r="C10" i="51" s="1"/>
  <c r="H84" i="42"/>
  <c r="F84" i="42"/>
  <c r="C84" i="51" s="1"/>
  <c r="H58" i="42"/>
  <c r="F58" i="42"/>
  <c r="C58" i="51" s="1"/>
  <c r="F103" i="42"/>
  <c r="C103" i="51" s="1"/>
  <c r="H103" i="42"/>
  <c r="F11" i="42"/>
  <c r="C11" i="51" s="1"/>
  <c r="H11" i="42"/>
  <c r="H86" i="42"/>
  <c r="F86" i="42"/>
  <c r="C86" i="51" s="1"/>
  <c r="H59" i="42"/>
  <c r="F59" i="42"/>
  <c r="C59" i="51" s="1"/>
  <c r="F106" i="42"/>
  <c r="C106" i="51" s="1"/>
  <c r="H106" i="42"/>
  <c r="F12" i="42"/>
  <c r="C12" i="51" s="1"/>
  <c r="H12" i="42"/>
  <c r="F87" i="42"/>
  <c r="C87" i="51" s="1"/>
  <c r="H87" i="42"/>
  <c r="H65" i="42"/>
  <c r="F65" i="42"/>
  <c r="C65" i="51" s="1"/>
  <c r="H108" i="42"/>
  <c r="F108" i="42"/>
  <c r="C108" i="51" s="1"/>
  <c r="H13" i="42"/>
  <c r="F13" i="42"/>
  <c r="C13" i="51" s="1"/>
  <c r="H88" i="42"/>
  <c r="F88" i="42"/>
  <c r="C88" i="51" s="1"/>
  <c r="H66" i="42"/>
  <c r="F66" i="42"/>
  <c r="C66" i="51" s="1"/>
  <c r="H110" i="42"/>
  <c r="F110" i="42"/>
  <c r="C110" i="51" s="1"/>
  <c r="H14" i="42"/>
  <c r="F90" i="42"/>
  <c r="C90" i="51" s="1"/>
  <c r="H90" i="42"/>
  <c r="F68" i="42"/>
  <c r="C68" i="51" s="1"/>
  <c r="H68" i="42"/>
  <c r="H117" i="42"/>
  <c r="F117" i="42"/>
  <c r="C117" i="51" s="1"/>
  <c r="H65" i="51" l="1"/>
  <c r="F65" i="51"/>
  <c r="C65" i="52" s="1"/>
  <c r="H50" i="51"/>
  <c r="F50" i="51"/>
  <c r="C50" i="52" s="1"/>
  <c r="H69" i="51"/>
  <c r="F69" i="51"/>
  <c r="C69" i="52" s="1"/>
  <c r="E14" i="42"/>
  <c r="H11" i="51"/>
  <c r="F11" i="51"/>
  <c r="C11" i="52" s="1"/>
  <c r="F74" i="51"/>
  <c r="C74" i="52" s="1"/>
  <c r="H74" i="51"/>
  <c r="H110" i="51"/>
  <c r="F110" i="51"/>
  <c r="C110" i="52" s="1"/>
  <c r="H80" i="51"/>
  <c r="F80" i="51"/>
  <c r="C80" i="52" s="1"/>
  <c r="C131" i="51"/>
  <c r="H92" i="51"/>
  <c r="F92" i="51"/>
  <c r="C92" i="52" s="1"/>
  <c r="H108" i="51"/>
  <c r="F108" i="51"/>
  <c r="C108" i="52" s="1"/>
  <c r="H87" i="51"/>
  <c r="F87" i="51"/>
  <c r="C87" i="52" s="1"/>
  <c r="H103" i="51"/>
  <c r="F103" i="51"/>
  <c r="C103" i="52" s="1"/>
  <c r="C99" i="51"/>
  <c r="H58" i="51"/>
  <c r="F58" i="51"/>
  <c r="C58" i="52" s="1"/>
  <c r="F132" i="51"/>
  <c r="C132" i="52" s="1"/>
  <c r="H132" i="51"/>
  <c r="H70" i="51"/>
  <c r="F70" i="51"/>
  <c r="C70" i="52" s="1"/>
  <c r="F28" i="51"/>
  <c r="C28" i="52" s="1"/>
  <c r="H28" i="51"/>
  <c r="F66" i="51"/>
  <c r="C66" i="52" s="1"/>
  <c r="H66" i="51"/>
  <c r="H52" i="51"/>
  <c r="F52" i="51"/>
  <c r="C52" i="52" s="1"/>
  <c r="H12" i="51"/>
  <c r="F12" i="51"/>
  <c r="C12" i="52" s="1"/>
  <c r="H53" i="51"/>
  <c r="F53" i="51"/>
  <c r="C53" i="52" s="1"/>
  <c r="H93" i="51"/>
  <c r="F93" i="51"/>
  <c r="C93" i="52" s="1"/>
  <c r="H86" i="51"/>
  <c r="F86" i="51"/>
  <c r="C86" i="52" s="1"/>
  <c r="F117" i="51"/>
  <c r="C117" i="52" s="1"/>
  <c r="H117" i="51"/>
  <c r="H88" i="51"/>
  <c r="F88" i="51"/>
  <c r="C88" i="52" s="1"/>
  <c r="F84" i="51"/>
  <c r="C84" i="52" s="1"/>
  <c r="H84" i="51"/>
  <c r="F83" i="51"/>
  <c r="C83" i="52" s="1"/>
  <c r="H83" i="51"/>
  <c r="H81" i="51"/>
  <c r="F81" i="51"/>
  <c r="C81" i="52" s="1"/>
  <c r="F71" i="51"/>
  <c r="C71" i="52" s="1"/>
  <c r="H71" i="51"/>
  <c r="H119" i="51"/>
  <c r="F119" i="51"/>
  <c r="C119" i="52" s="1"/>
  <c r="H106" i="51"/>
  <c r="F106" i="51"/>
  <c r="C106" i="52" s="1"/>
  <c r="F94" i="51"/>
  <c r="C94" i="52" s="1"/>
  <c r="H94" i="51"/>
  <c r="H13" i="51"/>
  <c r="F13" i="51"/>
  <c r="C13" i="52" s="1"/>
  <c r="F59" i="51"/>
  <c r="C59" i="52" s="1"/>
  <c r="H59" i="51"/>
  <c r="F10" i="51"/>
  <c r="C10" i="52" s="1"/>
  <c r="H10" i="51"/>
  <c r="H135" i="51"/>
  <c r="F135" i="51"/>
  <c r="C135" i="52" s="1"/>
  <c r="C33" i="51"/>
  <c r="H67" i="51"/>
  <c r="F67" i="51"/>
  <c r="C67" i="52" s="1"/>
  <c r="F68" i="51"/>
  <c r="C68" i="52" s="1"/>
  <c r="H68" i="51"/>
  <c r="D16" i="42"/>
  <c r="H9" i="42"/>
  <c r="H16" i="42" s="1"/>
  <c r="F9" i="42"/>
  <c r="F72" i="51"/>
  <c r="C72" i="52" s="1"/>
  <c r="H72" i="51"/>
  <c r="H38" i="51"/>
  <c r="F38" i="51"/>
  <c r="C38" i="52" s="1"/>
  <c r="H90" i="51"/>
  <c r="F90" i="51"/>
  <c r="C90" i="52" s="1"/>
  <c r="F137" i="51"/>
  <c r="C137" i="52" s="1"/>
  <c r="H137" i="51"/>
  <c r="F122" i="51"/>
  <c r="C122" i="52" s="1"/>
  <c r="H122" i="51"/>
  <c r="H91" i="51"/>
  <c r="F91" i="51"/>
  <c r="C91" i="52" s="1"/>
  <c r="H72" i="52" l="1"/>
  <c r="F72" i="52"/>
  <c r="H135" i="52"/>
  <c r="F135" i="52"/>
  <c r="H106" i="52"/>
  <c r="F106" i="52"/>
  <c r="F86" i="52"/>
  <c r="H86" i="52"/>
  <c r="F132" i="52"/>
  <c r="H132" i="52"/>
  <c r="E16" i="42"/>
  <c r="E150" i="42" s="1"/>
  <c r="F14" i="42"/>
  <c r="C14" i="51" s="1"/>
  <c r="F90" i="52"/>
  <c r="H90" i="52"/>
  <c r="F108" i="52"/>
  <c r="H108" i="52"/>
  <c r="H110" i="52"/>
  <c r="F110" i="52"/>
  <c r="H69" i="52"/>
  <c r="F69" i="52"/>
  <c r="F83" i="52"/>
  <c r="H83" i="52"/>
  <c r="H93" i="52"/>
  <c r="F93" i="52"/>
  <c r="H66" i="52"/>
  <c r="F66" i="52"/>
  <c r="H10" i="52"/>
  <c r="F10" i="52"/>
  <c r="H119" i="52"/>
  <c r="F119" i="52"/>
  <c r="H58" i="52"/>
  <c r="F58" i="52"/>
  <c r="H68" i="52"/>
  <c r="F68" i="52"/>
  <c r="H84" i="52"/>
  <c r="F84" i="52"/>
  <c r="F92" i="52"/>
  <c r="H92" i="52"/>
  <c r="H50" i="52"/>
  <c r="F50" i="52"/>
  <c r="F91" i="52"/>
  <c r="H91" i="52"/>
  <c r="F28" i="52"/>
  <c r="H28" i="52"/>
  <c r="H99" i="51"/>
  <c r="F99" i="51"/>
  <c r="F71" i="52"/>
  <c r="H71" i="52"/>
  <c r="C9" i="51"/>
  <c r="H122" i="52"/>
  <c r="F122" i="52"/>
  <c r="F88" i="52"/>
  <c r="H88" i="52"/>
  <c r="H53" i="52"/>
  <c r="F53" i="52"/>
  <c r="F103" i="52"/>
  <c r="H103" i="52"/>
  <c r="H59" i="52"/>
  <c r="F59" i="52"/>
  <c r="F38" i="52"/>
  <c r="H38" i="52"/>
  <c r="H67" i="52"/>
  <c r="F67" i="52"/>
  <c r="F13" i="52"/>
  <c r="H13" i="52"/>
  <c r="F131" i="51"/>
  <c r="H131" i="51"/>
  <c r="H74" i="52"/>
  <c r="F74" i="52"/>
  <c r="F65" i="52"/>
  <c r="H65" i="52"/>
  <c r="H12" i="52"/>
  <c r="F12" i="52"/>
  <c r="H70" i="52"/>
  <c r="F70" i="52"/>
  <c r="F80" i="52"/>
  <c r="H80" i="52"/>
  <c r="H81" i="52"/>
  <c r="F81" i="52"/>
  <c r="F87" i="52"/>
  <c r="H87" i="52"/>
  <c r="H11" i="52"/>
  <c r="F11" i="52"/>
  <c r="F137" i="52"/>
  <c r="H137" i="52"/>
  <c r="H33" i="51"/>
  <c r="F33" i="51"/>
  <c r="F94" i="52"/>
  <c r="H94" i="52"/>
  <c r="H117" i="52"/>
  <c r="F117" i="52"/>
  <c r="H52" i="52"/>
  <c r="F52" i="52"/>
  <c r="F16" i="42" l="1"/>
  <c r="C131" i="52"/>
  <c r="C33" i="52"/>
  <c r="C16" i="51"/>
  <c r="H9" i="51"/>
  <c r="F9" i="51"/>
  <c r="H14" i="51"/>
  <c r="C99" i="52"/>
  <c r="H131" i="52" l="1"/>
  <c r="F131" i="52"/>
  <c r="E14" i="51"/>
  <c r="C9" i="52"/>
  <c r="H16" i="51"/>
  <c r="F99" i="52"/>
  <c r="H99" i="52"/>
  <c r="F33" i="52"/>
  <c r="H33" i="52"/>
  <c r="E16" i="51" l="1"/>
  <c r="E150" i="51" s="1"/>
  <c r="F14" i="51"/>
  <c r="F9" i="52"/>
  <c r="H9" i="52"/>
  <c r="C14" i="52" l="1"/>
  <c r="F16" i="51"/>
  <c r="H14" i="52" l="1"/>
  <c r="C16" i="52"/>
  <c r="E14" i="52" l="1"/>
  <c r="H16" i="52"/>
  <c r="E16" i="52" l="1"/>
  <c r="E150" i="52" s="1"/>
  <c r="F14" i="52"/>
  <c r="F16" i="52" s="1"/>
  <c r="F34" i="42" l="1"/>
  <c r="H34" i="42"/>
  <c r="D76" i="52"/>
  <c r="H82" i="42" l="1"/>
  <c r="F82" i="42"/>
  <c r="C82" i="51" s="1"/>
  <c r="H23" i="42"/>
  <c r="F23" i="42"/>
  <c r="C23" i="51" s="1"/>
  <c r="H133" i="42"/>
  <c r="F133" i="42"/>
  <c r="H111" i="42"/>
  <c r="F111" i="42"/>
  <c r="C111" i="51" s="1"/>
  <c r="H39" i="42"/>
  <c r="F39" i="42"/>
  <c r="C39" i="51" s="1"/>
  <c r="H35" i="42"/>
  <c r="F35" i="42"/>
  <c r="C35" i="51" s="1"/>
  <c r="H121" i="42"/>
  <c r="F121" i="42"/>
  <c r="C121" i="51" s="1"/>
  <c r="F118" i="42"/>
  <c r="C118" i="51" s="1"/>
  <c r="H118" i="42"/>
  <c r="F64" i="42"/>
  <c r="H64" i="42"/>
  <c r="F89" i="42"/>
  <c r="C89" i="51" s="1"/>
  <c r="H89" i="42"/>
  <c r="E101" i="50"/>
  <c r="J101" i="50"/>
  <c r="C105" i="50"/>
  <c r="C116" i="50" s="1"/>
  <c r="H37" i="42"/>
  <c r="F37" i="42"/>
  <c r="C37" i="51" s="1"/>
  <c r="H26" i="42"/>
  <c r="F26" i="42"/>
  <c r="C26" i="51" s="1"/>
  <c r="F36" i="42"/>
  <c r="C36" i="51" s="1"/>
  <c r="H36" i="42"/>
  <c r="D143" i="42"/>
  <c r="F142" i="42"/>
  <c r="H142" i="42"/>
  <c r="H143" i="42" s="1"/>
  <c r="D128" i="42"/>
  <c r="F127" i="42"/>
  <c r="H25" i="42"/>
  <c r="F25" i="42"/>
  <c r="C25" i="51" s="1"/>
  <c r="F51" i="42"/>
  <c r="C51" i="51" s="1"/>
  <c r="H51" i="42"/>
  <c r="F24" i="42"/>
  <c r="C24" i="51" s="1"/>
  <c r="H24" i="42"/>
  <c r="F136" i="42"/>
  <c r="C136" i="51" s="1"/>
  <c r="H136" i="42"/>
  <c r="C34" i="51"/>
  <c r="D76" i="51"/>
  <c r="D139" i="51"/>
  <c r="D124" i="51"/>
  <c r="H34" i="51" l="1"/>
  <c r="F34" i="51"/>
  <c r="F128" i="42"/>
  <c r="C127" i="51"/>
  <c r="B94" i="53"/>
  <c r="E105" i="50"/>
  <c r="E116" i="50" s="1"/>
  <c r="F39" i="51"/>
  <c r="C39" i="52" s="1"/>
  <c r="H39" i="51"/>
  <c r="H136" i="51"/>
  <c r="F136" i="51"/>
  <c r="C136" i="52" s="1"/>
  <c r="C142" i="51"/>
  <c r="F143" i="42"/>
  <c r="H89" i="51"/>
  <c r="F89" i="51"/>
  <c r="C89" i="52" s="1"/>
  <c r="D124" i="52"/>
  <c r="C64" i="51"/>
  <c r="F24" i="51"/>
  <c r="C24" i="52" s="1"/>
  <c r="H24" i="51"/>
  <c r="F36" i="51"/>
  <c r="C36" i="52" s="1"/>
  <c r="H36" i="51"/>
  <c r="C133" i="51"/>
  <c r="F26" i="51"/>
  <c r="C26" i="52" s="1"/>
  <c r="H26" i="51"/>
  <c r="F118" i="51"/>
  <c r="C118" i="52" s="1"/>
  <c r="H118" i="51"/>
  <c r="H51" i="51"/>
  <c r="F51" i="51"/>
  <c r="C51" i="52" s="1"/>
  <c r="F121" i="51"/>
  <c r="C121" i="52" s="1"/>
  <c r="H121" i="51"/>
  <c r="H25" i="51"/>
  <c r="F25" i="51"/>
  <c r="C25" i="52" s="1"/>
  <c r="H82" i="51"/>
  <c r="F82" i="51"/>
  <c r="C82" i="52" s="1"/>
  <c r="F35" i="51"/>
  <c r="C35" i="52" s="1"/>
  <c r="H35" i="51"/>
  <c r="D139" i="52"/>
  <c r="H26" i="52" l="1"/>
  <c r="F26" i="52"/>
  <c r="H39" i="52"/>
  <c r="F39" i="52"/>
  <c r="F36" i="52"/>
  <c r="H36" i="52"/>
  <c r="H89" i="52"/>
  <c r="F89" i="52"/>
  <c r="E94" i="53"/>
  <c r="B98" i="53"/>
  <c r="B109" i="53" s="1"/>
  <c r="H118" i="52"/>
  <c r="F118" i="52"/>
  <c r="H121" i="52"/>
  <c r="F121" i="52"/>
  <c r="H24" i="52"/>
  <c r="F24" i="52"/>
  <c r="C143" i="51"/>
  <c r="C128" i="51"/>
  <c r="F127" i="51"/>
  <c r="F64" i="51"/>
  <c r="H64" i="51"/>
  <c r="H82" i="52"/>
  <c r="F82" i="52"/>
  <c r="H51" i="52"/>
  <c r="F51" i="52"/>
  <c r="F136" i="52"/>
  <c r="H136" i="52"/>
  <c r="C34" i="52"/>
  <c r="H35" i="52"/>
  <c r="F35" i="52"/>
  <c r="F25" i="52"/>
  <c r="H25" i="52"/>
  <c r="H133" i="51"/>
  <c r="F133" i="51"/>
  <c r="C127" i="52" l="1"/>
  <c r="F128" i="51"/>
  <c r="G98" i="53"/>
  <c r="G109" i="53" s="1"/>
  <c r="F34" i="52"/>
  <c r="H34" i="52"/>
  <c r="C64" i="52"/>
  <c r="B89" i="54"/>
  <c r="E98" i="53"/>
  <c r="E109" i="53" s="1"/>
  <c r="C133" i="52"/>
  <c r="F133" i="52" l="1"/>
  <c r="H133" i="52"/>
  <c r="G91" i="54"/>
  <c r="G102" i="54" s="1"/>
  <c r="F64" i="52"/>
  <c r="H64" i="52"/>
  <c r="E89" i="54"/>
  <c r="E91" i="54" s="1"/>
  <c r="E102" i="54" s="1"/>
  <c r="B91" i="54"/>
  <c r="B102" i="54" s="1"/>
  <c r="C128" i="52"/>
  <c r="F127" i="52"/>
  <c r="F128" i="52" s="1"/>
  <c r="H20" i="42" l="1"/>
  <c r="F20" i="42"/>
  <c r="C20" i="51" s="1"/>
  <c r="F20" i="51" l="1"/>
  <c r="C20" i="52" s="1"/>
  <c r="H20" i="51"/>
  <c r="F20" i="52" l="1"/>
  <c r="H20" i="52"/>
  <c r="F104" i="42" l="1"/>
  <c r="C104" i="51" s="1"/>
  <c r="H104" i="42"/>
  <c r="H40" i="42" l="1"/>
  <c r="F40" i="42"/>
  <c r="D42" i="42"/>
  <c r="F104" i="51"/>
  <c r="C104" i="52" s="1"/>
  <c r="H104" i="51"/>
  <c r="C40" i="51" l="1"/>
  <c r="F42" i="42"/>
  <c r="H42" i="42"/>
  <c r="F104" i="52"/>
  <c r="H104" i="52"/>
  <c r="H111" i="51" l="1"/>
  <c r="F111" i="51"/>
  <c r="C111" i="52" s="1"/>
  <c r="F40" i="51"/>
  <c r="C40" i="52" s="1"/>
  <c r="H40" i="51"/>
  <c r="C42" i="51"/>
  <c r="F40" i="52" l="1"/>
  <c r="H40" i="52"/>
  <c r="F111" i="52"/>
  <c r="H111" i="52"/>
  <c r="H21" i="42" l="1"/>
  <c r="F21" i="42"/>
  <c r="C21" i="51" s="1"/>
  <c r="F73" i="42" l="1"/>
  <c r="H73" i="42"/>
  <c r="D76" i="42"/>
  <c r="H76" i="42" l="1"/>
  <c r="C73" i="51"/>
  <c r="F76" i="42"/>
  <c r="F73" i="51" l="1"/>
  <c r="H73" i="51"/>
  <c r="C76" i="51"/>
  <c r="H76" i="51" l="1"/>
  <c r="C73" i="52"/>
  <c r="F76" i="51"/>
  <c r="H73" i="52" l="1"/>
  <c r="F73" i="52"/>
  <c r="F76" i="52" s="1"/>
  <c r="C76" i="52"/>
  <c r="D42" i="52"/>
  <c r="D42" i="51" l="1"/>
  <c r="H37" i="51"/>
  <c r="F37" i="51"/>
  <c r="H76" i="52"/>
  <c r="C37" i="52" l="1"/>
  <c r="F42" i="51"/>
  <c r="H42" i="51"/>
  <c r="H37" i="52" l="1"/>
  <c r="F37" i="52"/>
  <c r="F42" i="52" s="1"/>
  <c r="C42" i="52"/>
  <c r="H42" i="52" l="1"/>
  <c r="F134" i="42" l="1"/>
  <c r="H134" i="42"/>
  <c r="D139" i="42"/>
  <c r="H139" i="42" l="1"/>
  <c r="C134" i="51"/>
  <c r="F139" i="42"/>
  <c r="H134" i="51" l="1"/>
  <c r="F134" i="51"/>
  <c r="C139" i="51"/>
  <c r="C134" i="52" l="1"/>
  <c r="F139" i="51"/>
  <c r="H139" i="51"/>
  <c r="F134" i="52" l="1"/>
  <c r="F139" i="52" s="1"/>
  <c r="H134" i="52"/>
  <c r="C139" i="52"/>
  <c r="H139" i="52" l="1"/>
  <c r="D113" i="51" l="1"/>
  <c r="D113" i="52" l="1"/>
  <c r="H27" i="42" l="1"/>
  <c r="F27" i="42"/>
  <c r="C27" i="51" s="1"/>
  <c r="F27" i="51" l="1"/>
  <c r="C27" i="52" s="1"/>
  <c r="H27" i="51"/>
  <c r="H27" i="52" l="1"/>
  <c r="F27" i="52"/>
  <c r="D61" i="52" l="1"/>
  <c r="K56" i="13" l="1"/>
  <c r="L55" i="13"/>
  <c r="L56" i="13" l="1"/>
  <c r="M55" i="13"/>
  <c r="M56" i="13" l="1"/>
  <c r="F120" i="42" l="1"/>
  <c r="C120" i="51" s="1"/>
  <c r="H120" i="42"/>
  <c r="H105" i="42"/>
  <c r="F105" i="42"/>
  <c r="C105" i="51" s="1"/>
  <c r="F54" i="42"/>
  <c r="C54" i="51" s="1"/>
  <c r="H54" i="42"/>
  <c r="H102" i="42"/>
  <c r="F102" i="42"/>
  <c r="C102" i="51" s="1"/>
  <c r="F116" i="42"/>
  <c r="H116" i="42"/>
  <c r="D124" i="42"/>
  <c r="H109" i="42" l="1"/>
  <c r="F109" i="42"/>
  <c r="C109" i="51" s="1"/>
  <c r="H124" i="42"/>
  <c r="C116" i="51"/>
  <c r="F124" i="42"/>
  <c r="H102" i="51"/>
  <c r="F102" i="51"/>
  <c r="C102" i="52" s="1"/>
  <c r="H54" i="51"/>
  <c r="F54" i="51"/>
  <c r="C54" i="52" s="1"/>
  <c r="H105" i="51"/>
  <c r="F105" i="51"/>
  <c r="C105" i="52" s="1"/>
  <c r="F101" i="42"/>
  <c r="C101" i="51" s="1"/>
  <c r="H101" i="42"/>
  <c r="F107" i="42"/>
  <c r="C107" i="51" s="1"/>
  <c r="H107" i="42"/>
  <c r="F120" i="51"/>
  <c r="C120" i="52" s="1"/>
  <c r="H120" i="51"/>
  <c r="F102" i="52" l="1"/>
  <c r="H102" i="52"/>
  <c r="H120" i="52"/>
  <c r="F120" i="52"/>
  <c r="F101" i="51"/>
  <c r="C101" i="52" s="1"/>
  <c r="H101" i="51"/>
  <c r="C124" i="51"/>
  <c r="H116" i="51"/>
  <c r="F116" i="51"/>
  <c r="H107" i="51"/>
  <c r="F107" i="51"/>
  <c r="C107" i="52" s="1"/>
  <c r="H105" i="52"/>
  <c r="F105" i="52"/>
  <c r="H49" i="42"/>
  <c r="D61" i="42"/>
  <c r="F49" i="42"/>
  <c r="F109" i="51"/>
  <c r="C109" i="52" s="1"/>
  <c r="H109" i="51"/>
  <c r="F54" i="52"/>
  <c r="H54" i="52"/>
  <c r="D61" i="51"/>
  <c r="F101" i="52" l="1"/>
  <c r="H101" i="52"/>
  <c r="H61" i="42"/>
  <c r="F107" i="52"/>
  <c r="H107" i="52"/>
  <c r="C116" i="52"/>
  <c r="F124" i="51"/>
  <c r="H124" i="51"/>
  <c r="H109" i="52"/>
  <c r="F109" i="52"/>
  <c r="C49" i="51"/>
  <c r="F61" i="42"/>
  <c r="H49" i="51" l="1"/>
  <c r="F49" i="51"/>
  <c r="C61" i="51"/>
  <c r="F116" i="52"/>
  <c r="F124" i="52" s="1"/>
  <c r="C124" i="52"/>
  <c r="H116" i="52"/>
  <c r="H124" i="52" l="1"/>
  <c r="H61" i="51"/>
  <c r="C49" i="52"/>
  <c r="F61" i="51"/>
  <c r="F49" i="52" l="1"/>
  <c r="F61" i="52" s="1"/>
  <c r="H49" i="52"/>
  <c r="C61" i="52"/>
  <c r="H61" i="52" l="1"/>
  <c r="H23" i="51" l="1"/>
  <c r="F23" i="51"/>
  <c r="C23" i="52" s="1"/>
  <c r="F23" i="52" l="1"/>
  <c r="H23" i="52"/>
  <c r="D143" i="51" l="1"/>
  <c r="F142" i="51"/>
  <c r="H142" i="51"/>
  <c r="H100" i="42" l="1"/>
  <c r="F100" i="42"/>
  <c r="D113" i="42"/>
  <c r="H143" i="51"/>
  <c r="F143" i="51"/>
  <c r="C142" i="52"/>
  <c r="D96" i="51"/>
  <c r="F142" i="52" l="1"/>
  <c r="F143" i="52" s="1"/>
  <c r="C143" i="52"/>
  <c r="H142" i="52"/>
  <c r="H19" i="42"/>
  <c r="D30" i="42"/>
  <c r="F19" i="42"/>
  <c r="C100" i="51"/>
  <c r="F113" i="42"/>
  <c r="H113" i="42"/>
  <c r="H100" i="51" l="1"/>
  <c r="F100" i="51"/>
  <c r="C113" i="51"/>
  <c r="F30" i="42"/>
  <c r="C19" i="51"/>
  <c r="H30" i="42"/>
  <c r="H143" i="52"/>
  <c r="D96" i="52"/>
  <c r="K108" i="13"/>
  <c r="D96" i="42" l="1"/>
  <c r="D150" i="42" s="1"/>
  <c r="F79" i="42"/>
  <c r="H79" i="42"/>
  <c r="H19" i="51"/>
  <c r="C30" i="51"/>
  <c r="F19" i="51"/>
  <c r="K22" i="14"/>
  <c r="C100" i="52"/>
  <c r="F113" i="51"/>
  <c r="H113" i="51"/>
  <c r="H21" i="51" l="1"/>
  <c r="F21" i="51"/>
  <c r="C21" i="52" s="1"/>
  <c r="D30" i="51"/>
  <c r="D150" i="51" s="1"/>
  <c r="K42" i="13"/>
  <c r="L41" i="13"/>
  <c r="C19" i="52"/>
  <c r="H30" i="51"/>
  <c r="H96" i="42"/>
  <c r="H150" i="42" s="1"/>
  <c r="D30" i="52"/>
  <c r="D150" i="52" s="1"/>
  <c r="F96" i="42"/>
  <c r="C79" i="51"/>
  <c r="H100" i="52"/>
  <c r="F100" i="52"/>
  <c r="F113" i="52" s="1"/>
  <c r="C113" i="52"/>
  <c r="M108" i="13"/>
  <c r="F150" i="42" l="1"/>
  <c r="F30" i="51"/>
  <c r="H19" i="52"/>
  <c r="C30" i="52"/>
  <c r="F19" i="52"/>
  <c r="M22" i="14"/>
  <c r="H113" i="52"/>
  <c r="C96" i="51"/>
  <c r="C150" i="51" s="1"/>
  <c r="F79" i="51"/>
  <c r="H79" i="51"/>
  <c r="F21" i="52"/>
  <c r="H21" i="52"/>
  <c r="F30" i="52" l="1"/>
  <c r="H96" i="51"/>
  <c r="H150" i="51" s="1"/>
  <c r="F96" i="51"/>
  <c r="C79" i="52"/>
  <c r="H30" i="52"/>
  <c r="F150" i="51" l="1"/>
  <c r="C96" i="52"/>
  <c r="C150" i="52" s="1"/>
  <c r="H79" i="52"/>
  <c r="F79" i="52"/>
  <c r="F96" i="52" s="1"/>
  <c r="F150" i="52" l="1"/>
  <c r="H96" i="52"/>
  <c r="H150" i="52" s="1"/>
  <c r="K40" i="14" l="1"/>
  <c r="L40" i="14" l="1"/>
  <c r="K42" i="14"/>
  <c r="M40" i="14" l="1"/>
  <c r="L44" i="14"/>
  <c r="K46" i="14"/>
  <c r="L42" i="14"/>
  <c r="L46" i="14" l="1"/>
  <c r="M44" i="14"/>
  <c r="M42" i="14"/>
  <c r="M46" i="14" s="1"/>
  <c r="K49" i="13" l="1"/>
  <c r="L48" i="13"/>
  <c r="M48" i="13" l="1"/>
  <c r="L49" i="13"/>
  <c r="M49" i="13"/>
  <c r="K70" i="13" l="1"/>
  <c r="M69" i="13"/>
  <c r="L70" i="13" l="1"/>
  <c r="M70" i="13"/>
  <c r="M41" i="13" l="1"/>
  <c r="L42" i="13"/>
  <c r="M42" i="13"/>
  <c r="I94" i="13" l="1"/>
  <c r="J91" i="13" s="1"/>
  <c r="J94" i="13" s="1"/>
  <c r="K91" i="13" s="1"/>
  <c r="K94" i="13" s="1"/>
  <c r="L91" i="13" s="1"/>
  <c r="L94" i="13" s="1"/>
  <c r="M91" i="13" s="1"/>
  <c r="M94" i="13" s="1"/>
  <c r="L108" i="13" l="1"/>
  <c r="L22" i="14" l="1"/>
  <c r="K15" i="14" l="1"/>
  <c r="L15" i="14" l="1"/>
  <c r="M15" i="14" l="1"/>
  <c r="J91" i="54" l="1"/>
  <c r="J102" i="54" s="1"/>
  <c r="G23" i="25" l="1"/>
  <c r="G17" i="25"/>
  <c r="G27" i="25" l="1"/>
  <c r="G31" i="25"/>
  <c r="G48" i="25"/>
  <c r="G34" i="25"/>
  <c r="G35" i="25"/>
  <c r="G13" i="25"/>
  <c r="G19" i="25"/>
  <c r="G36" i="25" l="1"/>
  <c r="K27" i="25" l="1"/>
  <c r="K31" i="25"/>
  <c r="K33" i="25" l="1"/>
  <c r="H48" i="25" l="1"/>
  <c r="I27" i="25" l="1"/>
  <c r="J31" i="25"/>
  <c r="I31" i="25"/>
  <c r="H27" i="25"/>
  <c r="H31" i="25"/>
  <c r="J27" i="25"/>
  <c r="H23" i="25" l="1"/>
  <c r="H33" i="25" l="1"/>
  <c r="J33" i="25" l="1"/>
  <c r="I33" i="25"/>
  <c r="H35" i="25" l="1"/>
  <c r="H17" i="25" l="1"/>
  <c r="H19" i="25"/>
  <c r="H34" i="25"/>
  <c r="H36" i="25" s="1"/>
  <c r="H11" i="25"/>
  <c r="H13" i="25"/>
  <c r="I17" i="25" l="1"/>
  <c r="K17" i="25" l="1"/>
  <c r="J17" i="25"/>
  <c r="K11" i="25" l="1"/>
  <c r="K13" i="25" l="1"/>
  <c r="I11" i="25" l="1"/>
  <c r="I13" i="25" l="1"/>
  <c r="J11" i="25" l="1"/>
  <c r="J13" i="25" l="1"/>
  <c r="K48" i="25" l="1"/>
  <c r="K34" i="25"/>
  <c r="K23" i="25" l="1"/>
  <c r="J48" i="25" l="1"/>
  <c r="I48" i="25"/>
  <c r="I34" i="25"/>
  <c r="G42" i="25" l="1"/>
  <c r="G50" i="25" s="1"/>
  <c r="J34" i="25"/>
  <c r="G40" i="25" l="1"/>
  <c r="G43" i="25"/>
  <c r="G44" i="25" l="1"/>
  <c r="G51" i="25"/>
  <c r="J23" i="25"/>
  <c r="I23" i="25"/>
  <c r="G33" i="25" l="1"/>
  <c r="G11" i="25"/>
  <c r="G52" i="25"/>
  <c r="G58" i="25"/>
  <c r="G62" i="25" s="1"/>
  <c r="I19" i="25" l="1"/>
  <c r="I35" i="25"/>
  <c r="I36" i="25" l="1"/>
  <c r="H42" i="25" l="1"/>
  <c r="H50" i="25" s="1"/>
  <c r="H40" i="25" l="1"/>
  <c r="H43" i="25"/>
  <c r="H51" i="25" l="1"/>
  <c r="H44" i="25"/>
  <c r="H52" i="25" l="1"/>
  <c r="H58" i="25"/>
  <c r="H62" i="25" s="1"/>
  <c r="I42" i="25" l="1"/>
  <c r="I50" i="25" s="1"/>
  <c r="K42" i="25" l="1"/>
  <c r="K50" i="25" s="1"/>
  <c r="J42" i="25"/>
  <c r="J50" i="25" s="1"/>
  <c r="I40" i="25" l="1"/>
  <c r="I43" i="25"/>
  <c r="J40" i="25"/>
  <c r="K40" i="25"/>
  <c r="I44" i="25" l="1"/>
  <c r="I51" i="25"/>
  <c r="I52" i="25" s="1"/>
  <c r="K19" i="25" l="1"/>
  <c r="K35" i="25"/>
  <c r="J19" i="25"/>
  <c r="J35" i="25"/>
  <c r="J36" i="25" l="1"/>
  <c r="J43" i="25"/>
  <c r="K36" i="25"/>
  <c r="K43" i="25"/>
  <c r="K51" i="25" l="1"/>
  <c r="K52" i="25" s="1"/>
  <c r="K44" i="25"/>
  <c r="J44" i="25"/>
  <c r="J51" i="25"/>
  <c r="J52" i="25" s="1"/>
  <c r="K13" i="13" l="1"/>
  <c r="L10" i="13" l="1"/>
  <c r="L13" i="13" s="1"/>
  <c r="K10" i="14"/>
  <c r="M10" i="13" l="1"/>
  <c r="M13" i="13" s="1"/>
  <c r="L10" i="14"/>
  <c r="M10" i="14" l="1"/>
  <c r="K19" i="13" l="1"/>
  <c r="L16" i="13" l="1"/>
  <c r="L19" i="13" s="1"/>
  <c r="K13" i="14"/>
  <c r="M16" i="13" l="1"/>
  <c r="L13" i="14"/>
  <c r="M19" i="13" l="1"/>
  <c r="M13" i="14" l="1"/>
  <c r="M12" i="23" l="1"/>
  <c r="M31" i="27" l="1"/>
  <c r="M18" i="18"/>
  <c r="M20" i="18"/>
  <c r="M21" i="18"/>
  <c r="M19" i="18" l="1"/>
  <c r="L12" i="23" l="1"/>
  <c r="K12" i="23"/>
  <c r="L19" i="18" l="1"/>
  <c r="K31" i="27"/>
  <c r="K19" i="18"/>
  <c r="L21" i="18"/>
  <c r="K20" i="18"/>
  <c r="L20" i="18"/>
  <c r="K18" i="18"/>
  <c r="K21" i="18"/>
  <c r="L18" i="18"/>
  <c r="L31" i="27" l="1"/>
  <c r="J96" i="53"/>
  <c r="J105" i="50"/>
  <c r="J116" i="50" s="1"/>
  <c r="J98" i="53" l="1"/>
  <c r="J109" i="53" s="1"/>
  <c r="J21" i="18" l="1"/>
  <c r="J32" i="13" l="1"/>
  <c r="J12" i="23"/>
  <c r="J17" i="14" l="1"/>
  <c r="J18" i="14" s="1"/>
  <c r="J34" i="13"/>
  <c r="J36" i="13" s="1"/>
  <c r="J31" i="27"/>
  <c r="J35" i="27" s="1"/>
  <c r="J19" i="18"/>
  <c r="J20" i="18"/>
  <c r="J18" i="18" l="1"/>
  <c r="I103" i="13" l="1"/>
  <c r="I105" i="13" l="1"/>
  <c r="J76" i="13" l="1"/>
  <c r="J77" i="13" s="1"/>
  <c r="I77" i="13"/>
  <c r="J105" i="13"/>
  <c r="K105" i="13"/>
  <c r="K76" i="13"/>
  <c r="K103" i="13" l="1"/>
  <c r="I87" i="13"/>
  <c r="L105" i="13"/>
  <c r="J103" i="13"/>
  <c r="K77" i="13"/>
  <c r="L76" i="13"/>
  <c r="J104" i="13"/>
  <c r="I104" i="13" l="1"/>
  <c r="I106" i="13" s="1"/>
  <c r="J106" i="13"/>
  <c r="J110" i="13" s="1"/>
  <c r="J112" i="13" s="1"/>
  <c r="K104" i="13"/>
  <c r="K106" i="13" s="1"/>
  <c r="I21" i="14"/>
  <c r="I23" i="14" s="1"/>
  <c r="I26" i="14" s="1"/>
  <c r="J27" i="14" s="1"/>
  <c r="I110" i="13"/>
  <c r="I112" i="13" s="1"/>
  <c r="J87" i="13"/>
  <c r="M76" i="13"/>
  <c r="L77" i="13"/>
  <c r="L103" i="13"/>
  <c r="M77" i="13"/>
  <c r="J21" i="14" l="1"/>
  <c r="J23" i="14" s="1"/>
  <c r="J26" i="14" s="1"/>
  <c r="K27" i="14" s="1"/>
  <c r="M105" i="13"/>
  <c r="J29" i="14"/>
  <c r="K87" i="13"/>
  <c r="K110" i="13"/>
  <c r="K21" i="14"/>
  <c r="K23" i="14" s="1"/>
  <c r="M104" i="13"/>
  <c r="L104" i="13"/>
  <c r="L106" i="13" s="1"/>
  <c r="L87" i="13" l="1"/>
  <c r="M87" i="13"/>
  <c r="M103" i="13"/>
  <c r="M106" i="13" s="1"/>
  <c r="M110" i="13" s="1"/>
  <c r="L110" i="13"/>
  <c r="L21" i="14"/>
  <c r="L23" i="14" s="1"/>
  <c r="M21" i="14" l="1"/>
  <c r="M23" i="14" l="1"/>
  <c r="J63" i="36" l="1"/>
  <c r="I63" i="36" l="1"/>
  <c r="I13" i="23" l="1"/>
  <c r="I26" i="19"/>
  <c r="I33" i="36" l="1"/>
  <c r="J34" i="36" s="1"/>
  <c r="I35" i="36" l="1"/>
  <c r="I65" i="36" s="1"/>
  <c r="G20" i="29"/>
  <c r="J33" i="36"/>
  <c r="K34" i="36" s="1"/>
  <c r="J35" i="36" l="1"/>
  <c r="G29" i="29" l="1"/>
  <c r="J65" i="36"/>
  <c r="K15" i="27" l="1"/>
  <c r="K22" i="27" l="1"/>
  <c r="K35" i="27" s="1"/>
  <c r="L15" i="27" l="1"/>
  <c r="L22" i="27" l="1"/>
  <c r="L35" i="27" s="1"/>
  <c r="M15" i="27" l="1"/>
  <c r="M22" i="27" l="1"/>
  <c r="M35" i="27" s="1"/>
  <c r="J58" i="25" l="1"/>
  <c r="K58" i="25" l="1"/>
  <c r="I58" i="25" l="1"/>
  <c r="I62" i="25" l="1"/>
  <c r="J62" i="25" l="1"/>
  <c r="K62" i="25" l="1"/>
  <c r="I24" i="12" l="1"/>
  <c r="I28" i="12" s="1"/>
  <c r="J24" i="12" l="1"/>
  <c r="J28" i="12" s="1"/>
  <c r="K24" i="12" l="1"/>
  <c r="K28" i="12" s="1"/>
  <c r="L24" i="12" l="1"/>
  <c r="L28" i="12" s="1"/>
  <c r="M24" i="12" l="1"/>
  <c r="M28" i="12" s="1"/>
  <c r="I26" i="27" l="1"/>
  <c r="I28" i="27" s="1"/>
  <c r="I12" i="19" s="1"/>
  <c r="I16" i="18" l="1"/>
  <c r="I19" i="19"/>
  <c r="I21" i="19" s="1"/>
  <c r="I25" i="18" l="1"/>
  <c r="I9" i="11"/>
  <c r="I13" i="11" s="1"/>
  <c r="I15" i="11" s="1"/>
  <c r="J26" i="27" l="1"/>
  <c r="J28" i="27" s="1"/>
  <c r="J12" i="19" s="1"/>
  <c r="J16" i="18" l="1"/>
  <c r="J19" i="19"/>
  <c r="J21" i="19" s="1"/>
  <c r="M26" i="27" l="1"/>
  <c r="M28" i="27" s="1"/>
  <c r="M12" i="19" s="1"/>
  <c r="J9" i="11"/>
  <c r="J13" i="11" s="1"/>
  <c r="J15" i="11" s="1"/>
  <c r="J25" i="18"/>
  <c r="M19" i="19" l="1"/>
  <c r="M21" i="19" s="1"/>
  <c r="M16" i="18"/>
  <c r="M25" i="18" l="1"/>
  <c r="M9" i="11"/>
  <c r="M13" i="11" s="1"/>
  <c r="M15" i="11" s="1"/>
  <c r="K26" i="27" l="1"/>
  <c r="K28" i="27" s="1"/>
  <c r="K12" i="19" s="1"/>
  <c r="K19" i="19" l="1"/>
  <c r="K21" i="19" s="1"/>
  <c r="K16" i="18"/>
  <c r="K9" i="11" l="1"/>
  <c r="K13" i="11" s="1"/>
  <c r="K15" i="11" s="1"/>
  <c r="K25" i="18"/>
  <c r="L26" i="27" l="1"/>
  <c r="L28" i="27" s="1"/>
  <c r="L12" i="19" s="1"/>
  <c r="L16" i="18" l="1"/>
  <c r="L19" i="19"/>
  <c r="L21" i="19" s="1"/>
  <c r="L9" i="11" l="1"/>
  <c r="L13" i="11" s="1"/>
  <c r="L15" i="11" s="1"/>
  <c r="L25" i="18"/>
  <c r="J13" i="23" l="1"/>
  <c r="J26" i="19"/>
  <c r="I30" i="19" l="1"/>
  <c r="I32" i="19" s="1"/>
  <c r="I17" i="23"/>
  <c r="I21" i="23" s="1"/>
  <c r="J30" i="19" l="1"/>
  <c r="J32" i="19" s="1"/>
  <c r="J17" i="23"/>
  <c r="J21" i="23" s="1"/>
  <c r="I12" i="20"/>
  <c r="I14" i="20" s="1"/>
  <c r="I19" i="20" s="1"/>
  <c r="I24" i="20" l="1"/>
  <c r="I25" i="20" s="1"/>
  <c r="J9" i="20"/>
  <c r="J12" i="20"/>
  <c r="J14" i="20" l="1"/>
  <c r="J19" i="20" s="1"/>
  <c r="L9" i="20" s="1"/>
  <c r="I22" i="29"/>
  <c r="I20" i="29"/>
  <c r="G24" i="29"/>
  <c r="I24" i="29" l="1"/>
  <c r="J24" i="20"/>
  <c r="J25" i="20" s="1"/>
  <c r="K9" i="20"/>
  <c r="I31" i="29"/>
  <c r="I29" i="29"/>
  <c r="G33" i="29"/>
  <c r="I33" i="29" l="1"/>
  <c r="K32" i="13" l="1"/>
  <c r="K34" i="13" l="1"/>
  <c r="K36" i="13" s="1"/>
  <c r="K112" i="13" s="1"/>
  <c r="K17" i="14"/>
  <c r="K18" i="14" s="1"/>
  <c r="K26" i="14" s="1"/>
  <c r="L27" i="14" l="1"/>
  <c r="K29" i="14"/>
  <c r="L32" i="13" l="1"/>
  <c r="L17" i="14" s="1"/>
  <c r="L18" i="14" s="1"/>
  <c r="L26" i="14" s="1"/>
  <c r="L34" i="13" l="1"/>
  <c r="L36" i="13" s="1"/>
  <c r="L112" i="13" s="1"/>
  <c r="M27" i="14"/>
  <c r="L29" i="14"/>
  <c r="M32" i="13" l="1"/>
  <c r="M17" i="14" s="1"/>
  <c r="M34" i="13"/>
  <c r="M36" i="13" s="1"/>
  <c r="M112" i="13" s="1"/>
  <c r="M18" i="14" l="1"/>
  <c r="M26" i="14" l="1"/>
  <c r="M29" i="14" s="1"/>
  <c r="I29" i="14" l="1"/>
  <c r="I13" i="12" l="1"/>
  <c r="I17" i="12" s="1"/>
  <c r="I30" i="12" s="1"/>
  <c r="I19" i="11" s="1"/>
  <c r="I21" i="11" s="1"/>
  <c r="I31" i="14" s="1"/>
  <c r="I34" i="14" s="1"/>
  <c r="I48" i="14" s="1"/>
  <c r="M24" i="29" l="1"/>
  <c r="I9" i="18"/>
  <c r="J13" i="12"/>
  <c r="J17" i="12" s="1"/>
  <c r="J30" i="12" s="1"/>
  <c r="J19" i="11" s="1"/>
  <c r="J21" i="11" s="1"/>
  <c r="J31" i="14" s="1"/>
  <c r="J34" i="14" s="1"/>
  <c r="J48" i="14" s="1"/>
  <c r="M22" i="29" l="1"/>
  <c r="M20" i="29"/>
  <c r="J9" i="18"/>
  <c r="M33" i="29"/>
  <c r="K13" i="12"/>
  <c r="K17" i="12" s="1"/>
  <c r="K30" i="12" s="1"/>
  <c r="K19" i="11" s="1"/>
  <c r="K21" i="11" s="1"/>
  <c r="K31" i="14" s="1"/>
  <c r="K34" i="14" s="1"/>
  <c r="K48" i="14" s="1"/>
  <c r="K9" i="18" l="1"/>
  <c r="M42" i="29"/>
  <c r="M31" i="29"/>
  <c r="M29" i="29"/>
  <c r="L13" i="12"/>
  <c r="L17" i="12" s="1"/>
  <c r="L30" i="12" s="1"/>
  <c r="L19" i="11" s="1"/>
  <c r="L21" i="11" s="1"/>
  <c r="L31" i="14" s="1"/>
  <c r="L34" i="14" s="1"/>
  <c r="L48" i="14" s="1"/>
  <c r="L9" i="18" l="1"/>
  <c r="M51" i="29"/>
  <c r="M13" i="12"/>
  <c r="M17" i="12" s="1"/>
  <c r="M30" i="12" s="1"/>
  <c r="M19" i="11" s="1"/>
  <c r="M21" i="11" s="1"/>
  <c r="M31" i="14" s="1"/>
  <c r="M34" i="14" l="1"/>
  <c r="M48" i="14" l="1"/>
  <c r="M60" i="29" l="1"/>
  <c r="M9" i="18"/>
  <c r="Q24" i="29" l="1"/>
  <c r="I13" i="18" s="1"/>
  <c r="K33" i="36"/>
  <c r="O24" i="29" l="1"/>
  <c r="I27" i="18"/>
  <c r="I9" i="23"/>
  <c r="I14" i="23" s="1"/>
  <c r="I23" i="23" s="1"/>
  <c r="I11" i="18"/>
  <c r="K35" i="36"/>
  <c r="G38" i="29" s="1"/>
  <c r="L34" i="36"/>
  <c r="K63" i="36" l="1"/>
  <c r="K65" i="36" s="1"/>
  <c r="O38" i="29" s="1"/>
  <c r="Q33" i="29" l="1"/>
  <c r="J13" i="18" s="1"/>
  <c r="J9" i="23" s="1"/>
  <c r="J14" i="23" s="1"/>
  <c r="J23" i="23" s="1"/>
  <c r="O33" i="29"/>
  <c r="J11" i="18" l="1"/>
  <c r="J27" i="18"/>
  <c r="L33" i="36" l="1"/>
  <c r="M34" i="36" l="1"/>
  <c r="L35" i="36"/>
  <c r="G47" i="29" s="1"/>
  <c r="M33" i="36" l="1"/>
  <c r="M35" i="36" s="1"/>
  <c r="G56" i="29" s="1"/>
  <c r="M63" i="36" l="1"/>
  <c r="M65" i="36" s="1"/>
  <c r="O56" i="29" s="1"/>
  <c r="K26" i="19" l="1"/>
  <c r="K13" i="23"/>
  <c r="K30" i="19" l="1"/>
  <c r="K32" i="19" s="1"/>
  <c r="K17" i="23"/>
  <c r="K21" i="23" s="1"/>
  <c r="K12" i="20" l="1"/>
  <c r="K14" i="20" s="1"/>
  <c r="K19" i="20" s="1"/>
  <c r="K24" i="20" l="1"/>
  <c r="K25" i="20" s="1"/>
  <c r="M9" i="20"/>
  <c r="I38" i="29" l="1"/>
  <c r="M38" i="29" s="1"/>
  <c r="Q38" i="29" s="1"/>
  <c r="I40" i="29"/>
  <c r="M40" i="29" s="1"/>
  <c r="G42" i="29"/>
  <c r="I42" i="29" l="1"/>
  <c r="O42" i="29" l="1"/>
  <c r="Q40" i="29" l="1"/>
  <c r="Q42" i="29" s="1"/>
  <c r="K13" i="18" s="1"/>
  <c r="L63" i="36"/>
  <c r="L65" i="36" s="1"/>
  <c r="O47" i="29" s="1"/>
  <c r="K11" i="18" l="1"/>
  <c r="K9" i="23"/>
  <c r="K14" i="23" s="1"/>
  <c r="K23" i="23" s="1"/>
  <c r="K27" i="18"/>
  <c r="L13" i="23" l="1"/>
  <c r="L26" i="19"/>
  <c r="L17" i="23" l="1"/>
  <c r="L21" i="23" s="1"/>
  <c r="L30" i="19"/>
  <c r="L32" i="19" s="1"/>
  <c r="L12" i="20" l="1"/>
  <c r="L14" i="20" s="1"/>
  <c r="L19" i="20" s="1"/>
  <c r="L24" i="20" s="1"/>
  <c r="L25" i="20" s="1"/>
  <c r="G51" i="29" l="1"/>
  <c r="I47" i="29"/>
  <c r="M47" i="29" s="1"/>
  <c r="Q47" i="29" s="1"/>
  <c r="I49" i="29"/>
  <c r="M49" i="29" s="1"/>
  <c r="I51" i="29" l="1"/>
  <c r="O51" i="29" l="1"/>
  <c r="Q49" i="29" l="1"/>
  <c r="Q51" i="29" s="1"/>
  <c r="L13" i="18" s="1"/>
  <c r="L27" i="18" l="1"/>
  <c r="L11" i="18"/>
  <c r="L9" i="23"/>
  <c r="L14" i="23" s="1"/>
  <c r="L23" i="23" s="1"/>
  <c r="M13" i="23" l="1"/>
  <c r="M26" i="19"/>
  <c r="M17" i="23" l="1"/>
  <c r="M21" i="23" s="1"/>
  <c r="M30" i="19"/>
  <c r="M32" i="19" s="1"/>
  <c r="M12" i="20" l="1"/>
  <c r="M14" i="20" s="1"/>
  <c r="M19" i="20" s="1"/>
  <c r="M24" i="20" s="1"/>
  <c r="M25" i="20" s="1"/>
  <c r="I58" i="29" l="1"/>
  <c r="M58" i="29" s="1"/>
  <c r="G60" i="29"/>
  <c r="I56" i="29"/>
  <c r="M56" i="29" s="1"/>
  <c r="Q56" i="29" s="1"/>
  <c r="I60" i="29" l="1"/>
  <c r="O60" i="29" l="1"/>
  <c r="Q58" i="29" l="1"/>
  <c r="Q60" i="29" s="1"/>
  <c r="M13" i="18" s="1"/>
  <c r="M9" i="23" l="1"/>
  <c r="M14" i="23" s="1"/>
  <c r="M23" i="23" s="1"/>
  <c r="M27" i="18"/>
  <c r="M11" i="18"/>
</calcChain>
</file>

<file path=xl/sharedStrings.xml><?xml version="1.0" encoding="utf-8"?>
<sst xmlns="http://schemas.openxmlformats.org/spreadsheetml/2006/main" count="1332" uniqueCount="541">
  <si>
    <t>Yukon Energy Corporation</t>
  </si>
  <si>
    <t>Schedule Index</t>
  </si>
  <si>
    <t>2A</t>
  </si>
  <si>
    <t>Cost of Capital Calculation</t>
  </si>
  <si>
    <t>10A</t>
  </si>
  <si>
    <t>Schedule 1</t>
  </si>
  <si>
    <t>Computation of Rate Base</t>
  </si>
  <si>
    <t>($000s)</t>
  </si>
  <si>
    <t>Line No.</t>
  </si>
  <si>
    <t>Description</t>
  </si>
  <si>
    <t>Cross Ref.</t>
  </si>
  <si>
    <t>Property, Plant and Equipment</t>
  </si>
  <si>
    <t>Year end balance</t>
  </si>
  <si>
    <t xml:space="preserve"> </t>
  </si>
  <si>
    <t>Deduct:</t>
  </si>
  <si>
    <t>Accumulated depreciation (note 1)</t>
  </si>
  <si>
    <t>Construction-in-progress</t>
  </si>
  <si>
    <t>S.3 L.11</t>
  </si>
  <si>
    <t>Disallowed assets</t>
  </si>
  <si>
    <t>S.3 L.12</t>
  </si>
  <si>
    <t xml:space="preserve">Miscellaneous reserves </t>
  </si>
  <si>
    <t>Total deductions</t>
  </si>
  <si>
    <t>Add:</t>
  </si>
  <si>
    <t>Accum. Disallowed depreciation</t>
  </si>
  <si>
    <t>Total additions</t>
  </si>
  <si>
    <t>Net plant in Service</t>
  </si>
  <si>
    <t>Current year-end balance</t>
  </si>
  <si>
    <t>Previous year-end balance</t>
  </si>
  <si>
    <t>Total</t>
  </si>
  <si>
    <t>Mid-year balance</t>
  </si>
  <si>
    <t>Working capital</t>
  </si>
  <si>
    <t>S.2 L.8</t>
  </si>
  <si>
    <t>Gross Rate Base</t>
  </si>
  <si>
    <t>Contributions in WIP</t>
  </si>
  <si>
    <t>Current year-end balance in-service</t>
  </si>
  <si>
    <t>Accumulated amortization of contributions</t>
  </si>
  <si>
    <t>Net current year-end balance in-service</t>
  </si>
  <si>
    <t>Net Rate Base</t>
  </si>
  <si>
    <t>S.5 L.1</t>
  </si>
  <si>
    <t>Note 1: Including Reserve for Future Removal and Site Restoration</t>
  </si>
  <si>
    <t>Schedule 2</t>
  </si>
  <si>
    <t>Computation of Allowance for Working Capital</t>
  </si>
  <si>
    <t>Operating and maintenance</t>
  </si>
  <si>
    <t>S.5 L.5</t>
  </si>
  <si>
    <t>Taxes other than income</t>
  </si>
  <si>
    <t>S.5 L.6</t>
  </si>
  <si>
    <t>Non-allowable expenses</t>
  </si>
  <si>
    <t>Cash operating expenses</t>
  </si>
  <si>
    <t>27/365</t>
  </si>
  <si>
    <t>Inventory (three year average)</t>
  </si>
  <si>
    <t>GST Impact on working capital</t>
  </si>
  <si>
    <t>S.2A L.11</t>
  </si>
  <si>
    <t>Schedule 2A</t>
  </si>
  <si>
    <t>Effect of GST on Working Capital</t>
  </si>
  <si>
    <t>Expenses subject to GST</t>
  </si>
  <si>
    <t>GST Rate</t>
  </si>
  <si>
    <t>GST Recoverable</t>
  </si>
  <si>
    <t>Day Factor</t>
  </si>
  <si>
    <t>Recoverable portion of GST impact</t>
  </si>
  <si>
    <t>Revenue subject to GST</t>
  </si>
  <si>
    <t>GST payable</t>
  </si>
  <si>
    <t>Day factor</t>
  </si>
  <si>
    <t>Payable portion of GST impact</t>
  </si>
  <si>
    <t>Net impact of GST on working capital</t>
  </si>
  <si>
    <t>S.2 L.7</t>
  </si>
  <si>
    <t>Schedule 3</t>
  </si>
  <si>
    <t>Balance at beginning of year</t>
  </si>
  <si>
    <t>Net Increases to PPE (Table 5.1)</t>
  </si>
  <si>
    <t>Retirements, disposals and adjustments</t>
  </si>
  <si>
    <t>Balance at end of year</t>
  </si>
  <si>
    <t>S.1 L.2</t>
  </si>
  <si>
    <t>Accumulated depreciation</t>
  </si>
  <si>
    <t>Depreciation expense</t>
  </si>
  <si>
    <t>S.6 L.7</t>
  </si>
  <si>
    <t>Deductions from PP&amp;E:</t>
  </si>
  <si>
    <t>S.1 L.5</t>
  </si>
  <si>
    <t>S.1 L.11</t>
  </si>
  <si>
    <t>Net Disallowed</t>
  </si>
  <si>
    <t>S.1 L.4</t>
  </si>
  <si>
    <t>Miscellaneous Reserves</t>
  </si>
  <si>
    <t>Reserve for Injuries and Damages</t>
  </si>
  <si>
    <t>Reserve for Future Removal and Site Restoration</t>
  </si>
  <si>
    <t>S.1 L.6</t>
  </si>
  <si>
    <t>Total Deductions</t>
  </si>
  <si>
    <t>Net Property, Plant and Equipment for Rate Base</t>
  </si>
  <si>
    <t>Feasibility Studies</t>
  </si>
  <si>
    <t>Opening balance</t>
  </si>
  <si>
    <t>Additions</t>
  </si>
  <si>
    <t>Amortization</t>
  </si>
  <si>
    <t>Year-end balance</t>
  </si>
  <si>
    <t>Relicensing</t>
  </si>
  <si>
    <t>Dam Safety</t>
  </si>
  <si>
    <t>Intangibles</t>
  </si>
  <si>
    <t>S.1 L.9</t>
  </si>
  <si>
    <t>S.6 L.6</t>
  </si>
  <si>
    <t>Land</t>
  </si>
  <si>
    <t>Hydraulic Production</t>
  </si>
  <si>
    <t>Diesel Production</t>
  </si>
  <si>
    <t>Main Transmission Facilities</t>
  </si>
  <si>
    <t>General Plant</t>
  </si>
  <si>
    <t>Rights</t>
  </si>
  <si>
    <t>Total Land</t>
  </si>
  <si>
    <t>Hydro Plant</t>
  </si>
  <si>
    <t>Structures and Improvements</t>
  </si>
  <si>
    <t>Reservoirs, Dams, and Waterways</t>
  </si>
  <si>
    <t>Waterwheels,Turbines &amp; Generation</t>
  </si>
  <si>
    <t>Accessory Electric Equipment</t>
  </si>
  <si>
    <t>Misc Power Plant Equipment</t>
  </si>
  <si>
    <t>Fencing</t>
  </si>
  <si>
    <t>Total Hydro Plant</t>
  </si>
  <si>
    <t>Buildings and Improvements</t>
  </si>
  <si>
    <t>Fuel Holders, Products, and ACC</t>
  </si>
  <si>
    <t>Generating Equipment and Prime</t>
  </si>
  <si>
    <t>Total Diesel Production</t>
  </si>
  <si>
    <t>Wind Turbine</t>
  </si>
  <si>
    <t>Total Wind Turbine</t>
  </si>
  <si>
    <t>Poles and Fixtures</t>
  </si>
  <si>
    <t>Brushing</t>
  </si>
  <si>
    <t>Survey Costs</t>
  </si>
  <si>
    <t>Overhead Conductors / Poles</t>
  </si>
  <si>
    <t>Overhead Conductors / Towers</t>
  </si>
  <si>
    <t>Substation Equipment</t>
  </si>
  <si>
    <t>Substation Buildings</t>
  </si>
  <si>
    <t>Substation Fences</t>
  </si>
  <si>
    <t>Total Main Transmission Facilities</t>
  </si>
  <si>
    <t>Sub Transmission Lines</t>
  </si>
  <si>
    <t>25Kv Minto Spur- Structure</t>
  </si>
  <si>
    <t xml:space="preserve">Brushing </t>
  </si>
  <si>
    <t xml:space="preserve">Survey costs </t>
  </si>
  <si>
    <t>Overhead Conductors</t>
  </si>
  <si>
    <t>Underground Conductors / Conduit</t>
  </si>
  <si>
    <t>Total Sub Transmission Lines</t>
  </si>
  <si>
    <t>Distribution System</t>
  </si>
  <si>
    <t>Overhead conductors - Poles</t>
  </si>
  <si>
    <t>Overhead Costs</t>
  </si>
  <si>
    <t>Underground Services</t>
  </si>
  <si>
    <t>Wind Monitoring Equipment</t>
  </si>
  <si>
    <t>Meters</t>
  </si>
  <si>
    <t>Meter Equipment</t>
  </si>
  <si>
    <t>Street Lights</t>
  </si>
  <si>
    <t>Line Transformers</t>
  </si>
  <si>
    <t>Sentinel Lights</t>
  </si>
  <si>
    <t>Total Distribution System</t>
  </si>
  <si>
    <t>Building and Other Equipment</t>
  </si>
  <si>
    <t>Survey Costs Land</t>
  </si>
  <si>
    <t>Structures and Improvements (Hydro)</t>
  </si>
  <si>
    <t>Building and Improvements</t>
  </si>
  <si>
    <t>Office Furniture and Equipment</t>
  </si>
  <si>
    <t>Communication Site Towers</t>
  </si>
  <si>
    <t>Communication Site Fences</t>
  </si>
  <si>
    <t>Computer Hardware</t>
  </si>
  <si>
    <t>Computer Software</t>
  </si>
  <si>
    <t>Tool and Instruments</t>
  </si>
  <si>
    <t>Communication Equipment</t>
  </si>
  <si>
    <t>Company Owned Houses / Land</t>
  </si>
  <si>
    <t>Company Owned Houses</t>
  </si>
  <si>
    <t>Total Building and Other Equipment</t>
  </si>
  <si>
    <t>Transportation</t>
  </si>
  <si>
    <t>Utility Vehicles</t>
  </si>
  <si>
    <t>Sedans and Stationwagons</t>
  </si>
  <si>
    <t>Pole Trailers &gt; 10,000 Lbs</t>
  </si>
  <si>
    <t>Trucks 3/4 to 2 Ton</t>
  </si>
  <si>
    <t>Trucks &gt; 3 Ton</t>
  </si>
  <si>
    <t>Total Transportation</t>
  </si>
  <si>
    <t>Mid Year Balance</t>
  </si>
  <si>
    <t>Ratio</t>
  </si>
  <si>
    <t>Mid Year Rate Base</t>
  </si>
  <si>
    <t>Mid Year Cost Rate</t>
  </si>
  <si>
    <t>Return</t>
  </si>
  <si>
    <t>Long-Term debt</t>
  </si>
  <si>
    <t>Common Stock</t>
  </si>
  <si>
    <t>S.5 L.3</t>
  </si>
  <si>
    <t>Schedule 5</t>
  </si>
  <si>
    <t>Utility Revenue Requirement</t>
  </si>
  <si>
    <t>Net rate base</t>
  </si>
  <si>
    <t>Average Rate of return on rate base</t>
  </si>
  <si>
    <t>Utility income</t>
  </si>
  <si>
    <t>S.8 L.1</t>
  </si>
  <si>
    <t>Utility expenses</t>
  </si>
  <si>
    <t>Operating and maintenance (note 1)</t>
  </si>
  <si>
    <t>S.6 L.3</t>
  </si>
  <si>
    <t>S.6 L.4</t>
  </si>
  <si>
    <t>Amortization of deferred costs</t>
  </si>
  <si>
    <t>S.6 L.5</t>
  </si>
  <si>
    <t>Depreciation</t>
  </si>
  <si>
    <t>Amortization of contributions and fire insurance recoveries</t>
  </si>
  <si>
    <t>S.6 L.8</t>
  </si>
  <si>
    <t>Disallowed depreciation</t>
  </si>
  <si>
    <t>Donations</t>
  </si>
  <si>
    <t>Total utility expenses</t>
  </si>
  <si>
    <t>Revenue Requirement</t>
  </si>
  <si>
    <t>S.6 L.1</t>
  </si>
  <si>
    <t>Note 1: Includes fuel expenses and purchased power.</t>
  </si>
  <si>
    <t>Schedule 6</t>
  </si>
  <si>
    <t>Statement of Earnings</t>
  </si>
  <si>
    <t>Revenues (note 1)</t>
  </si>
  <si>
    <t>S.5 L.14</t>
  </si>
  <si>
    <t>Operating expenses</t>
  </si>
  <si>
    <t>S.10 L.15</t>
  </si>
  <si>
    <t>Amortize deferred costs</t>
  </si>
  <si>
    <t>S.5 L.8</t>
  </si>
  <si>
    <t>S.3 L.8</t>
  </si>
  <si>
    <t>S.5 L.10</t>
  </si>
  <si>
    <t>Operating income</t>
  </si>
  <si>
    <t>Other income</t>
  </si>
  <si>
    <t>Allowed for Funds Used</t>
  </si>
  <si>
    <t>S.8 L.2</t>
  </si>
  <si>
    <t>Miscellaneous (note 2)</t>
  </si>
  <si>
    <t>S.8 L.3</t>
  </si>
  <si>
    <t>Other expenses</t>
  </si>
  <si>
    <t>Interest expense</t>
  </si>
  <si>
    <t>S.8 L.4</t>
  </si>
  <si>
    <t>Net earnings</t>
  </si>
  <si>
    <t>S.8 L.8</t>
  </si>
  <si>
    <t xml:space="preserve">Note 1: Includes revenues from sales and other revenues. </t>
  </si>
  <si>
    <t>Note 2: Miscellaneous primarily consistent of Regulatory gain/losses and other interest income/expenses.</t>
  </si>
  <si>
    <t>Schedule 7</t>
  </si>
  <si>
    <t>Statement of Retained Earnings</t>
  </si>
  <si>
    <t>S.6 L.18</t>
  </si>
  <si>
    <t>IFRS Comprehensive Income Adjustment</t>
  </si>
  <si>
    <t>Balance at end of year before dividend</t>
  </si>
  <si>
    <t>Less:</t>
  </si>
  <si>
    <t>Shareholder's Equity</t>
  </si>
  <si>
    <t>Common shares</t>
  </si>
  <si>
    <t>Retained earnings</t>
  </si>
  <si>
    <t>Note:</t>
  </si>
  <si>
    <t>1. YDC equity injection/dividend estimates required in order to maintain 60/40 debt to equity ratio.</t>
  </si>
  <si>
    <t>Schedule 8</t>
  </si>
  <si>
    <t>Reconciliation of Utility Income to Net Earnings</t>
  </si>
  <si>
    <t>Utility Income (Return on Rate Base)</t>
  </si>
  <si>
    <t>Allowance for funds used</t>
  </si>
  <si>
    <t>S.6 L.12</t>
  </si>
  <si>
    <t>Other income (expenses)</t>
  </si>
  <si>
    <t>S.6 L.13</t>
  </si>
  <si>
    <t>Interest - long-term</t>
  </si>
  <si>
    <t>S.6 L.17</t>
  </si>
  <si>
    <t>S.5 L.12</t>
  </si>
  <si>
    <t>Disallowed costs</t>
  </si>
  <si>
    <t>S.5 L.11</t>
  </si>
  <si>
    <t>Schedule 9</t>
  </si>
  <si>
    <t>Summary of Customers, Energy Sales and Revenues</t>
  </si>
  <si>
    <t>Residential</t>
  </si>
  <si>
    <t>Customers</t>
  </si>
  <si>
    <t>Sales in MWh</t>
  </si>
  <si>
    <t>MWh sales per customer</t>
  </si>
  <si>
    <t>Revenue ($000s)</t>
  </si>
  <si>
    <t>Cents per KWh</t>
  </si>
  <si>
    <t>General Service</t>
  </si>
  <si>
    <t>Industrial</t>
  </si>
  <si>
    <t>Street lights</t>
  </si>
  <si>
    <t>Space lights</t>
  </si>
  <si>
    <t>Total Company - Firm Retail and Industrial</t>
  </si>
  <si>
    <t>Wholesale sales</t>
  </si>
  <si>
    <t>Total Company - Firm</t>
  </si>
  <si>
    <t>Secondary</t>
  </si>
  <si>
    <t xml:space="preserve">Total Company </t>
  </si>
  <si>
    <t>Rider J</t>
  </si>
  <si>
    <t>GRA Increase Req'd</t>
  </si>
  <si>
    <t>Total Sales of Power</t>
  </si>
  <si>
    <t>Other Revenues</t>
  </si>
  <si>
    <t>Total Revenues</t>
  </si>
  <si>
    <t>Schedule 10</t>
  </si>
  <si>
    <t>Summary of Operating and Maintenance Expenses</t>
  </si>
  <si>
    <t>Utility operations</t>
  </si>
  <si>
    <t>Production</t>
  </si>
  <si>
    <t>Transmission and distribution</t>
  </si>
  <si>
    <t>General</t>
  </si>
  <si>
    <t>Administration and general</t>
  </si>
  <si>
    <t>Insurance</t>
  </si>
  <si>
    <t>Sub-total</t>
  </si>
  <si>
    <t>O&amp;M not including fuel and</t>
  </si>
  <si>
    <t>purchased power</t>
  </si>
  <si>
    <t>Fuel</t>
  </si>
  <si>
    <t>Purchased power</t>
  </si>
  <si>
    <t>Total operating and maintenance</t>
  </si>
  <si>
    <t>Property Taxes</t>
  </si>
  <si>
    <t>less: Donations</t>
  </si>
  <si>
    <t>O&amp;M per Table 3.3 (Tab 3)</t>
  </si>
  <si>
    <t>Schedule 10A</t>
  </si>
  <si>
    <t>Summary of Labour Costs</t>
  </si>
  <si>
    <t>Labour Costs</t>
  </si>
  <si>
    <t>Transmission</t>
  </si>
  <si>
    <t>Distribution</t>
  </si>
  <si>
    <t>Administration</t>
  </si>
  <si>
    <t>Total Labour</t>
  </si>
  <si>
    <t>Schedule 11</t>
  </si>
  <si>
    <t>Summary of Cost of Long - Term Debt</t>
  </si>
  <si>
    <t>YDC Mayo B Flexible Term Debt</t>
  </si>
  <si>
    <t>Minto Decommissioning Reserve</t>
  </si>
  <si>
    <t>Mid Year</t>
  </si>
  <si>
    <t>Total Cost of Interest</t>
  </si>
  <si>
    <t>Mid-Year Cost of Debt</t>
  </si>
  <si>
    <t>S.1 L.3</t>
  </si>
  <si>
    <t>Overhaul</t>
  </si>
  <si>
    <t>Brushing Minto</t>
  </si>
  <si>
    <t>Survey costs Minto</t>
  </si>
  <si>
    <t>Overhead Conductors Minto</t>
  </si>
  <si>
    <t xml:space="preserve">Substation Equipment </t>
  </si>
  <si>
    <t>Substation Equipment Minto</t>
  </si>
  <si>
    <t>Trucks &amp; Pole Trailer</t>
  </si>
  <si>
    <t>Foremost</t>
  </si>
  <si>
    <t>Critical Spares</t>
  </si>
  <si>
    <t>Total Critical  Spares</t>
  </si>
  <si>
    <t>LNG Production</t>
  </si>
  <si>
    <t>Fuel Holders</t>
  </si>
  <si>
    <t>Generator</t>
  </si>
  <si>
    <t>Fence</t>
  </si>
  <si>
    <t>Total LNG Prodution</t>
  </si>
  <si>
    <t>Contributions for extensions (PP&amp;E)</t>
  </si>
  <si>
    <t xml:space="preserve">Total Miscellaneous Reserves </t>
  </si>
  <si>
    <t>Underground Conduit</t>
  </si>
  <si>
    <t>Accessory Digital Equipment</t>
  </si>
  <si>
    <t>Minto Generating Equipment</t>
  </si>
  <si>
    <t>Depreciation Study Differences</t>
  </si>
  <si>
    <t>DSM</t>
  </si>
  <si>
    <t>S.3 L.4</t>
  </si>
  <si>
    <t>S.1 L.8</t>
  </si>
  <si>
    <t>Schedule 4</t>
  </si>
  <si>
    <t>Total FTEs</t>
  </si>
  <si>
    <t>Tab 3, Table 3.4</t>
  </si>
  <si>
    <t>Total Labour Costs</t>
  </si>
  <si>
    <t>Sum Lines 5-9</t>
  </si>
  <si>
    <t>O&amp;M Labour Costs</t>
  </si>
  <si>
    <t>Labour Costs to Capital</t>
  </si>
  <si>
    <t>Common Dividends (note 1)</t>
  </si>
  <si>
    <t>Total Deferred Costs and Intangible Assets</t>
  </si>
  <si>
    <t>Total Net Deferred Costs and Intangible Assets for Rate Base</t>
  </si>
  <si>
    <t>Deferred study costs and Intangible assets (net of contributions)</t>
  </si>
  <si>
    <t>Continuity Schedule of Property, Plant and Equipment, Deferred Costs and Intangible Assets</t>
  </si>
  <si>
    <t>Total Net PP&amp;E, Deferred Costs and Intangible Assets for Rate Base</t>
  </si>
  <si>
    <t>Substation VGC Group - Gold Mine</t>
  </si>
  <si>
    <t>Fire Insurance Reserve</t>
  </si>
  <si>
    <t>$000</t>
  </si>
  <si>
    <t>STATCOM - VGC Group - Gold Mine</t>
  </si>
  <si>
    <t>Other - VGC Group - Gold Mine</t>
  </si>
  <si>
    <t>Cost at 2024 Year End</t>
  </si>
  <si>
    <t>2020 New Debt</t>
  </si>
  <si>
    <t>$7.7M TD Swap - 2021</t>
  </si>
  <si>
    <t>$17.9M TD Swap - 2022</t>
  </si>
  <si>
    <t>2023 New Debt</t>
  </si>
  <si>
    <t>2024 New Debt</t>
  </si>
  <si>
    <t>Capital Lease Interest</t>
  </si>
  <si>
    <t>Long-Term Debt Balance</t>
  </si>
  <si>
    <t>Interest Expenses</t>
  </si>
  <si>
    <t>YDC Debt - 2020</t>
  </si>
  <si>
    <t>O&amp;M Expense Reported in Tab 3 excludes fuel and purchase power, but also includes the following:</t>
  </si>
  <si>
    <t>Feasibility Studies WIP</t>
  </si>
  <si>
    <t>Relicensing WIP</t>
  </si>
  <si>
    <t>Dam Safety WIP</t>
  </si>
  <si>
    <t>Vegetation Management Deferral WIP</t>
  </si>
  <si>
    <t>Vegetation Management Deferral</t>
  </si>
  <si>
    <t>Intangibles WIP</t>
  </si>
  <si>
    <t>DSM WIP</t>
  </si>
  <si>
    <t>Hydro, Dams wtwys Twin Assets</t>
  </si>
  <si>
    <t>GST blended rate</t>
  </si>
  <si>
    <t>Regulatory WIP</t>
  </si>
  <si>
    <t>Right of Use Assets</t>
  </si>
  <si>
    <t>Total Right of Use Assets</t>
  </si>
  <si>
    <t>YUKON ENERGY CORPORATION</t>
  </si>
  <si>
    <t>Total Expenditures</t>
  </si>
  <si>
    <t>Dec 31</t>
  </si>
  <si>
    <t xml:space="preserve"> Additions</t>
  </si>
  <si>
    <t>Transfers
/Retired</t>
  </si>
  <si>
    <t>Expenses</t>
  </si>
  <si>
    <t>Feasibility Study</t>
  </si>
  <si>
    <t>Completed Projects:</t>
  </si>
  <si>
    <t>Emergency Preparedness Improvement</t>
  </si>
  <si>
    <t>Gladstone</t>
  </si>
  <si>
    <t>Mayo &amp; Aishihik Climate Change</t>
  </si>
  <si>
    <t>PMF Flood Study</t>
  </si>
  <si>
    <t>Total Feasibility Study Closed</t>
  </si>
  <si>
    <t>Regulatory</t>
  </si>
  <si>
    <t>10 Year Renewable Energy Plan</t>
  </si>
  <si>
    <t>YUB 2007-8 - Part 3 Hearing</t>
  </si>
  <si>
    <t>Total Regulatory Closed</t>
  </si>
  <si>
    <t>Whitehorse Hatchery Water Relicensing</t>
  </si>
  <si>
    <t>Whitehorse Relicensing</t>
  </si>
  <si>
    <t>Mayo Relicensing</t>
  </si>
  <si>
    <t>Total Relicensing Closed</t>
  </si>
  <si>
    <t>Dam Safety Review</t>
  </si>
  <si>
    <t>Completed projects</t>
  </si>
  <si>
    <t>Total Deferred Costs</t>
  </si>
  <si>
    <t>Notes:</t>
  </si>
  <si>
    <t>1. This table does not include projects with zero net book value in the beginning of the year.</t>
  </si>
  <si>
    <t>IPP Cost Deferral</t>
  </si>
  <si>
    <t>Defined Benefit Pension Deferral Account</t>
  </si>
  <si>
    <t>Less: Deferred Costs and Intangible Assets in Progress</t>
  </si>
  <si>
    <t>Deferred Costs and Intangible Assets (note 2)</t>
  </si>
  <si>
    <t>Less: Deferred Costs and Intangibles in Progress</t>
  </si>
  <si>
    <t>TD Bank Swap</t>
  </si>
  <si>
    <t>YDC $12.1M Debt</t>
  </si>
  <si>
    <t>YDC $92.5M Debt</t>
  </si>
  <si>
    <t>YDC $5.5M Debt</t>
  </si>
  <si>
    <t>YDC $21.0M Debt</t>
  </si>
  <si>
    <t>YDC $2.9M Debt</t>
  </si>
  <si>
    <t>S.3 L.17</t>
  </si>
  <si>
    <t>S.3 L.83</t>
  </si>
  <si>
    <t>Note 2: Please see details in Schedule 3. In the 2021 GRA Regulatory Deferral Account balance was provided as a separate line item, now included with other deferral accounts with a detailed breakdown in Schedule 3. Balances are net of contributions.</t>
  </si>
  <si>
    <t>Radio Repeater Assessment</t>
  </si>
  <si>
    <t>Transmission Line Access Plan</t>
  </si>
  <si>
    <t>Mayo Earthworks</t>
  </si>
  <si>
    <t>WH Post-Flood Assessment</t>
  </si>
  <si>
    <t>P126 Building Renovation</t>
  </si>
  <si>
    <t>WH4 Low Water Cavitation Study &amp; Recommendation</t>
  </si>
  <si>
    <t>P125 Intake Trash Rack Cleaning System</t>
  </si>
  <si>
    <t>Elevator Study Aishik</t>
  </si>
  <si>
    <t>Mt Sumanik Wind Feasibility St</t>
  </si>
  <si>
    <t xml:space="preserve">FD7 Condition Assessment </t>
  </si>
  <si>
    <t>Wareham Spillgate Leakage Reduction</t>
  </si>
  <si>
    <t>IPP SOP Implentation</t>
  </si>
  <si>
    <t>DSM Contributions</t>
  </si>
  <si>
    <t>Aishihik 2022 5 Year Relicensing</t>
  </si>
  <si>
    <t>License term</t>
  </si>
  <si>
    <t>Southern Lakes Enhanced Storage</t>
  </si>
  <si>
    <t>Mayo Civil Infrastructure Refurbishment Planning</t>
  </si>
  <si>
    <t>Financial Software Costs</t>
  </si>
  <si>
    <t>Total Intangibles Closed</t>
  </si>
  <si>
    <t>Total Deferred and Intangibles Closed</t>
  </si>
  <si>
    <t>Schedule 3B - 2024</t>
  </si>
  <si>
    <t>S.3 L.84</t>
  </si>
  <si>
    <t>S.3 L.86</t>
  </si>
  <si>
    <t>S.1 L.14</t>
  </si>
  <si>
    <t>S.11 L.19</t>
  </si>
  <si>
    <t>S.1 L.23</t>
  </si>
  <si>
    <t>Approved Depreciation Rate (Years)</t>
  </si>
  <si>
    <t>Compliance Filing</t>
  </si>
  <si>
    <t>*</t>
  </si>
  <si>
    <t>NBV</t>
  </si>
  <si>
    <t>* The licensing cost amortization reflects the amortization of a number of licensing related projects [fishiries, control structure, salmon enhancement, etc.] over the years with amortization period ending 2025 [the current water use licence term].</t>
  </si>
  <si>
    <t>**</t>
  </si>
  <si>
    <t>EAM Purchase and Implementation</t>
  </si>
  <si>
    <t>** Includes a number of small projects.</t>
  </si>
  <si>
    <t>Amortization Period</t>
  </si>
  <si>
    <t>Yukon Energy Corporation 2025-27 GRA</t>
  </si>
  <si>
    <t>2024 GRA
Compliance</t>
  </si>
  <si>
    <t>Actual 2023</t>
  </si>
  <si>
    <t>Prelim. Actual 2024</t>
  </si>
  <si>
    <t>Forecast 2025</t>
  </si>
  <si>
    <t>Forecast 2026</t>
  </si>
  <si>
    <t>Forecast 2027</t>
  </si>
  <si>
    <t>2025-27 GRA</t>
  </si>
  <si>
    <t>$6.425M TD Swap - 2023</t>
  </si>
  <si>
    <t>$1.0M CAFN Debenture - 2023</t>
  </si>
  <si>
    <t>2025 New Debt</t>
  </si>
  <si>
    <t>2026 New Debt</t>
  </si>
  <si>
    <t>2027 New Debt</t>
  </si>
  <si>
    <t>2024 GRA Compliance</t>
  </si>
  <si>
    <t>2023 Actual</t>
  </si>
  <si>
    <t>2024 Preliminary Actual</t>
  </si>
  <si>
    <t>2025 Additions</t>
  </si>
  <si>
    <t>2025 Disposals/ Adjustments</t>
  </si>
  <si>
    <t>Cost at 2025 Year End</t>
  </si>
  <si>
    <t>A</t>
  </si>
  <si>
    <t>B</t>
  </si>
  <si>
    <t>C</t>
  </si>
  <si>
    <t>D</t>
  </si>
  <si>
    <t>E=B+C-D</t>
  </si>
  <si>
    <t>F</t>
  </si>
  <si>
    <t>Depreciation Expense for 2025</t>
  </si>
  <si>
    <t>G=B/F+C/2/F</t>
  </si>
  <si>
    <t>Schedule 3A - 2025</t>
  </si>
  <si>
    <t>Calculation of Depreciation Expense for 2025</t>
  </si>
  <si>
    <t>Battery Energy Storage</t>
  </si>
  <si>
    <t>Total Battery Energy Storage</t>
  </si>
  <si>
    <t>Schedule 3A - 2026</t>
  </si>
  <si>
    <t>Calculation of Depreciation Expense for 2026</t>
  </si>
  <si>
    <t>2026 Additions</t>
  </si>
  <si>
    <t>2026 Disposals/ Adjustments</t>
  </si>
  <si>
    <t>Cost at 2026 Year End</t>
  </si>
  <si>
    <t>Depreciation Expense for 2026</t>
  </si>
  <si>
    <t>Schedule 3A - 2027</t>
  </si>
  <si>
    <t>Calculation of Depreciation Expense for 2027</t>
  </si>
  <si>
    <t>2027 Additions</t>
  </si>
  <si>
    <t>2027 Disposals/ Adjustments</t>
  </si>
  <si>
    <t>Cost at 2027 Year End</t>
  </si>
  <si>
    <t>Depreciation Expense for 2027</t>
  </si>
  <si>
    <t>3A-2025</t>
  </si>
  <si>
    <t>3A-2026</t>
  </si>
  <si>
    <t>3A-2027</t>
  </si>
  <si>
    <t>2025 Forecast</t>
  </si>
  <si>
    <t>Calculation of Amortization Expense for Deferred Costs and Intangibles (2025)</t>
  </si>
  <si>
    <t>Thermal SG4 WH Gas Feasibility</t>
  </si>
  <si>
    <t>Emission/Thermal Allocation Study</t>
  </si>
  <si>
    <t>SCADA/Server Room Fire Assessment</t>
  </si>
  <si>
    <t>Building Condition Reports</t>
  </si>
  <si>
    <t>Transformer Containment/Spill Risk Study</t>
  </si>
  <si>
    <t>Mayo Lake/Wareham Dam Breach</t>
  </si>
  <si>
    <t>IPP Power Variability Study</t>
  </si>
  <si>
    <t>IPP Technical Interconnection</t>
  </si>
  <si>
    <t>Climate Change Adaptation</t>
  </si>
  <si>
    <t>Thermal Plant Replacement Project</t>
  </si>
  <si>
    <t>ERP Requirements Gathering</t>
  </si>
  <si>
    <t>Mayo Lake CS/Wareham Dam Seismic Assmnt</t>
  </si>
  <si>
    <t>Lewes Gate/Seal Refurbishment</t>
  </si>
  <si>
    <t>Wareham Dam Toe Seepage Analysis</t>
  </si>
  <si>
    <t>Mayo Civil Project Feasibiltiy Study</t>
  </si>
  <si>
    <t>Wareham Winter Spill Study</t>
  </si>
  <si>
    <t>Aishihik Intake Inspection</t>
  </si>
  <si>
    <t>Lease Options Analysis 2024</t>
  </si>
  <si>
    <t>System Fire Suppression Assessment Study</t>
  </si>
  <si>
    <t>T&amp;D Emrgncy Spare Parts &amp; Stocking Study</t>
  </si>
  <si>
    <t>S170 McIntyre P&amp;C &amp; SCADA Upgrade DBM</t>
  </si>
  <si>
    <t>Asset Management Framework</t>
  </si>
  <si>
    <t>Other intangible</t>
  </si>
  <si>
    <t>Thermal Assessment &amp; Permitting</t>
  </si>
  <si>
    <t>Mayo Lake Enhanced Storage</t>
  </si>
  <si>
    <t>Dawson City Air Emissions Permit</t>
  </si>
  <si>
    <t>Mayo Air Emissions Permit</t>
  </si>
  <si>
    <t>Aishihik and Takhini Substation Thermal Assessment and Permitting</t>
  </si>
  <si>
    <t>Transmssion Line Corridor Heritage Assmnt</t>
  </si>
  <si>
    <t>Calculation of Amortization Expense for Deferred Costs and Intangibles (2026)</t>
  </si>
  <si>
    <t>2026 Forecast</t>
  </si>
  <si>
    <t>Calculation of Amortization Expense for Deferred Costs and Intangibles (2027)</t>
  </si>
  <si>
    <t>2027 Forecast</t>
  </si>
  <si>
    <t>3B-2025</t>
  </si>
  <si>
    <t>3B-2026</t>
  </si>
  <si>
    <t>3B-2027</t>
  </si>
  <si>
    <t>Deferred Vegetation Management</t>
  </si>
  <si>
    <t>Deemed Ratio</t>
  </si>
  <si>
    <t>S250 Callison System Preliminary Engineering</t>
  </si>
  <si>
    <t>System Wide Arc Flash Study</t>
  </si>
  <si>
    <t>System Wide Stability Study</t>
  </si>
  <si>
    <t>SDIC Program Development</t>
  </si>
  <si>
    <t>AGS Fish Passage Study</t>
  </si>
  <si>
    <t>Project Management Software Research</t>
  </si>
  <si>
    <t>T&amp;D Load Planning Study</t>
  </si>
  <si>
    <t>Business Continuity Plan</t>
  </si>
  <si>
    <t>YEC Process Refinement</t>
  </si>
  <si>
    <t>SF6 Dead Tank Breaker Monitoring - develop solution</t>
  </si>
  <si>
    <t>Condition Assessment for Critical Power Transformers and Reactors</t>
  </si>
  <si>
    <t>WG0 Summer High Temp Investigation</t>
  </si>
  <si>
    <t>Aishihik Dam Breach Study</t>
  </si>
  <si>
    <t>Grid Modernization Study</t>
  </si>
  <si>
    <t>WH Updated Slope Stability Assessment</t>
  </si>
  <si>
    <t>System Fire Protection Assessment</t>
  </si>
  <si>
    <t xml:space="preserve">Dam Safety Program High Risk </t>
  </si>
  <si>
    <t>Renewable Diesel Pilot Project</t>
  </si>
  <si>
    <t>Grid Modernization Study Contributions</t>
  </si>
  <si>
    <t>Customer Bill Structure</t>
  </si>
  <si>
    <t>Integrated Resource Plan</t>
  </si>
  <si>
    <t>Aishihik 25-Year Water Use License Renewal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</si>
</sst>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;[Red]\-&quot;$&quot;#,##0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_-* #,##0_-;\-* #,##0_-;_-* &quot;-&quot;??_-;_-@_-"/>
    <numFmt numFmtId="168" formatCode="_(* #,##0.0_);_(* \(#,##0.0\);_(* &quot;-&quot;??_);_(@_)"/>
    <numFmt numFmtId="169" formatCode="_(* #,##0_);_(* \(#,##0\);_(* &quot;-&quot;??_);_(@_)"/>
    <numFmt numFmtId="170" formatCode="0.0%"/>
    <numFmt numFmtId="171" formatCode="0.000%"/>
    <numFmt numFmtId="172" formatCode="#,##0.0"/>
    <numFmt numFmtId="173" formatCode="d\-mmm\-yy\ &quot;filing&quot;"/>
    <numFmt numFmtId="174" formatCode="0.0"/>
    <numFmt numFmtId="175" formatCode="0.000"/>
    <numFmt numFmtId="176" formatCode="#,##0.0,"/>
  </numFmts>
  <fonts count="3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4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0"/>
      <color indexed="12"/>
      <name val="Tahoma"/>
      <family val="2"/>
    </font>
    <font>
      <i/>
      <sz val="10"/>
      <name val="Tahoma"/>
      <family val="2"/>
    </font>
    <font>
      <sz val="10"/>
      <color indexed="10"/>
      <name val="Tahoma"/>
      <family val="2"/>
    </font>
    <font>
      <b/>
      <i/>
      <sz val="10"/>
      <name val="Tahoma"/>
      <family val="2"/>
    </font>
    <font>
      <sz val="10"/>
      <color indexed="57"/>
      <name val="Tahoma"/>
      <family val="2"/>
    </font>
    <font>
      <sz val="10"/>
      <color indexed="53"/>
      <name val="Tahoma"/>
      <family val="2"/>
    </font>
    <font>
      <b/>
      <u/>
      <sz val="10"/>
      <name val="Tahoma"/>
      <family val="2"/>
    </font>
    <font>
      <vertAlign val="superscript"/>
      <sz val="10"/>
      <name val="Tahoma"/>
      <family val="2"/>
    </font>
    <font>
      <i/>
      <sz val="10"/>
      <color theme="0"/>
      <name val="Tahoma"/>
      <family val="2"/>
    </font>
    <font>
      <sz val="10"/>
      <color theme="1"/>
      <name val="Arial"/>
      <family val="2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theme="1"/>
      <name val="Tahoma"/>
      <family val="2"/>
    </font>
    <font>
      <sz val="8.25"/>
      <color rgb="FF000000"/>
      <name val="Arial"/>
      <family val="2"/>
    </font>
    <font>
      <sz val="9"/>
      <name val="Segoe UI"/>
      <family val="2"/>
    </font>
    <font>
      <sz val="8.5"/>
      <name val="LinePrinter"/>
    </font>
    <font>
      <sz val="10"/>
      <name val="Helvetica (PCL6)"/>
    </font>
  </fonts>
  <fills count="5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1">
    <xf numFmtId="0" fontId="0" fillId="0" borderId="0"/>
    <xf numFmtId="16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2" borderId="0" applyNumberFormat="0" applyBorder="0" applyAlignment="0" applyProtection="0"/>
    <xf numFmtId="0" fontId="5" fillId="0" borderId="0"/>
    <xf numFmtId="0" fontId="22" fillId="0" borderId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8" fillId="0" borderId="0">
      <alignment vertical="center"/>
    </xf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8" fillId="0" borderId="0">
      <alignment vertical="center"/>
    </xf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0" fontId="30" fillId="0" borderId="0"/>
  </cellStyleXfs>
  <cellXfs count="209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5" fontId="7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69" fontId="7" fillId="0" borderId="0" xfId="1" applyFont="1" applyFill="1"/>
    <xf numFmtId="169" fontId="7" fillId="0" borderId="0" xfId="1" applyFont="1" applyFill="1" applyBorder="1"/>
    <xf numFmtId="169" fontId="7" fillId="0" borderId="0" xfId="0" applyNumberFormat="1" applyFont="1"/>
    <xf numFmtId="169" fontId="7" fillId="0" borderId="1" xfId="1" applyFont="1" applyFill="1" applyBorder="1"/>
    <xf numFmtId="169" fontId="7" fillId="0" borderId="4" xfId="1" applyFont="1" applyFill="1" applyBorder="1"/>
    <xf numFmtId="3" fontId="7" fillId="0" borderId="0" xfId="0" applyNumberFormat="1" applyFont="1"/>
    <xf numFmtId="167" fontId="7" fillId="0" borderId="0" xfId="0" applyNumberFormat="1" applyFont="1"/>
    <xf numFmtId="169" fontId="7" fillId="0" borderId="3" xfId="1" applyFont="1" applyFill="1" applyBorder="1"/>
    <xf numFmtId="0" fontId="7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167" fontId="7" fillId="0" borderId="0" xfId="1" applyNumberFormat="1" applyFont="1" applyFill="1"/>
    <xf numFmtId="167" fontId="7" fillId="0" borderId="0" xfId="1" applyNumberFormat="1" applyFont="1" applyFill="1" applyBorder="1"/>
    <xf numFmtId="0" fontId="13" fillId="0" borderId="0" xfId="0" applyFont="1"/>
    <xf numFmtId="167" fontId="7" fillId="0" borderId="3" xfId="1" applyNumberFormat="1" applyFont="1" applyFill="1" applyBorder="1"/>
    <xf numFmtId="169" fontId="10" fillId="0" borderId="0" xfId="0" applyNumberFormat="1" applyFont="1"/>
    <xf numFmtId="10" fontId="7" fillId="0" borderId="1" xfId="0" applyNumberFormat="1" applyFont="1" applyBorder="1"/>
    <xf numFmtId="10" fontId="7" fillId="0" borderId="0" xfId="0" applyNumberFormat="1" applyFont="1"/>
    <xf numFmtId="169" fontId="7" fillId="0" borderId="3" xfId="0" applyNumberFormat="1" applyFont="1" applyBorder="1"/>
    <xf numFmtId="0" fontId="14" fillId="0" borderId="0" xfId="0" applyFont="1"/>
    <xf numFmtId="1" fontId="7" fillId="0" borderId="0" xfId="0" applyNumberFormat="1" applyFont="1"/>
    <xf numFmtId="37" fontId="7" fillId="0" borderId="0" xfId="0" applyNumberFormat="1" applyFont="1"/>
    <xf numFmtId="0" fontId="14" fillId="0" borderId="0" xfId="0" applyFont="1" applyAlignment="1">
      <alignment horizontal="center"/>
    </xf>
    <xf numFmtId="3" fontId="7" fillId="0" borderId="0" xfId="1" applyNumberFormat="1" applyFont="1" applyFill="1"/>
    <xf numFmtId="0" fontId="15" fillId="0" borderId="0" xfId="0" applyFont="1"/>
    <xf numFmtId="3" fontId="7" fillId="0" borderId="0" xfId="0" applyNumberFormat="1" applyFont="1" applyAlignment="1">
      <alignment horizontal="center"/>
    </xf>
    <xf numFmtId="3" fontId="10" fillId="0" borderId="1" xfId="0" applyNumberFormat="1" applyFont="1" applyBorder="1" applyAlignment="1">
      <alignment horizontal="center" wrapText="1"/>
    </xf>
    <xf numFmtId="171" fontId="7" fillId="0" borderId="0" xfId="0" applyNumberFormat="1" applyFont="1"/>
    <xf numFmtId="3" fontId="7" fillId="0" borderId="1" xfId="0" applyNumberFormat="1" applyFont="1" applyBorder="1"/>
    <xf numFmtId="3" fontId="15" fillId="0" borderId="0" xfId="0" applyNumberFormat="1" applyFont="1"/>
    <xf numFmtId="3" fontId="7" fillId="0" borderId="3" xfId="0" applyNumberFormat="1" applyFont="1" applyBorder="1"/>
    <xf numFmtId="10" fontId="7" fillId="0" borderId="3" xfId="0" applyNumberFormat="1" applyFont="1" applyBorder="1"/>
    <xf numFmtId="3" fontId="7" fillId="0" borderId="1" xfId="1" applyNumberFormat="1" applyFont="1" applyFill="1" applyBorder="1"/>
    <xf numFmtId="3" fontId="7" fillId="0" borderId="3" xfId="1" applyNumberFormat="1" applyFont="1" applyFill="1" applyBorder="1"/>
    <xf numFmtId="3" fontId="8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/>
    </xf>
    <xf numFmtId="173" fontId="7" fillId="0" borderId="0" xfId="0" applyNumberFormat="1" applyFont="1"/>
    <xf numFmtId="170" fontId="7" fillId="0" borderId="0" xfId="0" applyNumberFormat="1" applyFont="1"/>
    <xf numFmtId="170" fontId="7" fillId="0" borderId="1" xfId="0" applyNumberFormat="1" applyFont="1" applyBorder="1"/>
    <xf numFmtId="170" fontId="7" fillId="0" borderId="3" xfId="0" applyNumberFormat="1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top"/>
    </xf>
    <xf numFmtId="0" fontId="16" fillId="0" borderId="0" xfId="0" applyFont="1"/>
    <xf numFmtId="0" fontId="7" fillId="0" borderId="0" xfId="0" applyFont="1" applyAlignment="1">
      <alignment horizontal="right" vertical="center"/>
    </xf>
    <xf numFmtId="38" fontId="7" fillId="0" borderId="0" xfId="0" applyNumberFormat="1" applyFont="1"/>
    <xf numFmtId="168" fontId="7" fillId="0" borderId="0" xfId="0" applyNumberFormat="1" applyFont="1"/>
    <xf numFmtId="0" fontId="7" fillId="0" borderId="0" xfId="0" applyFont="1" applyAlignment="1">
      <alignment wrapText="1"/>
    </xf>
    <xf numFmtId="169" fontId="7" fillId="0" borderId="0" xfId="3" applyNumberFormat="1" applyFont="1" applyFill="1" applyBorder="1"/>
    <xf numFmtId="0" fontId="17" fillId="0" borderId="0" xfId="0" applyFont="1"/>
    <xf numFmtId="0" fontId="18" fillId="0" borderId="0" xfId="0" applyFont="1" applyAlignment="1">
      <alignment horizontal="left"/>
    </xf>
    <xf numFmtId="0" fontId="10" fillId="0" borderId="0" xfId="4" applyFont="1"/>
    <xf numFmtId="0" fontId="7" fillId="0" borderId="0" xfId="0" applyFont="1" applyAlignment="1">
      <alignment horizontal="left" indent="1"/>
    </xf>
    <xf numFmtId="0" fontId="7" fillId="0" borderId="0" xfId="4" applyFont="1" applyAlignment="1">
      <alignment horizontal="left" indent="1"/>
    </xf>
    <xf numFmtId="172" fontId="7" fillId="0" borderId="0" xfId="0" applyNumberFormat="1" applyFont="1"/>
    <xf numFmtId="174" fontId="7" fillId="0" borderId="0" xfId="0" applyNumberFormat="1" applyFont="1"/>
    <xf numFmtId="0" fontId="19" fillId="0" borderId="0" xfId="4" applyFont="1"/>
    <xf numFmtId="3" fontId="7" fillId="0" borderId="0" xfId="4" applyNumberFormat="1" applyFont="1"/>
    <xf numFmtId="0" fontId="7" fillId="0" borderId="0" xfId="0" applyFont="1" applyAlignment="1">
      <alignment horizontal="left"/>
    </xf>
    <xf numFmtId="3" fontId="7" fillId="0" borderId="2" xfId="0" applyNumberFormat="1" applyFont="1" applyBorder="1"/>
    <xf numFmtId="0" fontId="20" fillId="0" borderId="0" xfId="0" applyFont="1"/>
    <xf numFmtId="3" fontId="10" fillId="0" borderId="0" xfId="0" applyNumberFormat="1" applyFont="1"/>
    <xf numFmtId="3" fontId="14" fillId="0" borderId="0" xfId="0" applyNumberFormat="1" applyFont="1"/>
    <xf numFmtId="1" fontId="14" fillId="0" borderId="0" xfId="0" applyNumberFormat="1" applyFont="1"/>
    <xf numFmtId="3" fontId="7" fillId="0" borderId="0" xfId="0" applyNumberFormat="1" applyFont="1" applyAlignment="1">
      <alignment vertical="top" wrapText="1"/>
    </xf>
    <xf numFmtId="164" fontId="7" fillId="0" borderId="0" xfId="0" applyNumberFormat="1" applyFont="1"/>
    <xf numFmtId="0" fontId="21" fillId="0" borderId="0" xfId="0" applyFont="1"/>
    <xf numFmtId="0" fontId="21" fillId="0" borderId="0" xfId="0" applyFont="1" applyAlignment="1">
      <alignment horizontal="center"/>
    </xf>
    <xf numFmtId="3" fontId="21" fillId="0" borderId="0" xfId="0" applyNumberFormat="1" applyFont="1"/>
    <xf numFmtId="0" fontId="6" fillId="0" borderId="0" xfId="0" applyFont="1"/>
    <xf numFmtId="10" fontId="7" fillId="0" borderId="0" xfId="2" applyNumberFormat="1" applyFont="1"/>
    <xf numFmtId="10" fontId="7" fillId="0" borderId="0" xfId="2" applyNumberFormat="1" applyFont="1" applyFill="1"/>
    <xf numFmtId="169" fontId="7" fillId="0" borderId="0" xfId="1" applyFont="1" applyFill="1" applyAlignment="1">
      <alignment vertical="center"/>
    </xf>
    <xf numFmtId="169" fontId="7" fillId="0" borderId="0" xfId="1" applyFont="1" applyFill="1" applyAlignment="1">
      <alignment horizontal="center" vertical="center"/>
    </xf>
    <xf numFmtId="3" fontId="7" fillId="0" borderId="4" xfId="1" applyNumberFormat="1" applyFont="1" applyFill="1" applyBorder="1"/>
    <xf numFmtId="174" fontId="7" fillId="0" borderId="0" xfId="4" applyNumberFormat="1" applyFont="1"/>
    <xf numFmtId="3" fontId="7" fillId="0" borderId="4" xfId="0" applyNumberFormat="1" applyFont="1" applyBorder="1"/>
    <xf numFmtId="37" fontId="14" fillId="0" borderId="1" xfId="0" applyNumberFormat="1" applyFont="1" applyBorder="1"/>
    <xf numFmtId="0" fontId="8" fillId="0" borderId="0" xfId="4" applyFont="1" applyAlignment="1">
      <alignment horizontal="left"/>
    </xf>
    <xf numFmtId="0" fontId="7" fillId="0" borderId="0" xfId="4" applyFont="1"/>
    <xf numFmtId="0" fontId="7" fillId="0" borderId="0" xfId="4" applyFont="1" applyAlignment="1">
      <alignment horizontal="center"/>
    </xf>
    <xf numFmtId="0" fontId="8" fillId="0" borderId="0" xfId="4" applyFont="1" applyAlignment="1">
      <alignment horizontal="center"/>
    </xf>
    <xf numFmtId="0" fontId="10" fillId="0" borderId="0" xfId="4" applyFont="1" applyAlignment="1">
      <alignment horizontal="left"/>
    </xf>
    <xf numFmtId="0" fontId="10" fillId="0" borderId="0" xfId="4" applyFont="1" applyAlignment="1">
      <alignment horizontal="center"/>
    </xf>
    <xf numFmtId="0" fontId="10" fillId="0" borderId="1" xfId="4" applyFont="1" applyBorder="1" applyAlignment="1">
      <alignment horizontal="center" wrapText="1"/>
    </xf>
    <xf numFmtId="0" fontId="10" fillId="0" borderId="0" xfId="4" applyFont="1" applyAlignment="1">
      <alignment horizontal="center" wrapText="1"/>
    </xf>
    <xf numFmtId="3" fontId="7" fillId="0" borderId="4" xfId="4" applyNumberFormat="1" applyFont="1" applyBorder="1"/>
    <xf numFmtId="0" fontId="14" fillId="0" borderId="0" xfId="4" applyFont="1"/>
    <xf numFmtId="0" fontId="14" fillId="0" borderId="0" xfId="4" applyFont="1" applyAlignment="1">
      <alignment horizontal="center"/>
    </xf>
    <xf numFmtId="3" fontId="14" fillId="0" borderId="0" xfId="4" applyNumberFormat="1" applyFont="1"/>
    <xf numFmtId="0" fontId="7" fillId="0" borderId="0" xfId="4" applyFont="1" applyAlignment="1">
      <alignment vertical="top"/>
    </xf>
    <xf numFmtId="0" fontId="7" fillId="0" borderId="0" xfId="4" applyFont="1" applyAlignment="1">
      <alignment horizontal="left" vertical="top" wrapText="1"/>
    </xf>
    <xf numFmtId="1" fontId="7" fillId="0" borderId="0" xfId="4" applyNumberFormat="1" applyFont="1"/>
    <xf numFmtId="3" fontId="7" fillId="0" borderId="0" xfId="4" applyNumberFormat="1" applyFont="1" applyAlignment="1">
      <alignment vertical="top" wrapText="1"/>
    </xf>
    <xf numFmtId="164" fontId="7" fillId="0" borderId="0" xfId="4" applyNumberFormat="1" applyFont="1"/>
    <xf numFmtId="38" fontId="7" fillId="0" borderId="0" xfId="4" applyNumberFormat="1" applyFont="1"/>
    <xf numFmtId="0" fontId="7" fillId="3" borderId="0" xfId="0" applyFont="1" applyFill="1" applyAlignment="1">
      <alignment horizontal="center"/>
    </xf>
    <xf numFmtId="0" fontId="23" fillId="4" borderId="0" xfId="5" applyFont="1" applyFill="1" applyAlignment="1">
      <alignment horizontal="left"/>
    </xf>
    <xf numFmtId="0" fontId="24" fillId="4" borderId="0" xfId="5" applyFont="1" applyFill="1"/>
    <xf numFmtId="165" fontId="24" fillId="4" borderId="0" xfId="5" applyNumberFormat="1" applyFont="1" applyFill="1"/>
    <xf numFmtId="2" fontId="24" fillId="4" borderId="0" xfId="5" applyNumberFormat="1" applyFont="1" applyFill="1"/>
    <xf numFmtId="0" fontId="25" fillId="4" borderId="0" xfId="5" applyFont="1" applyFill="1" applyAlignment="1">
      <alignment horizontal="right"/>
    </xf>
    <xf numFmtId="0" fontId="25" fillId="4" borderId="0" xfId="5" applyFont="1" applyFill="1" applyAlignment="1">
      <alignment horizontal="left"/>
    </xf>
    <xf numFmtId="10" fontId="25" fillId="4" borderId="1" xfId="2" applyNumberFormat="1" applyFont="1" applyFill="1" applyBorder="1" applyAlignment="1">
      <alignment horizontal="center"/>
    </xf>
    <xf numFmtId="3" fontId="23" fillId="4" borderId="0" xfId="6" applyNumberFormat="1" applyFont="1" applyFill="1" applyBorder="1" applyAlignment="1">
      <alignment horizontal="right"/>
    </xf>
    <xf numFmtId="10" fontId="23" fillId="4" borderId="0" xfId="2" applyNumberFormat="1" applyFont="1" applyFill="1" applyBorder="1" applyAlignment="1">
      <alignment horizontal="center"/>
    </xf>
    <xf numFmtId="0" fontId="26" fillId="4" borderId="0" xfId="5" applyFont="1" applyFill="1"/>
    <xf numFmtId="10" fontId="24" fillId="4" borderId="0" xfId="2" applyNumberFormat="1" applyFont="1" applyFill="1" applyBorder="1" applyAlignment="1">
      <alignment horizontal="center"/>
    </xf>
    <xf numFmtId="175" fontId="25" fillId="4" borderId="0" xfId="5" applyNumberFormat="1" applyFont="1" applyFill="1" applyAlignment="1">
      <alignment horizontal="right"/>
    </xf>
    <xf numFmtId="10" fontId="24" fillId="4" borderId="0" xfId="2" applyNumberFormat="1" applyFont="1" applyFill="1" applyBorder="1"/>
    <xf numFmtId="3" fontId="24" fillId="4" borderId="0" xfId="5" applyNumberFormat="1" applyFont="1" applyFill="1" applyAlignment="1">
      <alignment horizontal="right"/>
    </xf>
    <xf numFmtId="10" fontId="24" fillId="4" borderId="0" xfId="2" applyNumberFormat="1" applyFont="1" applyFill="1"/>
    <xf numFmtId="2" fontId="23" fillId="4" borderId="0" xfId="5" applyNumberFormat="1" applyFont="1" applyFill="1" applyAlignment="1">
      <alignment horizontal="center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4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left" indent="3"/>
    </xf>
    <xf numFmtId="0" fontId="7" fillId="0" borderId="0" xfId="0" applyFont="1" applyAlignment="1">
      <alignment horizontal="left" vertical="top" wrapText="1"/>
    </xf>
    <xf numFmtId="0" fontId="7" fillId="4" borderId="0" xfId="5" applyFont="1" applyFill="1"/>
    <xf numFmtId="0" fontId="7" fillId="4" borderId="0" xfId="4" applyFont="1" applyFill="1"/>
    <xf numFmtId="0" fontId="10" fillId="4" borderId="0" xfId="5" applyFont="1" applyFill="1" applyAlignment="1">
      <alignment horizontal="center"/>
    </xf>
    <xf numFmtId="165" fontId="10" fillId="4" borderId="0" xfId="5" applyNumberFormat="1" applyFont="1" applyFill="1" applyAlignment="1">
      <alignment horizontal="center" wrapText="1"/>
    </xf>
    <xf numFmtId="0" fontId="8" fillId="4" borderId="0" xfId="4" applyFont="1" applyFill="1" applyAlignment="1">
      <alignment horizontal="left"/>
    </xf>
    <xf numFmtId="0" fontId="7" fillId="4" borderId="0" xfId="4" applyFont="1" applyFill="1" applyAlignment="1">
      <alignment horizontal="center"/>
    </xf>
    <xf numFmtId="0" fontId="10" fillId="4" borderId="0" xfId="4" applyFont="1" applyFill="1" applyAlignment="1">
      <alignment horizontal="left"/>
    </xf>
    <xf numFmtId="0" fontId="10" fillId="4" borderId="0" xfId="5" applyFont="1" applyFill="1" applyAlignment="1">
      <alignment horizontal="center" wrapText="1"/>
    </xf>
    <xf numFmtId="0" fontId="10" fillId="4" borderId="5" xfId="5" applyFont="1" applyFill="1" applyBorder="1" applyAlignment="1">
      <alignment horizontal="center" wrapText="1"/>
    </xf>
    <xf numFmtId="0" fontId="10" fillId="4" borderId="0" xfId="5" applyFont="1" applyFill="1" applyAlignment="1">
      <alignment wrapText="1"/>
    </xf>
    <xf numFmtId="1" fontId="25" fillId="4" borderId="0" xfId="2" applyNumberFormat="1" applyFont="1" applyFill="1" applyBorder="1" applyAlignment="1">
      <alignment horizontal="right"/>
    </xf>
    <xf numFmtId="1" fontId="25" fillId="4" borderId="1" xfId="2" applyNumberFormat="1" applyFont="1" applyFill="1" applyBorder="1" applyAlignment="1">
      <alignment horizontal="right"/>
    </xf>
    <xf numFmtId="1" fontId="25" fillId="4" borderId="0" xfId="5" applyNumberFormat="1" applyFont="1" applyFill="1" applyAlignment="1">
      <alignment horizontal="right"/>
    </xf>
    <xf numFmtId="1" fontId="25" fillId="4" borderId="1" xfId="5" applyNumberFormat="1" applyFont="1" applyFill="1" applyBorder="1" applyAlignment="1">
      <alignment horizontal="right"/>
    </xf>
    <xf numFmtId="0" fontId="7" fillId="0" borderId="0" xfId="0" applyFont="1" applyAlignment="1">
      <alignment vertical="top" wrapText="1"/>
    </xf>
    <xf numFmtId="176" fontId="25" fillId="4" borderId="0" xfId="6" applyNumberFormat="1" applyFont="1" applyFill="1" applyBorder="1" applyAlignment="1">
      <alignment horizontal="right"/>
    </xf>
    <xf numFmtId="176" fontId="25" fillId="4" borderId="1" xfId="6" applyNumberFormat="1" applyFont="1" applyFill="1" applyBorder="1" applyAlignment="1">
      <alignment horizontal="right"/>
    </xf>
    <xf numFmtId="176" fontId="23" fillId="4" borderId="0" xfId="6" applyNumberFormat="1" applyFont="1" applyFill="1" applyBorder="1" applyAlignment="1">
      <alignment horizontal="right"/>
    </xf>
    <xf numFmtId="176" fontId="24" fillId="4" borderId="0" xfId="6" applyNumberFormat="1" applyFont="1" applyFill="1" applyBorder="1" applyAlignment="1">
      <alignment horizontal="right"/>
    </xf>
    <xf numFmtId="176" fontId="24" fillId="4" borderId="0" xfId="5" applyNumberFormat="1" applyFont="1" applyFill="1" applyAlignment="1">
      <alignment horizontal="right"/>
    </xf>
    <xf numFmtId="6" fontId="10" fillId="4" borderId="0" xfId="4" quotePrefix="1" applyNumberFormat="1" applyFont="1" applyFill="1" applyAlignment="1">
      <alignment horizontal="left"/>
    </xf>
    <xf numFmtId="3" fontId="7" fillId="4" borderId="0" xfId="4" applyNumberFormat="1" applyFont="1" applyFill="1"/>
    <xf numFmtId="169" fontId="7" fillId="4" borderId="1" xfId="1" applyFont="1" applyFill="1" applyBorder="1"/>
    <xf numFmtId="1" fontId="23" fillId="4" borderId="0" xfId="2" applyNumberFormat="1" applyFont="1" applyFill="1" applyBorder="1" applyAlignment="1">
      <alignment horizontal="right"/>
    </xf>
    <xf numFmtId="37" fontId="10" fillId="0" borderId="0" xfId="17" applyNumberFormat="1" applyFont="1"/>
    <xf numFmtId="0" fontId="10" fillId="0" borderId="0" xfId="18" applyFont="1"/>
    <xf numFmtId="0" fontId="24" fillId="0" borderId="0" xfId="18" applyFont="1"/>
    <xf numFmtId="37" fontId="7" fillId="0" borderId="3" xfId="17" quotePrefix="1" applyNumberFormat="1" applyFont="1" applyBorder="1"/>
    <xf numFmtId="37" fontId="7" fillId="0" borderId="3" xfId="17" applyNumberFormat="1" applyFont="1" applyBorder="1"/>
    <xf numFmtId="0" fontId="10" fillId="0" borderId="3" xfId="18" applyFont="1" applyBorder="1"/>
    <xf numFmtId="37" fontId="7" fillId="0" borderId="0" xfId="17" applyNumberFormat="1" applyFont="1"/>
    <xf numFmtId="0" fontId="7" fillId="0" borderId="0" xfId="18" applyFont="1" applyAlignment="1">
      <alignment horizontal="center"/>
    </xf>
    <xf numFmtId="49" fontId="7" fillId="0" borderId="0" xfId="17" quotePrefix="1" applyNumberFormat="1" applyFont="1" applyAlignment="1">
      <alignment horizontal="center" vertical="center"/>
    </xf>
    <xf numFmtId="0" fontId="7" fillId="0" borderId="0" xfId="18" applyFont="1" applyAlignment="1">
      <alignment horizontal="centerContinuous" vertical="center"/>
    </xf>
    <xf numFmtId="0" fontId="7" fillId="0" borderId="7" xfId="18" applyFont="1" applyBorder="1" applyAlignment="1">
      <alignment horizontal="centerContinuous" vertical="center"/>
    </xf>
    <xf numFmtId="49" fontId="7" fillId="0" borderId="0" xfId="18" applyNumberFormat="1" applyFont="1" applyAlignment="1">
      <alignment horizontal="center" vertical="center"/>
    </xf>
    <xf numFmtId="1" fontId="7" fillId="0" borderId="3" xfId="17" applyNumberFormat="1" applyFont="1" applyBorder="1" applyAlignment="1">
      <alignment horizontal="center" vertical="center"/>
    </xf>
    <xf numFmtId="1" fontId="7" fillId="0" borderId="3" xfId="18" quotePrefix="1" applyNumberFormat="1" applyFont="1" applyBorder="1" applyAlignment="1">
      <alignment horizontal="center" vertical="center" wrapText="1"/>
    </xf>
    <xf numFmtId="1" fontId="7" fillId="0" borderId="3" xfId="18" applyNumberFormat="1" applyFont="1" applyBorder="1" applyAlignment="1">
      <alignment horizontal="center" vertical="center" wrapText="1"/>
    </xf>
    <xf numFmtId="1" fontId="7" fillId="0" borderId="3" xfId="18" applyNumberFormat="1" applyFont="1" applyBorder="1" applyAlignment="1">
      <alignment horizontal="center" vertical="center"/>
    </xf>
    <xf numFmtId="0" fontId="26" fillId="0" borderId="0" xfId="18" applyFont="1"/>
    <xf numFmtId="37" fontId="7" fillId="0" borderId="0" xfId="17" quotePrefix="1" applyNumberFormat="1" applyFont="1"/>
    <xf numFmtId="4" fontId="7" fillId="0" borderId="0" xfId="4" applyNumberFormat="1" applyFont="1"/>
    <xf numFmtId="169" fontId="24" fillId="0" borderId="0" xfId="19" applyNumberFormat="1" applyFont="1" applyFill="1"/>
    <xf numFmtId="169" fontId="24" fillId="0" borderId="0" xfId="18" applyNumberFormat="1" applyFont="1"/>
    <xf numFmtId="169" fontId="24" fillId="0" borderId="1" xfId="18" applyNumberFormat="1" applyFont="1" applyBorder="1"/>
    <xf numFmtId="37" fontId="10" fillId="0" borderId="0" xfId="17" quotePrefix="1" applyNumberFormat="1" applyFont="1"/>
    <xf numFmtId="0" fontId="7" fillId="0" borderId="0" xfId="20" applyFont="1" applyAlignment="1">
      <alignment horizontal="left"/>
    </xf>
    <xf numFmtId="167" fontId="24" fillId="0" borderId="0" xfId="18" applyNumberFormat="1" applyFont="1"/>
    <xf numFmtId="37" fontId="7" fillId="0" borderId="1" xfId="17" applyNumberFormat="1" applyFont="1" applyBorder="1"/>
    <xf numFmtId="3" fontId="7" fillId="0" borderId="0" xfId="20" applyNumberFormat="1" applyFont="1"/>
    <xf numFmtId="3" fontId="24" fillId="0" borderId="0" xfId="18" applyNumberFormat="1" applyFont="1"/>
    <xf numFmtId="3" fontId="10" fillId="0" borderId="4" xfId="4" applyNumberFormat="1" applyFont="1" applyBorder="1"/>
    <xf numFmtId="3" fontId="7" fillId="0" borderId="0" xfId="17" applyNumberFormat="1" applyFont="1"/>
    <xf numFmtId="0" fontId="7" fillId="0" borderId="6" xfId="18" applyFont="1" applyBorder="1" applyAlignment="1">
      <alignment horizontal="center"/>
    </xf>
    <xf numFmtId="37" fontId="10" fillId="0" borderId="4" xfId="17" applyNumberFormat="1" applyFont="1" applyBorder="1"/>
    <xf numFmtId="0" fontId="10" fillId="4" borderId="8" xfId="5" applyFont="1" applyFill="1" applyBorder="1" applyAlignment="1">
      <alignment horizontal="center" vertical="center" wrapText="1"/>
    </xf>
    <xf numFmtId="165" fontId="10" fillId="4" borderId="8" xfId="5" applyNumberFormat="1" applyFont="1" applyFill="1" applyBorder="1" applyAlignment="1">
      <alignment horizontal="center" vertical="center" wrapText="1"/>
    </xf>
    <xf numFmtId="165" fontId="10" fillId="0" borderId="8" xfId="5" applyNumberFormat="1" applyFont="1" applyBorder="1" applyAlignment="1">
      <alignment horizontal="center" vertical="center" wrapText="1"/>
    </xf>
    <xf numFmtId="2" fontId="10" fillId="4" borderId="8" xfId="5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173" fontId="10" fillId="0" borderId="0" xfId="0" applyNumberFormat="1" applyFont="1" applyAlignment="1">
      <alignment horizontal="right"/>
    </xf>
    <xf numFmtId="0" fontId="10" fillId="4" borderId="0" xfId="4" applyFont="1" applyFill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4" applyFont="1" applyAlignment="1">
      <alignment horizontal="right"/>
    </xf>
    <xf numFmtId="3" fontId="10" fillId="0" borderId="0" xfId="4" applyNumberFormat="1" applyFont="1"/>
    <xf numFmtId="0" fontId="10" fillId="4" borderId="0" xfId="5" applyFont="1" applyFill="1" applyAlignment="1">
      <alignment horizontal="center" vertical="center" wrapText="1"/>
    </xf>
    <xf numFmtId="165" fontId="10" fillId="4" borderId="0" xfId="5" applyNumberFormat="1" applyFont="1" applyFill="1" applyAlignment="1">
      <alignment horizontal="center" vertical="center" wrapText="1"/>
    </xf>
    <xf numFmtId="165" fontId="10" fillId="0" borderId="0" xfId="5" applyNumberFormat="1" applyFont="1" applyAlignment="1">
      <alignment horizontal="center" vertical="center" wrapText="1"/>
    </xf>
    <xf numFmtId="2" fontId="10" fillId="4" borderId="0" xfId="5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37" fontId="7" fillId="0" borderId="3" xfId="17" quotePrefix="1" applyNumberFormat="1" applyFont="1" applyBorder="1" applyAlignment="1">
      <alignment horizontal="center"/>
    </xf>
    <xf numFmtId="0" fontId="7" fillId="0" borderId="3" xfId="18" applyFont="1" applyBorder="1" applyAlignment="1">
      <alignment horizontal="center"/>
    </xf>
    <xf numFmtId="0" fontId="7" fillId="0" borderId="0" xfId="18" applyFont="1" applyAlignment="1">
      <alignment horizontal="center" vertical="center" wrapText="1"/>
    </xf>
    <xf numFmtId="0" fontId="24" fillId="0" borderId="3" xfId="18" applyFont="1" applyBorder="1" applyAlignment="1">
      <alignment horizontal="center" vertical="center" wrapText="1"/>
    </xf>
    <xf numFmtId="37" fontId="7" fillId="0" borderId="0" xfId="17" applyNumberFormat="1" applyFont="1" applyAlignment="1">
      <alignment horizontal="left" wrapText="1"/>
    </xf>
  </cellXfs>
  <cellStyles count="21">
    <cellStyle name="Accent4" xfId="3" builtinId="41"/>
    <cellStyle name="Comma" xfId="1" builtinId="3"/>
    <cellStyle name="Comma 2" xfId="6" xr:uid="{00000000-0005-0000-0000-000002000000}"/>
    <cellStyle name="Comma 2 2" xfId="7" xr:uid="{00000000-0005-0000-0000-000003000000}"/>
    <cellStyle name="Comma 2 2 2" xfId="8" xr:uid="{00000000-0005-0000-0000-000004000000}"/>
    <cellStyle name="Comma 3" xfId="11" xr:uid="{00000000-0005-0000-0000-000005000000}"/>
    <cellStyle name="Comma 4" xfId="15" xr:uid="{00000000-0005-0000-0000-000006000000}"/>
    <cellStyle name="Comma 5" xfId="19" xr:uid="{D871C2C2-5E02-44BF-A57A-49B2EC5AE890}"/>
    <cellStyle name="Comma 7" xfId="9" xr:uid="{00000000-0005-0000-0000-000007000000}"/>
    <cellStyle name="Normal" xfId="0" builtinId="0"/>
    <cellStyle name="Normal 2" xfId="4" xr:uid="{00000000-0005-0000-0000-000009000000}"/>
    <cellStyle name="Normal 2 2" xfId="12" xr:uid="{00000000-0005-0000-0000-00000A000000}"/>
    <cellStyle name="Normal 2 4" xfId="16" xr:uid="{69E66182-07DF-4345-882B-A2FAFAC12E53}"/>
    <cellStyle name="Normal 3" xfId="5" xr:uid="{00000000-0005-0000-0000-00000B000000}"/>
    <cellStyle name="Normal 4" xfId="10" xr:uid="{00000000-0005-0000-0000-00000C000000}"/>
    <cellStyle name="Normal 5" xfId="13" xr:uid="{00000000-0005-0000-0000-00000D000000}"/>
    <cellStyle name="Normal 6" xfId="14" xr:uid="{00000000-0005-0000-0000-00000E000000}"/>
    <cellStyle name="Normal 7" xfId="18" xr:uid="{C6B631E8-C941-48DE-8E03-A5F24ABE463C}"/>
    <cellStyle name="Normal_CASH" xfId="17" xr:uid="{C994CEB7-26D1-45B9-AB04-070029A721F0}"/>
    <cellStyle name="Normal_Continuity Schedule for All Deferred Costs (Actual)" xfId="20" xr:uid="{5F07B65F-345D-42B1-8989-1B2B179CA64C}"/>
    <cellStyle name="Percent" xfId="2" builtinId="5"/>
  </cellStyles>
  <dxfs count="18"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P34"/>
  <sheetViews>
    <sheetView showGridLines="0" tabSelected="1" view="pageBreakPreview" zoomScaleNormal="100" zoomScaleSheetLayoutView="100" workbookViewId="0">
      <selection activeCell="C4" sqref="C4"/>
    </sheetView>
  </sheetViews>
  <sheetFormatPr defaultColWidth="9.1796875" defaultRowHeight="12.5"/>
  <cols>
    <col min="1" max="1" width="6.7265625" style="1" customWidth="1"/>
    <col min="2" max="2" width="9.1796875" style="3"/>
    <col min="3" max="3" width="2.7265625" style="1" customWidth="1"/>
    <col min="4" max="4" width="22.1796875" style="1" customWidth="1"/>
    <col min="5" max="10" width="9.1796875" style="1"/>
    <col min="11" max="11" width="6.54296875" style="1" customWidth="1"/>
    <col min="12" max="12" width="6" style="1" customWidth="1"/>
    <col min="13" max="16384" width="9.1796875" style="1"/>
  </cols>
  <sheetData>
    <row r="1" spans="2:16" ht="15">
      <c r="D1" s="4"/>
      <c r="F1" s="5" t="s">
        <v>433</v>
      </c>
    </row>
    <row r="2" spans="2:16" ht="15">
      <c r="D2" s="4"/>
      <c r="F2" s="5" t="s">
        <v>425</v>
      </c>
    </row>
    <row r="3" spans="2:16">
      <c r="D3" s="4"/>
      <c r="F3" s="6"/>
    </row>
    <row r="4" spans="2:16" ht="17.5">
      <c r="F4" s="7" t="s">
        <v>1</v>
      </c>
    </row>
    <row r="6" spans="2:16">
      <c r="B6" s="3">
        <v>1</v>
      </c>
      <c r="D6" s="1" t="str">
        <f>'Schedule 1'!A2</f>
        <v>Computation of Rate Base</v>
      </c>
    </row>
    <row r="8" spans="2:16">
      <c r="B8" s="3">
        <v>2</v>
      </c>
      <c r="D8" s="1" t="str">
        <f>'Schedule 2'!A2</f>
        <v>Computation of Allowance for Working Capital</v>
      </c>
    </row>
    <row r="9" spans="2:16">
      <c r="B9" s="3" t="s">
        <v>2</v>
      </c>
      <c r="D9" s="1" t="str">
        <f>'Schedule 2A'!A2</f>
        <v>Effect of GST on Working Capital</v>
      </c>
    </row>
    <row r="11" spans="2:16">
      <c r="B11" s="3">
        <v>3</v>
      </c>
      <c r="D11" s="1" t="str">
        <f>'Schedule 3'!A2</f>
        <v>Continuity Schedule of Property, Plant and Equipment, Deferred Costs and Intangible Assets</v>
      </c>
    </row>
    <row r="12" spans="2:16">
      <c r="B12" s="3" t="s">
        <v>476</v>
      </c>
      <c r="D12" s="1" t="str">
        <f>'Schedule 3A - 2025'!A2</f>
        <v>Calculation of Depreciation Expense for 2025</v>
      </c>
      <c r="K12" s="8"/>
      <c r="L12" s="8"/>
      <c r="M12" s="8"/>
      <c r="N12" s="8"/>
      <c r="O12" s="8"/>
      <c r="P12" s="8"/>
    </row>
    <row r="13" spans="2:16">
      <c r="B13" s="3" t="s">
        <v>477</v>
      </c>
      <c r="D13" s="1" t="str">
        <f>'Schedule 3A - 2026'!A2</f>
        <v>Calculation of Depreciation Expense for 2026</v>
      </c>
      <c r="K13" s="8"/>
      <c r="L13" s="8"/>
      <c r="M13" s="8"/>
      <c r="N13" s="8"/>
      <c r="O13" s="8"/>
      <c r="P13" s="8"/>
    </row>
    <row r="14" spans="2:16">
      <c r="B14" s="3" t="s">
        <v>478</v>
      </c>
      <c r="D14" s="1" t="str">
        <f>'Schedule 3A - 2027'!A2</f>
        <v>Calculation of Depreciation Expense for 2027</v>
      </c>
      <c r="K14" s="8"/>
      <c r="L14" s="8"/>
      <c r="M14" s="8"/>
      <c r="N14" s="8"/>
      <c r="O14" s="8"/>
      <c r="P14" s="8"/>
    </row>
    <row r="15" spans="2:16">
      <c r="B15" s="3" t="s">
        <v>514</v>
      </c>
      <c r="D15" s="36" t="str">
        <f>'Schedule 3B - 2025'!A2</f>
        <v>Calculation of Amortization Expense for Deferred Costs and Intangibles (2025)</v>
      </c>
      <c r="K15" s="8"/>
      <c r="L15" s="8"/>
      <c r="M15" s="8"/>
      <c r="N15" s="8"/>
      <c r="O15" s="8"/>
      <c r="P15" s="8"/>
    </row>
    <row r="16" spans="2:16">
      <c r="B16" s="3" t="s">
        <v>515</v>
      </c>
      <c r="D16" s="36" t="str">
        <f>'Schedule 3B - 2026'!A2</f>
        <v>Calculation of Amortization Expense for Deferred Costs and Intangibles (2026)</v>
      </c>
      <c r="K16" s="8"/>
      <c r="L16" s="8"/>
      <c r="M16" s="8"/>
      <c r="N16" s="8"/>
      <c r="O16" s="8"/>
      <c r="P16" s="8"/>
    </row>
    <row r="17" spans="2:16">
      <c r="B17" s="3" t="s">
        <v>516</v>
      </c>
      <c r="D17" s="36" t="str">
        <f>'Schedule 3B - 2027'!A2</f>
        <v>Calculation of Amortization Expense for Deferred Costs and Intangibles (2027)</v>
      </c>
      <c r="K17" s="8"/>
      <c r="L17" s="8"/>
      <c r="M17" s="8"/>
      <c r="N17" s="8"/>
      <c r="O17" s="8"/>
      <c r="P17" s="8"/>
    </row>
    <row r="18" spans="2:16">
      <c r="K18" s="8"/>
      <c r="L18" s="8"/>
      <c r="M18" s="8"/>
      <c r="N18" s="8"/>
      <c r="O18" s="8"/>
      <c r="P18" s="8"/>
    </row>
    <row r="19" spans="2:16">
      <c r="B19" s="3">
        <v>4</v>
      </c>
      <c r="D19" s="1" t="s">
        <v>3</v>
      </c>
      <c r="K19" s="8"/>
      <c r="L19" s="8"/>
      <c r="M19" s="8"/>
      <c r="N19" s="8"/>
      <c r="O19" s="8"/>
      <c r="P19" s="8"/>
    </row>
    <row r="20" spans="2:16">
      <c r="K20" s="8"/>
    </row>
    <row r="21" spans="2:16">
      <c r="B21" s="3">
        <v>5</v>
      </c>
      <c r="D21" s="1" t="str">
        <f>'Schedule 5'!A2</f>
        <v>Utility Revenue Requirement</v>
      </c>
    </row>
    <row r="23" spans="2:16">
      <c r="B23" s="3">
        <v>6</v>
      </c>
      <c r="D23" s="1" t="str">
        <f>'Schedule 6'!A2</f>
        <v>Statement of Earnings</v>
      </c>
    </row>
    <row r="25" spans="2:16">
      <c r="B25" s="3">
        <v>7</v>
      </c>
      <c r="D25" s="1" t="str">
        <f>'Schedule 7'!A2</f>
        <v>Statement of Retained Earnings</v>
      </c>
    </row>
    <row r="27" spans="2:16">
      <c r="B27" s="3">
        <v>8</v>
      </c>
      <c r="D27" s="1" t="str">
        <f>'Schedule 8'!A2</f>
        <v>Reconciliation of Utility Income to Net Earnings</v>
      </c>
    </row>
    <row r="29" spans="2:16">
      <c r="B29" s="3">
        <v>9</v>
      </c>
      <c r="D29" s="1" t="str">
        <f>'Schedule 9'!A2</f>
        <v>Summary of Customers, Energy Sales and Revenues</v>
      </c>
    </row>
    <row r="31" spans="2:16">
      <c r="B31" s="3">
        <f>B29+1</f>
        <v>10</v>
      </c>
      <c r="D31" s="1" t="str">
        <f>'Schedule 10'!A2</f>
        <v>Summary of Operating and Maintenance Expenses</v>
      </c>
    </row>
    <row r="32" spans="2:16">
      <c r="B32" s="3" t="s">
        <v>4</v>
      </c>
      <c r="D32" s="1" t="str">
        <f>'Schedule 10A'!A2</f>
        <v>Summary of Labour Costs</v>
      </c>
    </row>
    <row r="34" spans="2:4">
      <c r="B34" s="3">
        <f>B31+1</f>
        <v>11</v>
      </c>
      <c r="D34" s="1" t="str">
        <f>'Schedule 11'!A2</f>
        <v>Summary of Cost of Long - Term Debt</v>
      </c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987F1-CC23-47D6-BB11-70790A10601F}">
  <sheetPr>
    <tabColor theme="9" tint="0.39997558519241921"/>
    <pageSetUpPr fitToPage="1"/>
  </sheetPr>
  <dimension ref="A1:W119"/>
  <sheetViews>
    <sheetView view="pageBreakPreview" zoomScaleSheetLayoutView="100" workbookViewId="0">
      <pane ySplit="7" topLeftCell="A63" activePane="bottomLeft" state="frozen"/>
      <selection activeCell="H18" sqref="H18"/>
      <selection pane="bottomLeft" activeCell="A69" sqref="A69"/>
    </sheetView>
  </sheetViews>
  <sheetFormatPr defaultColWidth="9.08984375" defaultRowHeight="12.5"/>
  <cols>
    <col min="1" max="1" width="45.453125" style="159" customWidth="1"/>
    <col min="2" max="5" width="10.08984375" style="159" customWidth="1"/>
    <col min="6" max="6" width="1.7265625" style="159" customWidth="1"/>
    <col min="7" max="7" width="10.08984375" style="159" customWidth="1"/>
    <col min="8" max="8" width="2.36328125" style="159" customWidth="1"/>
    <col min="9" max="9" width="11.453125" style="159" customWidth="1"/>
    <col min="10" max="10" width="12.6328125" style="159" customWidth="1"/>
    <col min="11" max="11" width="4.6328125" style="159" customWidth="1"/>
    <col min="18" max="18" width="11.36328125" style="159" bestFit="1" customWidth="1"/>
    <col min="19" max="22" width="9.08984375" style="159"/>
    <col min="23" max="23" width="10.36328125" style="159" bestFit="1" customWidth="1"/>
    <col min="24" max="16384" width="9.08984375" style="159"/>
  </cols>
  <sheetData>
    <row r="1" spans="1:11">
      <c r="A1" s="157" t="s">
        <v>358</v>
      </c>
      <c r="B1" s="157"/>
      <c r="C1" s="158"/>
      <c r="D1" s="158"/>
      <c r="E1" s="158"/>
      <c r="F1" s="158"/>
      <c r="G1" s="158"/>
      <c r="H1" s="158"/>
      <c r="I1" s="158"/>
      <c r="J1" s="195" t="s">
        <v>418</v>
      </c>
    </row>
    <row r="2" spans="1:11" ht="15" customHeight="1">
      <c r="A2" s="157" t="s">
        <v>510</v>
      </c>
      <c r="B2" s="157"/>
      <c r="C2" s="158"/>
      <c r="D2" s="158"/>
      <c r="E2" s="158"/>
      <c r="F2" s="158"/>
      <c r="G2" s="158"/>
      <c r="H2" s="158"/>
      <c r="I2" s="158"/>
      <c r="J2" s="194" t="str">
        <f>'Schedule 1'!$M$2</f>
        <v>2025-27 GRA</v>
      </c>
    </row>
    <row r="3" spans="1:11" ht="15.75" customHeight="1" thickBot="1">
      <c r="A3" s="160" t="s">
        <v>332</v>
      </c>
      <c r="B3" s="161"/>
      <c r="C3" s="162"/>
      <c r="D3" s="162"/>
      <c r="E3" s="162"/>
      <c r="F3" s="162"/>
      <c r="G3" s="162"/>
      <c r="H3" s="162"/>
      <c r="I3" s="162"/>
      <c r="J3" s="162"/>
    </row>
    <row r="4" spans="1:11" ht="13" thickBot="1">
      <c r="A4" s="163"/>
      <c r="B4" s="161"/>
      <c r="C4" s="162"/>
      <c r="D4" s="162"/>
      <c r="E4" s="162"/>
      <c r="F4" s="158"/>
      <c r="G4" s="158"/>
      <c r="H4" s="158"/>
      <c r="I4" s="158"/>
      <c r="J4" s="162"/>
    </row>
    <row r="5" spans="1:11" ht="13" thickBot="1">
      <c r="A5" s="163"/>
      <c r="B5" s="204" t="s">
        <v>359</v>
      </c>
      <c r="C5" s="205"/>
      <c r="D5" s="205"/>
      <c r="E5" s="205"/>
      <c r="F5" s="164"/>
      <c r="G5" s="187" t="s">
        <v>427</v>
      </c>
      <c r="H5" s="164"/>
      <c r="I5" s="158"/>
      <c r="J5" s="187"/>
    </row>
    <row r="6" spans="1:11" ht="18" customHeight="1">
      <c r="A6" s="163"/>
      <c r="B6" s="165" t="s">
        <v>360</v>
      </c>
      <c r="C6" s="166" t="s">
        <v>511</v>
      </c>
      <c r="D6" s="167"/>
      <c r="E6" s="165" t="s">
        <v>360</v>
      </c>
      <c r="F6" s="165"/>
      <c r="G6" s="165" t="s">
        <v>360</v>
      </c>
      <c r="H6" s="168"/>
      <c r="I6" s="206" t="s">
        <v>432</v>
      </c>
      <c r="J6" s="166" t="str">
        <f>C6</f>
        <v>2026 Forecast</v>
      </c>
    </row>
    <row r="7" spans="1:11" ht="31.5" customHeight="1" thickBot="1">
      <c r="A7" s="163"/>
      <c r="B7" s="169">
        <v>2025</v>
      </c>
      <c r="C7" s="170" t="s">
        <v>361</v>
      </c>
      <c r="D7" s="171" t="s">
        <v>362</v>
      </c>
      <c r="E7" s="172">
        <f>B7+1</f>
        <v>2026</v>
      </c>
      <c r="F7" s="172"/>
      <c r="G7" s="169">
        <v>2025</v>
      </c>
      <c r="H7" s="172"/>
      <c r="I7" s="207"/>
      <c r="J7" s="171" t="s">
        <v>363</v>
      </c>
    </row>
    <row r="8" spans="1:11">
      <c r="A8" s="173" t="s">
        <v>364</v>
      </c>
    </row>
    <row r="9" spans="1:11">
      <c r="A9" s="174" t="s">
        <v>365</v>
      </c>
      <c r="I9" s="175"/>
    </row>
    <row r="10" spans="1:11">
      <c r="A10" s="159" t="s">
        <v>367</v>
      </c>
      <c r="B10" s="176">
        <f>'Schedule 3B - 2025'!E10</f>
        <v>4521.2649199999996</v>
      </c>
      <c r="C10" s="176"/>
      <c r="D10" s="176"/>
      <c r="E10" s="176">
        <f>B10+C10+D10</f>
        <v>4521.2649199999996</v>
      </c>
      <c r="F10" s="176"/>
      <c r="G10" s="176">
        <v>452.12650800000006</v>
      </c>
      <c r="I10" s="95">
        <v>10</v>
      </c>
      <c r="J10" s="181">
        <f>MIN(B10/I10,G10)</f>
        <v>452.12649199999998</v>
      </c>
      <c r="K10" s="177"/>
    </row>
    <row r="11" spans="1:11">
      <c r="A11" s="159" t="s">
        <v>400</v>
      </c>
      <c r="B11" s="176">
        <f>'Schedule 3B - 2025'!E16</f>
        <v>89.50752</v>
      </c>
      <c r="C11" s="176"/>
      <c r="D11" s="176"/>
      <c r="E11" s="176">
        <f>B11+C11+D11</f>
        <v>89.50752</v>
      </c>
      <c r="F11" s="176"/>
      <c r="G11" s="176">
        <v>7.458978000000009</v>
      </c>
      <c r="I11" s="95">
        <v>5</v>
      </c>
      <c r="J11" s="181">
        <f>MIN(B11/I11,G11)</f>
        <v>7.458978000000009</v>
      </c>
      <c r="K11" s="177"/>
    </row>
    <row r="12" spans="1:11">
      <c r="A12" s="159" t="s">
        <v>407</v>
      </c>
      <c r="B12" s="176">
        <f>'Schedule 3B - 2025'!E17</f>
        <v>73.277100000000004</v>
      </c>
      <c r="C12" s="176"/>
      <c r="D12" s="176"/>
      <c r="E12" s="176">
        <f>B12+C12+D12</f>
        <v>73.277100000000004</v>
      </c>
      <c r="F12" s="176"/>
      <c r="G12" s="176">
        <v>13.129590000000006</v>
      </c>
      <c r="I12" s="95">
        <v>5</v>
      </c>
      <c r="J12" s="181">
        <f>MIN(B12/I12,G12)</f>
        <v>13.129590000000006</v>
      </c>
      <c r="K12" s="177"/>
    </row>
    <row r="13" spans="1:11">
      <c r="A13" s="159" t="s">
        <v>408</v>
      </c>
      <c r="B13" s="176">
        <f>'Schedule 3B - 2025'!E18</f>
        <v>52.514710000000001</v>
      </c>
      <c r="C13" s="176"/>
      <c r="D13" s="176"/>
      <c r="E13" s="176">
        <f>B13+C13+D13</f>
        <v>52.514710000000001</v>
      </c>
      <c r="F13" s="176"/>
      <c r="G13" s="176">
        <v>10.502883999999998</v>
      </c>
      <c r="I13" s="95">
        <v>5</v>
      </c>
      <c r="J13" s="181">
        <f>MIN(B13/I13,G13)</f>
        <v>10.502883999999998</v>
      </c>
      <c r="K13" s="177"/>
    </row>
    <row r="14" spans="1:11">
      <c r="A14" s="159" t="s">
        <v>404</v>
      </c>
      <c r="B14" s="176">
        <f>'Schedule 3B - 2025'!E19</f>
        <v>59.194720000000004</v>
      </c>
      <c r="C14" s="176"/>
      <c r="D14" s="176"/>
      <c r="E14" s="176">
        <f>B14+C14+D14</f>
        <v>59.194720000000004</v>
      </c>
      <c r="F14" s="176"/>
      <c r="G14" s="176">
        <v>11.838928000000003</v>
      </c>
      <c r="I14" s="95">
        <v>5</v>
      </c>
      <c r="J14" s="181">
        <f>MIN(B14/I14,G14)</f>
        <v>11.838928000000003</v>
      </c>
      <c r="K14" s="177"/>
    </row>
    <row r="15" spans="1:11">
      <c r="A15" s="159" t="s">
        <v>369</v>
      </c>
      <c r="B15" s="176">
        <f>'Schedule 3B - 2025'!E20</f>
        <v>77.782899999999998</v>
      </c>
      <c r="C15" s="176"/>
      <c r="D15" s="176"/>
      <c r="E15" s="176">
        <f>B15+C15+D15</f>
        <v>77.782899999999998</v>
      </c>
      <c r="F15" s="176"/>
      <c r="G15" s="176">
        <v>11.592869999999984</v>
      </c>
      <c r="I15" s="95">
        <v>5</v>
      </c>
      <c r="J15" s="181">
        <f>MIN(B15/I15,G15)</f>
        <v>11.592869999999984</v>
      </c>
      <c r="K15" s="177"/>
    </row>
    <row r="16" spans="1:11">
      <c r="A16" s="159" t="s">
        <v>409</v>
      </c>
      <c r="B16" s="176">
        <f>'Schedule 3B - 2025'!E21</f>
        <v>325.99815000000001</v>
      </c>
      <c r="C16" s="176"/>
      <c r="D16" s="176"/>
      <c r="E16" s="176">
        <f>B16+C16+D16</f>
        <v>325.99815000000001</v>
      </c>
      <c r="F16" s="176"/>
      <c r="G16" s="176">
        <v>65.199370000000002</v>
      </c>
      <c r="I16" s="95">
        <v>5</v>
      </c>
      <c r="J16" s="181">
        <f>MIN(B16/I16,G16)</f>
        <v>65.199370000000002</v>
      </c>
      <c r="K16" s="177"/>
    </row>
    <row r="17" spans="1:11">
      <c r="A17" s="159" t="s">
        <v>401</v>
      </c>
      <c r="B17" s="176">
        <f>'Schedule 3B - 2025'!E22</f>
        <v>115.23152999999999</v>
      </c>
      <c r="C17" s="176"/>
      <c r="D17" s="176"/>
      <c r="E17" s="176">
        <f>B17+C17+D17</f>
        <v>115.23152999999999</v>
      </c>
      <c r="F17" s="176"/>
      <c r="G17" s="176">
        <v>38.263182</v>
      </c>
      <c r="I17" s="95">
        <v>5</v>
      </c>
      <c r="J17" s="181">
        <f>MIN(B17/I17,G17)</f>
        <v>23.046305999999998</v>
      </c>
      <c r="K17" s="177"/>
    </row>
    <row r="18" spans="1:11">
      <c r="A18" s="159" t="s">
        <v>366</v>
      </c>
      <c r="B18" s="176">
        <f>'Schedule 3B - 2025'!E23</f>
        <v>59.53539</v>
      </c>
      <c r="C18" s="176"/>
      <c r="D18" s="176"/>
      <c r="E18" s="176">
        <f>B18+C18+D18</f>
        <v>59.53539</v>
      </c>
      <c r="F18" s="176"/>
      <c r="G18" s="176">
        <v>23.814156000000004</v>
      </c>
      <c r="I18" s="95">
        <v>5</v>
      </c>
      <c r="J18" s="181">
        <f>MIN(B18/I18,G18)</f>
        <v>11.907078</v>
      </c>
      <c r="K18" s="177"/>
    </row>
    <row r="19" spans="1:11">
      <c r="A19" s="159" t="s">
        <v>402</v>
      </c>
      <c r="B19" s="176">
        <f>'Schedule 3B - 2025'!E24</f>
        <v>196.33029000000002</v>
      </c>
      <c r="C19" s="176"/>
      <c r="D19" s="176"/>
      <c r="E19" s="176">
        <f>B19+C19+D19</f>
        <v>196.33029000000002</v>
      </c>
      <c r="F19" s="176"/>
      <c r="G19" s="176">
        <v>78.532116000000002</v>
      </c>
      <c r="I19" s="95">
        <v>5</v>
      </c>
      <c r="J19" s="181">
        <f>MIN(B19/I19,G19)</f>
        <v>39.266058000000001</v>
      </c>
      <c r="K19" s="177"/>
    </row>
    <row r="20" spans="1:11">
      <c r="A20" s="159" t="s">
        <v>403</v>
      </c>
      <c r="B20" s="176">
        <f>'Schedule 3B - 2025'!E25</f>
        <v>46.831489999999995</v>
      </c>
      <c r="C20" s="176"/>
      <c r="D20" s="176"/>
      <c r="E20" s="176">
        <f>B20+C20+D20</f>
        <v>46.831489999999995</v>
      </c>
      <c r="F20" s="176"/>
      <c r="G20" s="176">
        <v>17.911445999999998</v>
      </c>
      <c r="I20" s="95">
        <v>5</v>
      </c>
      <c r="J20" s="181">
        <f>MIN(B20/I20,G20)</f>
        <v>9.3662979999999987</v>
      </c>
      <c r="K20" s="177"/>
    </row>
    <row r="21" spans="1:11">
      <c r="A21" s="159" t="s">
        <v>413</v>
      </c>
      <c r="B21" s="176">
        <f>'Schedule 3B - 2025'!E26</f>
        <v>8784.170970000001</v>
      </c>
      <c r="C21" s="176"/>
      <c r="D21" s="176"/>
      <c r="E21" s="176">
        <f>B21+C21+D21</f>
        <v>8784.170970000001</v>
      </c>
      <c r="F21" s="176"/>
      <c r="G21" s="176">
        <v>6002.1157229999999</v>
      </c>
      <c r="I21" s="95">
        <v>10</v>
      </c>
      <c r="J21" s="181">
        <f>MIN(B21/I21,G21)</f>
        <v>878.41709700000013</v>
      </c>
      <c r="K21" s="177"/>
    </row>
    <row r="22" spans="1:11">
      <c r="A22" s="159" t="s">
        <v>481</v>
      </c>
      <c r="B22" s="176">
        <f>'Schedule 3B - 2025'!E27</f>
        <v>122.43858</v>
      </c>
      <c r="C22" s="176"/>
      <c r="D22" s="176"/>
      <c r="E22" s="176">
        <f>B22+C22+D22</f>
        <v>122.43858</v>
      </c>
      <c r="F22" s="176"/>
      <c r="G22" s="176">
        <v>48.975424000000011</v>
      </c>
      <c r="I22" s="95">
        <v>5</v>
      </c>
      <c r="J22" s="181">
        <f>MIN(B22/I22,G22)</f>
        <v>24.487715999999999</v>
      </c>
      <c r="K22" s="177"/>
    </row>
    <row r="23" spans="1:11">
      <c r="A23" s="159" t="s">
        <v>482</v>
      </c>
      <c r="B23" s="176">
        <f>'Schedule 3B - 2025'!E28</f>
        <v>36.075000000000003</v>
      </c>
      <c r="C23" s="176"/>
      <c r="D23" s="176"/>
      <c r="E23" s="176">
        <f>B23+C23+D23</f>
        <v>36.075000000000003</v>
      </c>
      <c r="F23" s="176"/>
      <c r="G23" s="176">
        <v>21.625229999999998</v>
      </c>
      <c r="I23" s="95">
        <v>5</v>
      </c>
      <c r="J23" s="181">
        <f>MIN(B23/I23,G23)</f>
        <v>7.2150000000000007</v>
      </c>
      <c r="K23" s="177"/>
    </row>
    <row r="24" spans="1:11">
      <c r="A24" s="159" t="s">
        <v>414</v>
      </c>
      <c r="B24" s="176">
        <f>'Schedule 3B - 2025'!E29</f>
        <v>172.99391</v>
      </c>
      <c r="C24" s="176"/>
      <c r="D24" s="176"/>
      <c r="E24" s="176">
        <f>B24+C24+D24</f>
        <v>172.99391</v>
      </c>
      <c r="F24" s="176"/>
      <c r="G24" s="176">
        <v>103.70155800000001</v>
      </c>
      <c r="I24" s="95">
        <v>5</v>
      </c>
      <c r="J24" s="181">
        <f>MIN(B24/I24,G24)</f>
        <v>34.598782</v>
      </c>
      <c r="K24" s="177"/>
    </row>
    <row r="25" spans="1:11">
      <c r="A25" s="159" t="s">
        <v>483</v>
      </c>
      <c r="B25" s="176">
        <f>'Schedule 3B - 2025'!E30</f>
        <v>11.190100000000001</v>
      </c>
      <c r="C25" s="176"/>
      <c r="D25" s="176"/>
      <c r="E25" s="176">
        <f>B25+C25+D25</f>
        <v>11.190100000000001</v>
      </c>
      <c r="F25" s="176"/>
      <c r="G25" s="176">
        <v>6.7079299999999993</v>
      </c>
      <c r="I25" s="95">
        <v>5</v>
      </c>
      <c r="J25" s="181">
        <f>MIN(B25/I25,G25)</f>
        <v>2.2380200000000001</v>
      </c>
      <c r="K25" s="177"/>
    </row>
    <row r="26" spans="1:11">
      <c r="A26" s="159" t="s">
        <v>484</v>
      </c>
      <c r="B26" s="176">
        <f>'Schedule 3B - 2025'!E31</f>
        <v>136.59076999999999</v>
      </c>
      <c r="C26" s="176"/>
      <c r="D26" s="176"/>
      <c r="E26" s="176">
        <f>B26+C26+D26</f>
        <v>136.59076999999999</v>
      </c>
      <c r="F26" s="176"/>
      <c r="G26" s="176">
        <v>81.879625999999973</v>
      </c>
      <c r="I26" s="95">
        <v>5</v>
      </c>
      <c r="J26" s="181">
        <f>MIN(B26/I26,G26)</f>
        <v>27.318154</v>
      </c>
      <c r="K26" s="177"/>
    </row>
    <row r="27" spans="1:11">
      <c r="A27" s="159" t="s">
        <v>485</v>
      </c>
      <c r="B27" s="176">
        <f>'Schedule 3B - 2025'!E32</f>
        <v>24.57694</v>
      </c>
      <c r="C27" s="176"/>
      <c r="D27" s="176"/>
      <c r="E27" s="176">
        <f>B27+C27+D27</f>
        <v>24.57694</v>
      </c>
      <c r="F27" s="176"/>
      <c r="G27" s="176">
        <v>14.746161999999998</v>
      </c>
      <c r="I27" s="95">
        <v>5</v>
      </c>
      <c r="J27" s="181">
        <f>MIN(B27/I27,G27)</f>
        <v>4.9153880000000001</v>
      </c>
      <c r="K27" s="177"/>
    </row>
    <row r="28" spans="1:11">
      <c r="A28" s="159" t="s">
        <v>486</v>
      </c>
      <c r="B28" s="176">
        <f>'Schedule 3B - 2025'!E33</f>
        <v>67.997410000000002</v>
      </c>
      <c r="C28" s="176"/>
      <c r="D28" s="176"/>
      <c r="E28" s="176">
        <f>B28+C28+D28</f>
        <v>67.997410000000002</v>
      </c>
      <c r="F28" s="176"/>
      <c r="G28" s="176">
        <v>40.798448</v>
      </c>
      <c r="I28" s="95">
        <v>5</v>
      </c>
      <c r="J28" s="181">
        <f>MIN(B28/I28,G28)</f>
        <v>13.599482</v>
      </c>
      <c r="K28" s="177"/>
    </row>
    <row r="29" spans="1:11">
      <c r="A29" s="159" t="s">
        <v>487</v>
      </c>
      <c r="B29" s="176">
        <f>'Schedule 3B - 2025'!E34</f>
        <v>65.897589999999994</v>
      </c>
      <c r="C29" s="176"/>
      <c r="D29" s="176"/>
      <c r="E29" s="176">
        <f>B29+C29+D29</f>
        <v>65.897589999999994</v>
      </c>
      <c r="F29" s="176"/>
      <c r="G29" s="176">
        <v>39.538551999999996</v>
      </c>
      <c r="I29" s="95">
        <v>5</v>
      </c>
      <c r="J29" s="181">
        <f>MIN(B29/I29,G29)</f>
        <v>13.179517999999998</v>
      </c>
      <c r="K29" s="177"/>
    </row>
    <row r="30" spans="1:11">
      <c r="A30" s="159" t="s">
        <v>488</v>
      </c>
      <c r="B30" s="176">
        <f>'Schedule 3B - 2025'!E35</f>
        <v>13.239000000000001</v>
      </c>
      <c r="C30" s="176"/>
      <c r="D30" s="176"/>
      <c r="E30" s="176">
        <f>B30+C30+D30</f>
        <v>13.239000000000001</v>
      </c>
      <c r="F30" s="176"/>
      <c r="G30" s="176">
        <v>7.9433999999999987</v>
      </c>
      <c r="I30" s="95">
        <v>5</v>
      </c>
      <c r="J30" s="181">
        <f>MIN(B30/I30,G30)</f>
        <v>2.6478000000000002</v>
      </c>
      <c r="K30" s="177"/>
    </row>
    <row r="31" spans="1:11">
      <c r="A31" s="159" t="s">
        <v>489</v>
      </c>
      <c r="B31" s="176">
        <f>'Schedule 3B - 2025'!E36</f>
        <v>43.927510000000005</v>
      </c>
      <c r="C31" s="176"/>
      <c r="D31" s="176"/>
      <c r="E31" s="176">
        <f>B31+C31+D31</f>
        <v>43.927510000000005</v>
      </c>
      <c r="F31" s="176"/>
      <c r="G31" s="176">
        <v>33.821777999999995</v>
      </c>
      <c r="I31" s="95">
        <v>5</v>
      </c>
      <c r="J31" s="181">
        <f>MIN(B31/I31,G31)</f>
        <v>8.785502000000001</v>
      </c>
      <c r="K31" s="177"/>
    </row>
    <row r="32" spans="1:11">
      <c r="A32" s="159" t="s">
        <v>490</v>
      </c>
      <c r="B32" s="176">
        <f>'Schedule 3B - 2025'!E37</f>
        <v>868.95561999999995</v>
      </c>
      <c r="C32" s="176"/>
      <c r="D32" s="176"/>
      <c r="E32" s="176">
        <f>B32+C32+D32</f>
        <v>868.95561999999995</v>
      </c>
      <c r="F32" s="176"/>
      <c r="G32" s="176">
        <v>521.37337600000001</v>
      </c>
      <c r="I32" s="95">
        <v>5</v>
      </c>
      <c r="J32" s="181">
        <f>MIN(B32/I32,G32)</f>
        <v>173.791124</v>
      </c>
      <c r="K32" s="177"/>
    </row>
    <row r="33" spans="1:11">
      <c r="A33" s="159" t="s">
        <v>491</v>
      </c>
      <c r="B33" s="176">
        <f>'Schedule 3B - 2025'!E38</f>
        <v>118.23144000000001</v>
      </c>
      <c r="C33" s="176"/>
      <c r="D33" s="176"/>
      <c r="E33" s="176">
        <f>B33+C33+D33</f>
        <v>118.23144000000001</v>
      </c>
      <c r="F33" s="176"/>
      <c r="G33" s="176">
        <v>70.938862</v>
      </c>
      <c r="I33" s="95">
        <v>5</v>
      </c>
      <c r="J33" s="181">
        <f>MIN(B33/I33,G33)</f>
        <v>23.646288000000002</v>
      </c>
      <c r="K33" s="177"/>
    </row>
    <row r="34" spans="1:11">
      <c r="A34" s="159" t="s">
        <v>492</v>
      </c>
      <c r="B34" s="176">
        <f>'Schedule 3B - 2025'!E39</f>
        <v>100.19461</v>
      </c>
      <c r="C34" s="176"/>
      <c r="D34" s="176"/>
      <c r="E34" s="176">
        <f>B34+C34+D34</f>
        <v>100.19461</v>
      </c>
      <c r="F34" s="176"/>
      <c r="G34" s="176">
        <v>80.155687999999998</v>
      </c>
      <c r="I34" s="95">
        <v>5</v>
      </c>
      <c r="J34" s="181">
        <f>MIN(B34/I34,G34)</f>
        <v>20.038921999999999</v>
      </c>
      <c r="K34" s="177"/>
    </row>
    <row r="35" spans="1:11">
      <c r="A35" s="159" t="s">
        <v>493</v>
      </c>
      <c r="B35" s="176">
        <f>'Schedule 3B - 2025'!E40</f>
        <v>158.78622000000001</v>
      </c>
      <c r="C35" s="176"/>
      <c r="D35" s="176"/>
      <c r="E35" s="176">
        <f>B35+C35+D35</f>
        <v>158.78622000000001</v>
      </c>
      <c r="F35" s="176"/>
      <c r="G35" s="176">
        <v>127.02897600000001</v>
      </c>
      <c r="I35" s="95">
        <v>5</v>
      </c>
      <c r="J35" s="181">
        <f>MIN(B35/I35,G35)</f>
        <v>31.757244000000004</v>
      </c>
      <c r="K35" s="177"/>
    </row>
    <row r="36" spans="1:11">
      <c r="A36" s="159" t="s">
        <v>494</v>
      </c>
      <c r="B36" s="176">
        <f>'Schedule 3B - 2025'!E41</f>
        <v>28.539580000000001</v>
      </c>
      <c r="C36" s="176"/>
      <c r="D36" s="176"/>
      <c r="E36" s="176">
        <f>B36+C36+D36</f>
        <v>28.539580000000001</v>
      </c>
      <c r="F36" s="176"/>
      <c r="G36" s="176">
        <v>22.831664</v>
      </c>
      <c r="I36" s="95">
        <v>5</v>
      </c>
      <c r="J36" s="181">
        <f>MIN(B36/I36,G36)</f>
        <v>5.707916</v>
      </c>
      <c r="K36" s="177"/>
    </row>
    <row r="37" spans="1:11">
      <c r="A37" s="159" t="s">
        <v>495</v>
      </c>
      <c r="B37" s="176">
        <f>'Schedule 3B - 2025'!E42</f>
        <v>200.69633999999999</v>
      </c>
      <c r="C37" s="176"/>
      <c r="D37" s="176"/>
      <c r="E37" s="176">
        <f>B37+C37+D37</f>
        <v>200.69633999999999</v>
      </c>
      <c r="F37" s="176"/>
      <c r="G37" s="176">
        <v>160.55707200000001</v>
      </c>
      <c r="I37" s="95">
        <v>5</v>
      </c>
      <c r="J37" s="181">
        <f>MIN(B37/I37,G37)</f>
        <v>40.139268000000001</v>
      </c>
      <c r="K37" s="177"/>
    </row>
    <row r="38" spans="1:11">
      <c r="A38" s="159" t="s">
        <v>496</v>
      </c>
      <c r="B38" s="176">
        <f>'Schedule 3B - 2025'!E43</f>
        <v>121.99618</v>
      </c>
      <c r="C38" s="176"/>
      <c r="D38" s="176"/>
      <c r="E38" s="176">
        <f>B38+C38+D38</f>
        <v>121.99618</v>
      </c>
      <c r="F38" s="176"/>
      <c r="G38" s="176">
        <v>97.596943999999993</v>
      </c>
      <c r="I38" s="95">
        <v>5</v>
      </c>
      <c r="J38" s="181">
        <f>MIN(B38/I38,G38)</f>
        <v>24.399235999999998</v>
      </c>
      <c r="K38" s="177"/>
    </row>
    <row r="39" spans="1:11">
      <c r="A39" s="159" t="s">
        <v>509</v>
      </c>
      <c r="B39" s="176">
        <f>'Schedule 3B - 2025'!E44</f>
        <v>19.97803</v>
      </c>
      <c r="C39" s="176"/>
      <c r="D39" s="176"/>
      <c r="E39" s="176">
        <f>B39+C39+D39</f>
        <v>19.97803</v>
      </c>
      <c r="F39" s="176"/>
      <c r="G39" s="176">
        <v>15.982424</v>
      </c>
      <c r="I39" s="95">
        <v>5</v>
      </c>
      <c r="J39" s="181">
        <f>MIN(B39/I39,G39)</f>
        <v>3.995606</v>
      </c>
      <c r="K39" s="177"/>
    </row>
    <row r="40" spans="1:11">
      <c r="A40" s="159" t="s">
        <v>497</v>
      </c>
      <c r="B40" s="176">
        <f>'Schedule 3B - 2025'!E45</f>
        <v>157.5137</v>
      </c>
      <c r="C40" s="176"/>
      <c r="D40" s="176"/>
      <c r="E40" s="176">
        <f>B40+C40+D40</f>
        <v>157.5137</v>
      </c>
      <c r="F40" s="176"/>
      <c r="G40" s="176">
        <v>126.01096</v>
      </c>
      <c r="I40" s="95">
        <v>5</v>
      </c>
      <c r="J40" s="181">
        <f>MIN(B40/I40,G40)</f>
        <v>31.502739999999999</v>
      </c>
      <c r="K40" s="177"/>
    </row>
    <row r="41" spans="1:11">
      <c r="A41" s="159" t="s">
        <v>498</v>
      </c>
      <c r="B41" s="176">
        <f>'Schedule 3B - 2025'!E46</f>
        <v>8.5541200000000011</v>
      </c>
      <c r="C41" s="176"/>
      <c r="D41" s="176"/>
      <c r="E41" s="176">
        <f>B41+C41+D41</f>
        <v>8.5541200000000011</v>
      </c>
      <c r="F41" s="176"/>
      <c r="G41" s="176">
        <v>6.8432960000000005</v>
      </c>
      <c r="I41" s="95">
        <v>5</v>
      </c>
      <c r="J41" s="181">
        <f>MIN(B41/I41,G41)</f>
        <v>1.7108240000000001</v>
      </c>
      <c r="K41" s="177"/>
    </row>
    <row r="42" spans="1:11">
      <c r="A42" s="159" t="s">
        <v>499</v>
      </c>
      <c r="B42" s="176">
        <f>'Schedule 3B - 2025'!E47</f>
        <v>66.370519999999999</v>
      </c>
      <c r="C42" s="176"/>
      <c r="D42" s="176"/>
      <c r="E42" s="176">
        <f>B42+C42+D42</f>
        <v>66.370519999999999</v>
      </c>
      <c r="F42" s="176"/>
      <c r="G42" s="176">
        <v>53.096415999999998</v>
      </c>
      <c r="I42" s="95">
        <v>5</v>
      </c>
      <c r="J42" s="181">
        <f>MIN(B42/I42,G42)</f>
        <v>13.274103999999999</v>
      </c>
      <c r="K42" s="177"/>
    </row>
    <row r="43" spans="1:11">
      <c r="A43" s="159" t="s">
        <v>500</v>
      </c>
      <c r="B43" s="176">
        <f>'Schedule 3B - 2025'!E48</f>
        <v>13.75</v>
      </c>
      <c r="C43" s="176"/>
      <c r="D43" s="176"/>
      <c r="E43" s="176">
        <f>B43+C43+D43</f>
        <v>13.75</v>
      </c>
      <c r="F43" s="176"/>
      <c r="G43" s="176">
        <v>11</v>
      </c>
      <c r="I43" s="95">
        <v>5</v>
      </c>
      <c r="J43" s="181">
        <f>MIN(B43/I43,G43)</f>
        <v>2.75</v>
      </c>
      <c r="K43" s="177"/>
    </row>
    <row r="44" spans="1:11">
      <c r="A44" s="159" t="s">
        <v>501</v>
      </c>
      <c r="B44" s="176">
        <f>'Schedule 3B - 2025'!E49</f>
        <v>18.615479999999998</v>
      </c>
      <c r="C44" s="176"/>
      <c r="D44" s="176"/>
      <c r="E44" s="176">
        <f>B44+C44+D44</f>
        <v>18.615479999999998</v>
      </c>
      <c r="F44" s="176"/>
      <c r="G44" s="176">
        <v>14.892383999999998</v>
      </c>
      <c r="I44" s="95">
        <v>5</v>
      </c>
      <c r="J44" s="181">
        <f>MIN(B44/I44,G44)</f>
        <v>3.7230959999999995</v>
      </c>
      <c r="K44" s="177"/>
    </row>
    <row r="45" spans="1:11">
      <c r="A45" s="159" t="s">
        <v>519</v>
      </c>
      <c r="B45" s="176">
        <f>'Schedule 3B - 2025'!E50</f>
        <v>28.83548</v>
      </c>
      <c r="C45" s="176"/>
      <c r="D45" s="176"/>
      <c r="E45" s="176">
        <f>B45+C45+D45</f>
        <v>28.83548</v>
      </c>
      <c r="F45" s="176"/>
      <c r="G45" s="176">
        <v>23.068384000000002</v>
      </c>
      <c r="I45" s="95">
        <v>5</v>
      </c>
      <c r="J45" s="181">
        <f>B45/I45</f>
        <v>5.7670960000000004</v>
      </c>
      <c r="K45" s="177"/>
    </row>
    <row r="46" spans="1:11">
      <c r="A46" s="159" t="s">
        <v>520</v>
      </c>
      <c r="B46" s="176">
        <f>'Schedule 3B - 2025'!E51</f>
        <v>244.51179999999999</v>
      </c>
      <c r="C46" s="176"/>
      <c r="D46" s="176"/>
      <c r="E46" s="176">
        <f>B46+C46+D46</f>
        <v>244.51179999999999</v>
      </c>
      <c r="F46" s="176"/>
      <c r="G46" s="176">
        <v>220.06062</v>
      </c>
      <c r="I46" s="95">
        <v>5</v>
      </c>
      <c r="J46" s="181">
        <f>MIN(B46/I46,G46)+C46/2/I46</f>
        <v>48.902360000000002</v>
      </c>
      <c r="K46" s="177"/>
    </row>
    <row r="47" spans="1:11">
      <c r="A47" s="159" t="s">
        <v>521</v>
      </c>
      <c r="B47" s="176">
        <f>'Schedule 3B - 2025'!E52</f>
        <v>151.68020000000001</v>
      </c>
      <c r="C47" s="176"/>
      <c r="D47" s="176"/>
      <c r="E47" s="176">
        <f>B47+C47+D47</f>
        <v>151.68020000000001</v>
      </c>
      <c r="F47" s="176"/>
      <c r="G47" s="176">
        <v>136.51218</v>
      </c>
      <c r="I47" s="95">
        <v>5</v>
      </c>
      <c r="J47" s="181">
        <f>MIN(B47/I47,G47)+C47/2/I47</f>
        <v>30.336040000000004</v>
      </c>
      <c r="K47" s="177"/>
    </row>
    <row r="48" spans="1:11">
      <c r="A48" s="159" t="s">
        <v>522</v>
      </c>
      <c r="B48" s="176">
        <f>'Schedule 3B - 2025'!E53</f>
        <v>1.81847</v>
      </c>
      <c r="C48" s="176"/>
      <c r="D48" s="176"/>
      <c r="E48" s="176">
        <f>B48+C48+D48</f>
        <v>1.81847</v>
      </c>
      <c r="F48" s="176"/>
      <c r="G48" s="176">
        <v>1.6366229999999999</v>
      </c>
      <c r="I48" s="95">
        <v>5</v>
      </c>
      <c r="J48" s="181">
        <f>MIN(B48/I48,G48)+C48/2/I48</f>
        <v>0.36369400000000002</v>
      </c>
      <c r="K48" s="177"/>
    </row>
    <row r="49" spans="1:11">
      <c r="A49" s="159" t="s">
        <v>523</v>
      </c>
      <c r="B49" s="176">
        <f>'Schedule 3B - 2025'!E54</f>
        <v>3.1366100000000001</v>
      </c>
      <c r="C49" s="176"/>
      <c r="D49" s="176"/>
      <c r="E49" s="176">
        <f>B49+C49+D49</f>
        <v>3.1366100000000001</v>
      </c>
      <c r="F49" s="176"/>
      <c r="G49" s="176">
        <v>2.8229489999999999</v>
      </c>
      <c r="I49" s="95">
        <v>5</v>
      </c>
      <c r="J49" s="181">
        <f>MIN(B49/I49,G49)+C49/2/I49</f>
        <v>0.62732200000000005</v>
      </c>
      <c r="K49" s="177"/>
    </row>
    <row r="50" spans="1:11">
      <c r="A50" s="159" t="s">
        <v>524</v>
      </c>
      <c r="B50" s="176">
        <f>'Schedule 3B - 2025'!E55</f>
        <v>123.48519</v>
      </c>
      <c r="C50" s="176"/>
      <c r="D50" s="176"/>
      <c r="E50" s="176">
        <f>B50+C50+D50</f>
        <v>123.48519</v>
      </c>
      <c r="F50" s="176"/>
      <c r="G50" s="176">
        <v>111.13667100000001</v>
      </c>
      <c r="I50" s="95">
        <v>5</v>
      </c>
      <c r="J50" s="181">
        <f>MIN(B50/I50,G50)+C50/2/I50</f>
        <v>24.697037999999999</v>
      </c>
      <c r="K50" s="177"/>
    </row>
    <row r="51" spans="1:11">
      <c r="A51" s="159" t="s">
        <v>525</v>
      </c>
      <c r="B51" s="176">
        <f>'Schedule 3B - 2025'!E56</f>
        <v>164.31387000000001</v>
      </c>
      <c r="C51" s="176"/>
      <c r="D51" s="176"/>
      <c r="E51" s="176">
        <f>B51+C51+D51</f>
        <v>164.31387000000001</v>
      </c>
      <c r="F51" s="176"/>
      <c r="G51" s="176">
        <v>147.88248300000001</v>
      </c>
      <c r="I51" s="95">
        <v>5</v>
      </c>
      <c r="J51" s="181">
        <f>MIN(B51/I51,G51)+C51/2/I51</f>
        <v>32.862774000000002</v>
      </c>
      <c r="K51" s="177"/>
    </row>
    <row r="52" spans="1:11">
      <c r="A52" s="159" t="s">
        <v>526</v>
      </c>
      <c r="B52" s="176">
        <f>'Schedule 3B - 2025'!E57</f>
        <v>100.95914999999999</v>
      </c>
      <c r="C52" s="176"/>
      <c r="D52" s="176"/>
      <c r="E52" s="176">
        <f>B52+C52+D52</f>
        <v>100.95914999999999</v>
      </c>
      <c r="F52" s="176"/>
      <c r="G52" s="176">
        <v>90.863234999999989</v>
      </c>
      <c r="I52" s="95">
        <v>5</v>
      </c>
      <c r="J52" s="181">
        <f>MIN(B52/I52,G52)+C52/2/I52</f>
        <v>20.19183</v>
      </c>
      <c r="K52" s="177"/>
    </row>
    <row r="53" spans="1:11">
      <c r="A53" s="159" t="s">
        <v>527</v>
      </c>
      <c r="B53" s="176">
        <f>'Schedule 3B - 2025'!E58</f>
        <v>68.948940000000007</v>
      </c>
      <c r="C53" s="176"/>
      <c r="D53" s="176"/>
      <c r="E53" s="176">
        <f>B53+C53+D53</f>
        <v>68.948940000000007</v>
      </c>
      <c r="F53" s="176"/>
      <c r="G53" s="176">
        <v>62.054046000000007</v>
      </c>
      <c r="I53" s="95">
        <v>5</v>
      </c>
      <c r="J53" s="181">
        <f>MIN(B53/I53,G53)+C53/2/I53</f>
        <v>13.789788000000001</v>
      </c>
      <c r="K53" s="177"/>
    </row>
    <row r="54" spans="1:11">
      <c r="A54" s="159" t="s">
        <v>528</v>
      </c>
      <c r="B54" s="176">
        <f>'Schedule 3B - 2025'!E59</f>
        <v>18.49399</v>
      </c>
      <c r="C54" s="176"/>
      <c r="D54" s="176"/>
      <c r="E54" s="176">
        <f>B54+C54+D54</f>
        <v>18.49399</v>
      </c>
      <c r="F54" s="176"/>
      <c r="G54" s="176">
        <v>16.644590999999998</v>
      </c>
      <c r="I54" s="95">
        <v>5</v>
      </c>
      <c r="J54" s="181">
        <f>MIN(B54/I54,G54)+C54/2/I54</f>
        <v>3.698798</v>
      </c>
      <c r="K54" s="177"/>
    </row>
    <row r="55" spans="1:11">
      <c r="A55" s="159" t="s">
        <v>529</v>
      </c>
      <c r="B55" s="176">
        <f>'Schedule 3B - 2025'!E60</f>
        <v>307.20589000000001</v>
      </c>
      <c r="C55" s="176"/>
      <c r="D55" s="176"/>
      <c r="E55" s="176">
        <f>B55+C55+D55</f>
        <v>307.20589000000001</v>
      </c>
      <c r="F55" s="176"/>
      <c r="G55" s="176">
        <v>276.48530099999999</v>
      </c>
      <c r="I55" s="95">
        <v>5</v>
      </c>
      <c r="J55" s="181">
        <f>MIN(B55/I55,G55)+C55/2/I55</f>
        <v>61.441178000000001</v>
      </c>
      <c r="K55" s="177"/>
    </row>
    <row r="56" spans="1:11">
      <c r="A56" s="159" t="s">
        <v>530</v>
      </c>
      <c r="B56" s="176">
        <f>'Schedule 3B - 2025'!E61</f>
        <v>48.358760000000004</v>
      </c>
      <c r="C56" s="176"/>
      <c r="D56" s="176"/>
      <c r="E56" s="176">
        <f>B56+C56+D56</f>
        <v>48.358760000000004</v>
      </c>
      <c r="F56" s="176"/>
      <c r="G56" s="176">
        <v>43.522884000000005</v>
      </c>
      <c r="I56" s="95">
        <v>5</v>
      </c>
      <c r="J56" s="181">
        <f>MIN(B56/I56,G56)+C56/2/I56</f>
        <v>9.6717520000000015</v>
      </c>
      <c r="K56" s="177"/>
    </row>
    <row r="57" spans="1:11">
      <c r="A57" s="159" t="s">
        <v>531</v>
      </c>
      <c r="B57" s="176">
        <f>'Schedule 3B - 2025'!E62</f>
        <v>12.618969999999999</v>
      </c>
      <c r="C57" s="176"/>
      <c r="D57" s="176"/>
      <c r="E57" s="176">
        <f>B57+C57+D57</f>
        <v>12.618969999999999</v>
      </c>
      <c r="F57" s="176"/>
      <c r="G57" s="176">
        <v>11.357073</v>
      </c>
      <c r="I57" s="95">
        <v>5</v>
      </c>
      <c r="J57" s="181">
        <f>MIN(B57/I57,G57)+C57/2/I57</f>
        <v>2.5237939999999996</v>
      </c>
      <c r="K57" s="177"/>
    </row>
    <row r="58" spans="1:11">
      <c r="A58" s="159" t="s">
        <v>532</v>
      </c>
      <c r="B58" s="176">
        <f>'Schedule 3B - 2025'!E63</f>
        <v>104.82865</v>
      </c>
      <c r="C58" s="176"/>
      <c r="D58" s="176"/>
      <c r="E58" s="176">
        <f>B58+C58+D58</f>
        <v>104.82865</v>
      </c>
      <c r="F58" s="176"/>
      <c r="G58" s="176">
        <v>94.345784999999992</v>
      </c>
      <c r="I58" s="95">
        <v>5</v>
      </c>
      <c r="J58" s="181">
        <f>MIN(B58/I58,G58)+C58/2/I58</f>
        <v>20.965730000000001</v>
      </c>
      <c r="K58" s="177"/>
    </row>
    <row r="59" spans="1:11">
      <c r="A59" s="159" t="s">
        <v>533</v>
      </c>
      <c r="B59" s="176">
        <f>'Schedule 3B - 2025'!E64</f>
        <v>3.9265599999999998</v>
      </c>
      <c r="C59" s="176"/>
      <c r="D59" s="176"/>
      <c r="E59" s="176">
        <f>B59+C59+D59</f>
        <v>3.9265599999999998</v>
      </c>
      <c r="F59" s="176"/>
      <c r="G59" s="176">
        <v>3.5339039999999997</v>
      </c>
      <c r="I59" s="95">
        <v>5</v>
      </c>
      <c r="J59" s="181">
        <f>MIN(B59/I59,G59)+C59/2/I59</f>
        <v>0.78531200000000001</v>
      </c>
      <c r="K59" s="177"/>
    </row>
    <row r="60" spans="1:11">
      <c r="A60" s="159" t="s">
        <v>534</v>
      </c>
      <c r="B60" s="176">
        <f>'Schedule 3B - 2025'!E65</f>
        <v>146.37052</v>
      </c>
      <c r="C60" s="176"/>
      <c r="D60" s="176"/>
      <c r="E60" s="176">
        <f>B60+C60+D60</f>
        <v>146.37052</v>
      </c>
      <c r="F60" s="176"/>
      <c r="G60" s="176">
        <v>131.73346799999999</v>
      </c>
      <c r="I60" s="95">
        <v>5</v>
      </c>
      <c r="J60" s="181">
        <f>MIN(B60/I60,G60)+C60/2/I60</f>
        <v>29.274104000000001</v>
      </c>
      <c r="K60" s="177"/>
    </row>
    <row r="61" spans="1:11">
      <c r="A61" s="159" t="s">
        <v>535</v>
      </c>
      <c r="B61" s="176">
        <f>'Schedule 3B - 2025'!E66</f>
        <v>350.81653999999997</v>
      </c>
      <c r="C61" s="176"/>
      <c r="D61" s="176"/>
      <c r="E61" s="176">
        <f>B61+C61+D61</f>
        <v>350.81653999999997</v>
      </c>
      <c r="F61" s="176"/>
      <c r="G61" s="176">
        <v>315.73488599999996</v>
      </c>
      <c r="I61" s="95">
        <v>5</v>
      </c>
      <c r="J61" s="181">
        <f>MIN(B61/I61,G61)+C61/2/I61</f>
        <v>70.163308000000001</v>
      </c>
      <c r="K61" s="177"/>
    </row>
    <row r="62" spans="1:11">
      <c r="A62" s="159" t="s">
        <v>536</v>
      </c>
      <c r="B62" s="176">
        <f>'Schedule 3B - 2025'!E67</f>
        <v>5.2911299999999999</v>
      </c>
      <c r="C62" s="176"/>
      <c r="D62" s="176"/>
      <c r="E62" s="176">
        <f>B62+C62+D62</f>
        <v>5.2911299999999999</v>
      </c>
      <c r="F62" s="176"/>
      <c r="G62" s="176">
        <v>4.7620170000000002</v>
      </c>
      <c r="I62" s="95">
        <v>5</v>
      </c>
      <c r="J62" s="181">
        <f>MIN(B62/I62,G62)+C62/2/I62</f>
        <v>1.0582259999999999</v>
      </c>
      <c r="K62" s="177"/>
    </row>
    <row r="63" spans="1:11">
      <c r="A63" s="159" t="s">
        <v>537</v>
      </c>
      <c r="B63" s="176">
        <f>'Schedule 3B - 2025'!E68</f>
        <v>-62.5</v>
      </c>
      <c r="C63" s="176"/>
      <c r="D63" s="176"/>
      <c r="E63" s="176">
        <f>B63+C63+D63</f>
        <v>-62.5</v>
      </c>
      <c r="F63" s="176"/>
      <c r="G63" s="176">
        <v>-56.25</v>
      </c>
      <c r="I63" s="95">
        <v>5</v>
      </c>
      <c r="J63" s="176">
        <f>MAX(B63/I63,G63)+C63/2/I63</f>
        <v>-12.5</v>
      </c>
      <c r="K63" s="177"/>
    </row>
    <row r="64" spans="1:11">
      <c r="B64" s="176"/>
      <c r="C64" s="176"/>
      <c r="D64" s="176"/>
      <c r="E64" s="176"/>
      <c r="F64" s="176"/>
      <c r="G64" s="176"/>
      <c r="I64" s="95"/>
      <c r="J64" s="181"/>
      <c r="K64" s="177"/>
    </row>
    <row r="65" spans="1:11">
      <c r="A65" s="173" t="s">
        <v>370</v>
      </c>
      <c r="B65" s="177">
        <f>SUM(B10:B64)</f>
        <v>18801.84906</v>
      </c>
      <c r="C65" s="177">
        <f>SUM(C10:C64)</f>
        <v>0</v>
      </c>
      <c r="D65" s="177">
        <f>SUM(D10:D64)</f>
        <v>0</v>
      </c>
      <c r="E65" s="177">
        <f>SUM(E10:E64)</f>
        <v>18801.84906</v>
      </c>
      <c r="F65" s="177"/>
      <c r="G65" s="177">
        <f>SUM(G10:G64)</f>
        <v>10078.439020999997</v>
      </c>
      <c r="I65" s="175"/>
      <c r="J65" s="177">
        <f>SUM(J10:J64)</f>
        <v>2413.8938230000008</v>
      </c>
    </row>
    <row r="66" spans="1:11">
      <c r="I66" s="175"/>
    </row>
    <row r="67" spans="1:11">
      <c r="A67" s="173" t="s">
        <v>371</v>
      </c>
      <c r="B67" s="177"/>
      <c r="C67" s="177"/>
      <c r="D67" s="177"/>
      <c r="E67" s="177"/>
      <c r="F67" s="177"/>
      <c r="G67" s="177"/>
      <c r="J67" s="177"/>
    </row>
    <row r="68" spans="1:11">
      <c r="A68" s="179" t="s">
        <v>365</v>
      </c>
      <c r="E68" s="177"/>
      <c r="F68" s="177"/>
      <c r="G68" s="177"/>
    </row>
    <row r="69" spans="1:11">
      <c r="A69" s="180" t="s">
        <v>314</v>
      </c>
      <c r="B69" s="176">
        <v>6515.4672900000005</v>
      </c>
      <c r="C69" s="176">
        <v>484</v>
      </c>
      <c r="D69" s="176">
        <v>0</v>
      </c>
      <c r="E69" s="177">
        <f>B69+C69+D69</f>
        <v>6999.4672900000005</v>
      </c>
      <c r="F69" s="177"/>
      <c r="G69" s="176">
        <v>3971.7901809999998</v>
      </c>
      <c r="H69" s="177"/>
      <c r="I69" s="95">
        <v>10</v>
      </c>
      <c r="J69" s="176">
        <v>675.74061899999992</v>
      </c>
      <c r="K69" s="177"/>
    </row>
    <row r="70" spans="1:11">
      <c r="A70" s="180" t="s">
        <v>410</v>
      </c>
      <c r="B70" s="176">
        <v>-2923.6238599999997</v>
      </c>
      <c r="C70" s="177"/>
      <c r="D70" s="177"/>
      <c r="E70" s="177">
        <f>B70+C70+D70</f>
        <v>-2923.6238599999997</v>
      </c>
      <c r="F70" s="177"/>
      <c r="G70" s="176">
        <v>-1613.5133740000001</v>
      </c>
      <c r="H70" s="177"/>
      <c r="I70" s="95">
        <v>10</v>
      </c>
      <c r="J70" s="176">
        <v>-292.36159399999997</v>
      </c>
      <c r="K70" s="177"/>
    </row>
    <row r="71" spans="1:11">
      <c r="A71" s="180" t="s">
        <v>373</v>
      </c>
      <c r="B71" s="176">
        <f>'Schedule 3B - 2025'!E76</f>
        <v>185.01089000000002</v>
      </c>
      <c r="C71" s="177"/>
      <c r="D71" s="177"/>
      <c r="E71" s="177">
        <f>B71+C71+D71</f>
        <v>185.01089000000002</v>
      </c>
      <c r="F71" s="177"/>
      <c r="G71" s="176">
        <v>110.93560066666666</v>
      </c>
      <c r="H71" s="177"/>
      <c r="I71" s="95">
        <v>45</v>
      </c>
      <c r="J71" s="181">
        <f>MIN(B71/I71,G71)</f>
        <v>4.1113531111111117</v>
      </c>
      <c r="K71" s="177"/>
    </row>
    <row r="72" spans="1:11">
      <c r="A72" s="180" t="s">
        <v>502</v>
      </c>
      <c r="B72" s="176">
        <f>'Schedule 3B - 2025'!E78</f>
        <v>5532.5789699999996</v>
      </c>
      <c r="C72" s="177"/>
      <c r="D72" s="177"/>
      <c r="E72" s="177">
        <f>B72+C72+D72</f>
        <v>5532.5789699999996</v>
      </c>
      <c r="F72" s="177"/>
      <c r="G72" s="176">
        <v>4426.0631730000005</v>
      </c>
      <c r="H72" s="177"/>
      <c r="I72" s="95">
        <v>10</v>
      </c>
      <c r="J72" s="181">
        <f>MIN(B72/I72,G72)</f>
        <v>553.25789699999996</v>
      </c>
      <c r="K72" s="177"/>
    </row>
    <row r="73" spans="1:11">
      <c r="A73" s="180" t="s">
        <v>538</v>
      </c>
      <c r="B73" s="176">
        <f>'Schedule 3B - 2025'!E79</f>
        <v>207.40913</v>
      </c>
      <c r="C73" s="177"/>
      <c r="D73" s="177"/>
      <c r="E73" s="177">
        <f>B73+C73+D73</f>
        <v>207.40913</v>
      </c>
      <c r="F73" s="177"/>
      <c r="G73" s="176">
        <v>186.668217</v>
      </c>
      <c r="H73" s="177"/>
      <c r="I73" s="95">
        <v>5</v>
      </c>
      <c r="J73" s="181">
        <f>MIN(B73/I73,G73)+C73/2/I73</f>
        <v>41.481825999999998</v>
      </c>
      <c r="K73" s="177"/>
    </row>
    <row r="74" spans="1:11">
      <c r="A74" s="180" t="s">
        <v>539</v>
      </c>
      <c r="B74" s="176"/>
      <c r="C74" s="177">
        <v>2331.5800899999999</v>
      </c>
      <c r="D74" s="177"/>
      <c r="E74" s="177">
        <f>B74+C74+D74</f>
        <v>2331.5800899999999</v>
      </c>
      <c r="F74" s="177"/>
      <c r="G74" s="176">
        <v>0</v>
      </c>
      <c r="H74" s="177"/>
      <c r="I74" s="95">
        <v>10</v>
      </c>
      <c r="J74" s="181">
        <f>MIN(B74/I74,G74)+C74/2/I74</f>
        <v>116.5790045</v>
      </c>
      <c r="K74" s="177"/>
    </row>
    <row r="75" spans="1:11">
      <c r="A75" s="180"/>
      <c r="B75" s="177"/>
      <c r="C75" s="177"/>
      <c r="D75" s="177"/>
      <c r="E75" s="177"/>
      <c r="F75" s="177"/>
      <c r="G75" s="177"/>
      <c r="H75" s="177"/>
      <c r="I75" s="175"/>
      <c r="J75" s="176"/>
      <c r="K75" s="177"/>
    </row>
    <row r="76" spans="1:11">
      <c r="A76" s="173" t="s">
        <v>374</v>
      </c>
      <c r="B76" s="177">
        <f>SUM(B69,B70,B71,B72,B73,B74)</f>
        <v>9516.8424200000009</v>
      </c>
      <c r="C76" s="177">
        <f>SUM(C69,C70,C71,C72,C73,C74)</f>
        <v>2815.5800899999999</v>
      </c>
      <c r="D76" s="177">
        <f>SUM(D69,D70,D71,D72,D73,D74)</f>
        <v>0</v>
      </c>
      <c r="E76" s="177">
        <f>SUM(E69,E70,E71,E72,E73,E74)</f>
        <v>12332.42251</v>
      </c>
      <c r="F76" s="177"/>
      <c r="G76" s="177">
        <f>SUM(G69,G70,G71,G72,G73,G74)</f>
        <v>7081.9437976666668</v>
      </c>
      <c r="H76" s="177"/>
      <c r="I76" s="177"/>
      <c r="J76" s="177">
        <f>SUM(J69,J70,J71,J72,J73,J74)</f>
        <v>1098.8091056111111</v>
      </c>
      <c r="K76" s="177"/>
    </row>
    <row r="77" spans="1:11">
      <c r="A77" s="180"/>
      <c r="B77" s="177"/>
      <c r="C77" s="177"/>
      <c r="D77" s="177"/>
      <c r="E77" s="177"/>
      <c r="F77" s="177"/>
      <c r="G77" s="177"/>
      <c r="H77" s="177"/>
      <c r="I77" s="175"/>
      <c r="J77" s="177"/>
      <c r="K77" s="177"/>
    </row>
    <row r="79" spans="1:11">
      <c r="A79" s="173" t="s">
        <v>90</v>
      </c>
      <c r="B79" s="177"/>
      <c r="C79" s="177"/>
      <c r="D79" s="177"/>
      <c r="E79" s="177"/>
      <c r="F79" s="177"/>
      <c r="G79" s="177"/>
      <c r="H79" s="177"/>
      <c r="I79" s="177"/>
      <c r="J79" s="177"/>
    </row>
    <row r="80" spans="1:11">
      <c r="A80" s="179" t="s">
        <v>365</v>
      </c>
      <c r="B80" s="177"/>
      <c r="C80" s="177"/>
      <c r="D80" s="177"/>
      <c r="E80" s="177"/>
      <c r="F80" s="177"/>
      <c r="G80" s="177"/>
      <c r="H80" s="177"/>
      <c r="I80" s="177"/>
      <c r="J80" s="177"/>
    </row>
    <row r="81" spans="1:18">
      <c r="A81" s="159" t="s">
        <v>411</v>
      </c>
      <c r="B81" s="176">
        <f>'Schedule 3B - 2025'!E86</f>
        <v>4617.6575899999998</v>
      </c>
      <c r="C81" s="176"/>
      <c r="D81" s="177"/>
      <c r="E81" s="177">
        <f t="shared" ref="E81:E89" si="0">B81+C81+D81</f>
        <v>4617.6575899999998</v>
      </c>
      <c r="F81" s="177"/>
      <c r="G81" s="176">
        <v>2204.1770709999996</v>
      </c>
      <c r="H81" s="177"/>
      <c r="I81" s="95">
        <v>5</v>
      </c>
      <c r="J81" s="181">
        <f>MIN(B81/I81,G81)+C81/2/I81</f>
        <v>923.53151800000001</v>
      </c>
      <c r="K81" s="177"/>
    </row>
    <row r="82" spans="1:18">
      <c r="A82" s="159" t="s">
        <v>375</v>
      </c>
      <c r="B82" s="176">
        <f>'Schedule 3B - 2025'!E87</f>
        <v>39.986849999999997</v>
      </c>
      <c r="C82" s="176"/>
      <c r="D82" s="177"/>
      <c r="E82" s="177">
        <f t="shared" si="0"/>
        <v>39.986849999999997</v>
      </c>
      <c r="F82" s="177"/>
      <c r="G82" s="176">
        <v>29.583699999999993</v>
      </c>
      <c r="H82" s="177"/>
      <c r="I82" s="95">
        <v>25</v>
      </c>
      <c r="J82" s="181">
        <f>MIN(B82/I82,G82)</f>
        <v>1.5994739999999998</v>
      </c>
      <c r="K82" s="177"/>
    </row>
    <row r="83" spans="1:18">
      <c r="A83" s="159" t="s">
        <v>376</v>
      </c>
      <c r="B83" s="176">
        <f>'Schedule 3B - 2025'!E89</f>
        <v>10607.89925</v>
      </c>
      <c r="C83" s="176"/>
      <c r="D83" s="177"/>
      <c r="E83" s="177">
        <f t="shared" si="0"/>
        <v>10607.89925</v>
      </c>
      <c r="F83" s="177"/>
      <c r="G83" s="176">
        <v>10395.741265000001</v>
      </c>
      <c r="H83" s="177"/>
      <c r="I83" s="95">
        <v>25</v>
      </c>
      <c r="J83" s="181">
        <f>MIN(B83/I83,G83)+C83/2/I83</f>
        <v>424.31596999999999</v>
      </c>
      <c r="K83" s="177"/>
    </row>
    <row r="84" spans="1:18">
      <c r="A84" s="159" t="s">
        <v>377</v>
      </c>
      <c r="B84" s="176">
        <f>'Schedule 3B - 2025'!E91</f>
        <v>7294.8461900000002</v>
      </c>
      <c r="C84" s="176"/>
      <c r="D84" s="177"/>
      <c r="E84" s="177">
        <f t="shared" si="0"/>
        <v>7294.8461900000002</v>
      </c>
      <c r="F84" s="177"/>
      <c r="G84" s="176">
        <v>7148.9492662000002</v>
      </c>
      <c r="H84" s="177"/>
      <c r="I84" s="95">
        <v>25</v>
      </c>
      <c r="J84" s="181">
        <f>MIN(B84/I84,G84)+C84/2/I84</f>
        <v>291.79384759999999</v>
      </c>
      <c r="K84" s="177"/>
    </row>
    <row r="85" spans="1:18">
      <c r="A85" s="159" t="s">
        <v>504</v>
      </c>
      <c r="B85" s="176">
        <f>'Schedule 3B - 2025'!E92</f>
        <v>216.3638</v>
      </c>
      <c r="C85" s="176"/>
      <c r="D85" s="177"/>
      <c r="E85" s="177">
        <f t="shared" si="0"/>
        <v>216.3638</v>
      </c>
      <c r="F85" s="177"/>
      <c r="G85" s="176">
        <v>207.709248</v>
      </c>
      <c r="H85" s="177"/>
      <c r="I85" s="95">
        <v>25</v>
      </c>
      <c r="J85" s="181">
        <f>MIN(B85/I85,G85)</f>
        <v>8.6545520000000007</v>
      </c>
    </row>
    <row r="86" spans="1:18">
      <c r="A86" s="159" t="s">
        <v>506</v>
      </c>
      <c r="B86" s="176">
        <f>'Schedule 3B - 2025'!E93</f>
        <v>13.88059</v>
      </c>
      <c r="C86" s="176"/>
      <c r="D86" s="177"/>
      <c r="E86" s="177">
        <f t="shared" si="0"/>
        <v>13.88059</v>
      </c>
      <c r="F86" s="177"/>
      <c r="G86" s="176">
        <v>13.602978199999999</v>
      </c>
      <c r="H86" s="177"/>
      <c r="I86" s="95">
        <v>25</v>
      </c>
      <c r="J86" s="181">
        <f>MIN(B86/I86,G86)+C86/2/I86</f>
        <v>0.55522360000000004</v>
      </c>
      <c r="K86" s="177"/>
    </row>
    <row r="87" spans="1:18">
      <c r="A87" s="159" t="s">
        <v>507</v>
      </c>
      <c r="B87" s="176">
        <f>'Schedule 3B - 2025'!E94</f>
        <v>9.7247700000000012</v>
      </c>
      <c r="C87" s="176"/>
      <c r="D87" s="177"/>
      <c r="E87" s="177">
        <f t="shared" si="0"/>
        <v>9.7247700000000012</v>
      </c>
      <c r="F87" s="177"/>
      <c r="G87" s="176">
        <v>9.530274600000002</v>
      </c>
      <c r="H87" s="177"/>
      <c r="I87" s="95">
        <v>25</v>
      </c>
      <c r="J87" s="181">
        <f>MIN(B87/I87,G87)+C87/2/I87</f>
        <v>0.38899080000000003</v>
      </c>
      <c r="K87" s="177"/>
    </row>
    <row r="88" spans="1:18">
      <c r="A88" s="159" t="s">
        <v>508</v>
      </c>
      <c r="B88" s="176">
        <f>'Schedule 3B - 2025'!E95</f>
        <v>50</v>
      </c>
      <c r="C88" s="176"/>
      <c r="D88" s="177"/>
      <c r="E88" s="177">
        <f t="shared" si="0"/>
        <v>50</v>
      </c>
      <c r="F88" s="177"/>
      <c r="G88" s="176">
        <v>49</v>
      </c>
      <c r="H88" s="177"/>
      <c r="I88" s="95">
        <v>25</v>
      </c>
      <c r="J88" s="181">
        <f>MIN(B88/I88,G88)+C88/2/I88</f>
        <v>2</v>
      </c>
      <c r="K88" s="177"/>
    </row>
    <row r="89" spans="1:18">
      <c r="A89" s="159" t="s">
        <v>505</v>
      </c>
      <c r="B89" s="176">
        <f>'Schedule 3B - 2025'!E96</f>
        <v>2267.2020200000002</v>
      </c>
      <c r="C89" s="176"/>
      <c r="D89" s="177"/>
      <c r="E89" s="177">
        <f t="shared" si="0"/>
        <v>2267.2020200000002</v>
      </c>
      <c r="F89" s="177"/>
      <c r="G89" s="176">
        <v>2040.4818180000002</v>
      </c>
      <c r="H89" s="177"/>
      <c r="I89" s="95">
        <v>10</v>
      </c>
      <c r="J89" s="181">
        <f>MIN(B89/I89,G89)</f>
        <v>226.72020200000003</v>
      </c>
    </row>
    <row r="90" spans="1:18">
      <c r="B90" s="177"/>
      <c r="C90" s="177"/>
      <c r="D90" s="177"/>
      <c r="E90" s="177"/>
      <c r="F90" s="177"/>
      <c r="G90" s="177"/>
      <c r="H90" s="177"/>
      <c r="I90" s="177"/>
      <c r="J90" s="177"/>
      <c r="K90" s="177"/>
    </row>
    <row r="91" spans="1:18">
      <c r="A91" s="173" t="s">
        <v>378</v>
      </c>
      <c r="B91" s="177">
        <f>SUM(B80:B90)</f>
        <v>25117.561060000004</v>
      </c>
      <c r="C91" s="177">
        <f>SUM(C80:C90)</f>
        <v>0</v>
      </c>
      <c r="D91" s="177">
        <f>SUM(D80:D90)</f>
        <v>0</v>
      </c>
      <c r="E91" s="177">
        <f>SUM(E80:E90)</f>
        <v>25117.561060000004</v>
      </c>
      <c r="F91" s="177"/>
      <c r="G91" s="177">
        <f>SUM(G80:G90)</f>
        <v>22098.775621000001</v>
      </c>
      <c r="H91" s="177"/>
      <c r="I91" s="177"/>
      <c r="J91" s="177">
        <f>SUM(J80:J90)</f>
        <v>1879.5597780000001</v>
      </c>
      <c r="R91" s="177"/>
    </row>
    <row r="92" spans="1:18">
      <c r="B92" s="177"/>
      <c r="C92" s="177"/>
      <c r="D92" s="177"/>
      <c r="E92" s="177"/>
      <c r="F92" s="177"/>
      <c r="G92" s="177"/>
      <c r="H92" s="177"/>
      <c r="I92" s="177"/>
      <c r="J92" s="177"/>
      <c r="R92" s="177"/>
    </row>
    <row r="93" spans="1:18">
      <c r="A93" s="173" t="s">
        <v>379</v>
      </c>
      <c r="B93" s="177"/>
      <c r="C93" s="177"/>
      <c r="D93" s="177"/>
      <c r="E93" s="177"/>
      <c r="F93" s="177"/>
      <c r="G93" s="177"/>
      <c r="H93" s="177"/>
      <c r="I93" s="177"/>
      <c r="J93" s="177"/>
      <c r="R93" s="177"/>
    </row>
    <row r="94" spans="1:18">
      <c r="A94" s="174" t="s">
        <v>380</v>
      </c>
      <c r="B94" s="176">
        <f>'Schedule 3B - 2025'!E101</f>
        <v>449.26472000000001</v>
      </c>
      <c r="C94" s="177"/>
      <c r="D94" s="177"/>
      <c r="E94" s="177">
        <f>SUM(B94:D94)</f>
        <v>449.26472000000001</v>
      </c>
      <c r="F94" s="177"/>
      <c r="G94" s="176">
        <v>200.398155</v>
      </c>
      <c r="H94" s="177"/>
      <c r="I94" s="95">
        <v>5</v>
      </c>
      <c r="J94" s="181">
        <v>64.055419999999998</v>
      </c>
      <c r="R94" s="177"/>
    </row>
    <row r="95" spans="1:18">
      <c r="A95" s="174"/>
      <c r="B95" s="176"/>
      <c r="C95" s="177"/>
      <c r="D95" s="177"/>
      <c r="E95" s="177"/>
      <c r="F95" s="177"/>
      <c r="G95" s="176"/>
      <c r="H95" s="177"/>
      <c r="I95" s="95"/>
      <c r="J95" s="181"/>
      <c r="R95" s="177"/>
    </row>
    <row r="96" spans="1:18">
      <c r="A96" s="173" t="s">
        <v>517</v>
      </c>
      <c r="B96" s="176"/>
      <c r="C96" s="177"/>
      <c r="D96" s="177"/>
      <c r="E96" s="177"/>
      <c r="F96" s="177"/>
      <c r="G96" s="176"/>
      <c r="H96" s="177"/>
      <c r="I96" s="95"/>
      <c r="J96" s="181">
        <f>'Schedule 3B - 2025'!J103</f>
        <v>221.53100000000001</v>
      </c>
      <c r="R96" s="177"/>
    </row>
    <row r="97" spans="1:23">
      <c r="A97" s="182"/>
      <c r="B97" s="178"/>
      <c r="C97" s="178"/>
      <c r="D97" s="178"/>
      <c r="E97" s="178"/>
      <c r="F97" s="177"/>
      <c r="G97" s="177"/>
      <c r="H97" s="183"/>
      <c r="I97" s="184"/>
      <c r="J97" s="178"/>
      <c r="K97" s="177"/>
    </row>
    <row r="98" spans="1:23">
      <c r="A98" s="188" t="s">
        <v>381</v>
      </c>
      <c r="B98" s="185">
        <f>SUM(B65,B76,B91,B94)</f>
        <v>53885.517260000001</v>
      </c>
      <c r="C98" s="185">
        <f>SUM(C65,C76,C91,C94)</f>
        <v>2815.5800899999999</v>
      </c>
      <c r="D98" s="185">
        <f>SUM(D65,D76,D91,D94)</f>
        <v>0</v>
      </c>
      <c r="E98" s="185">
        <f>SUM(E65,E76,E91,E94)</f>
        <v>56701.097350000004</v>
      </c>
      <c r="F98" s="198"/>
      <c r="G98" s="185">
        <f>SUM(G65,G76,G91,G94)</f>
        <v>39459.556594666668</v>
      </c>
      <c r="H98" s="183"/>
      <c r="I98" s="184"/>
      <c r="J98" s="185">
        <f>SUM(J65,J76,J91,J94,J96)</f>
        <v>5677.8491266111114</v>
      </c>
      <c r="R98" s="177"/>
      <c r="W98" s="177"/>
    </row>
    <row r="99" spans="1:23">
      <c r="A99" s="163"/>
      <c r="B99" s="186"/>
      <c r="C99" s="186"/>
      <c r="D99" s="186"/>
      <c r="E99" s="186"/>
      <c r="F99" s="186"/>
      <c r="G99" s="186"/>
      <c r="H99" s="183"/>
      <c r="I99" s="184"/>
      <c r="J99" s="183"/>
      <c r="R99" s="177"/>
      <c r="W99" s="177"/>
    </row>
    <row r="100" spans="1:23">
      <c r="A100" s="173" t="s">
        <v>92</v>
      </c>
      <c r="B100" s="177"/>
      <c r="C100" s="177"/>
      <c r="D100" s="177"/>
      <c r="E100" s="177"/>
      <c r="F100" s="177"/>
      <c r="G100" s="177"/>
      <c r="H100" s="177"/>
      <c r="I100" s="177"/>
      <c r="J100" s="177"/>
      <c r="R100" s="177"/>
      <c r="W100" s="177"/>
    </row>
    <row r="101" spans="1:23">
      <c r="A101" s="179" t="s">
        <v>365</v>
      </c>
      <c r="B101" s="177"/>
      <c r="C101" s="177"/>
      <c r="D101" s="177"/>
      <c r="E101" s="177"/>
      <c r="F101" s="177"/>
      <c r="G101" s="177"/>
      <c r="H101" s="177"/>
      <c r="I101" s="177"/>
      <c r="J101" s="177"/>
      <c r="R101" s="177"/>
      <c r="W101" s="177"/>
    </row>
    <row r="102" spans="1:23">
      <c r="A102" s="159" t="s">
        <v>415</v>
      </c>
      <c r="B102" s="176">
        <f>'Schedule 3B - 2025'!E109</f>
        <v>2836.4792600000001</v>
      </c>
      <c r="C102" s="177"/>
      <c r="D102" s="177"/>
      <c r="E102" s="177">
        <f>B102+C102+D102</f>
        <v>2836.4792600000001</v>
      </c>
      <c r="F102" s="177"/>
      <c r="G102" s="176">
        <v>108.69500999999968</v>
      </c>
      <c r="H102" s="177"/>
      <c r="I102" s="95">
        <v>10</v>
      </c>
      <c r="J102" s="177">
        <v>-1.9999999949504854E-6</v>
      </c>
      <c r="K102" s="177" t="s">
        <v>429</v>
      </c>
      <c r="R102" s="177"/>
      <c r="W102" s="177"/>
    </row>
    <row r="103" spans="1:23">
      <c r="A103" s="159" t="s">
        <v>503</v>
      </c>
      <c r="B103" s="176">
        <f>'Schedule 3B - 2025'!E110</f>
        <v>4108.0400100000006</v>
      </c>
      <c r="C103" s="177">
        <v>910</v>
      </c>
      <c r="D103" s="177"/>
      <c r="E103" s="177">
        <f>B103+C103+D103</f>
        <v>5018.0400100000006</v>
      </c>
      <c r="F103" s="177"/>
      <c r="G103" s="176">
        <v>2965.2478499999997</v>
      </c>
      <c r="H103" s="177"/>
      <c r="I103" s="95"/>
      <c r="J103" s="177">
        <v>459.43953000000005</v>
      </c>
      <c r="K103" s="177" t="s">
        <v>429</v>
      </c>
      <c r="R103" s="177"/>
      <c r="W103" s="177"/>
    </row>
    <row r="104" spans="1:23">
      <c r="A104" s="159" t="s">
        <v>430</v>
      </c>
      <c r="B104" s="176">
        <f>'Schedule 3B - 2025'!E111</f>
        <v>4549.8533200000002</v>
      </c>
      <c r="C104" s="177"/>
      <c r="D104" s="177"/>
      <c r="E104" s="177">
        <f>B104+C104+D104</f>
        <v>4549.8533200000002</v>
      </c>
      <c r="F104" s="177"/>
      <c r="G104" s="176">
        <v>2274.9266600000001</v>
      </c>
      <c r="H104" s="177"/>
      <c r="I104" s="95">
        <v>10</v>
      </c>
      <c r="J104" s="181">
        <f>MIN(B104/I104,G104)</f>
        <v>454.98533200000003</v>
      </c>
      <c r="K104" s="177"/>
      <c r="R104" s="177"/>
      <c r="W104" s="177"/>
    </row>
    <row r="105" spans="1:23">
      <c r="B105" s="177"/>
      <c r="C105" s="177"/>
      <c r="D105" s="177"/>
      <c r="E105" s="177"/>
      <c r="F105" s="177"/>
      <c r="G105" s="177"/>
      <c r="H105" s="177"/>
      <c r="I105" s="177"/>
      <c r="J105" s="177"/>
      <c r="R105" s="177"/>
      <c r="W105" s="177"/>
    </row>
    <row r="106" spans="1:23">
      <c r="A106" s="173" t="s">
        <v>416</v>
      </c>
      <c r="B106" s="177">
        <f>SUM(B101:B105)</f>
        <v>11494.372590000001</v>
      </c>
      <c r="C106" s="177">
        <f>SUM(C101:C105)</f>
        <v>910</v>
      </c>
      <c r="D106" s="177">
        <f>SUM(D101:D105)</f>
        <v>0</v>
      </c>
      <c r="E106" s="177">
        <f>SUM(E101:E105)</f>
        <v>12404.372590000001</v>
      </c>
      <c r="F106" s="177"/>
      <c r="G106" s="177">
        <f>SUM(G101:G105)</f>
        <v>5348.8695199999993</v>
      </c>
      <c r="H106" s="177"/>
      <c r="I106" s="177"/>
      <c r="J106" s="177">
        <f>SUM(J101:J105)</f>
        <v>914.42486000000008</v>
      </c>
      <c r="K106" s="177"/>
      <c r="R106" s="177"/>
      <c r="W106" s="177"/>
    </row>
    <row r="107" spans="1:23">
      <c r="A107" s="163"/>
      <c r="B107" s="186"/>
      <c r="C107" s="186"/>
      <c r="D107" s="186"/>
      <c r="E107" s="186"/>
      <c r="F107" s="186"/>
      <c r="G107" s="186"/>
      <c r="H107" s="183"/>
      <c r="I107" s="184"/>
      <c r="J107" s="183"/>
      <c r="R107" s="177"/>
      <c r="W107" s="177"/>
    </row>
    <row r="108" spans="1:23" ht="9" customHeight="1">
      <c r="A108" s="163"/>
      <c r="B108" s="186"/>
      <c r="C108" s="186"/>
      <c r="D108" s="186"/>
      <c r="E108" s="186"/>
      <c r="F108" s="186"/>
      <c r="G108" s="186"/>
      <c r="H108" s="183"/>
      <c r="I108" s="184"/>
      <c r="J108" s="183"/>
      <c r="R108" s="177"/>
      <c r="W108" s="177"/>
    </row>
    <row r="109" spans="1:23">
      <c r="A109" s="188" t="s">
        <v>417</v>
      </c>
      <c r="B109" s="185">
        <f>B98+B106</f>
        <v>65379.88985</v>
      </c>
      <c r="C109" s="185">
        <f>C98+C106</f>
        <v>3725.5800899999999</v>
      </c>
      <c r="D109" s="185">
        <f>D98+D106</f>
        <v>0</v>
      </c>
      <c r="E109" s="185">
        <f>E98+E106</f>
        <v>69105.46994000001</v>
      </c>
      <c r="F109" s="198"/>
      <c r="G109" s="185">
        <f>G98+G106</f>
        <v>44808.426114666669</v>
      </c>
      <c r="H109" s="183"/>
      <c r="I109" s="184"/>
      <c r="J109" s="185">
        <f>J98+J106</f>
        <v>6592.2739866111115</v>
      </c>
      <c r="R109" s="177"/>
      <c r="W109" s="177"/>
    </row>
    <row r="110" spans="1:23" ht="6.5" customHeight="1">
      <c r="A110" s="163"/>
      <c r="B110" s="186"/>
      <c r="C110" s="186"/>
      <c r="D110" s="186"/>
      <c r="E110" s="186"/>
      <c r="F110" s="186"/>
      <c r="G110" s="186"/>
      <c r="H110" s="183"/>
      <c r="I110" s="184"/>
      <c r="J110" s="183"/>
      <c r="R110" s="177"/>
      <c r="W110" s="177"/>
    </row>
    <row r="111" spans="1:23" ht="5.5" customHeight="1"/>
    <row r="112" spans="1:23">
      <c r="A112" s="163" t="s">
        <v>382</v>
      </c>
      <c r="B112" s="186"/>
      <c r="C112" s="186"/>
      <c r="D112" s="186"/>
      <c r="E112" s="186"/>
      <c r="F112" s="186"/>
      <c r="G112" s="186"/>
      <c r="H112" s="183"/>
      <c r="I112" s="184"/>
      <c r="J112" s="183"/>
    </row>
    <row r="113" spans="1:10" ht="12.75" customHeight="1">
      <c r="A113" s="163" t="s">
        <v>383</v>
      </c>
      <c r="B113" s="186"/>
      <c r="C113" s="186"/>
      <c r="D113" s="186"/>
      <c r="E113" s="186"/>
      <c r="F113" s="186"/>
      <c r="G113" s="186"/>
      <c r="H113" s="183"/>
      <c r="I113" s="184"/>
      <c r="J113" s="183"/>
    </row>
    <row r="114" spans="1:10">
      <c r="A114" s="163"/>
    </row>
    <row r="115" spans="1:10" ht="28.5" customHeight="1">
      <c r="A115" s="208" t="s">
        <v>428</v>
      </c>
      <c r="B115" s="208"/>
      <c r="C115" s="208"/>
      <c r="D115" s="208"/>
      <c r="E115" s="208"/>
      <c r="F115" s="208"/>
      <c r="G115" s="208"/>
      <c r="H115" s="208"/>
      <c r="I115" s="208"/>
    </row>
    <row r="116" spans="1:10">
      <c r="A116" s="208" t="s">
        <v>431</v>
      </c>
      <c r="B116" s="208"/>
      <c r="C116" s="208"/>
      <c r="D116" s="208"/>
      <c r="E116" s="208"/>
      <c r="F116" s="208"/>
      <c r="G116" s="208"/>
      <c r="H116" s="208"/>
      <c r="I116" s="208"/>
    </row>
    <row r="118" spans="1:10">
      <c r="C118" s="177"/>
      <c r="J118" s="177"/>
    </row>
    <row r="119" spans="1:10">
      <c r="C119" s="177"/>
      <c r="D119" s="181"/>
      <c r="J119" s="177"/>
    </row>
  </sheetData>
  <mergeCells count="4">
    <mergeCell ref="B5:E5"/>
    <mergeCell ref="I6:I7"/>
    <mergeCell ref="A115:I115"/>
    <mergeCell ref="A116:I116"/>
  </mergeCells>
  <conditionalFormatting sqref="A69:A75">
    <cfRule type="expression" dxfId="11" priority="1" stopIfTrue="1">
      <formula>AND(MONTH(#REF!)-MONTH(#REF!)=1,YEAR(#REF!)=YEAR(#REF!),#REF!&gt;0)</formula>
    </cfRule>
    <cfRule type="expression" dxfId="10" priority="2" stopIfTrue="1">
      <formula>AND(MONTH(#REF!)-MONTH(#REF!)=0,YEAR(#REF!)=YEAR(#REF!),#REF!&gt;0)</formula>
    </cfRule>
    <cfRule type="expression" dxfId="9" priority="3" stopIfTrue="1">
      <formula>AND(MONTH(#REF!)-MONTH(#REF!)&lt;0,YEAR(#REF!)=YEAR(#REF!),#REF!&gt;0)</formula>
    </cfRule>
  </conditionalFormatting>
  <conditionalFormatting sqref="A77">
    <cfRule type="expression" dxfId="8" priority="7" stopIfTrue="1">
      <formula>AND(MONTH($E77)-MONTH($B$1)=1,YEAR($E77)=YEAR($B$1),$X77&gt;0)</formula>
    </cfRule>
    <cfRule type="expression" dxfId="7" priority="8" stopIfTrue="1">
      <formula>AND(MONTH($E77)-MONTH($B$1)=0,YEAR($E77)=YEAR($B$1),$X77&gt;0)</formula>
    </cfRule>
    <cfRule type="expression" dxfId="6" priority="9" stopIfTrue="1">
      <formula>AND(MONTH($E77)-MONTH($B$1)&lt;0,YEAR($E77)=YEAR($B$1),$X77&gt;0)</formula>
    </cfRule>
  </conditionalFormatting>
  <printOptions horizontalCentered="1"/>
  <pageMargins left="0.55118110236220474" right="0.31496062992125984" top="0.82677165354330717" bottom="0.9055118110236221" header="0.51181102362204722" footer="0.51181102362204722"/>
  <pageSetup scale="41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BC299-CB4B-41E3-9F00-4DC7D1616C38}">
  <sheetPr>
    <tabColor theme="9" tint="0.39997558519241921"/>
    <pageSetUpPr fitToPage="1"/>
  </sheetPr>
  <dimension ref="A1:W160"/>
  <sheetViews>
    <sheetView view="pageBreakPreview" zoomScaleSheetLayoutView="100" workbookViewId="0">
      <pane ySplit="7" topLeftCell="A56" activePane="bottomLeft" state="frozen"/>
      <selection activeCell="H18" sqref="H18"/>
      <selection pane="bottomLeft" activeCell="A60" sqref="A60"/>
    </sheetView>
  </sheetViews>
  <sheetFormatPr defaultColWidth="9.08984375" defaultRowHeight="12.5"/>
  <cols>
    <col min="1" max="1" width="45.453125" style="159" customWidth="1"/>
    <col min="2" max="5" width="10.08984375" style="159" customWidth="1"/>
    <col min="6" max="6" width="1.7265625" style="159" customWidth="1"/>
    <col min="7" max="7" width="10.08984375" style="159" customWidth="1"/>
    <col min="8" max="8" width="2.36328125" style="159" customWidth="1"/>
    <col min="9" max="9" width="11.453125" style="159" customWidth="1"/>
    <col min="10" max="10" width="12.6328125" style="159" customWidth="1"/>
    <col min="11" max="11" width="4.6328125" style="159" customWidth="1"/>
    <col min="18" max="18" width="11.36328125" style="159" bestFit="1" customWidth="1"/>
    <col min="19" max="22" width="9.08984375" style="159"/>
    <col min="23" max="23" width="10.36328125" style="159" bestFit="1" customWidth="1"/>
    <col min="24" max="16384" width="9.08984375" style="159"/>
  </cols>
  <sheetData>
    <row r="1" spans="1:11">
      <c r="A1" s="157" t="s">
        <v>358</v>
      </c>
      <c r="B1" s="157"/>
      <c r="C1" s="158"/>
      <c r="D1" s="158"/>
      <c r="E1" s="158"/>
      <c r="F1" s="158"/>
      <c r="G1" s="158"/>
      <c r="H1" s="158"/>
      <c r="I1" s="158"/>
      <c r="J1" s="195" t="s">
        <v>418</v>
      </c>
    </row>
    <row r="2" spans="1:11" ht="15" customHeight="1">
      <c r="A2" s="157" t="s">
        <v>512</v>
      </c>
      <c r="B2" s="157"/>
      <c r="C2" s="158"/>
      <c r="D2" s="158"/>
      <c r="E2" s="158"/>
      <c r="F2" s="158"/>
      <c r="G2" s="158"/>
      <c r="H2" s="158"/>
      <c r="I2" s="158"/>
      <c r="J2" s="194" t="str">
        <f>'Schedule 1'!$M$2</f>
        <v>2025-27 GRA</v>
      </c>
    </row>
    <row r="3" spans="1:11" ht="15.75" customHeight="1" thickBot="1">
      <c r="A3" s="160" t="s">
        <v>332</v>
      </c>
      <c r="B3" s="161"/>
      <c r="C3" s="162"/>
      <c r="D3" s="162"/>
      <c r="E3" s="162"/>
      <c r="F3" s="162"/>
      <c r="G3" s="162"/>
      <c r="H3" s="162"/>
      <c r="I3" s="162"/>
      <c r="J3" s="162"/>
    </row>
    <row r="4" spans="1:11" ht="13" thickBot="1">
      <c r="A4" s="163"/>
      <c r="B4" s="161"/>
      <c r="C4" s="162"/>
      <c r="D4" s="162"/>
      <c r="E4" s="162"/>
      <c r="F4" s="158"/>
      <c r="G4" s="158"/>
      <c r="H4" s="158"/>
      <c r="I4" s="158"/>
      <c r="J4" s="162"/>
    </row>
    <row r="5" spans="1:11" ht="13" thickBot="1">
      <c r="A5" s="163"/>
      <c r="B5" s="204" t="s">
        <v>359</v>
      </c>
      <c r="C5" s="205"/>
      <c r="D5" s="205"/>
      <c r="E5" s="205"/>
      <c r="F5" s="164"/>
      <c r="G5" s="187" t="s">
        <v>427</v>
      </c>
      <c r="H5" s="164"/>
      <c r="I5" s="158"/>
      <c r="J5" s="187"/>
    </row>
    <row r="6" spans="1:11" ht="18" customHeight="1">
      <c r="A6" s="163"/>
      <c r="B6" s="165" t="s">
        <v>360</v>
      </c>
      <c r="C6" s="166" t="s">
        <v>513</v>
      </c>
      <c r="D6" s="167"/>
      <c r="E6" s="165" t="s">
        <v>360</v>
      </c>
      <c r="F6" s="165"/>
      <c r="G6" s="165" t="s">
        <v>360</v>
      </c>
      <c r="H6" s="168"/>
      <c r="I6" s="206" t="s">
        <v>432</v>
      </c>
      <c r="J6" s="166" t="str">
        <f>C6</f>
        <v>2027 Forecast</v>
      </c>
    </row>
    <row r="7" spans="1:11" ht="31.5" customHeight="1" thickBot="1">
      <c r="A7" s="163"/>
      <c r="B7" s="169">
        <v>2026</v>
      </c>
      <c r="C7" s="170" t="s">
        <v>361</v>
      </c>
      <c r="D7" s="171" t="s">
        <v>362</v>
      </c>
      <c r="E7" s="172">
        <f>B7+1</f>
        <v>2027</v>
      </c>
      <c r="F7" s="172"/>
      <c r="G7" s="169">
        <v>2026</v>
      </c>
      <c r="H7" s="172"/>
      <c r="I7" s="207"/>
      <c r="J7" s="171" t="s">
        <v>363</v>
      </c>
    </row>
    <row r="8" spans="1:11">
      <c r="A8" s="173" t="s">
        <v>364</v>
      </c>
    </row>
    <row r="9" spans="1:11">
      <c r="A9" s="174" t="s">
        <v>365</v>
      </c>
      <c r="I9" s="175"/>
    </row>
    <row r="10" spans="1:11">
      <c r="A10" s="159" t="s">
        <v>401</v>
      </c>
      <c r="B10" s="176">
        <f>'Schedule 3B - 2026'!E17</f>
        <v>115.23152999999999</v>
      </c>
      <c r="C10" s="176"/>
      <c r="D10" s="176"/>
      <c r="E10" s="176">
        <f>B10+C10+D10</f>
        <v>115.23152999999999</v>
      </c>
      <c r="F10" s="176"/>
      <c r="G10" s="176">
        <v>15.216876000000003</v>
      </c>
      <c r="I10" s="95">
        <v>5</v>
      </c>
      <c r="J10" s="181">
        <f>MIN(B10/I10,G10)</f>
        <v>15.216876000000003</v>
      </c>
      <c r="K10" s="177"/>
    </row>
    <row r="11" spans="1:11">
      <c r="A11" s="159" t="s">
        <v>366</v>
      </c>
      <c r="B11" s="176">
        <f>'Schedule 3B - 2026'!E18</f>
        <v>59.53539</v>
      </c>
      <c r="C11" s="176"/>
      <c r="D11" s="176"/>
      <c r="E11" s="176">
        <f>B11+C11+D11</f>
        <v>59.53539</v>
      </c>
      <c r="F11" s="176"/>
      <c r="G11" s="176">
        <v>11.907078000000004</v>
      </c>
      <c r="I11" s="95">
        <v>5</v>
      </c>
      <c r="J11" s="181">
        <f>MIN(B11/I11,G11)</f>
        <v>11.907078</v>
      </c>
      <c r="K11" s="177"/>
    </row>
    <row r="12" spans="1:11">
      <c r="A12" s="159" t="s">
        <v>402</v>
      </c>
      <c r="B12" s="176">
        <f>'Schedule 3B - 2026'!E19</f>
        <v>196.33029000000002</v>
      </c>
      <c r="C12" s="176"/>
      <c r="D12" s="176"/>
      <c r="E12" s="176">
        <f>B12+C12+D12</f>
        <v>196.33029000000002</v>
      </c>
      <c r="F12" s="176"/>
      <c r="G12" s="176">
        <v>39.266058000000001</v>
      </c>
      <c r="I12" s="95">
        <v>5</v>
      </c>
      <c r="J12" s="181">
        <f>MIN(B12/I12,G12)</f>
        <v>39.266058000000001</v>
      </c>
      <c r="K12" s="177"/>
    </row>
    <row r="13" spans="1:11">
      <c r="A13" s="159" t="s">
        <v>403</v>
      </c>
      <c r="B13" s="176">
        <f>'Schedule 3B - 2026'!E20</f>
        <v>46.831489999999995</v>
      </c>
      <c r="C13" s="176"/>
      <c r="D13" s="176"/>
      <c r="E13" s="176">
        <f>B13+C13+D13</f>
        <v>46.831489999999995</v>
      </c>
      <c r="F13" s="176"/>
      <c r="G13" s="176">
        <v>8.5451479999999993</v>
      </c>
      <c r="I13" s="95">
        <v>5</v>
      </c>
      <c r="J13" s="181">
        <f>MIN(B13/I13,G13)</f>
        <v>8.5451479999999993</v>
      </c>
      <c r="K13" s="177"/>
    </row>
    <row r="14" spans="1:11">
      <c r="A14" s="159" t="s">
        <v>413</v>
      </c>
      <c r="B14" s="176">
        <f>'Schedule 3B - 2026'!E21</f>
        <v>8784.170970000001</v>
      </c>
      <c r="C14" s="176"/>
      <c r="D14" s="176"/>
      <c r="E14" s="176">
        <f>B14+C14+D14</f>
        <v>8784.170970000001</v>
      </c>
      <c r="F14" s="176"/>
      <c r="G14" s="176">
        <v>5123.6986259999994</v>
      </c>
      <c r="I14" s="95">
        <v>10</v>
      </c>
      <c r="J14" s="181">
        <f>MIN(B14/I14,G14)</f>
        <v>878.41709700000013</v>
      </c>
      <c r="K14" s="177"/>
    </row>
    <row r="15" spans="1:11">
      <c r="A15" s="159" t="s">
        <v>481</v>
      </c>
      <c r="B15" s="176">
        <f>'Schedule 3B - 2026'!E22</f>
        <v>122.43858</v>
      </c>
      <c r="C15" s="176"/>
      <c r="D15" s="176"/>
      <c r="E15" s="176">
        <f>B15+C15+D15</f>
        <v>122.43858</v>
      </c>
      <c r="F15" s="176"/>
      <c r="G15" s="176">
        <v>24.487708000000012</v>
      </c>
      <c r="I15" s="95">
        <v>5</v>
      </c>
      <c r="J15" s="181">
        <f>MIN(B15/I15,G15)</f>
        <v>24.487708000000012</v>
      </c>
      <c r="K15" s="177"/>
    </row>
    <row r="16" spans="1:11">
      <c r="A16" s="159" t="s">
        <v>482</v>
      </c>
      <c r="B16" s="176">
        <f>'Schedule 3B - 2026'!E23</f>
        <v>36.075000000000003</v>
      </c>
      <c r="C16" s="176"/>
      <c r="D16" s="176"/>
      <c r="E16" s="176">
        <f>B16+C16+D16</f>
        <v>36.075000000000003</v>
      </c>
      <c r="F16" s="176"/>
      <c r="G16" s="176">
        <v>14.410229999999999</v>
      </c>
      <c r="I16" s="95">
        <v>5</v>
      </c>
      <c r="J16" s="181">
        <f>MIN(B16/I16,G16)</f>
        <v>7.2150000000000007</v>
      </c>
      <c r="K16" s="177"/>
    </row>
    <row r="17" spans="1:11">
      <c r="A17" s="159" t="s">
        <v>414</v>
      </c>
      <c r="B17" s="176">
        <f>'Schedule 3B - 2026'!E24</f>
        <v>172.99391</v>
      </c>
      <c r="C17" s="176"/>
      <c r="D17" s="176"/>
      <c r="E17" s="176">
        <f>B17+C17+D17</f>
        <v>172.99391</v>
      </c>
      <c r="F17" s="176"/>
      <c r="G17" s="176">
        <v>69.102776000000006</v>
      </c>
      <c r="I17" s="95">
        <v>5</v>
      </c>
      <c r="J17" s="181">
        <f>MIN(B17/I17,G17)</f>
        <v>34.598782</v>
      </c>
      <c r="K17" s="177"/>
    </row>
    <row r="18" spans="1:11">
      <c r="A18" s="159" t="s">
        <v>483</v>
      </c>
      <c r="B18" s="176">
        <f>'Schedule 3B - 2026'!E25</f>
        <v>11.190100000000001</v>
      </c>
      <c r="C18" s="176"/>
      <c r="D18" s="176"/>
      <c r="E18" s="176">
        <f>B18+C18+D18</f>
        <v>11.190100000000001</v>
      </c>
      <c r="F18" s="176"/>
      <c r="G18" s="176">
        <v>4.4699099999999987</v>
      </c>
      <c r="I18" s="95">
        <v>5</v>
      </c>
      <c r="J18" s="181">
        <f>MIN(B18/I18,G18)</f>
        <v>2.2380200000000001</v>
      </c>
      <c r="K18" s="177"/>
    </row>
    <row r="19" spans="1:11">
      <c r="A19" s="159" t="s">
        <v>484</v>
      </c>
      <c r="B19" s="176">
        <f>'Schedule 3B - 2026'!E26</f>
        <v>136.59076999999999</v>
      </c>
      <c r="C19" s="176"/>
      <c r="D19" s="176"/>
      <c r="E19" s="176">
        <f>B19+C19+D19</f>
        <v>136.59076999999999</v>
      </c>
      <c r="F19" s="176"/>
      <c r="G19" s="176">
        <v>54.561471999999974</v>
      </c>
      <c r="I19" s="95">
        <v>5</v>
      </c>
      <c r="J19" s="181">
        <f>MIN(B19/I19,G19)</f>
        <v>27.318154</v>
      </c>
      <c r="K19" s="177"/>
    </row>
    <row r="20" spans="1:11">
      <c r="A20" s="159" t="s">
        <v>485</v>
      </c>
      <c r="B20" s="176">
        <f>'Schedule 3B - 2026'!E27</f>
        <v>24.57694</v>
      </c>
      <c r="C20" s="176"/>
      <c r="D20" s="176"/>
      <c r="E20" s="176">
        <f>B20+C20+D20</f>
        <v>24.57694</v>
      </c>
      <c r="F20" s="176"/>
      <c r="G20" s="176">
        <v>9.8307739999999981</v>
      </c>
      <c r="I20" s="95">
        <v>5</v>
      </c>
      <c r="J20" s="181">
        <f>MIN(B20/I20,G20)</f>
        <v>4.9153880000000001</v>
      </c>
      <c r="K20" s="177"/>
    </row>
    <row r="21" spans="1:11">
      <c r="A21" s="159" t="s">
        <v>486</v>
      </c>
      <c r="B21" s="176">
        <f>'Schedule 3B - 2026'!E28</f>
        <v>67.997410000000002</v>
      </c>
      <c r="C21" s="176"/>
      <c r="D21" s="176"/>
      <c r="E21" s="176">
        <f>B21+C21+D21</f>
        <v>67.997410000000002</v>
      </c>
      <c r="F21" s="176"/>
      <c r="G21" s="176">
        <v>27.198965999999999</v>
      </c>
      <c r="I21" s="95">
        <v>5</v>
      </c>
      <c r="J21" s="181">
        <f>MIN(B21/I21,G21)</f>
        <v>13.599482</v>
      </c>
      <c r="K21" s="177"/>
    </row>
    <row r="22" spans="1:11">
      <c r="A22" s="159" t="s">
        <v>487</v>
      </c>
      <c r="B22" s="176">
        <f>'Schedule 3B - 2026'!E29</f>
        <v>65.897589999999994</v>
      </c>
      <c r="C22" s="176"/>
      <c r="D22" s="176"/>
      <c r="E22" s="176">
        <f>B22+C22+D22</f>
        <v>65.897589999999994</v>
      </c>
      <c r="F22" s="176"/>
      <c r="G22" s="176">
        <v>26.359033999999998</v>
      </c>
      <c r="I22" s="95">
        <v>5</v>
      </c>
      <c r="J22" s="181">
        <f>MIN(B22/I22,G22)</f>
        <v>13.179517999999998</v>
      </c>
      <c r="K22" s="177"/>
    </row>
    <row r="23" spans="1:11">
      <c r="A23" s="159" t="s">
        <v>488</v>
      </c>
      <c r="B23" s="176">
        <f>'Schedule 3B - 2026'!E30</f>
        <v>13.239000000000001</v>
      </c>
      <c r="C23" s="176"/>
      <c r="D23" s="176"/>
      <c r="E23" s="176">
        <f>B23+C23+D23</f>
        <v>13.239000000000001</v>
      </c>
      <c r="F23" s="176"/>
      <c r="G23" s="176">
        <v>5.2955999999999985</v>
      </c>
      <c r="I23" s="95">
        <v>5</v>
      </c>
      <c r="J23" s="181">
        <f>MIN(B23/I23,G23)</f>
        <v>2.6478000000000002</v>
      </c>
      <c r="K23" s="177"/>
    </row>
    <row r="24" spans="1:11">
      <c r="A24" s="159" t="s">
        <v>489</v>
      </c>
      <c r="B24" s="176">
        <f>'Schedule 3B - 2026'!E31</f>
        <v>43.927510000000005</v>
      </c>
      <c r="C24" s="176"/>
      <c r="D24" s="176"/>
      <c r="E24" s="176">
        <f>B24+C24+D24</f>
        <v>43.927510000000005</v>
      </c>
      <c r="F24" s="176"/>
      <c r="G24" s="176">
        <v>25.036275999999994</v>
      </c>
      <c r="I24" s="95">
        <v>5</v>
      </c>
      <c r="J24" s="181">
        <f>MIN(B24/I24,G24)</f>
        <v>8.785502000000001</v>
      </c>
      <c r="K24" s="177"/>
    </row>
    <row r="25" spans="1:11">
      <c r="A25" s="159" t="s">
        <v>490</v>
      </c>
      <c r="B25" s="176">
        <f>'Schedule 3B - 2026'!E32</f>
        <v>868.95561999999995</v>
      </c>
      <c r="C25" s="176"/>
      <c r="D25" s="176"/>
      <c r="E25" s="176">
        <f>B25+C25+D25</f>
        <v>868.95561999999995</v>
      </c>
      <c r="F25" s="176"/>
      <c r="G25" s="176">
        <v>347.58225200000004</v>
      </c>
      <c r="I25" s="95">
        <v>5</v>
      </c>
      <c r="J25" s="181">
        <f>MIN(B25/I25,G25)</f>
        <v>173.791124</v>
      </c>
      <c r="K25" s="177"/>
    </row>
    <row r="26" spans="1:11">
      <c r="A26" s="159" t="s">
        <v>491</v>
      </c>
      <c r="B26" s="176">
        <f>'Schedule 3B - 2026'!E33</f>
        <v>118.23144000000001</v>
      </c>
      <c r="C26" s="176"/>
      <c r="D26" s="176"/>
      <c r="E26" s="176">
        <f>B26+C26+D26</f>
        <v>118.23144000000001</v>
      </c>
      <c r="F26" s="176"/>
      <c r="G26" s="176">
        <v>47.292574000000002</v>
      </c>
      <c r="I26" s="95">
        <v>5</v>
      </c>
      <c r="J26" s="181">
        <f>MIN(B26/I26,G26)</f>
        <v>23.646288000000002</v>
      </c>
      <c r="K26" s="177"/>
    </row>
    <row r="27" spans="1:11">
      <c r="A27" s="159" t="s">
        <v>492</v>
      </c>
      <c r="B27" s="176">
        <f>'Schedule 3B - 2026'!E34</f>
        <v>100.19461</v>
      </c>
      <c r="C27" s="176"/>
      <c r="D27" s="176"/>
      <c r="E27" s="176">
        <f>B27+C27+D27</f>
        <v>100.19461</v>
      </c>
      <c r="F27" s="176"/>
      <c r="G27" s="176">
        <v>60.116765999999998</v>
      </c>
      <c r="I27" s="95">
        <v>5</v>
      </c>
      <c r="J27" s="181">
        <f>MIN(B27/I27,G27)</f>
        <v>20.038921999999999</v>
      </c>
      <c r="K27" s="177"/>
    </row>
    <row r="28" spans="1:11">
      <c r="A28" s="159" t="s">
        <v>493</v>
      </c>
      <c r="B28" s="176">
        <f>'Schedule 3B - 2026'!E35</f>
        <v>158.78622000000001</v>
      </c>
      <c r="C28" s="176"/>
      <c r="D28" s="176"/>
      <c r="E28" s="176">
        <f>B28+C28+D28</f>
        <v>158.78622000000001</v>
      </c>
      <c r="F28" s="176"/>
      <c r="G28" s="176">
        <v>95.271732000000014</v>
      </c>
      <c r="I28" s="95">
        <v>5</v>
      </c>
      <c r="J28" s="181">
        <f>MIN(B28/I28,G28)</f>
        <v>31.757244000000004</v>
      </c>
      <c r="K28" s="177"/>
    </row>
    <row r="29" spans="1:11">
      <c r="A29" s="159" t="s">
        <v>494</v>
      </c>
      <c r="B29" s="176">
        <f>'Schedule 3B - 2026'!E36</f>
        <v>28.539580000000001</v>
      </c>
      <c r="C29" s="176"/>
      <c r="D29" s="176"/>
      <c r="E29" s="176">
        <f>B29+C29+D29</f>
        <v>28.539580000000001</v>
      </c>
      <c r="F29" s="176"/>
      <c r="G29" s="176">
        <v>17.123747999999999</v>
      </c>
      <c r="I29" s="95">
        <v>5</v>
      </c>
      <c r="J29" s="181">
        <f>MIN(B29/I29,G29)</f>
        <v>5.707916</v>
      </c>
      <c r="K29" s="177"/>
    </row>
    <row r="30" spans="1:11">
      <c r="A30" s="159" t="s">
        <v>495</v>
      </c>
      <c r="B30" s="176">
        <f>'Schedule 3B - 2026'!E37</f>
        <v>200.69633999999999</v>
      </c>
      <c r="C30" s="176"/>
      <c r="D30" s="176"/>
      <c r="E30" s="176">
        <f>B30+C30+D30</f>
        <v>200.69633999999999</v>
      </c>
      <c r="F30" s="176"/>
      <c r="G30" s="176">
        <v>120.417804</v>
      </c>
      <c r="I30" s="95">
        <v>5</v>
      </c>
      <c r="J30" s="181">
        <f>MIN(B30/I30,G30)</f>
        <v>40.139268000000001</v>
      </c>
      <c r="K30" s="177"/>
    </row>
    <row r="31" spans="1:11">
      <c r="A31" s="159" t="s">
        <v>496</v>
      </c>
      <c r="B31" s="176">
        <f>'Schedule 3B - 2026'!E38</f>
        <v>121.99618</v>
      </c>
      <c r="C31" s="176"/>
      <c r="D31" s="176"/>
      <c r="E31" s="176">
        <f>B31+C31+D31</f>
        <v>121.99618</v>
      </c>
      <c r="F31" s="176"/>
      <c r="G31" s="176">
        <v>73.197707999999992</v>
      </c>
      <c r="I31" s="95">
        <v>5</v>
      </c>
      <c r="J31" s="181">
        <f>MIN(B31/I31,G31)</f>
        <v>24.399235999999998</v>
      </c>
      <c r="K31" s="177"/>
    </row>
    <row r="32" spans="1:11">
      <c r="A32" s="159" t="s">
        <v>509</v>
      </c>
      <c r="B32" s="176">
        <f>'Schedule 3B - 2026'!E39</f>
        <v>19.97803</v>
      </c>
      <c r="C32" s="176"/>
      <c r="D32" s="176"/>
      <c r="E32" s="176">
        <f>B32+C32+D32</f>
        <v>19.97803</v>
      </c>
      <c r="F32" s="176"/>
      <c r="G32" s="176">
        <v>11.986818</v>
      </c>
      <c r="I32" s="95">
        <v>5</v>
      </c>
      <c r="J32" s="181">
        <f>MIN(B32/I32,G32)</f>
        <v>3.995606</v>
      </c>
      <c r="K32" s="177"/>
    </row>
    <row r="33" spans="1:11">
      <c r="A33" s="159" t="s">
        <v>497</v>
      </c>
      <c r="B33" s="176">
        <f>'Schedule 3B - 2026'!E40</f>
        <v>157.5137</v>
      </c>
      <c r="C33" s="176"/>
      <c r="D33" s="176"/>
      <c r="E33" s="176">
        <f>B33+C33+D33</f>
        <v>157.5137</v>
      </c>
      <c r="F33" s="176"/>
      <c r="G33" s="176">
        <v>94.508219999999994</v>
      </c>
      <c r="I33" s="95">
        <v>5</v>
      </c>
      <c r="J33" s="181">
        <f>MIN(B33/I33,G33)</f>
        <v>31.502739999999999</v>
      </c>
      <c r="K33" s="177"/>
    </row>
    <row r="34" spans="1:11">
      <c r="A34" s="159" t="s">
        <v>498</v>
      </c>
      <c r="B34" s="176">
        <f>'Schedule 3B - 2026'!E41</f>
        <v>8.5541200000000011</v>
      </c>
      <c r="C34" s="176"/>
      <c r="D34" s="176"/>
      <c r="E34" s="176">
        <f>B34+C34+D34</f>
        <v>8.5541200000000011</v>
      </c>
      <c r="F34" s="176"/>
      <c r="G34" s="176">
        <v>5.1324719999999999</v>
      </c>
      <c r="I34" s="95">
        <v>5</v>
      </c>
      <c r="J34" s="181">
        <f>MIN(B34/I34,G34)</f>
        <v>1.7108240000000001</v>
      </c>
      <c r="K34" s="177"/>
    </row>
    <row r="35" spans="1:11">
      <c r="A35" s="159" t="s">
        <v>499</v>
      </c>
      <c r="B35" s="176">
        <f>'Schedule 3B - 2026'!E42</f>
        <v>66.370519999999999</v>
      </c>
      <c r="C35" s="176"/>
      <c r="D35" s="176"/>
      <c r="E35" s="176">
        <f>B35+C35+D35</f>
        <v>66.370519999999999</v>
      </c>
      <c r="F35" s="176"/>
      <c r="G35" s="176">
        <v>39.822311999999997</v>
      </c>
      <c r="I35" s="95">
        <v>5</v>
      </c>
      <c r="J35" s="181">
        <f>MIN(B35/I35,G35)</f>
        <v>13.274103999999999</v>
      </c>
      <c r="K35" s="177"/>
    </row>
    <row r="36" spans="1:11">
      <c r="A36" s="159" t="s">
        <v>500</v>
      </c>
      <c r="B36" s="176">
        <f>'Schedule 3B - 2026'!E43</f>
        <v>13.75</v>
      </c>
      <c r="C36" s="176"/>
      <c r="D36" s="176"/>
      <c r="E36" s="176">
        <f>B36+C36+D36</f>
        <v>13.75</v>
      </c>
      <c r="F36" s="176"/>
      <c r="G36" s="176">
        <v>8.25</v>
      </c>
      <c r="I36" s="95">
        <v>5</v>
      </c>
      <c r="J36" s="181">
        <f>MIN(B36/I36,G36)</f>
        <v>2.75</v>
      </c>
      <c r="K36" s="177"/>
    </row>
    <row r="37" spans="1:11">
      <c r="A37" s="159" t="s">
        <v>501</v>
      </c>
      <c r="B37" s="176">
        <f>'Schedule 3B - 2026'!E44</f>
        <v>18.615479999999998</v>
      </c>
      <c r="C37" s="176"/>
      <c r="D37" s="176"/>
      <c r="E37" s="176">
        <f>B37+C37+D37</f>
        <v>18.615479999999998</v>
      </c>
      <c r="F37" s="176"/>
      <c r="G37" s="176">
        <v>11.169287999999998</v>
      </c>
      <c r="I37" s="95">
        <v>5</v>
      </c>
      <c r="J37" s="181">
        <f>MIN(B37/I37,G37)</f>
        <v>3.7230959999999995</v>
      </c>
      <c r="K37" s="177"/>
    </row>
    <row r="38" spans="1:11">
      <c r="A38" s="159" t="s">
        <v>519</v>
      </c>
      <c r="B38" s="176">
        <f>'Schedule 3B - 2026'!E45</f>
        <v>28.83548</v>
      </c>
      <c r="C38" s="176"/>
      <c r="D38" s="176"/>
      <c r="E38" s="176">
        <f>B38+C38+D38</f>
        <v>28.83548</v>
      </c>
      <c r="F38" s="176"/>
      <c r="G38" s="176">
        <v>17.301288</v>
      </c>
      <c r="I38" s="95">
        <v>5</v>
      </c>
      <c r="J38" s="181">
        <f>B38/I38</f>
        <v>5.7670960000000004</v>
      </c>
      <c r="K38" s="177"/>
    </row>
    <row r="39" spans="1:11">
      <c r="A39" s="159" t="s">
        <v>520</v>
      </c>
      <c r="B39" s="176">
        <f>'Schedule 3B - 2026'!E46</f>
        <v>244.51179999999999</v>
      </c>
      <c r="C39" s="176"/>
      <c r="D39" s="176"/>
      <c r="E39" s="176">
        <f>B39+C39+D39</f>
        <v>244.51179999999999</v>
      </c>
      <c r="F39" s="176"/>
      <c r="G39" s="176">
        <v>171.15825999999998</v>
      </c>
      <c r="I39" s="95">
        <v>5</v>
      </c>
      <c r="J39" s="181">
        <f>MIN(B39/I39,G39)+C39/2/I39</f>
        <v>48.902360000000002</v>
      </c>
      <c r="K39" s="177"/>
    </row>
    <row r="40" spans="1:11">
      <c r="A40" s="159" t="s">
        <v>521</v>
      </c>
      <c r="B40" s="176">
        <f>'Schedule 3B - 2026'!E47</f>
        <v>151.68020000000001</v>
      </c>
      <c r="C40" s="176"/>
      <c r="D40" s="176"/>
      <c r="E40" s="176">
        <f>B40+C40+D40</f>
        <v>151.68020000000001</v>
      </c>
      <c r="F40" s="176"/>
      <c r="G40" s="176">
        <v>106.17614</v>
      </c>
      <c r="I40" s="95">
        <v>5</v>
      </c>
      <c r="J40" s="181">
        <f>MIN(B40/I40,G40)+C40/2/I40</f>
        <v>30.336040000000004</v>
      </c>
      <c r="K40" s="177"/>
    </row>
    <row r="41" spans="1:11">
      <c r="A41" s="159" t="s">
        <v>522</v>
      </c>
      <c r="B41" s="176">
        <f>'Schedule 3B - 2026'!E48</f>
        <v>1.81847</v>
      </c>
      <c r="C41" s="176"/>
      <c r="D41" s="176"/>
      <c r="E41" s="176">
        <f>B41+C41+D41</f>
        <v>1.81847</v>
      </c>
      <c r="F41" s="176"/>
      <c r="G41" s="176">
        <v>1.272929</v>
      </c>
      <c r="I41" s="95">
        <v>5</v>
      </c>
      <c r="J41" s="181">
        <f>MIN(B41/I41,G41)+C41/2/I41</f>
        <v>0.36369400000000002</v>
      </c>
      <c r="K41" s="177"/>
    </row>
    <row r="42" spans="1:11">
      <c r="A42" s="159" t="s">
        <v>523</v>
      </c>
      <c r="B42" s="176">
        <f>'Schedule 3B - 2026'!E49</f>
        <v>3.1366100000000001</v>
      </c>
      <c r="C42" s="176"/>
      <c r="D42" s="176"/>
      <c r="E42" s="176">
        <f>B42+C42+D42</f>
        <v>3.1366100000000001</v>
      </c>
      <c r="F42" s="176"/>
      <c r="G42" s="176">
        <v>2.195627</v>
      </c>
      <c r="I42" s="95">
        <v>5</v>
      </c>
      <c r="J42" s="181">
        <f>MIN(B42/I42,G42)+C42/2/I42</f>
        <v>0.62732200000000005</v>
      </c>
      <c r="K42" s="177"/>
    </row>
    <row r="43" spans="1:11">
      <c r="A43" s="159" t="s">
        <v>524</v>
      </c>
      <c r="B43" s="176">
        <f>'Schedule 3B - 2026'!E50</f>
        <v>123.48519</v>
      </c>
      <c r="C43" s="176"/>
      <c r="D43" s="176"/>
      <c r="E43" s="176">
        <f>B43+C43+D43</f>
        <v>123.48519</v>
      </c>
      <c r="F43" s="176"/>
      <c r="G43" s="176">
        <v>86.439633000000015</v>
      </c>
      <c r="I43" s="95">
        <v>5</v>
      </c>
      <c r="J43" s="181">
        <f>MIN(B43/I43,G43)+C43/2/I43</f>
        <v>24.697037999999999</v>
      </c>
      <c r="K43" s="177"/>
    </row>
    <row r="44" spans="1:11">
      <c r="A44" s="159" t="s">
        <v>525</v>
      </c>
      <c r="B44" s="176">
        <f>'Schedule 3B - 2026'!E51</f>
        <v>164.31387000000001</v>
      </c>
      <c r="C44" s="176"/>
      <c r="D44" s="176"/>
      <c r="E44" s="176">
        <f>B44+C44+D44</f>
        <v>164.31387000000001</v>
      </c>
      <c r="F44" s="176"/>
      <c r="G44" s="176">
        <v>115.01970900000001</v>
      </c>
      <c r="I44" s="95">
        <v>5</v>
      </c>
      <c r="J44" s="181">
        <f>MIN(B44/I44,G44)+C44/2/I44</f>
        <v>32.862774000000002</v>
      </c>
      <c r="K44" s="177"/>
    </row>
    <row r="45" spans="1:11">
      <c r="A45" s="159" t="s">
        <v>526</v>
      </c>
      <c r="B45" s="176">
        <f>'Schedule 3B - 2026'!E52</f>
        <v>100.95914999999999</v>
      </c>
      <c r="C45" s="176"/>
      <c r="D45" s="176"/>
      <c r="E45" s="176">
        <f>B45+C45+D45</f>
        <v>100.95914999999999</v>
      </c>
      <c r="F45" s="176"/>
      <c r="G45" s="176">
        <v>70.671404999999993</v>
      </c>
      <c r="I45" s="95">
        <v>5</v>
      </c>
      <c r="J45" s="181">
        <f>MIN(B45/I45,G45)+C45/2/I45</f>
        <v>20.19183</v>
      </c>
      <c r="K45" s="177"/>
    </row>
    <row r="46" spans="1:11">
      <c r="A46" s="159" t="s">
        <v>527</v>
      </c>
      <c r="B46" s="176">
        <f>'Schedule 3B - 2026'!E53</f>
        <v>68.948940000000007</v>
      </c>
      <c r="C46" s="176"/>
      <c r="D46" s="176"/>
      <c r="E46" s="176">
        <f>B46+C46+D46</f>
        <v>68.948940000000007</v>
      </c>
      <c r="F46" s="176"/>
      <c r="G46" s="176">
        <v>48.264258000000005</v>
      </c>
      <c r="I46" s="95">
        <v>5</v>
      </c>
      <c r="J46" s="181">
        <f>MIN(B46/I46,G46)+C46/2/I46</f>
        <v>13.789788000000001</v>
      </c>
      <c r="K46" s="177"/>
    </row>
    <row r="47" spans="1:11">
      <c r="A47" s="159" t="s">
        <v>528</v>
      </c>
      <c r="B47" s="176">
        <f>'Schedule 3B - 2026'!E54</f>
        <v>18.49399</v>
      </c>
      <c r="C47" s="176"/>
      <c r="D47" s="176"/>
      <c r="E47" s="176">
        <f>B47+C47+D47</f>
        <v>18.49399</v>
      </c>
      <c r="F47" s="176"/>
      <c r="G47" s="176">
        <v>12.945792999999998</v>
      </c>
      <c r="I47" s="95">
        <v>5</v>
      </c>
      <c r="J47" s="181">
        <f>MIN(B47/I47,G47)+C47/2/I47</f>
        <v>3.698798</v>
      </c>
      <c r="K47" s="177"/>
    </row>
    <row r="48" spans="1:11">
      <c r="A48" s="159" t="s">
        <v>529</v>
      </c>
      <c r="B48" s="176">
        <f>'Schedule 3B - 2026'!E55</f>
        <v>307.20589000000001</v>
      </c>
      <c r="C48" s="176"/>
      <c r="D48" s="176"/>
      <c r="E48" s="176">
        <f>B48+C48+D48</f>
        <v>307.20589000000001</v>
      </c>
      <c r="F48" s="176"/>
      <c r="G48" s="176">
        <v>215.04412299999998</v>
      </c>
      <c r="I48" s="95">
        <v>5</v>
      </c>
      <c r="J48" s="181">
        <f>MIN(B48/I48,G48)+C48/2/I48</f>
        <v>61.441178000000001</v>
      </c>
      <c r="K48" s="177"/>
    </row>
    <row r="49" spans="1:11">
      <c r="A49" s="159" t="s">
        <v>530</v>
      </c>
      <c r="B49" s="176">
        <f>'Schedule 3B - 2026'!E56</f>
        <v>48.358760000000004</v>
      </c>
      <c r="C49" s="176"/>
      <c r="D49" s="176"/>
      <c r="E49" s="176">
        <f>B49+C49+D49</f>
        <v>48.358760000000004</v>
      </c>
      <c r="F49" s="176"/>
      <c r="G49" s="176">
        <v>33.851132000000007</v>
      </c>
      <c r="I49" s="95">
        <v>5</v>
      </c>
      <c r="J49" s="181">
        <f>MIN(B49/I49,G49)+C49/2/I49</f>
        <v>9.6717520000000015</v>
      </c>
      <c r="K49" s="177"/>
    </row>
    <row r="50" spans="1:11">
      <c r="A50" s="159" t="s">
        <v>531</v>
      </c>
      <c r="B50" s="176">
        <f>'Schedule 3B - 2026'!E57</f>
        <v>12.618969999999999</v>
      </c>
      <c r="C50" s="176"/>
      <c r="D50" s="176"/>
      <c r="E50" s="176">
        <f>B50+C50+D50</f>
        <v>12.618969999999999</v>
      </c>
      <c r="F50" s="176"/>
      <c r="G50" s="176">
        <v>8.833279000000001</v>
      </c>
      <c r="I50" s="95">
        <v>5</v>
      </c>
      <c r="J50" s="181">
        <f>MIN(B50/I50,G50)+C50/2/I50</f>
        <v>2.5237939999999996</v>
      </c>
      <c r="K50" s="177"/>
    </row>
    <row r="51" spans="1:11">
      <c r="A51" s="159" t="s">
        <v>532</v>
      </c>
      <c r="B51" s="176">
        <f>'Schedule 3B - 2026'!E58</f>
        <v>104.82865</v>
      </c>
      <c r="C51" s="176"/>
      <c r="D51" s="176"/>
      <c r="E51" s="176">
        <f>B51+C51+D51</f>
        <v>104.82865</v>
      </c>
      <c r="F51" s="176"/>
      <c r="G51" s="176">
        <v>73.380054999999999</v>
      </c>
      <c r="I51" s="95">
        <v>5</v>
      </c>
      <c r="J51" s="181">
        <f>MIN(B51/I51,G51)+C51/2/I51</f>
        <v>20.965730000000001</v>
      </c>
      <c r="K51" s="177"/>
    </row>
    <row r="52" spans="1:11">
      <c r="A52" s="159" t="s">
        <v>533</v>
      </c>
      <c r="B52" s="176">
        <f>'Schedule 3B - 2026'!E59</f>
        <v>3.9265599999999998</v>
      </c>
      <c r="C52" s="176"/>
      <c r="D52" s="176"/>
      <c r="E52" s="176">
        <f>B52+C52+D52</f>
        <v>3.9265599999999998</v>
      </c>
      <c r="F52" s="176"/>
      <c r="G52" s="176">
        <v>2.7485919999999995</v>
      </c>
      <c r="I52" s="95">
        <v>5</v>
      </c>
      <c r="J52" s="181">
        <f>MIN(B52/I52,G52)+C52/2/I52</f>
        <v>0.78531200000000001</v>
      </c>
      <c r="K52" s="177"/>
    </row>
    <row r="53" spans="1:11">
      <c r="A53" s="159" t="s">
        <v>534</v>
      </c>
      <c r="B53" s="176">
        <f>'Schedule 3B - 2026'!E60</f>
        <v>146.37052</v>
      </c>
      <c r="C53" s="176"/>
      <c r="D53" s="176"/>
      <c r="E53" s="176">
        <f>B53+C53+D53</f>
        <v>146.37052</v>
      </c>
      <c r="F53" s="176"/>
      <c r="G53" s="176">
        <v>102.45936399999999</v>
      </c>
      <c r="I53" s="95">
        <v>5</v>
      </c>
      <c r="J53" s="181">
        <f>MIN(B53/I53,G53)+C53/2/I53</f>
        <v>29.274104000000001</v>
      </c>
      <c r="K53" s="177"/>
    </row>
    <row r="54" spans="1:11">
      <c r="A54" s="159" t="s">
        <v>535</v>
      </c>
      <c r="B54" s="176">
        <f>'Schedule 3B - 2026'!E61</f>
        <v>350.81653999999997</v>
      </c>
      <c r="C54" s="176"/>
      <c r="D54" s="176"/>
      <c r="E54" s="176">
        <f>B54+C54+D54</f>
        <v>350.81653999999997</v>
      </c>
      <c r="F54" s="176"/>
      <c r="G54" s="176">
        <v>245.57157799999996</v>
      </c>
      <c r="I54" s="95">
        <v>5</v>
      </c>
      <c r="J54" s="181">
        <f>MIN(B54/I54,G54)+C54/2/I54</f>
        <v>70.163308000000001</v>
      </c>
      <c r="K54" s="177"/>
    </row>
    <row r="55" spans="1:11">
      <c r="A55" s="159" t="s">
        <v>536</v>
      </c>
      <c r="B55" s="176">
        <f>'Schedule 3B - 2026'!E62</f>
        <v>5.2911299999999999</v>
      </c>
      <c r="C55" s="176"/>
      <c r="D55" s="176"/>
      <c r="E55" s="176">
        <f>B55+C55+D55</f>
        <v>5.2911299999999999</v>
      </c>
      <c r="F55" s="176"/>
      <c r="G55" s="176">
        <v>3.7037910000000003</v>
      </c>
      <c r="I55" s="95">
        <v>5</v>
      </c>
      <c r="J55" s="181">
        <f>MIN(B55/I55,G55)+C55/2/I55</f>
        <v>1.0582259999999999</v>
      </c>
      <c r="K55" s="177"/>
    </row>
    <row r="56" spans="1:11">
      <c r="A56" s="159" t="s">
        <v>537</v>
      </c>
      <c r="B56" s="176">
        <f>'Schedule 3B - 2026'!E63</f>
        <v>-62.5</v>
      </c>
      <c r="C56" s="176"/>
      <c r="D56" s="176"/>
      <c r="E56" s="176">
        <f>B56+C56+D56</f>
        <v>-62.5</v>
      </c>
      <c r="F56" s="176"/>
      <c r="G56" s="176">
        <v>-43.75</v>
      </c>
      <c r="I56" s="95">
        <v>5</v>
      </c>
      <c r="J56" s="176">
        <f>MAX(B56/I56,G56)+C56/2/I56</f>
        <v>-12.5</v>
      </c>
      <c r="K56" s="177"/>
    </row>
    <row r="57" spans="1:11">
      <c r="B57" s="176"/>
      <c r="C57" s="176"/>
      <c r="D57" s="176"/>
      <c r="E57" s="176"/>
      <c r="F57" s="176"/>
      <c r="G57" s="176"/>
      <c r="I57" s="95"/>
      <c r="J57" s="181"/>
      <c r="K57" s="177"/>
    </row>
    <row r="58" spans="1:11">
      <c r="A58" s="173" t="s">
        <v>370</v>
      </c>
      <c r="B58" s="177">
        <f>SUM(B10:B57)</f>
        <v>13602.309040000004</v>
      </c>
      <c r="C58" s="177">
        <f>SUM(C10:C57)</f>
        <v>0</v>
      </c>
      <c r="D58" s="177">
        <f>SUM(D10:D57)</f>
        <v>0</v>
      </c>
      <c r="E58" s="177">
        <f>SUM(E10:E57)</f>
        <v>13602.309040000004</v>
      </c>
      <c r="F58" s="177"/>
      <c r="G58" s="177">
        <f>SUM(G10:G57)</f>
        <v>7664.5451819999989</v>
      </c>
      <c r="I58" s="175"/>
      <c r="J58" s="177">
        <f>SUM(J10:J57)</f>
        <v>1833.3941229999994</v>
      </c>
    </row>
    <row r="59" spans="1:11">
      <c r="I59" s="175"/>
    </row>
    <row r="60" spans="1:11">
      <c r="A60" s="173" t="s">
        <v>371</v>
      </c>
      <c r="B60" s="177"/>
      <c r="C60" s="177"/>
      <c r="D60" s="177"/>
      <c r="E60" s="177"/>
      <c r="F60" s="177"/>
      <c r="G60" s="177"/>
      <c r="J60" s="177"/>
    </row>
    <row r="61" spans="1:11">
      <c r="A61" s="179" t="s">
        <v>365</v>
      </c>
      <c r="E61" s="177"/>
      <c r="F61" s="177"/>
      <c r="G61" s="177"/>
    </row>
    <row r="62" spans="1:11">
      <c r="A62" s="180" t="s">
        <v>314</v>
      </c>
      <c r="B62" s="176">
        <v>6999.4672900000005</v>
      </c>
      <c r="C62" s="176">
        <v>444</v>
      </c>
      <c r="D62" s="176">
        <v>0</v>
      </c>
      <c r="E62" s="177">
        <f>B62+C62+D62</f>
        <v>7443.4672900000005</v>
      </c>
      <c r="F62" s="177"/>
      <c r="G62" s="176">
        <v>3780.0495620000002</v>
      </c>
      <c r="H62" s="177"/>
      <c r="I62" s="95">
        <v>10</v>
      </c>
      <c r="J62" s="176">
        <v>534.94143999999994</v>
      </c>
      <c r="K62" s="177"/>
    </row>
    <row r="63" spans="1:11">
      <c r="A63" s="180" t="s">
        <v>410</v>
      </c>
      <c r="B63" s="176">
        <v>-2923.6238599999997</v>
      </c>
      <c r="C63" s="177"/>
      <c r="D63" s="177"/>
      <c r="E63" s="177">
        <f>B63+C63+D63</f>
        <v>-2923.6238599999997</v>
      </c>
      <c r="F63" s="177"/>
      <c r="G63" s="176">
        <v>-1321.1517800000001</v>
      </c>
      <c r="H63" s="177"/>
      <c r="I63" s="95">
        <v>10</v>
      </c>
      <c r="J63" s="176">
        <v>-198.519542</v>
      </c>
      <c r="K63" s="177"/>
    </row>
    <row r="64" spans="1:11">
      <c r="A64" s="180" t="s">
        <v>373</v>
      </c>
      <c r="B64" s="176">
        <f>'Schedule 3B - 2026'!E71</f>
        <v>185.01089000000002</v>
      </c>
      <c r="C64" s="177"/>
      <c r="D64" s="177"/>
      <c r="E64" s="177">
        <f>B64+C64+D64</f>
        <v>185.01089000000002</v>
      </c>
      <c r="F64" s="177"/>
      <c r="G64" s="176">
        <v>106.82424755555554</v>
      </c>
      <c r="H64" s="177"/>
      <c r="I64" s="95">
        <v>45</v>
      </c>
      <c r="J64" s="181">
        <f>MIN(B64/I64,G64)</f>
        <v>4.1113531111111117</v>
      </c>
      <c r="K64" s="177"/>
    </row>
    <row r="65" spans="1:11">
      <c r="A65" s="180" t="s">
        <v>502</v>
      </c>
      <c r="B65" s="176">
        <f>'Schedule 3B - 2026'!E72</f>
        <v>5532.5789699999996</v>
      </c>
      <c r="C65" s="177"/>
      <c r="D65" s="177"/>
      <c r="E65" s="177">
        <f>B65+C65+D65</f>
        <v>5532.5789699999996</v>
      </c>
      <c r="F65" s="177"/>
      <c r="G65" s="176">
        <v>3872.8052760000005</v>
      </c>
      <c r="H65" s="177"/>
      <c r="I65" s="95">
        <v>10</v>
      </c>
      <c r="J65" s="181">
        <f>MIN(B65/I65,G65)</f>
        <v>553.25789699999996</v>
      </c>
      <c r="K65" s="177"/>
    </row>
    <row r="66" spans="1:11">
      <c r="A66" s="180" t="s">
        <v>538</v>
      </c>
      <c r="B66" s="176">
        <f>'Schedule 3B - 2026'!E73</f>
        <v>207.40913</v>
      </c>
      <c r="C66" s="177"/>
      <c r="D66" s="177"/>
      <c r="E66" s="177">
        <f>B66+C66+D66</f>
        <v>207.40913</v>
      </c>
      <c r="F66" s="177"/>
      <c r="G66" s="176">
        <v>145.18639100000001</v>
      </c>
      <c r="H66" s="177"/>
      <c r="I66" s="95">
        <v>5</v>
      </c>
      <c r="J66" s="181">
        <f>MIN(B66/I66,G66)+C66/2/I66</f>
        <v>41.481825999999998</v>
      </c>
      <c r="K66" s="177"/>
    </row>
    <row r="67" spans="1:11">
      <c r="A67" s="180" t="s">
        <v>539</v>
      </c>
      <c r="B67" s="176">
        <f>'Schedule 3B - 2026'!E74</f>
        <v>2331.5800899999999</v>
      </c>
      <c r="C67" s="177"/>
      <c r="D67" s="177"/>
      <c r="E67" s="177">
        <f>B67+C67+D67</f>
        <v>2331.5800899999999</v>
      </c>
      <c r="F67" s="177"/>
      <c r="G67" s="176">
        <v>2215.0010855</v>
      </c>
      <c r="H67" s="177"/>
      <c r="I67" s="95">
        <v>10</v>
      </c>
      <c r="J67" s="181">
        <f>MIN(B67/I67,G67)+C67/2/I67</f>
        <v>233.15800899999999</v>
      </c>
      <c r="K67" s="177"/>
    </row>
    <row r="68" spans="1:11">
      <c r="A68" s="180"/>
      <c r="B68" s="177"/>
      <c r="C68" s="177"/>
      <c r="D68" s="177"/>
      <c r="E68" s="177"/>
      <c r="F68" s="177"/>
      <c r="G68" s="177"/>
      <c r="H68" s="177"/>
      <c r="I68" s="175"/>
      <c r="J68" s="176"/>
      <c r="K68" s="177"/>
    </row>
    <row r="69" spans="1:11">
      <c r="A69" s="173" t="s">
        <v>374</v>
      </c>
      <c r="B69" s="177">
        <f>SUM(B62,B63,B64,B65,B66,B67)</f>
        <v>12332.42251</v>
      </c>
      <c r="C69" s="177">
        <f>SUM(C62,C63,C64,C65,C66,C67)</f>
        <v>444</v>
      </c>
      <c r="D69" s="177">
        <f>SUM(D62,D63,D64,D65,D66,D67)</f>
        <v>0</v>
      </c>
      <c r="E69" s="177">
        <f>SUM(E62,E63,E64,E65,E66,E67)</f>
        <v>12776.42251</v>
      </c>
      <c r="F69" s="177"/>
      <c r="G69" s="177">
        <f>SUM(G62,G63,G64,G65,G66,G67)</f>
        <v>8798.7147820555565</v>
      </c>
      <c r="H69" s="177"/>
      <c r="I69" s="177"/>
      <c r="J69" s="177">
        <f>SUM(J62,J63,J64,J65,J66,J67)</f>
        <v>1168.4309831111109</v>
      </c>
      <c r="K69" s="177"/>
    </row>
    <row r="70" spans="1:11">
      <c r="A70" s="180"/>
      <c r="B70" s="177"/>
      <c r="C70" s="177"/>
      <c r="D70" s="177"/>
      <c r="E70" s="177"/>
      <c r="F70" s="177"/>
      <c r="G70" s="177"/>
      <c r="H70" s="177"/>
      <c r="I70" s="175"/>
      <c r="J70" s="177"/>
      <c r="K70" s="177"/>
    </row>
    <row r="72" spans="1:11">
      <c r="A72" s="173" t="s">
        <v>90</v>
      </c>
      <c r="B72" s="177"/>
      <c r="C72" s="177"/>
      <c r="D72" s="177"/>
      <c r="E72" s="177"/>
      <c r="F72" s="177"/>
      <c r="G72" s="177"/>
      <c r="H72" s="177"/>
      <c r="I72" s="177"/>
      <c r="J72" s="177"/>
    </row>
    <row r="73" spans="1:11">
      <c r="A73" s="179" t="s">
        <v>365</v>
      </c>
      <c r="B73" s="177"/>
      <c r="C73" s="177"/>
      <c r="D73" s="177"/>
      <c r="E73" s="177"/>
      <c r="F73" s="177"/>
      <c r="G73" s="177"/>
      <c r="H73" s="177"/>
      <c r="I73" s="177"/>
      <c r="J73" s="177"/>
    </row>
    <row r="74" spans="1:11">
      <c r="A74" s="159" t="s">
        <v>411</v>
      </c>
      <c r="B74" s="176">
        <f>'Schedule 3B - 2026'!E81</f>
        <v>4617.6575899999998</v>
      </c>
      <c r="C74" s="176"/>
      <c r="D74" s="177"/>
      <c r="E74" s="177">
        <f t="shared" ref="E74:E83" si="0">B74+C74+D74</f>
        <v>4617.6575899999998</v>
      </c>
      <c r="F74" s="177"/>
      <c r="G74" s="176">
        <v>1280.6455529999996</v>
      </c>
      <c r="H74" s="177"/>
      <c r="I74" s="95">
        <v>5</v>
      </c>
      <c r="J74" s="181">
        <f>MIN(B74/I74,G74)+C74/2/I74</f>
        <v>923.53151800000001</v>
      </c>
      <c r="K74" s="177"/>
    </row>
    <row r="75" spans="1:11">
      <c r="A75" s="159" t="s">
        <v>375</v>
      </c>
      <c r="B75" s="176">
        <f>'Schedule 3B - 2026'!E82</f>
        <v>39.986849999999997</v>
      </c>
      <c r="C75" s="176"/>
      <c r="D75" s="177"/>
      <c r="E75" s="177">
        <f t="shared" si="0"/>
        <v>39.986849999999997</v>
      </c>
      <c r="F75" s="177"/>
      <c r="G75" s="176">
        <v>27.984225999999992</v>
      </c>
      <c r="H75" s="177"/>
      <c r="I75" s="95">
        <v>25</v>
      </c>
      <c r="J75" s="181">
        <f>MIN(B75/I75,G75)</f>
        <v>1.5994739999999998</v>
      </c>
      <c r="K75" s="177"/>
    </row>
    <row r="76" spans="1:11">
      <c r="A76" s="159" t="s">
        <v>376</v>
      </c>
      <c r="B76" s="176">
        <f>'Schedule 3B - 2026'!E83</f>
        <v>10607.89925</v>
      </c>
      <c r="C76" s="176"/>
      <c r="D76" s="177"/>
      <c r="E76" s="177">
        <f t="shared" si="0"/>
        <v>10607.89925</v>
      </c>
      <c r="F76" s="177"/>
      <c r="G76" s="176">
        <v>9971.4252950000009</v>
      </c>
      <c r="H76" s="177"/>
      <c r="I76" s="95">
        <v>25</v>
      </c>
      <c r="J76" s="181">
        <f>MIN(B76/I76,G76)+C76/2/I76</f>
        <v>424.31596999999999</v>
      </c>
      <c r="K76" s="177"/>
    </row>
    <row r="77" spans="1:11">
      <c r="A77" s="159" t="s">
        <v>377</v>
      </c>
      <c r="B77" s="176">
        <f>'Schedule 3B - 2026'!E84</f>
        <v>7294.8461900000002</v>
      </c>
      <c r="C77" s="176"/>
      <c r="D77" s="177"/>
      <c r="E77" s="177">
        <f t="shared" si="0"/>
        <v>7294.8461900000002</v>
      </c>
      <c r="F77" s="177"/>
      <c r="G77" s="176">
        <v>6857.1554186000003</v>
      </c>
      <c r="H77" s="177"/>
      <c r="I77" s="95">
        <v>25</v>
      </c>
      <c r="J77" s="181">
        <f>MIN(B77/I77,G77)+C77/2/I77</f>
        <v>291.79384759999999</v>
      </c>
      <c r="K77" s="177"/>
    </row>
    <row r="78" spans="1:11">
      <c r="A78" s="159" t="s">
        <v>504</v>
      </c>
      <c r="B78" s="176">
        <f>'Schedule 3B - 2026'!E85</f>
        <v>216.3638</v>
      </c>
      <c r="C78" s="176"/>
      <c r="D78" s="177"/>
      <c r="E78" s="177">
        <f t="shared" si="0"/>
        <v>216.3638</v>
      </c>
      <c r="F78" s="177"/>
      <c r="G78" s="176">
        <v>199.05469600000001</v>
      </c>
      <c r="H78" s="177"/>
      <c r="I78" s="95">
        <v>25</v>
      </c>
      <c r="J78" s="181">
        <f>MIN(B78/I78,G78)</f>
        <v>8.6545520000000007</v>
      </c>
    </row>
    <row r="79" spans="1:11">
      <c r="A79" s="159" t="s">
        <v>506</v>
      </c>
      <c r="B79" s="176">
        <f>'Schedule 3B - 2026'!E86</f>
        <v>13.88059</v>
      </c>
      <c r="C79" s="176"/>
      <c r="D79" s="177"/>
      <c r="E79" s="177">
        <f t="shared" si="0"/>
        <v>13.88059</v>
      </c>
      <c r="F79" s="177"/>
      <c r="G79" s="176">
        <v>13.047754599999999</v>
      </c>
      <c r="H79" s="177"/>
      <c r="I79" s="95">
        <v>25</v>
      </c>
      <c r="J79" s="181">
        <f>MIN(B79/I79,G79)+C79/2/I79</f>
        <v>0.55522360000000004</v>
      </c>
      <c r="K79" s="177"/>
    </row>
    <row r="80" spans="1:11">
      <c r="A80" s="159" t="s">
        <v>507</v>
      </c>
      <c r="B80" s="176">
        <f>'Schedule 3B - 2026'!E87</f>
        <v>9.7247700000000012</v>
      </c>
      <c r="C80" s="176"/>
      <c r="D80" s="177"/>
      <c r="E80" s="177">
        <f t="shared" si="0"/>
        <v>9.7247700000000012</v>
      </c>
      <c r="F80" s="177"/>
      <c r="G80" s="176">
        <v>9.1412838000000018</v>
      </c>
      <c r="H80" s="177"/>
      <c r="I80" s="95">
        <v>25</v>
      </c>
      <c r="J80" s="181">
        <f>MIN(B80/I80,G80)+C80/2/I80</f>
        <v>0.38899080000000003</v>
      </c>
      <c r="K80" s="177"/>
    </row>
    <row r="81" spans="1:23">
      <c r="A81" s="159" t="s">
        <v>508</v>
      </c>
      <c r="B81" s="176">
        <f>'Schedule 3B - 2026'!E88</f>
        <v>50</v>
      </c>
      <c r="C81" s="176"/>
      <c r="D81" s="177"/>
      <c r="E81" s="177">
        <f t="shared" si="0"/>
        <v>50</v>
      </c>
      <c r="F81" s="177"/>
      <c r="G81" s="176">
        <v>47</v>
      </c>
      <c r="H81" s="177"/>
      <c r="I81" s="95">
        <v>25</v>
      </c>
      <c r="J81" s="181">
        <f>MIN(B81/I81,G81)+C81/2/I81</f>
        <v>2</v>
      </c>
      <c r="K81" s="177"/>
    </row>
    <row r="82" spans="1:23">
      <c r="A82" s="159" t="s">
        <v>505</v>
      </c>
      <c r="B82" s="176">
        <f>'Schedule 3B - 2026'!E89</f>
        <v>2267.2020200000002</v>
      </c>
      <c r="C82" s="176"/>
      <c r="D82" s="177"/>
      <c r="E82" s="177">
        <f t="shared" si="0"/>
        <v>2267.2020200000002</v>
      </c>
      <c r="F82" s="177"/>
      <c r="G82" s="176">
        <v>1813.7616160000002</v>
      </c>
      <c r="H82" s="177"/>
      <c r="I82" s="95">
        <v>10</v>
      </c>
      <c r="J82" s="181">
        <f>MIN(B82/I82,G82)</f>
        <v>226.72020200000003</v>
      </c>
    </row>
    <row r="83" spans="1:23">
      <c r="A83" s="159" t="s">
        <v>540</v>
      </c>
      <c r="B83" s="176"/>
      <c r="C83" s="176">
        <v>9769.7601400000003</v>
      </c>
      <c r="D83" s="177"/>
      <c r="E83" s="177">
        <f t="shared" si="0"/>
        <v>9769.7601400000003</v>
      </c>
      <c r="F83" s="177"/>
      <c r="G83" s="176">
        <v>0</v>
      </c>
      <c r="H83" s="177"/>
      <c r="I83" s="95">
        <v>25</v>
      </c>
      <c r="J83" s="181">
        <f>MIN(B83/I83,G83)+C83/2/I83</f>
        <v>195.39520279999999</v>
      </c>
    </row>
    <row r="84" spans="1:23">
      <c r="B84" s="177"/>
      <c r="C84" s="177"/>
      <c r="D84" s="177"/>
      <c r="E84" s="177"/>
      <c r="F84" s="177"/>
      <c r="G84" s="177"/>
      <c r="H84" s="177"/>
      <c r="I84" s="177"/>
      <c r="J84" s="177"/>
      <c r="K84" s="177"/>
    </row>
    <row r="85" spans="1:23">
      <c r="A85" s="173" t="s">
        <v>378</v>
      </c>
      <c r="B85" s="177">
        <f>SUM(B73:B84)</f>
        <v>25117.561060000004</v>
      </c>
      <c r="C85" s="177">
        <f>SUM(C73:C84)</f>
        <v>9769.7601400000003</v>
      </c>
      <c r="D85" s="177">
        <f>SUM(D73:D84)</f>
        <v>0</v>
      </c>
      <c r="E85" s="177">
        <f>SUM(E73:E84)</f>
        <v>34887.321200000006</v>
      </c>
      <c r="F85" s="177"/>
      <c r="G85" s="177">
        <f>SUM(G73:G84)</f>
        <v>20219.215842999998</v>
      </c>
      <c r="H85" s="177"/>
      <c r="I85" s="177"/>
      <c r="J85" s="177">
        <f>SUM(J73:J84)</f>
        <v>2074.9549808000002</v>
      </c>
      <c r="R85" s="177"/>
    </row>
    <row r="86" spans="1:23">
      <c r="B86" s="177"/>
      <c r="C86" s="177"/>
      <c r="D86" s="177"/>
      <c r="E86" s="177"/>
      <c r="F86" s="177"/>
      <c r="G86" s="177"/>
      <c r="H86" s="177"/>
      <c r="I86" s="177"/>
      <c r="J86" s="177"/>
      <c r="R86" s="177"/>
    </row>
    <row r="87" spans="1:23">
      <c r="B87" s="177"/>
      <c r="C87" s="177"/>
      <c r="D87" s="177"/>
      <c r="E87" s="177"/>
      <c r="F87" s="177"/>
      <c r="G87" s="177"/>
      <c r="H87" s="177"/>
      <c r="I87" s="177"/>
      <c r="J87" s="177"/>
      <c r="R87" s="177"/>
    </row>
    <row r="88" spans="1:23">
      <c r="A88" s="173" t="s">
        <v>379</v>
      </c>
      <c r="B88" s="177"/>
      <c r="C88" s="177"/>
      <c r="D88" s="177"/>
      <c r="E88" s="177"/>
      <c r="F88" s="177"/>
      <c r="G88" s="177"/>
      <c r="H88" s="177"/>
      <c r="I88" s="177"/>
      <c r="J88" s="177"/>
      <c r="R88" s="177"/>
    </row>
    <row r="89" spans="1:23">
      <c r="A89" s="174" t="s">
        <v>380</v>
      </c>
      <c r="B89" s="176">
        <f>'Schedule 3B - 2026'!E94</f>
        <v>449.26472000000001</v>
      </c>
      <c r="C89" s="177"/>
      <c r="D89" s="177"/>
      <c r="E89" s="177">
        <f>SUM(B89:D89)</f>
        <v>449.26472000000001</v>
      </c>
      <c r="F89" s="177"/>
      <c r="G89" s="176">
        <v>136.342735</v>
      </c>
      <c r="H89" s="177"/>
      <c r="I89" s="95">
        <v>5</v>
      </c>
      <c r="J89" s="181">
        <v>38.955120000000001</v>
      </c>
      <c r="R89" s="177"/>
    </row>
    <row r="90" spans="1:23">
      <c r="A90" s="182"/>
      <c r="B90" s="178"/>
      <c r="C90" s="178"/>
      <c r="D90" s="178"/>
      <c r="E90" s="178"/>
      <c r="F90" s="177"/>
      <c r="G90" s="177"/>
      <c r="H90" s="183"/>
      <c r="I90" s="184"/>
      <c r="J90" s="178"/>
      <c r="K90" s="177"/>
    </row>
    <row r="91" spans="1:23">
      <c r="A91" s="188" t="s">
        <v>381</v>
      </c>
      <c r="B91" s="185">
        <f>SUM(B58,B69,B85,B89)</f>
        <v>51501.557330000003</v>
      </c>
      <c r="C91" s="185">
        <f>SUM(C58,C69,C85,C89)</f>
        <v>10213.76014</v>
      </c>
      <c r="D91" s="185">
        <f>SUM(D58,D69,D85,D89)</f>
        <v>0</v>
      </c>
      <c r="E91" s="185">
        <f>SUM(E58,E69,E85,E89)</f>
        <v>61715.317470000009</v>
      </c>
      <c r="F91" s="198"/>
      <c r="G91" s="185">
        <f>SUM(G58,G69,G85,G89)</f>
        <v>36818.818542055553</v>
      </c>
      <c r="H91" s="183"/>
      <c r="I91" s="184"/>
      <c r="J91" s="185">
        <f>SUM(J58,J69,J85,J89)</f>
        <v>5115.7352069111103</v>
      </c>
      <c r="R91" s="177"/>
      <c r="W91" s="177"/>
    </row>
    <row r="92" spans="1:23">
      <c r="A92" s="163"/>
      <c r="B92" s="186"/>
      <c r="C92" s="186"/>
      <c r="D92" s="186"/>
      <c r="E92" s="186"/>
      <c r="F92" s="186"/>
      <c r="G92" s="186"/>
      <c r="H92" s="183"/>
      <c r="I92" s="184"/>
      <c r="J92" s="183"/>
      <c r="R92" s="177"/>
      <c r="W92" s="177"/>
    </row>
    <row r="93" spans="1:23">
      <c r="A93" s="173" t="s">
        <v>92</v>
      </c>
      <c r="B93" s="177"/>
      <c r="C93" s="177"/>
      <c r="D93" s="177"/>
      <c r="E93" s="177"/>
      <c r="F93" s="177"/>
      <c r="G93" s="177"/>
      <c r="H93" s="177"/>
      <c r="I93" s="177"/>
      <c r="J93" s="177"/>
      <c r="R93" s="177"/>
      <c r="W93" s="177"/>
    </row>
    <row r="94" spans="1:23">
      <c r="A94" s="179" t="s">
        <v>365</v>
      </c>
      <c r="B94" s="177"/>
      <c r="C94" s="177"/>
      <c r="D94" s="177"/>
      <c r="E94" s="177"/>
      <c r="F94" s="177"/>
      <c r="G94" s="177"/>
      <c r="H94" s="177"/>
      <c r="I94" s="177"/>
      <c r="J94" s="177"/>
      <c r="R94" s="177"/>
      <c r="W94" s="177"/>
    </row>
    <row r="95" spans="1:23">
      <c r="A95" s="159" t="s">
        <v>415</v>
      </c>
      <c r="B95" s="176">
        <f>'Schedule 3B - 2026'!E102</f>
        <v>2836.4792600000001</v>
      </c>
      <c r="C95" s="177"/>
      <c r="D95" s="177"/>
      <c r="E95" s="177">
        <f>B95+C95+D95</f>
        <v>2836.4792600000001</v>
      </c>
      <c r="F95" s="177"/>
      <c r="G95" s="176">
        <v>108.69501199999968</v>
      </c>
      <c r="H95" s="177"/>
      <c r="I95" s="95">
        <v>10</v>
      </c>
      <c r="J95" s="177">
        <v>-1.9999999949504854E-6</v>
      </c>
      <c r="K95" s="177" t="s">
        <v>429</v>
      </c>
      <c r="R95" s="177"/>
      <c r="W95" s="177"/>
    </row>
    <row r="96" spans="1:23">
      <c r="A96" s="159" t="s">
        <v>503</v>
      </c>
      <c r="B96" s="176">
        <f>'Schedule 3B - 2026'!E103</f>
        <v>5018.0400100000006</v>
      </c>
      <c r="C96" s="177">
        <v>670</v>
      </c>
      <c r="D96" s="177"/>
      <c r="E96" s="177">
        <f>B96+C96+D96</f>
        <v>5688.0400100000006</v>
      </c>
      <c r="F96" s="177"/>
      <c r="G96" s="176">
        <v>3415.8083199999996</v>
      </c>
      <c r="H96" s="177"/>
      <c r="I96" s="95"/>
      <c r="J96" s="177">
        <v>521.20952</v>
      </c>
      <c r="K96" s="177" t="s">
        <v>429</v>
      </c>
      <c r="R96" s="177"/>
      <c r="W96" s="177"/>
    </row>
    <row r="97" spans="1:23">
      <c r="A97" s="159" t="s">
        <v>430</v>
      </c>
      <c r="B97" s="176">
        <f>'Schedule 3B - 2026'!E104</f>
        <v>4549.8533200000002</v>
      </c>
      <c r="C97" s="177"/>
      <c r="D97" s="177"/>
      <c r="E97" s="177">
        <f>B97+C97+D97</f>
        <v>4549.8533200000002</v>
      </c>
      <c r="F97" s="177"/>
      <c r="G97" s="176">
        <v>1819.9413280000001</v>
      </c>
      <c r="H97" s="177"/>
      <c r="I97" s="95">
        <v>10</v>
      </c>
      <c r="J97" s="181">
        <f>MIN(B97/I97,G97)</f>
        <v>454.98533200000003</v>
      </c>
      <c r="K97" s="177"/>
      <c r="R97" s="177"/>
      <c r="W97" s="177"/>
    </row>
    <row r="98" spans="1:23">
      <c r="B98" s="177"/>
      <c r="C98" s="177"/>
      <c r="D98" s="177"/>
      <c r="E98" s="177"/>
      <c r="F98" s="177"/>
      <c r="G98" s="177"/>
      <c r="H98" s="177"/>
      <c r="I98" s="177"/>
      <c r="J98" s="177"/>
      <c r="R98" s="177"/>
      <c r="W98" s="177"/>
    </row>
    <row r="99" spans="1:23">
      <c r="A99" s="173" t="s">
        <v>416</v>
      </c>
      <c r="B99" s="177">
        <f>SUM(B94:B98)</f>
        <v>12404.372590000001</v>
      </c>
      <c r="C99" s="177">
        <f>SUM(C94:C98)</f>
        <v>670</v>
      </c>
      <c r="D99" s="177">
        <f>SUM(D94:D98)</f>
        <v>0</v>
      </c>
      <c r="E99" s="177">
        <f>SUM(E94:E98)</f>
        <v>13074.372590000001</v>
      </c>
      <c r="F99" s="177"/>
      <c r="G99" s="177">
        <f>SUM(G94:G98)</f>
        <v>5344.4446599999992</v>
      </c>
      <c r="H99" s="177"/>
      <c r="I99" s="177"/>
      <c r="J99" s="177">
        <f>SUM(J94:J98)</f>
        <v>976.19485000000009</v>
      </c>
      <c r="K99" s="177"/>
      <c r="R99" s="177"/>
      <c r="W99" s="177"/>
    </row>
    <row r="100" spans="1:23">
      <c r="A100" s="163"/>
      <c r="B100" s="186"/>
      <c r="C100" s="186"/>
      <c r="D100" s="186"/>
      <c r="E100" s="186"/>
      <c r="F100" s="186"/>
      <c r="G100" s="186"/>
      <c r="H100" s="183"/>
      <c r="I100" s="184"/>
      <c r="J100" s="183"/>
      <c r="R100" s="177"/>
      <c r="W100" s="177"/>
    </row>
    <row r="101" spans="1:23" ht="9" customHeight="1">
      <c r="A101" s="163"/>
      <c r="B101" s="186"/>
      <c r="C101" s="186"/>
      <c r="D101" s="186"/>
      <c r="E101" s="186"/>
      <c r="F101" s="186"/>
      <c r="G101" s="186"/>
      <c r="H101" s="183"/>
      <c r="I101" s="184"/>
      <c r="J101" s="183"/>
      <c r="R101" s="177"/>
      <c r="W101" s="177"/>
    </row>
    <row r="102" spans="1:23">
      <c r="A102" s="188" t="s">
        <v>417</v>
      </c>
      <c r="B102" s="185">
        <f>B91+B99</f>
        <v>63905.929920000002</v>
      </c>
      <c r="C102" s="185">
        <f>C91+C99</f>
        <v>10883.76014</v>
      </c>
      <c r="D102" s="185">
        <f>D91+D99</f>
        <v>0</v>
      </c>
      <c r="E102" s="185">
        <f>E91+E99</f>
        <v>74789.690060000008</v>
      </c>
      <c r="F102" s="198"/>
      <c r="G102" s="185">
        <f>G91+G99</f>
        <v>42163.263202055554</v>
      </c>
      <c r="H102" s="183"/>
      <c r="I102" s="184"/>
      <c r="J102" s="185">
        <f>J91+J99</f>
        <v>6091.9300569111101</v>
      </c>
      <c r="R102" s="177"/>
      <c r="W102" s="177"/>
    </row>
    <row r="103" spans="1:23" ht="6.5" customHeight="1">
      <c r="A103" s="163"/>
      <c r="B103" s="186"/>
      <c r="C103" s="186"/>
      <c r="D103" s="186"/>
      <c r="E103" s="186"/>
      <c r="F103" s="186"/>
      <c r="G103" s="186"/>
      <c r="H103" s="183"/>
      <c r="I103" s="184"/>
      <c r="J103" s="183"/>
      <c r="R103" s="177"/>
      <c r="W103" s="177"/>
    </row>
    <row r="104" spans="1:23" ht="5.5" customHeight="1"/>
    <row r="105" spans="1:23">
      <c r="A105" s="163" t="s">
        <v>382</v>
      </c>
      <c r="B105" s="186"/>
      <c r="C105" s="186"/>
      <c r="D105" s="186"/>
      <c r="E105" s="186"/>
      <c r="F105" s="186"/>
      <c r="G105" s="186"/>
      <c r="H105" s="183"/>
      <c r="I105" s="184"/>
      <c r="J105" s="183"/>
    </row>
    <row r="106" spans="1:23" ht="12.75" customHeight="1">
      <c r="A106" s="163" t="s">
        <v>383</v>
      </c>
      <c r="B106" s="186"/>
      <c r="C106" s="186"/>
      <c r="D106" s="186"/>
      <c r="E106" s="186"/>
      <c r="F106" s="186"/>
      <c r="G106" s="186"/>
      <c r="H106" s="183"/>
      <c r="I106" s="184"/>
      <c r="J106" s="183"/>
    </row>
    <row r="107" spans="1:23">
      <c r="A107" s="163"/>
    </row>
    <row r="108" spans="1:23" ht="28.5" customHeight="1">
      <c r="A108" s="208" t="s">
        <v>428</v>
      </c>
      <c r="B108" s="208"/>
      <c r="C108" s="208"/>
      <c r="D108" s="208"/>
      <c r="E108" s="208"/>
      <c r="F108" s="208"/>
      <c r="G108" s="208"/>
      <c r="H108" s="208"/>
      <c r="I108" s="208"/>
    </row>
    <row r="109" spans="1:23">
      <c r="A109" s="208" t="s">
        <v>431</v>
      </c>
      <c r="B109" s="208"/>
      <c r="C109" s="208"/>
      <c r="D109" s="208"/>
      <c r="E109" s="208"/>
      <c r="F109" s="208"/>
      <c r="G109" s="208"/>
      <c r="H109" s="208"/>
      <c r="I109" s="208"/>
    </row>
    <row r="111" spans="1:23">
      <c r="L111" s="159"/>
      <c r="M111" s="159"/>
      <c r="N111" s="159"/>
      <c r="O111" s="159"/>
      <c r="P111" s="159"/>
      <c r="Q111" s="159"/>
    </row>
    <row r="112" spans="1:23">
      <c r="L112" s="159"/>
      <c r="M112" s="159"/>
      <c r="N112" s="159"/>
      <c r="O112" s="159"/>
      <c r="P112" s="159"/>
      <c r="Q112" s="159"/>
    </row>
    <row r="113" s="159" customFormat="1"/>
    <row r="114" s="159" customFormat="1"/>
    <row r="115" s="159" customFormat="1"/>
    <row r="116" s="159" customFormat="1"/>
    <row r="117" s="159" customFormat="1"/>
    <row r="118" s="159" customFormat="1"/>
    <row r="119" s="159" customFormat="1"/>
    <row r="120" s="159" customFormat="1"/>
    <row r="121" s="159" customFormat="1"/>
    <row r="122" s="159" customFormat="1"/>
    <row r="123" s="159" customFormat="1"/>
    <row r="124" s="159" customFormat="1"/>
    <row r="125" s="159" customFormat="1"/>
    <row r="126" s="159" customFormat="1"/>
    <row r="127" s="159" customFormat="1"/>
    <row r="128" s="159" customFormat="1"/>
    <row r="129" s="159" customFormat="1"/>
    <row r="130" s="159" customFormat="1"/>
    <row r="131" s="159" customFormat="1"/>
    <row r="132" s="159" customFormat="1"/>
    <row r="133" s="159" customFormat="1"/>
    <row r="134" s="159" customFormat="1"/>
    <row r="135" s="159" customFormat="1"/>
    <row r="136" s="159" customFormat="1"/>
    <row r="137" s="159" customFormat="1"/>
    <row r="138" s="159" customFormat="1"/>
    <row r="139" s="159" customFormat="1"/>
    <row r="140" s="159" customFormat="1"/>
    <row r="141" s="159" customFormat="1"/>
    <row r="142" s="159" customFormat="1"/>
    <row r="143" s="159" customFormat="1"/>
    <row r="144" s="159" customFormat="1"/>
    <row r="145" s="159" customFormat="1"/>
    <row r="146" s="159" customFormat="1"/>
    <row r="147" s="159" customFormat="1"/>
    <row r="148" s="159" customFormat="1"/>
    <row r="149" s="159" customFormat="1"/>
    <row r="150" s="159" customFormat="1"/>
    <row r="151" s="159" customFormat="1"/>
    <row r="152" s="159" customFormat="1"/>
    <row r="153" s="159" customFormat="1"/>
    <row r="154" s="159" customFormat="1"/>
    <row r="155" s="159" customFormat="1"/>
    <row r="156" s="159" customFormat="1"/>
    <row r="157" s="159" customFormat="1"/>
    <row r="158" s="159" customFormat="1"/>
    <row r="159" s="159" customFormat="1"/>
    <row r="160" s="159" customFormat="1"/>
  </sheetData>
  <mergeCells count="4">
    <mergeCell ref="B5:E5"/>
    <mergeCell ref="I6:I7"/>
    <mergeCell ref="A108:I108"/>
    <mergeCell ref="A109:I109"/>
  </mergeCells>
  <conditionalFormatting sqref="A62:A68">
    <cfRule type="expression" dxfId="5" priority="1" stopIfTrue="1">
      <formula>AND(MONTH(#REF!)-MONTH(#REF!)=1,YEAR(#REF!)=YEAR(#REF!),#REF!&gt;0)</formula>
    </cfRule>
    <cfRule type="expression" dxfId="4" priority="2" stopIfTrue="1">
      <formula>AND(MONTH(#REF!)-MONTH(#REF!)=0,YEAR(#REF!)=YEAR(#REF!),#REF!&gt;0)</formula>
    </cfRule>
    <cfRule type="expression" dxfId="3" priority="3" stopIfTrue="1">
      <formula>AND(MONTH(#REF!)-MONTH(#REF!)&lt;0,YEAR(#REF!)=YEAR(#REF!),#REF!&gt;0)</formula>
    </cfRule>
  </conditionalFormatting>
  <conditionalFormatting sqref="A70">
    <cfRule type="expression" dxfId="2" priority="7" stopIfTrue="1">
      <formula>AND(MONTH($E70)-MONTH($B$1)=1,YEAR($E70)=YEAR($B$1),$X70&gt;0)</formula>
    </cfRule>
    <cfRule type="expression" dxfId="1" priority="8" stopIfTrue="1">
      <formula>AND(MONTH($E70)-MONTH($B$1)=0,YEAR($E70)=YEAR($B$1),$X70&gt;0)</formula>
    </cfRule>
    <cfRule type="expression" dxfId="0" priority="9" stopIfTrue="1">
      <formula>AND(MONTH($E70)-MONTH($B$1)&lt;0,YEAR($E70)=YEAR($B$1),$X70&gt;0)</formula>
    </cfRule>
  </conditionalFormatting>
  <printOptions horizontalCentered="1"/>
  <pageMargins left="0.55118110236220474" right="0.31496062992125984" top="0.82677165354330717" bottom="0.9055118110236221" header="0.51181102362204722" footer="0.51181102362204722"/>
  <pageSetup scale="43"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theme="9" tint="0.39997558519241921"/>
    <pageSetUpPr fitToPage="1"/>
  </sheetPr>
  <dimension ref="A1:U73"/>
  <sheetViews>
    <sheetView view="pageBreakPreview" zoomScale="70" zoomScaleNormal="100" zoomScaleSheetLayoutView="70" workbookViewId="0">
      <pane ySplit="7" topLeftCell="A8" activePane="bottomLeft" state="frozen"/>
      <selection activeCell="H18" sqref="H18"/>
      <selection pane="bottomLeft" activeCell="G20" sqref="G20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35.7265625" style="1" customWidth="1"/>
    <col min="4" max="4" width="1.81640625" style="1" customWidth="1"/>
    <col min="5" max="5" width="11.26953125" style="4" customWidth="1"/>
    <col min="6" max="6" width="1.81640625" style="1" customWidth="1"/>
    <col min="7" max="7" width="15.54296875" style="19" customWidth="1"/>
    <col min="8" max="8" width="1.81640625" style="1" customWidth="1"/>
    <col min="9" max="9" width="15.54296875" style="1" customWidth="1"/>
    <col min="10" max="10" width="1.81640625" style="1" customWidth="1"/>
    <col min="11" max="11" width="13.08984375" style="1" customWidth="1"/>
    <col min="12" max="12" width="1.81640625" style="1" customWidth="1"/>
    <col min="13" max="13" width="15.54296875" style="19" customWidth="1"/>
    <col min="14" max="14" width="1.81640625" style="1" customWidth="1"/>
    <col min="15" max="15" width="15.54296875" style="1" customWidth="1"/>
    <col min="16" max="16" width="1.81640625" style="1" customWidth="1"/>
    <col min="17" max="17" width="15.54296875" style="19" customWidth="1"/>
    <col min="18" max="20" width="1.81640625" style="1" customWidth="1"/>
    <col min="21" max="21" width="11.26953125" style="1" customWidth="1"/>
    <col min="22" max="16384" width="9.1796875" style="1"/>
  </cols>
  <sheetData>
    <row r="1" spans="1:18" ht="15">
      <c r="A1" s="49" t="s">
        <v>0</v>
      </c>
      <c r="Q1" s="196" t="s">
        <v>317</v>
      </c>
    </row>
    <row r="2" spans="1:18">
      <c r="A2" s="50" t="s">
        <v>3</v>
      </c>
      <c r="Q2" s="194" t="str">
        <f>'Schedule 1'!$M$2</f>
        <v>2025-27 GRA</v>
      </c>
      <c r="R2" s="51"/>
    </row>
    <row r="3" spans="1:18">
      <c r="A3" s="50" t="s">
        <v>7</v>
      </c>
    </row>
    <row r="6" spans="1:18">
      <c r="A6" s="4"/>
      <c r="B6" s="4"/>
      <c r="C6" s="4"/>
      <c r="D6" s="4"/>
      <c r="F6" s="4"/>
      <c r="G6" s="40"/>
      <c r="H6" s="4"/>
      <c r="I6" s="4"/>
      <c r="J6" s="4"/>
      <c r="K6" s="4"/>
      <c r="L6" s="4"/>
      <c r="M6" s="40"/>
      <c r="N6" s="4"/>
      <c r="O6" s="4"/>
      <c r="P6" s="4"/>
      <c r="Q6" s="40"/>
    </row>
    <row r="7" spans="1:18" ht="25">
      <c r="A7" s="12" t="s">
        <v>8</v>
      </c>
      <c r="B7" s="13"/>
      <c r="C7" s="12" t="s">
        <v>9</v>
      </c>
      <c r="D7" s="13"/>
      <c r="E7" s="12" t="s">
        <v>10</v>
      </c>
      <c r="F7" s="13"/>
      <c r="G7" s="41" t="s">
        <v>164</v>
      </c>
      <c r="H7" s="13"/>
      <c r="I7" s="12" t="s">
        <v>165</v>
      </c>
      <c r="J7" s="13"/>
      <c r="K7" s="12" t="s">
        <v>518</v>
      </c>
      <c r="L7" s="13"/>
      <c r="M7" s="41" t="s">
        <v>166</v>
      </c>
      <c r="N7" s="13"/>
      <c r="O7" s="12" t="s">
        <v>167</v>
      </c>
      <c r="P7" s="13"/>
      <c r="Q7" s="41" t="s">
        <v>168</v>
      </c>
    </row>
    <row r="9" spans="1:18">
      <c r="C9" s="8" t="s">
        <v>446</v>
      </c>
    </row>
    <row r="11" spans="1:18">
      <c r="A11" s="1">
        <v>1</v>
      </c>
      <c r="C11" s="1" t="s">
        <v>169</v>
      </c>
      <c r="E11" s="4" t="s">
        <v>422</v>
      </c>
      <c r="G11" s="38">
        <f>'Schedule 11'!G35</f>
        <v>223115.48496709997</v>
      </c>
      <c r="I11" s="52">
        <v>0.6</v>
      </c>
      <c r="K11" s="52">
        <v>0.6</v>
      </c>
      <c r="M11" s="19">
        <f>SUM(M15)*(I11)</f>
        <v>223259.89182195536</v>
      </c>
      <c r="O11" s="32">
        <f>'Schedule 11'!G65</f>
        <v>3.4285152193183691E-2</v>
      </c>
      <c r="P11" s="42"/>
      <c r="Q11" s="19">
        <f>SUM(M11)*(O11)</f>
        <v>7654.4993697494665</v>
      </c>
    </row>
    <row r="12" spans="1:18">
      <c r="G12" s="19" t="s">
        <v>13</v>
      </c>
      <c r="I12" s="52"/>
      <c r="K12" s="52"/>
      <c r="O12" s="42"/>
      <c r="P12" s="42" t="s">
        <v>13</v>
      </c>
      <c r="Q12" s="19" t="s">
        <v>13</v>
      </c>
    </row>
    <row r="13" spans="1:18">
      <c r="A13" s="1">
        <v>2</v>
      </c>
      <c r="C13" s="1" t="s">
        <v>170</v>
      </c>
      <c r="G13" s="47">
        <v>148486.90544653643</v>
      </c>
      <c r="I13" s="53">
        <f>1-I11</f>
        <v>0.4</v>
      </c>
      <c r="K13" s="53">
        <f>1-K11</f>
        <v>0.4</v>
      </c>
      <c r="M13" s="43">
        <f>SUM(M15)*(I13)</f>
        <v>148839.92788130356</v>
      </c>
      <c r="O13" s="31">
        <v>9.1499999999999998E-2</v>
      </c>
      <c r="P13" s="42"/>
      <c r="Q13" s="43">
        <f>SUM(M13)*(O13)</f>
        <v>13618.853401139275</v>
      </c>
    </row>
    <row r="14" spans="1:18">
      <c r="I14" s="52"/>
      <c r="K14" s="52"/>
      <c r="O14" s="42"/>
      <c r="P14" s="42"/>
      <c r="Q14" s="19" t="s">
        <v>13</v>
      </c>
    </row>
    <row r="15" spans="1:18" ht="13" thickBot="1">
      <c r="A15" s="1">
        <v>3</v>
      </c>
      <c r="C15" s="1" t="s">
        <v>28</v>
      </c>
      <c r="E15" s="4" t="s">
        <v>171</v>
      </c>
      <c r="G15" s="48">
        <f>SUM(G11+G13)</f>
        <v>371602.3904136364</v>
      </c>
      <c r="I15" s="54">
        <f>SUM(I11+I13)</f>
        <v>1</v>
      </c>
      <c r="K15" s="54">
        <f>SUM(K11+K13)</f>
        <v>1</v>
      </c>
      <c r="M15" s="45">
        <f>'Schedule 1'!G48</f>
        <v>372099.81970325892</v>
      </c>
      <c r="O15" s="46">
        <f>SUM(I11)*(O11)+SUM(I13)*(O13)</f>
        <v>5.7171091315910215E-2</v>
      </c>
      <c r="P15" s="42"/>
      <c r="Q15" s="48">
        <f>Q13+Q11</f>
        <v>21273.352770888741</v>
      </c>
    </row>
    <row r="18" spans="1:21">
      <c r="C18" s="8" t="s">
        <v>447</v>
      </c>
      <c r="I18" s="52"/>
    </row>
    <row r="19" spans="1:21">
      <c r="I19" s="52"/>
    </row>
    <row r="20" spans="1:21">
      <c r="A20" s="1">
        <f>A15+1</f>
        <v>4</v>
      </c>
      <c r="C20" s="1" t="s">
        <v>169</v>
      </c>
      <c r="E20" s="4" t="s">
        <v>422</v>
      </c>
      <c r="G20" s="19">
        <f>'Schedule 11'!I35</f>
        <v>188024.76492256828</v>
      </c>
      <c r="I20" s="52">
        <f>SUM(G20)/(G20+G22)</f>
        <v>0.57540211131874486</v>
      </c>
      <c r="M20" s="19">
        <f>SUM(M24)*(I20)</f>
        <v>188101.18018460998</v>
      </c>
      <c r="O20" s="32">
        <v>3.1302130185622001E-2</v>
      </c>
      <c r="P20" s="42"/>
      <c r="Q20" s="19">
        <v>5887.9746987459666</v>
      </c>
      <c r="U20" s="85"/>
    </row>
    <row r="21" spans="1:21">
      <c r="G21" s="19" t="s">
        <v>13</v>
      </c>
      <c r="I21" s="52"/>
      <c r="O21" s="42"/>
      <c r="P21" s="42" t="s">
        <v>13</v>
      </c>
      <c r="Q21" s="19" t="s">
        <v>13</v>
      </c>
    </row>
    <row r="22" spans="1:21">
      <c r="A22" s="1">
        <f>A20+1</f>
        <v>5</v>
      </c>
      <c r="C22" s="1" t="s">
        <v>170</v>
      </c>
      <c r="G22" s="47">
        <v>138746.30738309392</v>
      </c>
      <c r="I22" s="53">
        <f>SUM(G22)/(G20+G22)</f>
        <v>0.42459788868125509</v>
      </c>
      <c r="M22" s="43">
        <f>SUM(M24)*(I22)</f>
        <v>138802.69535645671</v>
      </c>
      <c r="O22" s="31">
        <v>7.0431387897777309E-2</v>
      </c>
      <c r="P22" s="42"/>
      <c r="Q22" s="43">
        <v>9776.065991631338</v>
      </c>
      <c r="U22" s="85"/>
    </row>
    <row r="23" spans="1:21">
      <c r="I23" s="52"/>
      <c r="O23" s="42"/>
      <c r="P23" s="42"/>
      <c r="Q23" s="19" t="s">
        <v>13</v>
      </c>
    </row>
    <row r="24" spans="1:21" ht="13" thickBot="1">
      <c r="A24" s="1">
        <f>A22+1</f>
        <v>6</v>
      </c>
      <c r="C24" s="1" t="s">
        <v>28</v>
      </c>
      <c r="E24" s="4" t="s">
        <v>171</v>
      </c>
      <c r="G24" s="45">
        <f>SUM(G20+G22)</f>
        <v>326771.07230566221</v>
      </c>
      <c r="I24" s="54">
        <f>SUM(I20+I22)</f>
        <v>1</v>
      </c>
      <c r="M24" s="45">
        <f>'Schedule 1'!I48</f>
        <v>326903.87554106669</v>
      </c>
      <c r="O24" s="46">
        <f>SUM(I20)*(O20)+SUM(I22)*(O22)</f>
        <v>4.7916330395867859E-2</v>
      </c>
      <c r="P24" s="42"/>
      <c r="Q24" s="45">
        <f>Q20+Q22</f>
        <v>15664.040690377304</v>
      </c>
    </row>
    <row r="25" spans="1:21">
      <c r="I25" s="52"/>
      <c r="O25" s="32"/>
      <c r="P25" s="42"/>
    </row>
    <row r="26" spans="1:21">
      <c r="I26" s="52"/>
      <c r="O26" s="32"/>
      <c r="P26" s="42"/>
    </row>
    <row r="27" spans="1:21">
      <c r="C27" s="8" t="s">
        <v>448</v>
      </c>
      <c r="I27" s="52"/>
    </row>
    <row r="28" spans="1:21">
      <c r="I28" s="52"/>
    </row>
    <row r="29" spans="1:21">
      <c r="A29" s="1">
        <f>A24+1</f>
        <v>7</v>
      </c>
      <c r="C29" s="1" t="s">
        <v>169</v>
      </c>
      <c r="E29" s="4" t="s">
        <v>422</v>
      </c>
      <c r="G29" s="19">
        <f>'Schedule 11'!J35</f>
        <v>198511.39508035587</v>
      </c>
      <c r="I29" s="52">
        <f>SUM(G29)/(G29+G31)</f>
        <v>0.59353213760131474</v>
      </c>
      <c r="M29" s="19">
        <f>SUM(M33)*(I29)</f>
        <v>210801.06541085441</v>
      </c>
      <c r="O29" s="32">
        <v>3.1498820974292213E-2</v>
      </c>
      <c r="P29" s="42"/>
      <c r="Q29" s="19">
        <v>6639.9762934617165</v>
      </c>
      <c r="U29" s="85"/>
    </row>
    <row r="30" spans="1:21">
      <c r="G30" s="19" t="s">
        <v>13</v>
      </c>
      <c r="I30" s="52"/>
      <c r="O30" s="42"/>
      <c r="P30" s="42" t="s">
        <v>13</v>
      </c>
      <c r="Q30" s="19" t="s">
        <v>13</v>
      </c>
    </row>
    <row r="31" spans="1:21">
      <c r="A31" s="1">
        <f>A29+1</f>
        <v>8</v>
      </c>
      <c r="C31" s="1" t="s">
        <v>170</v>
      </c>
      <c r="G31" s="43">
        <v>135946.30738309392</v>
      </c>
      <c r="I31" s="53">
        <f>SUM(G31)/(G29+G31)</f>
        <v>0.40646786239868526</v>
      </c>
      <c r="M31" s="43">
        <f>SUM(M33)*(I31)</f>
        <v>144362.62675715575</v>
      </c>
      <c r="O31" s="31">
        <v>7.8919846754668344E-2</v>
      </c>
      <c r="P31" s="42"/>
      <c r="Q31" s="43">
        <v>11393.084081246605</v>
      </c>
      <c r="U31" s="85"/>
    </row>
    <row r="32" spans="1:21">
      <c r="I32" s="52"/>
      <c r="O32" s="42"/>
      <c r="P32" s="42"/>
      <c r="Q32" s="19" t="s">
        <v>13</v>
      </c>
    </row>
    <row r="33" spans="1:21" ht="13" thickBot="1">
      <c r="A33" s="1">
        <f>A31+1</f>
        <v>9</v>
      </c>
      <c r="C33" s="1" t="s">
        <v>28</v>
      </c>
      <c r="E33" s="4" t="s">
        <v>171</v>
      </c>
      <c r="G33" s="45">
        <f>SUM(G29+G31)</f>
        <v>334457.70246344979</v>
      </c>
      <c r="I33" s="54">
        <f>SUM(I29+I31)</f>
        <v>1</v>
      </c>
      <c r="M33" s="45">
        <f>'Schedule 1'!J48</f>
        <v>355163.69216801017</v>
      </c>
      <c r="O33" s="46">
        <f>SUM(I29)*(O29)+SUM(I31)*(O31)</f>
        <v>5.0773943955994646E-2</v>
      </c>
      <c r="P33" s="42"/>
      <c r="Q33" s="45">
        <f>Q29+Q31</f>
        <v>18033.060374708322</v>
      </c>
    </row>
    <row r="34" spans="1:21">
      <c r="I34" s="52"/>
      <c r="O34" s="32"/>
      <c r="P34" s="42"/>
    </row>
    <row r="35" spans="1:21">
      <c r="I35" s="52"/>
    </row>
    <row r="36" spans="1:21">
      <c r="C36" s="8" t="s">
        <v>437</v>
      </c>
      <c r="I36" s="52"/>
    </row>
    <row r="37" spans="1:21">
      <c r="I37" s="52"/>
    </row>
    <row r="38" spans="1:21">
      <c r="A38" s="1">
        <f>A33+1</f>
        <v>10</v>
      </c>
      <c r="C38" s="1" t="s">
        <v>169</v>
      </c>
      <c r="E38" s="4" t="s">
        <v>422</v>
      </c>
      <c r="G38" s="19">
        <f>'Schedule 11'!K35</f>
        <v>240872.89069025579</v>
      </c>
      <c r="I38" s="52">
        <f>SUM(G38)/(G38+G40)</f>
        <v>0.59666501735036703</v>
      </c>
      <c r="K38" s="52">
        <v>0.6</v>
      </c>
      <c r="M38" s="38">
        <f>M42*I38</f>
        <v>243776.66934220254</v>
      </c>
      <c r="O38" s="32">
        <f>'Schedule 11'!K65</f>
        <v>3.5573875103588337E-2</v>
      </c>
      <c r="P38" s="42"/>
      <c r="Q38" s="19">
        <f>SUM(M38)*(O38)</f>
        <v>8672.0807883482648</v>
      </c>
      <c r="U38" s="85"/>
    </row>
    <row r="39" spans="1:21">
      <c r="G39" s="19" t="s">
        <v>13</v>
      </c>
      <c r="I39" s="52"/>
      <c r="K39" s="52"/>
      <c r="O39" s="42"/>
      <c r="P39" s="42" t="s">
        <v>13</v>
      </c>
      <c r="Q39" s="19" t="s">
        <v>13</v>
      </c>
    </row>
    <row r="40" spans="1:21">
      <c r="A40" s="1">
        <f>A38+1</f>
        <v>11</v>
      </c>
      <c r="C40" s="1" t="s">
        <v>170</v>
      </c>
      <c r="G40" s="43">
        <v>162825.80738309392</v>
      </c>
      <c r="I40" s="53">
        <f>SUM(G40)/(G38+G40)</f>
        <v>0.40333498264963297</v>
      </c>
      <c r="K40" s="53">
        <f>1-K38</f>
        <v>0.4</v>
      </c>
      <c r="M40" s="47">
        <f>M42*I40</f>
        <v>164788.71031546674</v>
      </c>
      <c r="O40" s="31">
        <v>9.1501896233142019E-2</v>
      </c>
      <c r="P40" s="42"/>
      <c r="Q40" s="43">
        <f>M40*O40</f>
        <v>15078.479471679138</v>
      </c>
    </row>
    <row r="41" spans="1:21">
      <c r="I41" s="52"/>
      <c r="K41" s="52"/>
      <c r="O41" s="42"/>
      <c r="P41" s="42"/>
      <c r="Q41" s="19" t="s">
        <v>13</v>
      </c>
    </row>
    <row r="42" spans="1:21" ht="13" thickBot="1">
      <c r="A42" s="1">
        <f>A40+1</f>
        <v>12</v>
      </c>
      <c r="C42" s="1" t="s">
        <v>28</v>
      </c>
      <c r="E42" s="4" t="s">
        <v>171</v>
      </c>
      <c r="G42" s="45">
        <f>SUM(G38+G40)</f>
        <v>403698.69807334972</v>
      </c>
      <c r="I42" s="54">
        <f>SUM(I38+I40)</f>
        <v>1</v>
      </c>
      <c r="K42" s="54">
        <f>SUM(K38+K40)</f>
        <v>1</v>
      </c>
      <c r="M42" s="45">
        <f>'Schedule 1'!K48</f>
        <v>408565.37965766928</v>
      </c>
      <c r="O42" s="46">
        <f>SUM(I38)*(O38)+SUM(I40)*(O40)</f>
        <v>5.8131602535505179E-2</v>
      </c>
      <c r="P42" s="42"/>
      <c r="Q42" s="45">
        <f>Q38+Q40</f>
        <v>23750.560260027403</v>
      </c>
    </row>
    <row r="43" spans="1:21">
      <c r="I43" s="52"/>
    </row>
    <row r="44" spans="1:21">
      <c r="I44" s="52"/>
    </row>
    <row r="45" spans="1:21">
      <c r="C45" s="8" t="s">
        <v>438</v>
      </c>
      <c r="I45" s="52"/>
    </row>
    <row r="46" spans="1:21">
      <c r="I46" s="52"/>
    </row>
    <row r="47" spans="1:21">
      <c r="A47" s="1">
        <f>A42+1</f>
        <v>13</v>
      </c>
      <c r="C47" s="1" t="s">
        <v>169</v>
      </c>
      <c r="E47" s="4" t="s">
        <v>422</v>
      </c>
      <c r="G47" s="19">
        <f>'Schedule 11'!$L$35</f>
        <v>309704.74092003325</v>
      </c>
      <c r="I47" s="52">
        <f>SUM(G47)/(G47+G49)</f>
        <v>0.60000060432747049</v>
      </c>
      <c r="K47" s="52">
        <v>0.6</v>
      </c>
      <c r="M47" s="38">
        <f>M51*I47</f>
        <v>309797.6248511835</v>
      </c>
      <c r="O47" s="32">
        <f>'Schedule 11'!L65</f>
        <v>3.7154190597007641E-2</v>
      </c>
      <c r="P47" s="42"/>
      <c r="Q47" s="38">
        <f>SUM(M47)*(O47)</f>
        <v>11510.280000221142</v>
      </c>
    </row>
    <row r="48" spans="1:21">
      <c r="G48" s="19" t="s">
        <v>13</v>
      </c>
      <c r="I48" s="52"/>
      <c r="K48" s="52"/>
      <c r="O48" s="42"/>
      <c r="P48" s="42" t="s">
        <v>13</v>
      </c>
      <c r="Q48" s="19" t="s">
        <v>13</v>
      </c>
    </row>
    <row r="49" spans="1:17">
      <c r="A49" s="1">
        <f>A47+1</f>
        <v>14</v>
      </c>
      <c r="C49" s="1" t="s">
        <v>170</v>
      </c>
      <c r="G49" s="43">
        <v>206469.30738309392</v>
      </c>
      <c r="I49" s="53">
        <f>SUM(G49)/(G47+G49)</f>
        <v>0.39999939567252951</v>
      </c>
      <c r="K49" s="53">
        <f>1-K47</f>
        <v>0.4</v>
      </c>
      <c r="M49" s="47">
        <f>M51*I49</f>
        <v>206531.22984793782</v>
      </c>
      <c r="O49" s="31">
        <v>9.1502132217983659E-2</v>
      </c>
      <c r="P49" s="42"/>
      <c r="Q49" s="47">
        <f>SUM(M49)*(O49)</f>
        <v>18898.04790068878</v>
      </c>
    </row>
    <row r="50" spans="1:17">
      <c r="I50" s="52"/>
      <c r="K50" s="52"/>
      <c r="O50" s="42"/>
      <c r="P50" s="42"/>
      <c r="Q50" s="19" t="s">
        <v>13</v>
      </c>
    </row>
    <row r="51" spans="1:17" ht="13" thickBot="1">
      <c r="A51" s="1">
        <f>A49+1</f>
        <v>15</v>
      </c>
      <c r="C51" s="1" t="s">
        <v>28</v>
      </c>
      <c r="E51" s="4" t="s">
        <v>171</v>
      </c>
      <c r="G51" s="48">
        <f>SUM(G47+G49)</f>
        <v>516174.04830312717</v>
      </c>
      <c r="I51" s="54">
        <f>SUM(I47+I49)</f>
        <v>1</v>
      </c>
      <c r="K51" s="54">
        <f>SUM(K47+K49)</f>
        <v>1</v>
      </c>
      <c r="M51" s="48">
        <f>'Schedule 1'!L48</f>
        <v>516328.85469912132</v>
      </c>
      <c r="O51" s="46">
        <f>SUM(I47)*(O47)+SUM(I49)*(O49)</f>
        <v>5.8893334401443967E-2</v>
      </c>
      <c r="P51" s="42"/>
      <c r="Q51" s="48">
        <f>Q47+Q49</f>
        <v>30408.327900909921</v>
      </c>
    </row>
    <row r="52" spans="1:17">
      <c r="I52" s="52"/>
    </row>
    <row r="53" spans="1:17">
      <c r="I53" s="52"/>
    </row>
    <row r="54" spans="1:17">
      <c r="C54" s="8" t="s">
        <v>439</v>
      </c>
      <c r="I54" s="52"/>
    </row>
    <row r="55" spans="1:17">
      <c r="I55" s="52"/>
    </row>
    <row r="56" spans="1:17">
      <c r="A56" s="1">
        <f>A51+1</f>
        <v>16</v>
      </c>
      <c r="C56" s="1" t="s">
        <v>169</v>
      </c>
      <c r="E56" s="4" t="s">
        <v>422</v>
      </c>
      <c r="G56" s="19">
        <f>'Schedule 11'!$M$35</f>
        <v>371308.93033050001</v>
      </c>
      <c r="I56" s="52">
        <f>SUM(G56)/(G56+G58)</f>
        <v>0.60000046490004899</v>
      </c>
      <c r="K56" s="52">
        <v>0.6</v>
      </c>
      <c r="M56" s="38">
        <f>M60*I56</f>
        <v>371360.58661295025</v>
      </c>
      <c r="O56" s="32">
        <f>'Schedule 11'!M65</f>
        <v>4.0170959462265877E-2</v>
      </c>
      <c r="P56" s="42"/>
      <c r="Q56" s="38">
        <f>SUM(M56)*(O56)</f>
        <v>14917.911070712102</v>
      </c>
    </row>
    <row r="57" spans="1:17">
      <c r="G57" s="19" t="s">
        <v>13</v>
      </c>
      <c r="I57" s="52"/>
      <c r="K57" s="52"/>
      <c r="O57" s="42"/>
      <c r="P57" s="42" t="s">
        <v>13</v>
      </c>
      <c r="Q57" s="19" t="s">
        <v>13</v>
      </c>
    </row>
    <row r="58" spans="1:17">
      <c r="A58" s="1">
        <f>A56+1</f>
        <v>17</v>
      </c>
      <c r="C58" s="1" t="s">
        <v>170</v>
      </c>
      <c r="G58" s="43">
        <v>247538.80738309392</v>
      </c>
      <c r="I58" s="53">
        <f>SUM(G58)/(G56+G58)</f>
        <v>0.39999953509995084</v>
      </c>
      <c r="K58" s="53">
        <f>1-K56</f>
        <v>0.4</v>
      </c>
      <c r="M58" s="47">
        <f>M60*I58</f>
        <v>247573.24483801911</v>
      </c>
      <c r="O58" s="31">
        <v>9.1501600488146623E-2</v>
      </c>
      <c r="P58" s="42"/>
      <c r="Q58" s="47">
        <f>SUM(M58)*(O58)</f>
        <v>22653.348140722534</v>
      </c>
    </row>
    <row r="59" spans="1:17">
      <c r="I59" s="52"/>
      <c r="K59" s="52"/>
      <c r="O59" s="42"/>
      <c r="P59" s="42"/>
      <c r="Q59" s="19" t="s">
        <v>13</v>
      </c>
    </row>
    <row r="60" spans="1:17" ht="13" thickBot="1">
      <c r="A60" s="1">
        <f>A58+1</f>
        <v>18</v>
      </c>
      <c r="C60" s="1" t="s">
        <v>28</v>
      </c>
      <c r="E60" s="4" t="s">
        <v>171</v>
      </c>
      <c r="G60" s="48">
        <f>SUM(G56+G58)</f>
        <v>618847.73771359399</v>
      </c>
      <c r="I60" s="54">
        <f>SUM(I56+I58)</f>
        <v>0.99999999999999978</v>
      </c>
      <c r="K60" s="54">
        <f>SUM(K56+K58)</f>
        <v>1</v>
      </c>
      <c r="M60" s="48">
        <f>'Schedule 1'!M48</f>
        <v>618933.83145096945</v>
      </c>
      <c r="O60" s="46">
        <f>SUM(I56)*(O56)+SUM(I58)*(O58)</f>
        <v>6.0703192009000637E-2</v>
      </c>
      <c r="P60" s="42"/>
      <c r="Q60" s="48">
        <f>Q56+Q58</f>
        <v>37571.259211434633</v>
      </c>
    </row>
    <row r="73" spans="9:16">
      <c r="I73" s="52"/>
      <c r="O73" s="42"/>
      <c r="P73" s="42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61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theme="9" tint="0.39997558519241921"/>
    <pageSetUpPr fitToPage="1"/>
  </sheetPr>
  <dimension ref="A1:M38"/>
  <sheetViews>
    <sheetView view="pageBreakPreview" zoomScaleSheetLayoutView="100" workbookViewId="0">
      <selection activeCell="F11" sqref="F11"/>
    </sheetView>
  </sheetViews>
  <sheetFormatPr defaultColWidth="9.1796875" defaultRowHeight="12.5"/>
  <cols>
    <col min="1" max="1" width="7.453125" style="1" customWidth="1"/>
    <col min="2" max="2" width="1.81640625" style="1" customWidth="1"/>
    <col min="3" max="3" width="28" style="1" customWidth="1"/>
    <col min="4" max="4" width="3.54296875" style="1" customWidth="1"/>
    <col min="5" max="5" width="9.1796875" style="4"/>
    <col min="6" max="6" width="1.81640625" style="1" customWidth="1"/>
    <col min="7" max="7" width="12.26953125" style="1" customWidth="1"/>
    <col min="8" max="8" width="1.81640625" style="1" customWidth="1"/>
    <col min="9" max="12" width="11.26953125" style="1" customWidth="1"/>
    <col min="13" max="13" width="12.453125" style="1" customWidth="1"/>
    <col min="14" max="16384" width="9.1796875" style="1"/>
  </cols>
  <sheetData>
    <row r="1" spans="1:13" ht="15">
      <c r="A1" s="9" t="s">
        <v>0</v>
      </c>
      <c r="M1" s="193" t="s">
        <v>172</v>
      </c>
    </row>
    <row r="2" spans="1:13">
      <c r="A2" s="10" t="s">
        <v>173</v>
      </c>
      <c r="M2" s="194" t="str">
        <f>'Schedule 1'!$M$2</f>
        <v>2025-27 GRA</v>
      </c>
    </row>
    <row r="3" spans="1:13">
      <c r="A3" s="10" t="s">
        <v>7</v>
      </c>
    </row>
    <row r="6" spans="1:13" s="4" customFormat="1">
      <c r="G6" s="11"/>
      <c r="I6" s="11"/>
      <c r="J6" s="11"/>
      <c r="K6" s="8"/>
      <c r="L6" s="8"/>
      <c r="M6" s="8"/>
    </row>
    <row r="7" spans="1:13" s="13" customFormat="1" ht="37.5">
      <c r="A7" s="12" t="s">
        <v>8</v>
      </c>
      <c r="C7" s="12" t="s">
        <v>9</v>
      </c>
      <c r="E7" s="12" t="s">
        <v>10</v>
      </c>
      <c r="G7" s="12" t="str">
        <f>'Schedule 1'!G7</f>
        <v>2024 GRA
Compliance</v>
      </c>
      <c r="I7" s="12" t="str">
        <f>'Schedule 1'!I7</f>
        <v>Actual 2023</v>
      </c>
      <c r="J7" s="12" t="str">
        <f>'Schedule 1'!J7</f>
        <v>Prelim. Actual 2024</v>
      </c>
      <c r="K7" s="12" t="str">
        <f>'Schedule 1'!K7</f>
        <v>Forecast 2025</v>
      </c>
      <c r="L7" s="12" t="str">
        <f>'Schedule 1'!L7</f>
        <v>Forecast 2026</v>
      </c>
      <c r="M7" s="12" t="str">
        <f>'Schedule 1'!M7</f>
        <v>Forecast 2027</v>
      </c>
    </row>
    <row r="9" spans="1:13">
      <c r="A9" s="1">
        <v>1</v>
      </c>
      <c r="C9" s="1" t="s">
        <v>174</v>
      </c>
      <c r="E9" s="4" t="s">
        <v>423</v>
      </c>
      <c r="G9" s="14">
        <f>'Schedule 1'!G48</f>
        <v>372099.81970325892</v>
      </c>
      <c r="I9" s="14">
        <f>'Schedule 1'!I48</f>
        <v>326903.87554106669</v>
      </c>
      <c r="J9" s="14">
        <f>'Schedule 1'!J48</f>
        <v>355163.69216801017</v>
      </c>
      <c r="K9" s="14">
        <f>'Schedule 1'!K48</f>
        <v>408565.37965766928</v>
      </c>
      <c r="L9" s="14">
        <f>'Schedule 1'!L48</f>
        <v>516328.85469912132</v>
      </c>
      <c r="M9" s="14">
        <f>'Schedule 1'!M48</f>
        <v>618933.83145096945</v>
      </c>
    </row>
    <row r="10" spans="1:13">
      <c r="G10" s="1" t="s">
        <v>13</v>
      </c>
      <c r="I10" s="1" t="s">
        <v>13</v>
      </c>
      <c r="J10" s="1" t="s">
        <v>13</v>
      </c>
      <c r="K10" s="1" t="s">
        <v>13</v>
      </c>
      <c r="L10" s="1" t="s">
        <v>13</v>
      </c>
      <c r="M10" s="1" t="s">
        <v>13</v>
      </c>
    </row>
    <row r="11" spans="1:13">
      <c r="A11" s="1">
        <v>2</v>
      </c>
      <c r="C11" s="1" t="s">
        <v>175</v>
      </c>
      <c r="G11" s="32">
        <f>SUM(G13)/(G9)</f>
        <v>5.7171091315910208E-2</v>
      </c>
      <c r="I11" s="32">
        <f>SUM(I13)/(I9)</f>
        <v>4.7916350531028003E-2</v>
      </c>
      <c r="J11" s="32">
        <f>SUM(J13)/(J9)</f>
        <v>5.0773941065399737E-2</v>
      </c>
      <c r="K11" s="32">
        <f>SUM(K13)/(K9)</f>
        <v>5.8131602535505179E-2</v>
      </c>
      <c r="L11" s="32">
        <f>SUM(L13)/(L9)</f>
        <v>5.889333440144396E-2</v>
      </c>
      <c r="M11" s="32">
        <f>SUM(M13)/(M9)</f>
        <v>6.0703192009000637E-2</v>
      </c>
    </row>
    <row r="13" spans="1:13">
      <c r="A13" s="1">
        <v>3</v>
      </c>
      <c r="C13" s="1" t="s">
        <v>176</v>
      </c>
      <c r="E13" s="4" t="s">
        <v>177</v>
      </c>
      <c r="G13" s="14">
        <f>'Schedule 4'!Q15</f>
        <v>21273.352770888741</v>
      </c>
      <c r="I13" s="14">
        <f>'Schedule 4'!Q24</f>
        <v>15664.040690377304</v>
      </c>
      <c r="J13" s="14">
        <f>'Schedule 4'!Q33</f>
        <v>18033.060374708322</v>
      </c>
      <c r="K13" s="14">
        <f>'Schedule 4'!Q42</f>
        <v>23750.560260027403</v>
      </c>
      <c r="L13" s="14">
        <f>'Schedule 4'!Q51</f>
        <v>30408.327900909921</v>
      </c>
      <c r="M13" s="14">
        <f>'Schedule 4'!Q60</f>
        <v>37571.259211434633</v>
      </c>
    </row>
    <row r="15" spans="1:13">
      <c r="A15" s="1">
        <v>4</v>
      </c>
      <c r="C15" s="1" t="s">
        <v>178</v>
      </c>
    </row>
    <row r="16" spans="1:13">
      <c r="A16" s="1">
        <v>5</v>
      </c>
      <c r="C16" s="1" t="s">
        <v>179</v>
      </c>
      <c r="E16" s="4" t="s">
        <v>180</v>
      </c>
      <c r="G16" s="14">
        <f>'Schedule 6'!G12</f>
        <v>54095.584483041021</v>
      </c>
      <c r="I16" s="14">
        <f>'Schedule 6'!I12</f>
        <v>48622.96203756563</v>
      </c>
      <c r="J16" s="14">
        <f>'Schedule 6'!J12</f>
        <v>54810.276265015629</v>
      </c>
      <c r="K16" s="14">
        <f>'Schedule 6'!K12</f>
        <v>61666.810432883038</v>
      </c>
      <c r="L16" s="14">
        <f>'Schedule 6'!L12</f>
        <v>66075.955453410672</v>
      </c>
      <c r="M16" s="14">
        <f>'Schedule 6'!M12</f>
        <v>69134.699588539952</v>
      </c>
    </row>
    <row r="17" spans="1:13">
      <c r="A17" s="1">
        <v>6</v>
      </c>
      <c r="C17" s="1" t="s">
        <v>44</v>
      </c>
      <c r="E17" s="4" t="s">
        <v>181</v>
      </c>
      <c r="G17" s="14">
        <f>'Schedule 6'!G13</f>
        <v>776.69908654176004</v>
      </c>
      <c r="I17" s="14">
        <f>'Schedule 6'!I13</f>
        <v>756.18791000000022</v>
      </c>
      <c r="J17" s="14">
        <f>'Schedule 6'!J13</f>
        <v>759.21225999999979</v>
      </c>
      <c r="K17" s="14">
        <f>'Schedule 6'!K13</f>
        <v>770.60046419999981</v>
      </c>
      <c r="L17" s="14">
        <f>'Schedule 6'!L13</f>
        <v>789.80853488399998</v>
      </c>
      <c r="M17" s="14">
        <f>'Schedule 6'!M13</f>
        <v>805.60470558168038</v>
      </c>
    </row>
    <row r="18" spans="1:13">
      <c r="A18" s="1">
        <v>7</v>
      </c>
      <c r="C18" s="1" t="s">
        <v>182</v>
      </c>
      <c r="E18" s="4" t="s">
        <v>183</v>
      </c>
      <c r="G18" s="14">
        <f>'Schedule 6'!G14</f>
        <v>5345.1559999999999</v>
      </c>
      <c r="I18" s="14">
        <f>'Schedule 6'!I14</f>
        <v>3689.5329999999999</v>
      </c>
      <c r="J18" s="14">
        <f>'Schedule 6'!J14</f>
        <v>5436.1200535000007</v>
      </c>
      <c r="K18" s="14">
        <f>'Schedule 6'!K14</f>
        <v>7006.2830000000004</v>
      </c>
      <c r="L18" s="14">
        <f>'Schedule 6'!L14</f>
        <v>7488.4320000000007</v>
      </c>
      <c r="M18" s="14">
        <f>'Schedule 6'!M14</f>
        <v>6893.2259999999997</v>
      </c>
    </row>
    <row r="19" spans="1:13">
      <c r="A19" s="1">
        <v>8</v>
      </c>
      <c r="C19" s="1" t="s">
        <v>80</v>
      </c>
      <c r="E19" s="4" t="s">
        <v>94</v>
      </c>
      <c r="G19" s="14">
        <f>'Schedule 6'!G15</f>
        <v>615.80899999999997</v>
      </c>
      <c r="I19" s="14">
        <f>'Schedule 6'!I15</f>
        <v>615.80899999999997</v>
      </c>
      <c r="J19" s="14">
        <f>'Schedule 6'!J15</f>
        <v>615.80899999999997</v>
      </c>
      <c r="K19" s="14">
        <f>'Schedule 6'!K15</f>
        <v>1062.596</v>
      </c>
      <c r="L19" s="14">
        <f>'Schedule 6'!L15</f>
        <v>1062.596</v>
      </c>
      <c r="M19" s="14">
        <f>'Schedule 6'!M15</f>
        <v>1062.596</v>
      </c>
    </row>
    <row r="20" spans="1:13">
      <c r="A20" s="1">
        <v>9</v>
      </c>
      <c r="C20" s="1" t="s">
        <v>184</v>
      </c>
      <c r="E20" s="4" t="s">
        <v>73</v>
      </c>
      <c r="G20" s="14">
        <f>'Schedule 6'!G16</f>
        <v>15349.733</v>
      </c>
      <c r="I20" s="14">
        <f>'Schedule 6'!I16</f>
        <v>16005.334999999999</v>
      </c>
      <c r="J20" s="14">
        <f>'Schedule 6'!J16</f>
        <v>15718.508</v>
      </c>
      <c r="K20" s="14">
        <f>'Schedule 6'!K16</f>
        <v>21008.123</v>
      </c>
      <c r="L20" s="14">
        <f>'Schedule 6'!L16</f>
        <v>24879.424999999999</v>
      </c>
      <c r="M20" s="14">
        <f>'Schedule 6'!M16</f>
        <v>28008.315999999999</v>
      </c>
    </row>
    <row r="21" spans="1:13" ht="25">
      <c r="A21" s="55">
        <v>10</v>
      </c>
      <c r="C21" s="56" t="s">
        <v>185</v>
      </c>
      <c r="E21" s="2" t="s">
        <v>186</v>
      </c>
      <c r="F21" s="55"/>
      <c r="G21" s="87">
        <f>'Schedule 6'!G17</f>
        <v>-5940.8490000000002</v>
      </c>
      <c r="H21" s="55"/>
      <c r="I21" s="87">
        <f>'Schedule 6'!I17</f>
        <v>-6741.5619999999999</v>
      </c>
      <c r="J21" s="87">
        <f>'Schedule 6'!J17</f>
        <v>-5966.5209999999997</v>
      </c>
      <c r="K21" s="87">
        <f>'Schedule 6'!K17</f>
        <v>-7702.0860000000002</v>
      </c>
      <c r="L21" s="87">
        <f>'Schedule 6'!L17</f>
        <v>-8127.1229999999996</v>
      </c>
      <c r="M21" s="87">
        <f>'Schedule 6'!M17</f>
        <v>-8452.5239999999994</v>
      </c>
    </row>
    <row r="22" spans="1:13">
      <c r="A22" s="1">
        <v>11</v>
      </c>
      <c r="C22" s="1" t="s">
        <v>187</v>
      </c>
      <c r="G22" s="14">
        <v>-51.155907444444438</v>
      </c>
      <c r="I22" s="14">
        <v>-51.155907444444495</v>
      </c>
      <c r="J22" s="14">
        <v>-51.155907444444495</v>
      </c>
      <c r="K22" s="14">
        <v>-51.155907444444495</v>
      </c>
      <c r="L22" s="14">
        <v>-51.155907444444495</v>
      </c>
      <c r="M22" s="14">
        <v>-51.155907444444495</v>
      </c>
    </row>
    <row r="23" spans="1:13">
      <c r="A23" s="1">
        <v>12</v>
      </c>
      <c r="C23" s="1" t="s">
        <v>188</v>
      </c>
      <c r="G23" s="14">
        <v>-120</v>
      </c>
      <c r="I23" s="14">
        <v>-120.85194</v>
      </c>
      <c r="J23" s="14">
        <v>-113.85104000000001</v>
      </c>
      <c r="K23" s="14">
        <v>-119.99999999999987</v>
      </c>
      <c r="L23" s="14">
        <v>-119.99999999999987</v>
      </c>
      <c r="M23" s="14">
        <v>-122.39999999999986</v>
      </c>
    </row>
    <row r="24" spans="1:13">
      <c r="G24" s="17"/>
      <c r="I24" s="17"/>
      <c r="J24" s="17"/>
      <c r="K24" s="17"/>
      <c r="L24" s="17"/>
      <c r="M24" s="17"/>
    </row>
    <row r="25" spans="1:13">
      <c r="A25" s="1">
        <v>13</v>
      </c>
      <c r="C25" s="1" t="s">
        <v>189</v>
      </c>
      <c r="G25" s="18">
        <f>SUM(G15:G24)</f>
        <v>70070.976662138346</v>
      </c>
      <c r="I25" s="18">
        <f>SUM(I15:I24)</f>
        <v>62776.257100121184</v>
      </c>
      <c r="J25" s="18">
        <f>SUM(J15:J24)</f>
        <v>71208.397631071202</v>
      </c>
      <c r="K25" s="18">
        <f>SUM(K15:K24)</f>
        <v>83641.170989638602</v>
      </c>
      <c r="L25" s="18">
        <f>SUM(L15:L24)</f>
        <v>91997.938080850246</v>
      </c>
      <c r="M25" s="18">
        <f>SUM(M15:M24)</f>
        <v>97278.362386677196</v>
      </c>
    </row>
    <row r="26" spans="1:13">
      <c r="G26" s="15"/>
      <c r="I26" s="15"/>
      <c r="J26" s="15"/>
      <c r="K26" s="15"/>
      <c r="L26" s="15"/>
      <c r="M26" s="15"/>
    </row>
    <row r="27" spans="1:13" ht="13" thickBot="1">
      <c r="A27" s="1">
        <v>14</v>
      </c>
      <c r="C27" s="1" t="s">
        <v>190</v>
      </c>
      <c r="E27" s="4" t="s">
        <v>191</v>
      </c>
      <c r="G27" s="29">
        <f>G13+G25</f>
        <v>91344.329433027087</v>
      </c>
      <c r="I27" s="29">
        <f>I13+I25</f>
        <v>78440.297790498487</v>
      </c>
      <c r="J27" s="29">
        <f>J13+J25</f>
        <v>89241.458005779525</v>
      </c>
      <c r="K27" s="29">
        <f>K13+K25</f>
        <v>107391.731249666</v>
      </c>
      <c r="L27" s="29">
        <f>L13+L25</f>
        <v>122406.26598176017</v>
      </c>
      <c r="M27" s="29">
        <f>M13+M25</f>
        <v>134849.62159811181</v>
      </c>
    </row>
    <row r="29" spans="1:13">
      <c r="C29" s="1" t="s">
        <v>192</v>
      </c>
    </row>
    <row r="30" spans="1:13" ht="12.75" customHeight="1">
      <c r="A30" s="57"/>
      <c r="C30" s="147"/>
      <c r="D30" s="147"/>
      <c r="E30" s="147"/>
      <c r="F30" s="147"/>
      <c r="G30" s="147"/>
      <c r="H30" s="147"/>
      <c r="I30" s="147"/>
      <c r="J30" s="147"/>
      <c r="K30" s="147"/>
    </row>
    <row r="31" spans="1:13">
      <c r="C31" s="147"/>
      <c r="D31" s="147"/>
      <c r="E31" s="147"/>
      <c r="F31" s="147"/>
      <c r="G31" s="147"/>
      <c r="H31" s="147"/>
      <c r="I31" s="87"/>
      <c r="J31" s="87"/>
      <c r="K31" s="87"/>
      <c r="L31" s="87"/>
      <c r="M31" s="87"/>
    </row>
    <row r="32" spans="1:13">
      <c r="G32" s="20"/>
      <c r="I32" s="20"/>
      <c r="J32" s="20"/>
      <c r="K32" s="20"/>
      <c r="L32" s="20"/>
      <c r="M32" s="20"/>
    </row>
    <row r="33" spans="7:13">
      <c r="G33" s="20"/>
      <c r="I33" s="20"/>
      <c r="J33" s="20"/>
      <c r="K33" s="20"/>
      <c r="L33" s="20"/>
      <c r="M33" s="20"/>
    </row>
    <row r="34" spans="7:13">
      <c r="G34" s="35"/>
      <c r="I34" s="35"/>
      <c r="J34" s="35"/>
      <c r="K34" s="35"/>
      <c r="L34" s="35"/>
      <c r="M34" s="35"/>
    </row>
    <row r="35" spans="7:13">
      <c r="G35" s="35"/>
      <c r="I35" s="35"/>
      <c r="J35" s="35"/>
      <c r="K35" s="35"/>
    </row>
    <row r="36" spans="7:13">
      <c r="G36" s="27"/>
      <c r="I36" s="27"/>
      <c r="J36" s="27"/>
      <c r="K36" s="27"/>
    </row>
    <row r="37" spans="7:13">
      <c r="G37" s="35"/>
      <c r="I37" s="35"/>
      <c r="J37" s="35"/>
      <c r="K37" s="35"/>
    </row>
    <row r="38" spans="7:13">
      <c r="J38" s="35"/>
      <c r="K38" s="35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0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theme="9" tint="0.39997558519241921"/>
    <pageSetUpPr fitToPage="1"/>
  </sheetPr>
  <dimension ref="A1:N43"/>
  <sheetViews>
    <sheetView view="pageBreakPreview" zoomScaleSheetLayoutView="100" workbookViewId="0">
      <selection activeCell="J12" sqref="J12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29" style="1" customWidth="1"/>
    <col min="4" max="4" width="1.81640625" style="1" customWidth="1"/>
    <col min="5" max="5" width="11" style="4" customWidth="1"/>
    <col min="6" max="6" width="1.81640625" style="1" customWidth="1"/>
    <col min="7" max="7" width="12.6328125" style="1" customWidth="1"/>
    <col min="8" max="8" width="1.81640625" style="1" customWidth="1"/>
    <col min="9" max="12" width="11.26953125" style="1" customWidth="1"/>
    <col min="13" max="13" width="13.26953125" style="1" customWidth="1"/>
    <col min="14" max="14" width="11.26953125" style="1" customWidth="1"/>
    <col min="15" max="16384" width="9.1796875" style="1"/>
  </cols>
  <sheetData>
    <row r="1" spans="1:14" ht="15">
      <c r="A1" s="9" t="s">
        <v>0</v>
      </c>
      <c r="M1" s="193" t="s">
        <v>193</v>
      </c>
    </row>
    <row r="2" spans="1:14">
      <c r="A2" s="10" t="s">
        <v>194</v>
      </c>
      <c r="M2" s="194" t="str">
        <f>'Schedule 1'!$M$2</f>
        <v>2025-27 GRA</v>
      </c>
    </row>
    <row r="3" spans="1:14">
      <c r="A3" s="10" t="s">
        <v>7</v>
      </c>
    </row>
    <row r="4" spans="1:14">
      <c r="C4" s="1" t="s">
        <v>13</v>
      </c>
    </row>
    <row r="5" spans="1:14">
      <c r="C5" s="1" t="s">
        <v>13</v>
      </c>
    </row>
    <row r="6" spans="1:14" s="4" customFormat="1">
      <c r="G6" s="11"/>
      <c r="I6" s="11"/>
      <c r="J6" s="11"/>
      <c r="K6" s="8"/>
      <c r="L6" s="8"/>
      <c r="M6" s="8"/>
      <c r="N6" s="11"/>
    </row>
    <row r="7" spans="1:14" s="13" customFormat="1" ht="37.5">
      <c r="A7" s="12" t="s">
        <v>8</v>
      </c>
      <c r="C7" s="12" t="s">
        <v>9</v>
      </c>
      <c r="E7" s="12" t="s">
        <v>10</v>
      </c>
      <c r="G7" s="12" t="str">
        <f>'Schedule 1'!G7</f>
        <v>2024 GRA
Compliance</v>
      </c>
      <c r="I7" s="12" t="str">
        <f>'Schedule 1'!I7</f>
        <v>Actual 2023</v>
      </c>
      <c r="J7" s="12" t="str">
        <f>'Schedule 1'!J7</f>
        <v>Prelim. Actual 2024</v>
      </c>
      <c r="K7" s="12" t="str">
        <f>'Schedule 1'!K7</f>
        <v>Forecast 2025</v>
      </c>
      <c r="L7" s="12" t="str">
        <f>'Schedule 1'!L7</f>
        <v>Forecast 2026</v>
      </c>
      <c r="M7" s="12" t="str">
        <f>'Schedule 1'!M7</f>
        <v>Forecast 2027</v>
      </c>
    </row>
    <row r="9" spans="1:14">
      <c r="A9" s="1">
        <v>1</v>
      </c>
      <c r="C9" s="1" t="s">
        <v>195</v>
      </c>
      <c r="E9" s="4" t="s">
        <v>196</v>
      </c>
      <c r="G9" s="14">
        <f>'Schedule 5'!G27</f>
        <v>91344.329433027087</v>
      </c>
      <c r="I9" s="14">
        <v>78440.488260498489</v>
      </c>
      <c r="J9" s="14">
        <v>89242.261665779501</v>
      </c>
      <c r="K9" s="14">
        <v>107391.76332840978</v>
      </c>
      <c r="L9" s="14">
        <v>122406.24537635974</v>
      </c>
      <c r="M9" s="14">
        <v>134849.66699357264</v>
      </c>
      <c r="N9" s="35"/>
    </row>
    <row r="11" spans="1:14">
      <c r="A11" s="1">
        <v>2</v>
      </c>
      <c r="C11" s="8" t="s">
        <v>197</v>
      </c>
    </row>
    <row r="12" spans="1:14">
      <c r="A12" s="1">
        <v>3</v>
      </c>
      <c r="C12" s="1" t="s">
        <v>42</v>
      </c>
      <c r="E12" s="4" t="s">
        <v>198</v>
      </c>
      <c r="G12" s="14">
        <v>54095.584483041021</v>
      </c>
      <c r="I12" s="14">
        <f>'Schedule 10'!I28</f>
        <v>48622.96203756563</v>
      </c>
      <c r="J12" s="14">
        <f>'Schedule 10'!J28</f>
        <v>54810.276265015629</v>
      </c>
      <c r="K12" s="14">
        <f>'Schedule 10'!K28</f>
        <v>61666.810432883038</v>
      </c>
      <c r="L12" s="14">
        <f>'Schedule 10'!L28</f>
        <v>66075.955453410672</v>
      </c>
      <c r="M12" s="14">
        <f>'Schedule 10'!M28</f>
        <v>69134.699588539952</v>
      </c>
      <c r="N12" s="35"/>
    </row>
    <row r="13" spans="1:14">
      <c r="A13" s="1">
        <v>4</v>
      </c>
      <c r="C13" s="1" t="s">
        <v>44</v>
      </c>
      <c r="E13" s="4" t="s">
        <v>45</v>
      </c>
      <c r="G13" s="14">
        <v>776.69908654176004</v>
      </c>
      <c r="I13" s="14">
        <v>756.18791000000022</v>
      </c>
      <c r="J13" s="14">
        <v>759.21225999999979</v>
      </c>
      <c r="K13" s="14">
        <v>770.60046419999981</v>
      </c>
      <c r="L13" s="14">
        <v>789.80853488399998</v>
      </c>
      <c r="M13" s="14">
        <v>805.60470558168038</v>
      </c>
      <c r="N13" s="35"/>
    </row>
    <row r="14" spans="1:14">
      <c r="A14" s="1">
        <v>5</v>
      </c>
      <c r="C14" s="1" t="s">
        <v>199</v>
      </c>
      <c r="G14" s="14">
        <v>5345.1559999999999</v>
      </c>
      <c r="I14" s="14">
        <v>3689.5329999999999</v>
      </c>
      <c r="J14" s="14">
        <v>5436.1200535000007</v>
      </c>
      <c r="K14" s="14">
        <v>7006.2830000000004</v>
      </c>
      <c r="L14" s="14">
        <v>7488.4320000000007</v>
      </c>
      <c r="M14" s="14">
        <v>6893.2259999999997</v>
      </c>
      <c r="N14" s="35"/>
    </row>
    <row r="15" spans="1:14">
      <c r="A15" s="1">
        <v>6</v>
      </c>
      <c r="C15" s="1" t="s">
        <v>80</v>
      </c>
      <c r="E15" s="4" t="s">
        <v>200</v>
      </c>
      <c r="G15" s="14">
        <v>615.80899999999997</v>
      </c>
      <c r="I15" s="14">
        <v>615.80899999999997</v>
      </c>
      <c r="J15" s="14">
        <v>615.80899999999997</v>
      </c>
      <c r="K15" s="14">
        <v>1062.596</v>
      </c>
      <c r="L15" s="14">
        <v>1062.596</v>
      </c>
      <c r="M15" s="14">
        <v>1062.596</v>
      </c>
      <c r="N15" s="35"/>
    </row>
    <row r="16" spans="1:14">
      <c r="A16" s="1">
        <v>7</v>
      </c>
      <c r="C16" s="1" t="s">
        <v>184</v>
      </c>
      <c r="G16" s="14">
        <v>15349.733</v>
      </c>
      <c r="I16" s="14">
        <v>16005.334999999999</v>
      </c>
      <c r="J16" s="14">
        <v>15718.508</v>
      </c>
      <c r="K16" s="14">
        <v>21008.123</v>
      </c>
      <c r="L16" s="14">
        <v>24879.424999999999</v>
      </c>
      <c r="M16" s="14">
        <v>28008.315999999999</v>
      </c>
      <c r="N16" s="35"/>
    </row>
    <row r="17" spans="1:14" ht="25">
      <c r="A17" s="59">
        <v>8</v>
      </c>
      <c r="B17" s="2"/>
      <c r="C17" s="56" t="s">
        <v>185</v>
      </c>
      <c r="D17" s="2"/>
      <c r="E17" s="2" t="s">
        <v>202</v>
      </c>
      <c r="F17" s="2"/>
      <c r="G17" s="88">
        <v>-5940.8490000000002</v>
      </c>
      <c r="H17" s="2"/>
      <c r="I17" s="88">
        <v>-6741.5619999999999</v>
      </c>
      <c r="J17" s="88">
        <v>-5966.5209999999997</v>
      </c>
      <c r="K17" s="88">
        <v>-7702.0860000000002</v>
      </c>
      <c r="L17" s="88">
        <v>-8127.1229999999996</v>
      </c>
      <c r="M17" s="88">
        <v>-8452.5239999999994</v>
      </c>
      <c r="N17" s="35"/>
    </row>
    <row r="18" spans="1:14">
      <c r="G18" s="17"/>
      <c r="I18" s="17"/>
      <c r="J18" s="17"/>
      <c r="K18" s="17"/>
      <c r="L18" s="17"/>
      <c r="M18" s="17"/>
      <c r="N18" s="35"/>
    </row>
    <row r="19" spans="1:14" s="19" customFormat="1">
      <c r="A19" s="19">
        <v>9</v>
      </c>
      <c r="C19" s="19" t="s">
        <v>28</v>
      </c>
      <c r="E19" s="40"/>
      <c r="G19" s="89">
        <f>SUM(G12:G14)+G16+G17+G15+G18</f>
        <v>70242.132569582784</v>
      </c>
      <c r="I19" s="89">
        <f>SUM(I12:I17)</f>
        <v>62948.264947565629</v>
      </c>
      <c r="J19" s="89">
        <f>SUM(J12:J17)</f>
        <v>71373.404578515634</v>
      </c>
      <c r="K19" s="89">
        <f>SUM(K12:K17)</f>
        <v>83812.32689708304</v>
      </c>
      <c r="L19" s="89">
        <f>SUM(L12:L17)</f>
        <v>92169.093988294684</v>
      </c>
      <c r="M19" s="89">
        <f>SUM(M12:M17)</f>
        <v>97451.918294121628</v>
      </c>
    </row>
    <row r="20" spans="1:14">
      <c r="C20" s="1" t="s">
        <v>13</v>
      </c>
    </row>
    <row r="21" spans="1:14">
      <c r="A21" s="19">
        <f>A19+1</f>
        <v>10</v>
      </c>
      <c r="C21" s="8" t="s">
        <v>203</v>
      </c>
      <c r="G21" s="60">
        <f>SUM(G9-G19)</f>
        <v>21102.196863444304</v>
      </c>
      <c r="I21" s="60">
        <f>SUM(I9-I19)</f>
        <v>15492.22331293286</v>
      </c>
      <c r="J21" s="60">
        <f>SUM(J9-J19)</f>
        <v>17868.857087263867</v>
      </c>
      <c r="K21" s="60">
        <f>SUM(K9-K19)</f>
        <v>23579.436431326743</v>
      </c>
      <c r="L21" s="60">
        <f>SUM(L9-L19)</f>
        <v>30237.15138806506</v>
      </c>
      <c r="M21" s="60">
        <f>SUM(M9-M19)</f>
        <v>37397.748699451011</v>
      </c>
    </row>
    <row r="23" spans="1:14">
      <c r="A23" s="19">
        <f>A21+1</f>
        <v>11</v>
      </c>
      <c r="C23" s="8" t="s">
        <v>204</v>
      </c>
    </row>
    <row r="24" spans="1:14">
      <c r="A24" s="19">
        <f>A23+1</f>
        <v>12</v>
      </c>
      <c r="C24" s="1" t="s">
        <v>205</v>
      </c>
      <c r="E24" s="4" t="s">
        <v>206</v>
      </c>
      <c r="G24" s="14">
        <v>3353.7710000000002</v>
      </c>
      <c r="I24" s="14">
        <v>1840.008</v>
      </c>
      <c r="J24" s="14">
        <v>2733.15</v>
      </c>
      <c r="K24" s="14">
        <v>3735.0189999999998</v>
      </c>
      <c r="L24" s="14">
        <v>3805.25</v>
      </c>
      <c r="M24" s="14">
        <v>3254.3989999999999</v>
      </c>
      <c r="N24" s="35"/>
    </row>
    <row r="25" spans="1:14">
      <c r="A25" s="19">
        <f t="shared" ref="A25:A26" si="0">A24+1</f>
        <v>13</v>
      </c>
      <c r="C25" s="1" t="s">
        <v>207</v>
      </c>
      <c r="E25" s="4" t="s">
        <v>208</v>
      </c>
      <c r="G25" s="14">
        <v>-3126.1452817654708</v>
      </c>
      <c r="I25" s="14">
        <v>-1222.6091151365472</v>
      </c>
      <c r="J25" s="14">
        <v>-5296.6144193124792</v>
      </c>
      <c r="K25" s="14">
        <v>-3586.4018896274415</v>
      </c>
      <c r="L25" s="14">
        <v>-4472.2583395892425</v>
      </c>
      <c r="M25" s="14">
        <v>-4999.3206020560983</v>
      </c>
    </row>
    <row r="26" spans="1:14">
      <c r="A26" s="19">
        <f t="shared" si="0"/>
        <v>14</v>
      </c>
      <c r="C26" s="1" t="s">
        <v>28</v>
      </c>
      <c r="G26" s="18">
        <f t="shared" ref="G26" si="1">SUM(G24+G25)</f>
        <v>227.62571823452936</v>
      </c>
      <c r="I26" s="18">
        <f t="shared" ref="I26" si="2">SUM(I24+I25)</f>
        <v>617.39888486345285</v>
      </c>
      <c r="J26" s="18">
        <f>SUM(J24+J25)</f>
        <v>-2563.4644193124791</v>
      </c>
      <c r="K26" s="18">
        <f>SUM(K24+K25)</f>
        <v>148.61711037255827</v>
      </c>
      <c r="L26" s="18">
        <f>SUM(L24+L25)</f>
        <v>-667.0083395892425</v>
      </c>
      <c r="M26" s="18">
        <f>SUM(M24+M25)</f>
        <v>-1744.9216020560984</v>
      </c>
      <c r="N26" s="35"/>
    </row>
    <row r="28" spans="1:14">
      <c r="A28" s="19">
        <f>A26+1</f>
        <v>15</v>
      </c>
      <c r="C28" s="8" t="s">
        <v>209</v>
      </c>
    </row>
    <row r="29" spans="1:14">
      <c r="A29" s="19">
        <f>A28+1</f>
        <v>16</v>
      </c>
      <c r="C29" s="1" t="s">
        <v>210</v>
      </c>
      <c r="E29" s="4" t="s">
        <v>211</v>
      </c>
      <c r="G29" s="15">
        <v>10157.427782419749</v>
      </c>
      <c r="I29" s="14">
        <v>9479.2854949690009</v>
      </c>
      <c r="J29" s="14">
        <v>10957.718278295368</v>
      </c>
      <c r="K29" s="14">
        <v>10813.721397182826</v>
      </c>
      <c r="L29" s="14">
        <v>12278.782774456209</v>
      </c>
      <c r="M29" s="14">
        <v>14240.534158896135</v>
      </c>
      <c r="N29" s="35"/>
    </row>
    <row r="30" spans="1:14">
      <c r="A30" s="19">
        <f t="shared" ref="A30" si="3">A29+1</f>
        <v>17</v>
      </c>
      <c r="C30" s="1" t="s">
        <v>28</v>
      </c>
      <c r="G30" s="18">
        <f t="shared" ref="G30" si="4">SUM(G29:G29)</f>
        <v>10157.427782419749</v>
      </c>
      <c r="I30" s="18">
        <f t="shared" ref="I30" si="5">SUM(I29:I29)</f>
        <v>9479.2854949690009</v>
      </c>
      <c r="J30" s="18">
        <f>SUM(J29:J29)</f>
        <v>10957.718278295368</v>
      </c>
      <c r="K30" s="18">
        <f>SUM(K29:K29)</f>
        <v>10813.721397182826</v>
      </c>
      <c r="L30" s="18">
        <f>SUM(L29:L29)</f>
        <v>12278.782774456209</v>
      </c>
      <c r="M30" s="18">
        <f>SUM(M29:M29)</f>
        <v>14240.534158896135</v>
      </c>
      <c r="N30" s="35"/>
    </row>
    <row r="31" spans="1:14">
      <c r="E31" s="11"/>
    </row>
    <row r="32" spans="1:14" ht="13" thickBot="1">
      <c r="A32" s="19">
        <f>A30+1</f>
        <v>18</v>
      </c>
      <c r="C32" s="8" t="s">
        <v>212</v>
      </c>
      <c r="E32" s="4" t="s">
        <v>213</v>
      </c>
      <c r="G32" s="29">
        <f t="shared" ref="G32" si="6">SUM(G21+G26-G30)</f>
        <v>11172.394799259084</v>
      </c>
      <c r="I32" s="29">
        <f t="shared" ref="I32" si="7">SUM(I21+I26-I30)</f>
        <v>6630.3367028273115</v>
      </c>
      <c r="J32" s="29">
        <f>SUM(J21+J26-J30)</f>
        <v>4347.6743896560201</v>
      </c>
      <c r="K32" s="29">
        <f>SUM(K21+K26-K30)</f>
        <v>12914.332144516475</v>
      </c>
      <c r="L32" s="29">
        <f>SUM(L21+L26-L30)</f>
        <v>17291.360274019607</v>
      </c>
      <c r="M32" s="29">
        <f>SUM(M21+M26-M30)</f>
        <v>21412.292938498776</v>
      </c>
      <c r="N32" s="35"/>
    </row>
    <row r="33" spans="1:14">
      <c r="A33" s="1" t="s">
        <v>13</v>
      </c>
      <c r="C33" s="1" t="s">
        <v>13</v>
      </c>
      <c r="G33" s="20"/>
      <c r="I33" s="20"/>
    </row>
    <row r="34" spans="1:14" ht="12.75" customHeight="1">
      <c r="A34" s="57"/>
      <c r="C34" s="57" t="s">
        <v>214</v>
      </c>
      <c r="D34" s="57"/>
      <c r="E34" s="57"/>
      <c r="F34" s="57"/>
      <c r="G34" s="57"/>
      <c r="H34" s="57"/>
      <c r="I34" s="57"/>
      <c r="J34" s="57"/>
      <c r="K34" s="57"/>
      <c r="L34" s="57"/>
      <c r="M34" s="57"/>
    </row>
    <row r="35" spans="1:14" ht="12.75" customHeight="1">
      <c r="C35" s="1" t="s">
        <v>215</v>
      </c>
      <c r="E35" s="1"/>
    </row>
    <row r="36" spans="1:14">
      <c r="G36" s="61"/>
      <c r="I36" s="61"/>
      <c r="J36" s="61"/>
      <c r="K36" s="61"/>
      <c r="L36" s="61"/>
    </row>
    <row r="37" spans="1:14">
      <c r="G37" s="19"/>
      <c r="I37" s="19"/>
      <c r="J37" s="19"/>
      <c r="K37" s="19"/>
      <c r="L37" s="19"/>
      <c r="M37" s="19"/>
    </row>
    <row r="38" spans="1:14">
      <c r="G38" s="20"/>
      <c r="I38" s="20"/>
      <c r="J38" s="20"/>
      <c r="K38" s="20"/>
      <c r="L38" s="20"/>
      <c r="M38" s="20"/>
    </row>
    <row r="39" spans="1:14">
      <c r="C39" s="34"/>
      <c r="G39" s="20"/>
      <c r="I39" s="20"/>
      <c r="J39" s="20"/>
      <c r="K39" s="20"/>
      <c r="L39" s="20"/>
      <c r="N39" s="35"/>
    </row>
    <row r="40" spans="1:14">
      <c r="C40" s="34"/>
      <c r="G40" s="20"/>
      <c r="I40" s="20"/>
      <c r="J40" s="20"/>
      <c r="K40" s="20"/>
      <c r="L40" s="20"/>
      <c r="N40" s="35"/>
    </row>
    <row r="41" spans="1:14">
      <c r="G41" s="20"/>
      <c r="I41" s="20"/>
      <c r="J41" s="20"/>
      <c r="K41" s="20"/>
      <c r="L41" s="20"/>
    </row>
    <row r="42" spans="1:14">
      <c r="G42" s="20"/>
      <c r="I42" s="20"/>
      <c r="J42" s="20"/>
      <c r="K42" s="20"/>
      <c r="L42" s="20"/>
    </row>
    <row r="43" spans="1:14">
      <c r="G43" s="20"/>
      <c r="I43" s="20"/>
      <c r="J43" s="20"/>
      <c r="K43" s="20"/>
      <c r="L43" s="20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0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theme="9" tint="0.39997558519241921"/>
    <pageSetUpPr fitToPage="1"/>
  </sheetPr>
  <dimension ref="A1:N29"/>
  <sheetViews>
    <sheetView view="pageBreakPreview" zoomScaleSheetLayoutView="100" workbookViewId="0">
      <selection activeCell="J3" sqref="J3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31.81640625" style="1" customWidth="1"/>
    <col min="4" max="4" width="1.81640625" style="1" customWidth="1"/>
    <col min="5" max="5" width="9.1796875" style="4"/>
    <col min="6" max="6" width="1.81640625" style="1" customWidth="1"/>
    <col min="7" max="7" width="12.1796875" style="1" customWidth="1"/>
    <col min="8" max="8" width="1.81640625" style="1" customWidth="1"/>
    <col min="9" max="12" width="11.26953125" style="1" customWidth="1"/>
    <col min="13" max="13" width="12.90625" style="1" customWidth="1"/>
    <col min="14" max="14" width="11.26953125" style="1" customWidth="1"/>
    <col min="15" max="16384" width="9.1796875" style="1"/>
  </cols>
  <sheetData>
    <row r="1" spans="1:14" ht="15">
      <c r="A1" s="9" t="s">
        <v>0</v>
      </c>
      <c r="M1" s="193" t="s">
        <v>216</v>
      </c>
    </row>
    <row r="2" spans="1:14">
      <c r="A2" s="10" t="s">
        <v>217</v>
      </c>
      <c r="M2" s="194" t="str">
        <f>'Schedule 1'!$M$2</f>
        <v>2025-27 GRA</v>
      </c>
    </row>
    <row r="3" spans="1:14">
      <c r="A3" s="10" t="s">
        <v>7</v>
      </c>
    </row>
    <row r="6" spans="1:14" s="4" customFormat="1">
      <c r="G6" s="11"/>
      <c r="I6" s="11"/>
      <c r="J6" s="11"/>
      <c r="K6" s="8"/>
      <c r="L6" s="8"/>
      <c r="M6" s="8"/>
    </row>
    <row r="7" spans="1:14" s="13" customFormat="1" ht="37.5">
      <c r="A7" s="12" t="s">
        <v>8</v>
      </c>
      <c r="C7" s="12" t="s">
        <v>9</v>
      </c>
      <c r="E7" s="12" t="s">
        <v>10</v>
      </c>
      <c r="G7" s="12" t="str">
        <f>'Schedule 1'!G7</f>
        <v>2024 GRA
Compliance</v>
      </c>
      <c r="I7" s="12" t="str">
        <f>'Schedule 1'!I7</f>
        <v>Actual 2023</v>
      </c>
      <c r="J7" s="12" t="str">
        <f>'Schedule 1'!J7</f>
        <v>Prelim. Actual 2024</v>
      </c>
      <c r="K7" s="12" t="str">
        <f>'Schedule 1'!K7</f>
        <v>Forecast 2025</v>
      </c>
      <c r="L7" s="12" t="str">
        <f>'Schedule 1'!L7</f>
        <v>Forecast 2026</v>
      </c>
      <c r="M7" s="12" t="str">
        <f>'Schedule 1'!M7</f>
        <v>Forecast 2027</v>
      </c>
    </row>
    <row r="9" spans="1:14">
      <c r="A9" s="1">
        <v>1</v>
      </c>
      <c r="C9" s="1" t="s">
        <v>66</v>
      </c>
      <c r="G9" s="14">
        <v>84615.228336914821</v>
      </c>
      <c r="I9" s="14">
        <v>94226.148760763026</v>
      </c>
      <c r="J9" s="14">
        <f>I19</f>
        <v>73329.985463590332</v>
      </c>
      <c r="K9" s="14">
        <f>J19</f>
        <v>78027.159853246354</v>
      </c>
      <c r="L9" s="14">
        <f>J19</f>
        <v>78027.159853246354</v>
      </c>
      <c r="M9" s="14">
        <f>K19</f>
        <v>90941.491997762831</v>
      </c>
    </row>
    <row r="11" spans="1:14">
      <c r="C11" s="1" t="s">
        <v>22</v>
      </c>
    </row>
    <row r="12" spans="1:14">
      <c r="A12" s="1">
        <v>2</v>
      </c>
      <c r="C12" s="1" t="s">
        <v>212</v>
      </c>
      <c r="E12" s="4" t="s">
        <v>218</v>
      </c>
      <c r="G12" s="15">
        <f>'Schedule 6'!G32</f>
        <v>11172.394799259084</v>
      </c>
      <c r="I12" s="15">
        <f>'Schedule 6'!I32</f>
        <v>6630.3367028273115</v>
      </c>
      <c r="J12" s="15">
        <f>'Schedule 6'!J32</f>
        <v>4347.6743896560201</v>
      </c>
      <c r="K12" s="15">
        <f>'Schedule 6'!K32</f>
        <v>12914.332144516475</v>
      </c>
      <c r="L12" s="15">
        <f>'Schedule 6'!L32</f>
        <v>17291.360274019607</v>
      </c>
      <c r="M12" s="15">
        <f>'Schedule 6'!M32</f>
        <v>21412.292938498776</v>
      </c>
      <c r="N12" s="35"/>
    </row>
    <row r="13" spans="1:14">
      <c r="A13" s="1">
        <v>3</v>
      </c>
      <c r="C13" s="1" t="s">
        <v>219</v>
      </c>
      <c r="G13" s="17"/>
      <c r="I13" s="17">
        <v>-266.5</v>
      </c>
      <c r="J13" s="17">
        <v>349.5</v>
      </c>
      <c r="K13" s="17">
        <v>0</v>
      </c>
      <c r="L13" s="17">
        <v>0</v>
      </c>
      <c r="M13" s="17">
        <v>0</v>
      </c>
      <c r="N13" s="35"/>
    </row>
    <row r="14" spans="1:14">
      <c r="A14" s="1">
        <v>4</v>
      </c>
      <c r="C14" s="1" t="s">
        <v>220</v>
      </c>
      <c r="G14" s="14">
        <f>SUM(G9:G13)</f>
        <v>95787.623136173905</v>
      </c>
      <c r="I14" s="14">
        <f t="shared" ref="I14:K14" si="0">SUM(I9:I13)</f>
        <v>100589.98546359033</v>
      </c>
      <c r="J14" s="14">
        <f t="shared" si="0"/>
        <v>78027.159853246354</v>
      </c>
      <c r="K14" s="14">
        <f t="shared" si="0"/>
        <v>90941.491997762831</v>
      </c>
      <c r="L14" s="14">
        <f>SUM(L9:L13)</f>
        <v>95318.520127265961</v>
      </c>
      <c r="M14" s="14">
        <f>SUM(M9:M13)</f>
        <v>112353.78493626161</v>
      </c>
    </row>
    <row r="16" spans="1:14">
      <c r="C16" s="1" t="s">
        <v>221</v>
      </c>
    </row>
    <row r="17" spans="1:13">
      <c r="A17" s="1">
        <v>5</v>
      </c>
      <c r="C17" s="1" t="s">
        <v>324</v>
      </c>
      <c r="G17" s="17">
        <v>0</v>
      </c>
      <c r="I17" s="17">
        <v>27260</v>
      </c>
      <c r="J17" s="17">
        <v>0</v>
      </c>
      <c r="K17" s="17">
        <v>0</v>
      </c>
      <c r="L17" s="17">
        <v>0</v>
      </c>
      <c r="M17" s="17">
        <v>0</v>
      </c>
    </row>
    <row r="19" spans="1:13" ht="13" thickBot="1">
      <c r="A19" s="1">
        <v>6</v>
      </c>
      <c r="C19" s="1" t="s">
        <v>69</v>
      </c>
      <c r="G19" s="29">
        <f t="shared" ref="G19" si="1">SUM(G14-G17)</f>
        <v>95787.623136173905</v>
      </c>
      <c r="I19" s="29">
        <f t="shared" ref="I19" si="2">SUM(I14-I17)</f>
        <v>73329.985463590332</v>
      </c>
      <c r="J19" s="29">
        <f>SUM(J14-J17)</f>
        <v>78027.159853246354</v>
      </c>
      <c r="K19" s="29">
        <f>SUM(K14-K17)</f>
        <v>90941.491997762831</v>
      </c>
      <c r="L19" s="29">
        <f>SUM(L14-L17)</f>
        <v>95318.520127265961</v>
      </c>
      <c r="M19" s="29">
        <f>SUM(M14-M17)</f>
        <v>112353.78493626161</v>
      </c>
    </row>
    <row r="22" spans="1:13">
      <c r="C22" s="8" t="s">
        <v>222</v>
      </c>
    </row>
    <row r="23" spans="1:13">
      <c r="A23" s="1">
        <f>A19+1</f>
        <v>7</v>
      </c>
      <c r="C23" s="1" t="s">
        <v>223</v>
      </c>
      <c r="G23" s="14">
        <v>61602.807383093925</v>
      </c>
      <c r="I23" s="14">
        <v>54968.307383093925</v>
      </c>
      <c r="J23" s="14">
        <v>65568.307383093925</v>
      </c>
      <c r="K23" s="14">
        <v>91117.307383093925</v>
      </c>
      <c r="L23" s="14">
        <v>122649.30738309392</v>
      </c>
      <c r="M23" s="14">
        <v>134552.30738309392</v>
      </c>
    </row>
    <row r="24" spans="1:13">
      <c r="A24" s="1">
        <f>A23+1</f>
        <v>8</v>
      </c>
      <c r="C24" s="1" t="s">
        <v>224</v>
      </c>
      <c r="G24" s="15">
        <f t="shared" ref="G24" si="3">G19</f>
        <v>95787.623136173905</v>
      </c>
      <c r="I24" s="15">
        <f t="shared" ref="I24" si="4">I19</f>
        <v>73329.985463590332</v>
      </c>
      <c r="J24" s="15">
        <f>J19</f>
        <v>78027.159853246354</v>
      </c>
      <c r="K24" s="15">
        <f>K19</f>
        <v>90941.491997762831</v>
      </c>
      <c r="L24" s="15">
        <f>L19</f>
        <v>95318.520127265961</v>
      </c>
      <c r="M24" s="15">
        <f>M19</f>
        <v>112353.78493626161</v>
      </c>
    </row>
    <row r="25" spans="1:13">
      <c r="A25" s="1">
        <f>A24+1</f>
        <v>9</v>
      </c>
      <c r="C25" s="1" t="s">
        <v>28</v>
      </c>
      <c r="G25" s="18">
        <f t="shared" ref="G25" si="5">SUM(G23:G24)</f>
        <v>157390.43051926783</v>
      </c>
      <c r="I25" s="18">
        <f t="shared" ref="I25" si="6">SUM(I23:I24)</f>
        <v>128298.29284668426</v>
      </c>
      <c r="J25" s="18">
        <f>SUM(J23:J24)</f>
        <v>143595.46723634028</v>
      </c>
      <c r="K25" s="18">
        <f>SUM(K23:K24)</f>
        <v>182058.79938085674</v>
      </c>
      <c r="L25" s="18">
        <f>SUM(L23:L24)</f>
        <v>217967.82751035987</v>
      </c>
      <c r="M25" s="18">
        <f>SUM(M23:M24)</f>
        <v>246906.09231935552</v>
      </c>
    </row>
    <row r="28" spans="1:13">
      <c r="C28" s="1" t="s">
        <v>225</v>
      </c>
    </row>
    <row r="29" spans="1:13">
      <c r="C29" s="1" t="s">
        <v>226</v>
      </c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78" orientation="portrait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tabColor theme="9" tint="0.39997558519241921"/>
    <pageSetUpPr fitToPage="1"/>
  </sheetPr>
  <dimension ref="A1:M27"/>
  <sheetViews>
    <sheetView view="pageBreakPreview" zoomScaleSheetLayoutView="100" workbookViewId="0">
      <selection activeCell="F5" sqref="F5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32" style="1" customWidth="1"/>
    <col min="4" max="4" width="1.81640625" style="1" customWidth="1"/>
    <col min="5" max="5" width="9.1796875" style="4"/>
    <col min="6" max="6" width="1.81640625" style="1" customWidth="1"/>
    <col min="7" max="7" width="12.36328125" style="1" customWidth="1"/>
    <col min="8" max="8" width="1.81640625" style="1" customWidth="1"/>
    <col min="9" max="12" width="11.26953125" style="1" customWidth="1"/>
    <col min="13" max="13" width="12.7265625" style="1" customWidth="1"/>
    <col min="14" max="16384" width="9.1796875" style="1"/>
  </cols>
  <sheetData>
    <row r="1" spans="1:13" ht="15">
      <c r="A1" s="9" t="s">
        <v>0</v>
      </c>
      <c r="M1" s="193" t="s">
        <v>227</v>
      </c>
    </row>
    <row r="2" spans="1:13">
      <c r="A2" s="10" t="s">
        <v>228</v>
      </c>
      <c r="M2" s="194" t="str">
        <f>'Schedule 1'!$M$2</f>
        <v>2025-27 GRA</v>
      </c>
    </row>
    <row r="3" spans="1:13">
      <c r="A3" s="10" t="s">
        <v>7</v>
      </c>
    </row>
    <row r="6" spans="1:13" s="4" customFormat="1">
      <c r="G6" s="11"/>
      <c r="I6" s="11"/>
      <c r="J6" s="11"/>
      <c r="K6" s="8"/>
      <c r="L6" s="8"/>
      <c r="M6" s="8"/>
    </row>
    <row r="7" spans="1:13" s="13" customFormat="1" ht="37.5">
      <c r="A7" s="12" t="s">
        <v>8</v>
      </c>
      <c r="C7" s="12" t="s">
        <v>9</v>
      </c>
      <c r="E7" s="12" t="s">
        <v>10</v>
      </c>
      <c r="G7" s="12" t="str">
        <f>'Schedule 1'!G7</f>
        <v>2024 GRA
Compliance</v>
      </c>
      <c r="I7" s="12" t="str">
        <f>'Schedule 1'!I7</f>
        <v>Actual 2023</v>
      </c>
      <c r="J7" s="12" t="str">
        <f>'Schedule 1'!J7</f>
        <v>Prelim. Actual 2024</v>
      </c>
      <c r="K7" s="12" t="str">
        <f>'Schedule 1'!K7</f>
        <v>Forecast 2025</v>
      </c>
      <c r="L7" s="12" t="str">
        <f>'Schedule 1'!L7</f>
        <v>Forecast 2026</v>
      </c>
      <c r="M7" s="12" t="str">
        <f>'Schedule 1'!M7</f>
        <v>Forecast 2027</v>
      </c>
    </row>
    <row r="9" spans="1:13">
      <c r="A9" s="1">
        <v>1</v>
      </c>
      <c r="C9" s="1" t="s">
        <v>229</v>
      </c>
      <c r="E9" s="4" t="s">
        <v>171</v>
      </c>
      <c r="G9" s="14">
        <f>'Schedule 5'!G13</f>
        <v>21273.352770888741</v>
      </c>
      <c r="I9" s="14">
        <f>'Schedule 5'!I13</f>
        <v>15664.040690377304</v>
      </c>
      <c r="J9" s="14">
        <f>'Schedule 5'!J13</f>
        <v>18033.060374708322</v>
      </c>
      <c r="K9" s="14">
        <f>'Schedule 5'!K13</f>
        <v>23750.560260027403</v>
      </c>
      <c r="L9" s="14">
        <f>'Schedule 5'!L13</f>
        <v>30408.327900909921</v>
      </c>
      <c r="M9" s="14">
        <f>'Schedule 5'!M13</f>
        <v>37571.259211434633</v>
      </c>
    </row>
    <row r="10" spans="1:13">
      <c r="G10" s="14"/>
      <c r="I10" s="14"/>
      <c r="J10" s="14"/>
      <c r="K10" s="14"/>
      <c r="L10" s="14"/>
      <c r="M10" s="14"/>
    </row>
    <row r="11" spans="1:13">
      <c r="C11" s="1" t="s">
        <v>22</v>
      </c>
      <c r="G11" s="14"/>
      <c r="I11" s="14"/>
      <c r="J11" s="14"/>
      <c r="K11" s="14"/>
      <c r="L11" s="14"/>
      <c r="M11" s="14"/>
    </row>
    <row r="12" spans="1:13">
      <c r="A12" s="1">
        <v>2</v>
      </c>
      <c r="C12" s="62" t="s">
        <v>230</v>
      </c>
      <c r="E12" s="4" t="s">
        <v>231</v>
      </c>
      <c r="G12" s="14">
        <f>'Schedule 6'!G24</f>
        <v>3353.7710000000002</v>
      </c>
      <c r="I12" s="14">
        <f>'Schedule 6'!I24</f>
        <v>1840.008</v>
      </c>
      <c r="J12" s="14">
        <f>'Schedule 6'!J24</f>
        <v>2733.15</v>
      </c>
      <c r="K12" s="14">
        <f>'Schedule 6'!K24</f>
        <v>3735.0189999999998</v>
      </c>
      <c r="L12" s="14">
        <f>'Schedule 6'!L24</f>
        <v>3805.25</v>
      </c>
      <c r="M12" s="14">
        <f>'Schedule 6'!M24</f>
        <v>3254.3989999999999</v>
      </c>
    </row>
    <row r="13" spans="1:13">
      <c r="A13" s="1">
        <v>3</v>
      </c>
      <c r="C13" s="1" t="s">
        <v>232</v>
      </c>
      <c r="E13" s="4" t="s">
        <v>233</v>
      </c>
      <c r="G13" s="17">
        <f>'Schedule 6'!G25</f>
        <v>-3126.1452817654708</v>
      </c>
      <c r="I13" s="17">
        <f>'Schedule 6'!I25</f>
        <v>-1222.6091151365472</v>
      </c>
      <c r="J13" s="17">
        <f>'Schedule 6'!J25</f>
        <v>-5296.6144193124792</v>
      </c>
      <c r="K13" s="17">
        <f>'Schedule 6'!K25</f>
        <v>-3586.4018896274415</v>
      </c>
      <c r="L13" s="17">
        <f>'Schedule 6'!L25</f>
        <v>-4472.2583395892425</v>
      </c>
      <c r="M13" s="17">
        <f>'Schedule 6'!M25</f>
        <v>-4999.3206020560983</v>
      </c>
    </row>
    <row r="14" spans="1:13">
      <c r="G14" s="17">
        <f>SUM(G9:G13)</f>
        <v>21500.97848912327</v>
      </c>
      <c r="I14" s="17">
        <f>SUM(I9:I13)</f>
        <v>16281.439575240758</v>
      </c>
      <c r="J14" s="17">
        <f>SUM(J9:J13)</f>
        <v>15469.595955395846</v>
      </c>
      <c r="K14" s="17">
        <f>SUM(K9:K13)</f>
        <v>23899.177370399961</v>
      </c>
      <c r="L14" s="17">
        <f>SUM(L9:L13)</f>
        <v>29741.319561320677</v>
      </c>
      <c r="M14" s="17">
        <f>SUM(M9:M13)</f>
        <v>35826.337609378534</v>
      </c>
    </row>
    <row r="16" spans="1:13">
      <c r="C16" s="1" t="s">
        <v>221</v>
      </c>
    </row>
    <row r="17" spans="1:13">
      <c r="A17" s="1">
        <v>4</v>
      </c>
      <c r="C17" s="1" t="s">
        <v>234</v>
      </c>
      <c r="E17" s="4" t="s">
        <v>235</v>
      </c>
      <c r="G17" s="14">
        <f>'Schedule 6'!G29</f>
        <v>10157.427782419749</v>
      </c>
      <c r="I17" s="14">
        <f>'Schedule 6'!I29</f>
        <v>9479.2854949690009</v>
      </c>
      <c r="J17" s="14">
        <f>'Schedule 6'!J29</f>
        <v>10957.718278295368</v>
      </c>
      <c r="K17" s="14">
        <f>'Schedule 6'!K29</f>
        <v>10813.721397182826</v>
      </c>
      <c r="L17" s="14">
        <f>'Schedule 6'!L29</f>
        <v>12278.782774456209</v>
      </c>
      <c r="M17" s="14">
        <f>'Schedule 6'!M29</f>
        <v>14240.534158896135</v>
      </c>
    </row>
    <row r="18" spans="1:13">
      <c r="A18" s="1">
        <v>5</v>
      </c>
      <c r="C18" s="1" t="s">
        <v>188</v>
      </c>
      <c r="E18" s="4" t="s">
        <v>236</v>
      </c>
      <c r="G18" s="14">
        <f>-'Schedule 5'!G23</f>
        <v>120</v>
      </c>
      <c r="I18" s="14">
        <f>-'Schedule 5'!I23</f>
        <v>120.85194</v>
      </c>
      <c r="J18" s="14">
        <f>-'Schedule 5'!J23</f>
        <v>113.85104000000001</v>
      </c>
      <c r="K18" s="14">
        <f>-'Schedule 5'!K23</f>
        <v>119.99999999999987</v>
      </c>
      <c r="L18" s="14">
        <f>-'Schedule 5'!L23</f>
        <v>119.99999999999987</v>
      </c>
      <c r="M18" s="14">
        <f>-'Schedule 5'!M23</f>
        <v>122.39999999999986</v>
      </c>
    </row>
    <row r="19" spans="1:13">
      <c r="A19" s="1">
        <v>6</v>
      </c>
      <c r="C19" s="1" t="s">
        <v>237</v>
      </c>
      <c r="G19" s="63">
        <f>-'Schedule 5'!G24</f>
        <v>0</v>
      </c>
      <c r="I19" s="63">
        <f>-'Schedule 5'!I24</f>
        <v>0</v>
      </c>
      <c r="J19" s="63">
        <f>-'Schedule 5'!J24</f>
        <v>0</v>
      </c>
      <c r="K19" s="63">
        <f>-'Schedule 5'!K24</f>
        <v>0</v>
      </c>
      <c r="L19" s="63">
        <f>-'Schedule 5'!L24</f>
        <v>0</v>
      </c>
      <c r="M19" s="63">
        <f>-'Schedule 5'!M24</f>
        <v>0</v>
      </c>
    </row>
    <row r="20" spans="1:13">
      <c r="A20" s="1">
        <v>7</v>
      </c>
      <c r="C20" s="1" t="s">
        <v>187</v>
      </c>
      <c r="E20" s="4" t="s">
        <v>238</v>
      </c>
      <c r="G20" s="17">
        <f>-'Schedule 5'!G22</f>
        <v>51.155907444444438</v>
      </c>
      <c r="I20" s="17">
        <f>-'Schedule 5'!I22</f>
        <v>51.155907444444495</v>
      </c>
      <c r="J20" s="17">
        <f>-'Schedule 5'!J22</f>
        <v>51.155907444444495</v>
      </c>
      <c r="K20" s="17">
        <f>-'Schedule 5'!K22</f>
        <v>51.155907444444495</v>
      </c>
      <c r="L20" s="17">
        <f>-'Schedule 5'!L22</f>
        <v>51.155907444444495</v>
      </c>
      <c r="M20" s="17">
        <f>-'Schedule 5'!M22</f>
        <v>51.155907444444495</v>
      </c>
    </row>
    <row r="21" spans="1:13">
      <c r="G21" s="17">
        <f>SUM(G17:G20)</f>
        <v>10328.583689864194</v>
      </c>
      <c r="I21" s="17">
        <f>SUM(I17:I20)</f>
        <v>9651.2933424134462</v>
      </c>
      <c r="J21" s="17">
        <f>SUM(J17:J20)</f>
        <v>11122.725225739812</v>
      </c>
      <c r="K21" s="17">
        <f>SUM(K17:K20)</f>
        <v>10984.877304627271</v>
      </c>
      <c r="L21" s="17">
        <f>SUM(L17:L20)</f>
        <v>12449.938681900654</v>
      </c>
      <c r="M21" s="17">
        <f>SUM(M17:M20)</f>
        <v>14414.090066340579</v>
      </c>
    </row>
    <row r="22" spans="1:13">
      <c r="G22" s="35"/>
      <c r="I22" s="35"/>
      <c r="J22" s="35"/>
      <c r="K22" s="35"/>
      <c r="L22" s="35"/>
      <c r="M22" s="35"/>
    </row>
    <row r="23" spans="1:13">
      <c r="A23" s="1">
        <v>8</v>
      </c>
      <c r="C23" s="1" t="s">
        <v>212</v>
      </c>
      <c r="E23" s="4" t="s">
        <v>218</v>
      </c>
      <c r="G23" s="14">
        <f>G14-G21</f>
        <v>11172.394799259077</v>
      </c>
      <c r="I23" s="14">
        <f>I14-I21</f>
        <v>6630.1462328273119</v>
      </c>
      <c r="J23" s="14">
        <f>J14-J21</f>
        <v>4346.8707296560333</v>
      </c>
      <c r="K23" s="14">
        <f>K14-K21</f>
        <v>12914.30006577269</v>
      </c>
      <c r="L23" s="14">
        <f>L14-L21</f>
        <v>17291.380879420023</v>
      </c>
      <c r="M23" s="14">
        <f>M14-M21</f>
        <v>21412.247543037956</v>
      </c>
    </row>
    <row r="24" spans="1:13">
      <c r="G24" s="14"/>
      <c r="I24" s="14"/>
      <c r="J24" s="14"/>
      <c r="K24" s="14"/>
    </row>
    <row r="25" spans="1:13">
      <c r="G25" s="35"/>
      <c r="I25" s="35"/>
      <c r="J25" s="35"/>
      <c r="K25" s="35"/>
    </row>
    <row r="26" spans="1:13">
      <c r="G26" s="14"/>
      <c r="H26" s="14"/>
      <c r="I26" s="14"/>
      <c r="J26" s="14"/>
      <c r="K26" s="14"/>
      <c r="L26" s="14"/>
      <c r="M26" s="14"/>
    </row>
    <row r="27" spans="1:13">
      <c r="G27" s="14"/>
      <c r="I27" s="14"/>
      <c r="J27" s="14"/>
      <c r="K27" s="14"/>
      <c r="L27" s="14"/>
      <c r="M27" s="14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78" orientation="portrait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>
    <tabColor theme="9" tint="0.39997558519241921"/>
    <pageSetUpPr fitToPage="1"/>
  </sheetPr>
  <dimension ref="A1:N81"/>
  <sheetViews>
    <sheetView view="pageBreakPreview" zoomScaleSheetLayoutView="100" workbookViewId="0">
      <pane ySplit="7" topLeftCell="A8" activePane="bottomLeft" state="frozen"/>
      <selection activeCell="H18" sqref="H18"/>
      <selection pane="bottomLeft" activeCell="D14" sqref="D14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27.453125" style="1" customWidth="1"/>
    <col min="4" max="4" width="1.81640625" style="1" customWidth="1"/>
    <col min="5" max="5" width="11.90625" style="1" customWidth="1"/>
    <col min="6" max="6" width="1.81640625" style="1" customWidth="1"/>
    <col min="7" max="10" width="11.26953125" style="1" customWidth="1"/>
    <col min="11" max="11" width="12.54296875" style="1" customWidth="1"/>
    <col min="12" max="16384" width="9.1796875" style="1"/>
  </cols>
  <sheetData>
    <row r="1" spans="1:13" ht="15">
      <c r="A1" s="9" t="s">
        <v>0</v>
      </c>
      <c r="K1" s="193" t="s">
        <v>239</v>
      </c>
    </row>
    <row r="2" spans="1:13">
      <c r="A2" s="10" t="s">
        <v>240</v>
      </c>
      <c r="K2" s="194" t="str">
        <f>'Schedule 1'!$M$2</f>
        <v>2025-27 GRA</v>
      </c>
    </row>
    <row r="3" spans="1:13">
      <c r="A3" s="10" t="s">
        <v>7</v>
      </c>
    </row>
    <row r="4" spans="1:13">
      <c r="C4" s="64"/>
    </row>
    <row r="5" spans="1:13">
      <c r="C5" s="39"/>
    </row>
    <row r="6" spans="1:13" s="4" customFormat="1">
      <c r="C6" s="65"/>
      <c r="E6" s="11"/>
      <c r="G6" s="11"/>
      <c r="H6" s="11"/>
      <c r="I6" s="11"/>
      <c r="J6" s="11"/>
    </row>
    <row r="7" spans="1:13" s="13" customFormat="1" ht="37.5">
      <c r="A7" s="12" t="s">
        <v>8</v>
      </c>
      <c r="C7" s="12" t="s">
        <v>9</v>
      </c>
      <c r="E7" s="12" t="str">
        <f>'Schedule 1'!G7</f>
        <v>2024 GRA
Compliance</v>
      </c>
      <c r="G7" s="12" t="str">
        <f>'Schedule 1'!I7</f>
        <v>Actual 2023</v>
      </c>
      <c r="H7" s="12" t="str">
        <f>'Schedule 1'!J7</f>
        <v>Prelim. Actual 2024</v>
      </c>
      <c r="I7" s="12" t="str">
        <f>'Schedule 1'!K7</f>
        <v>Forecast 2025</v>
      </c>
      <c r="J7" s="12" t="str">
        <f>'Schedule 1'!L7</f>
        <v>Forecast 2026</v>
      </c>
      <c r="K7" s="12" t="str">
        <f>'Schedule 1'!M7</f>
        <v>Forecast 2027</v>
      </c>
    </row>
    <row r="8" spans="1:13">
      <c r="A8" s="1">
        <v>1</v>
      </c>
      <c r="C8" s="8" t="s">
        <v>241</v>
      </c>
      <c r="M8" s="66"/>
    </row>
    <row r="9" spans="1:13">
      <c r="A9" s="1">
        <v>2</v>
      </c>
      <c r="C9" s="67" t="s">
        <v>242</v>
      </c>
      <c r="E9" s="19">
        <v>1898.2087205643945</v>
      </c>
      <c r="G9" s="19">
        <v>1889.1666666666667</v>
      </c>
      <c r="H9" s="19">
        <v>1968.1666666666667</v>
      </c>
      <c r="I9" s="19">
        <v>2007.6549999999997</v>
      </c>
      <c r="J9" s="19">
        <v>2047.6480999999997</v>
      </c>
      <c r="K9" s="19">
        <v>2088.2410620000005</v>
      </c>
      <c r="M9" s="68"/>
    </row>
    <row r="10" spans="1:13">
      <c r="A10" s="1">
        <v>3</v>
      </c>
      <c r="C10" s="67" t="s">
        <v>243</v>
      </c>
      <c r="E10" s="19">
        <v>18090.339959899033</v>
      </c>
      <c r="G10" s="19">
        <v>17327.518319999999</v>
      </c>
      <c r="H10" s="19">
        <v>18988.966</v>
      </c>
      <c r="I10" s="19">
        <v>19368.745320000002</v>
      </c>
      <c r="J10" s="19">
        <v>19756.120226400002</v>
      </c>
      <c r="K10" s="19">
        <v>20151.242630927998</v>
      </c>
      <c r="M10" s="68"/>
    </row>
    <row r="11" spans="1:13">
      <c r="A11" s="1">
        <v>4</v>
      </c>
      <c r="C11" s="67" t="s">
        <v>244</v>
      </c>
      <c r="E11" s="69">
        <f>E10/E9</f>
        <v>9.5302164424364406</v>
      </c>
      <c r="G11" s="69">
        <f>G10/G9</f>
        <v>9.1720432218791341</v>
      </c>
      <c r="H11" s="69">
        <f>H10/H9</f>
        <v>9.6480477601829104</v>
      </c>
      <c r="I11" s="69">
        <f>I10/I9</f>
        <v>9.6474470563916626</v>
      </c>
      <c r="J11" s="69">
        <f>J10/J9</f>
        <v>9.6482008927217553</v>
      </c>
      <c r="K11" s="69">
        <f>K10/K9</f>
        <v>9.6498641836054428</v>
      </c>
      <c r="M11" s="68"/>
    </row>
    <row r="12" spans="1:13">
      <c r="A12" s="1">
        <v>5</v>
      </c>
      <c r="C12" s="67" t="s">
        <v>245</v>
      </c>
      <c r="D12" s="39"/>
      <c r="E12" s="19">
        <v>2610.7132577603902</v>
      </c>
      <c r="F12" s="39"/>
      <c r="G12" s="19">
        <v>2471.7111500000005</v>
      </c>
      <c r="H12" s="19">
        <v>2748.5566199999989</v>
      </c>
      <c r="I12" s="19">
        <v>2822.5968455111156</v>
      </c>
      <c r="J12" s="19">
        <v>2879.0487824213374</v>
      </c>
      <c r="K12" s="19">
        <v>2936.6297580697637</v>
      </c>
      <c r="M12" s="68"/>
    </row>
    <row r="13" spans="1:13">
      <c r="A13" s="1">
        <v>6</v>
      </c>
      <c r="C13" s="67" t="s">
        <v>246</v>
      </c>
      <c r="D13" s="64"/>
      <c r="E13" s="69">
        <f>E12/E10*100</f>
        <v>14.43153231806353</v>
      </c>
      <c r="F13" s="64"/>
      <c r="G13" s="69">
        <f>G12/G10*100</f>
        <v>14.264657548490767</v>
      </c>
      <c r="H13" s="69">
        <f>H12/H10*100</f>
        <v>14.474493345240594</v>
      </c>
      <c r="I13" s="69">
        <f>I12/I10*100</f>
        <v>14.572946253759278</v>
      </c>
      <c r="J13" s="69">
        <f>J12/J10*100</f>
        <v>14.572946253759275</v>
      </c>
      <c r="K13" s="69">
        <f>K12/K10*100</f>
        <v>14.572946253759275</v>
      </c>
      <c r="M13" s="68"/>
    </row>
    <row r="14" spans="1:13">
      <c r="A14" s="1">
        <v>7</v>
      </c>
      <c r="C14" s="8" t="s">
        <v>247</v>
      </c>
      <c r="E14" s="19"/>
      <c r="G14" s="19"/>
      <c r="H14" s="19"/>
      <c r="I14" s="19"/>
      <c r="J14" s="19"/>
      <c r="K14" s="19"/>
      <c r="M14" s="66"/>
    </row>
    <row r="15" spans="1:13">
      <c r="A15" s="1">
        <v>8</v>
      </c>
      <c r="C15" s="67" t="s">
        <v>242</v>
      </c>
      <c r="E15" s="19">
        <v>536.12350198263891</v>
      </c>
      <c r="G15" s="19">
        <v>560.66666666666663</v>
      </c>
      <c r="H15" s="19">
        <v>611.83333333333337</v>
      </c>
      <c r="I15" s="19">
        <v>618.39750000000004</v>
      </c>
      <c r="J15" s="19">
        <v>624.26980833333334</v>
      </c>
      <c r="K15" s="19">
        <v>630.20083974999977</v>
      </c>
      <c r="M15" s="68"/>
    </row>
    <row r="16" spans="1:13">
      <c r="A16" s="1">
        <v>9</v>
      </c>
      <c r="C16" s="67" t="s">
        <v>243</v>
      </c>
      <c r="E16" s="19">
        <v>44698.259126585959</v>
      </c>
      <c r="G16" s="19">
        <v>39502.035609999999</v>
      </c>
      <c r="H16" s="19">
        <v>39519.889000000003</v>
      </c>
      <c r="I16" s="19">
        <v>39780.75189</v>
      </c>
      <c r="J16" s="19">
        <v>40044.223408899998</v>
      </c>
      <c r="K16" s="19">
        <v>40310.329642989003</v>
      </c>
      <c r="M16" s="68"/>
    </row>
    <row r="17" spans="1:13">
      <c r="A17" s="1">
        <v>10</v>
      </c>
      <c r="C17" s="67" t="s">
        <v>244</v>
      </c>
      <c r="E17" s="69">
        <f>E16/E15</f>
        <v>83.373064156462604</v>
      </c>
      <c r="G17" s="69">
        <f>G16/G15</f>
        <v>70.455473739595718</v>
      </c>
      <c r="H17" s="69">
        <f>H16/H15</f>
        <v>64.592572596022876</v>
      </c>
      <c r="I17" s="69">
        <f>I16/I15</f>
        <v>64.328772173238079</v>
      </c>
      <c r="J17" s="69">
        <f>J16/J15</f>
        <v>64.145699302372947</v>
      </c>
      <c r="K17" s="69">
        <f>K16/K15</f>
        <v>63.96425885274936</v>
      </c>
      <c r="M17" s="68"/>
    </row>
    <row r="18" spans="1:13">
      <c r="A18" s="1">
        <v>11</v>
      </c>
      <c r="C18" s="67" t="s">
        <v>245</v>
      </c>
      <c r="E18" s="19">
        <v>7175.0888690444954</v>
      </c>
      <c r="G18" s="19">
        <v>6475.8341599999912</v>
      </c>
      <c r="H18" s="19">
        <v>6859.5120999999999</v>
      </c>
      <c r="I18" s="19">
        <v>6495.5549516763685</v>
      </c>
      <c r="J18" s="19">
        <v>6539.085131146453</v>
      </c>
      <c r="K18" s="19">
        <v>6583.0506124112408</v>
      </c>
      <c r="M18" s="68"/>
    </row>
    <row r="19" spans="1:13">
      <c r="A19" s="1">
        <v>12</v>
      </c>
      <c r="C19" s="67" t="s">
        <v>246</v>
      </c>
      <c r="E19" s="69">
        <f>E18/E16*100</f>
        <v>16.052278118314554</v>
      </c>
      <c r="G19" s="69">
        <f>G18/G16*100</f>
        <v>16.393672022209973</v>
      </c>
      <c r="H19" s="69">
        <f>H18/H16*100</f>
        <v>17.357113781367147</v>
      </c>
      <c r="I19" s="69">
        <f>I18/I16*100</f>
        <v>16.32838657659763</v>
      </c>
      <c r="J19" s="69">
        <f>J18/J16*100</f>
        <v>16.329658998189274</v>
      </c>
      <c r="K19" s="69">
        <f>K18/K16*100</f>
        <v>16.330927260368362</v>
      </c>
      <c r="M19" s="68"/>
    </row>
    <row r="20" spans="1:13">
      <c r="A20" s="1">
        <v>13</v>
      </c>
      <c r="C20" s="8" t="s">
        <v>248</v>
      </c>
      <c r="E20" s="19"/>
      <c r="G20" s="19"/>
      <c r="H20" s="19"/>
      <c r="I20" s="19"/>
      <c r="J20" s="19"/>
      <c r="K20" s="19"/>
      <c r="M20" s="66"/>
    </row>
    <row r="21" spans="1:13">
      <c r="A21" s="1">
        <v>14</v>
      </c>
      <c r="C21" s="67" t="s">
        <v>243</v>
      </c>
      <c r="E21" s="19">
        <v>69367.817880341725</v>
      </c>
      <c r="G21" s="19">
        <v>74498.325999999972</v>
      </c>
      <c r="H21" s="19">
        <v>46126.720000000016</v>
      </c>
      <c r="I21" s="19">
        <v>42795.943480341724</v>
      </c>
      <c r="J21" s="19">
        <v>42795.943480341724</v>
      </c>
      <c r="K21" s="19">
        <v>42795.943480341724</v>
      </c>
      <c r="M21" s="68"/>
    </row>
    <row r="22" spans="1:13">
      <c r="A22" s="1">
        <v>15</v>
      </c>
      <c r="C22" s="67" t="s">
        <v>245</v>
      </c>
      <c r="E22" s="19">
        <v>8808.7146814176231</v>
      </c>
      <c r="G22" s="19">
        <v>9585.901828459997</v>
      </c>
      <c r="H22" s="19">
        <v>6887.8961032000007</v>
      </c>
      <c r="I22" s="19">
        <v>5724.2993867967334</v>
      </c>
      <c r="J22" s="19">
        <v>5628.0217867967331</v>
      </c>
      <c r="K22" s="19">
        <v>5628.0217867967331</v>
      </c>
      <c r="M22" s="68"/>
    </row>
    <row r="23" spans="1:13">
      <c r="A23" s="1">
        <v>16</v>
      </c>
      <c r="C23" s="67" t="s">
        <v>246</v>
      </c>
      <c r="E23" s="69">
        <f>E22/E21*100</f>
        <v>12.698561019480966</v>
      </c>
      <c r="G23" s="69">
        <f>G22/G21*100</f>
        <v>12.867271445079185</v>
      </c>
      <c r="H23" s="69">
        <f>H22/H21*100</f>
        <v>14.93255124838705</v>
      </c>
      <c r="I23" s="69">
        <f>I22/I21*100</f>
        <v>13.375799015685178</v>
      </c>
      <c r="J23" s="69">
        <f>J22/J21*100</f>
        <v>13.150830029911504</v>
      </c>
      <c r="K23" s="69">
        <f>K22/K21*100</f>
        <v>13.150830029911504</v>
      </c>
      <c r="M23" s="68"/>
    </row>
    <row r="24" spans="1:13">
      <c r="A24" s="1">
        <v>17</v>
      </c>
      <c r="C24" s="8" t="s">
        <v>249</v>
      </c>
      <c r="E24" s="19"/>
      <c r="G24" s="19"/>
      <c r="H24" s="19"/>
      <c r="I24" s="19"/>
      <c r="J24" s="19"/>
      <c r="K24" s="19"/>
      <c r="M24" s="66"/>
    </row>
    <row r="25" spans="1:13">
      <c r="A25" s="1">
        <v>18</v>
      </c>
      <c r="C25" s="67" t="s">
        <v>243</v>
      </c>
      <c r="E25" s="19">
        <v>168.18</v>
      </c>
      <c r="G25" s="19">
        <v>167.70400000000001</v>
      </c>
      <c r="H25" s="19">
        <v>172.465</v>
      </c>
      <c r="I25" s="19">
        <v>171.29300000000001</v>
      </c>
      <c r="J25" s="19">
        <v>171.29300000000001</v>
      </c>
      <c r="K25" s="19">
        <v>171.29300000000001</v>
      </c>
      <c r="M25" s="68"/>
    </row>
    <row r="26" spans="1:13">
      <c r="A26" s="1">
        <v>19</v>
      </c>
      <c r="C26" s="67" t="s">
        <v>245</v>
      </c>
      <c r="D26" s="28"/>
      <c r="E26" s="19">
        <v>82.172530000000009</v>
      </c>
      <c r="F26" s="28"/>
      <c r="G26" s="19">
        <v>82.824780000000018</v>
      </c>
      <c r="H26" s="19">
        <v>83.222580000000008</v>
      </c>
      <c r="I26" s="19">
        <v>83.222580000000008</v>
      </c>
      <c r="J26" s="19">
        <v>83.222580000000008</v>
      </c>
      <c r="K26" s="19">
        <v>83.222580000000008</v>
      </c>
      <c r="M26" s="68"/>
    </row>
    <row r="27" spans="1:13">
      <c r="A27" s="1">
        <v>20</v>
      </c>
      <c r="C27" s="67" t="s">
        <v>246</v>
      </c>
      <c r="E27" s="69">
        <f>E26/E25*100</f>
        <v>48.859870376977049</v>
      </c>
      <c r="G27" s="69">
        <f>G26/G25*100</f>
        <v>49.387480322472939</v>
      </c>
      <c r="H27" s="69">
        <f>H26/H25*100</f>
        <v>48.254764734873746</v>
      </c>
      <c r="I27" s="69">
        <f>I26/I25*100</f>
        <v>48.584927580228033</v>
      </c>
      <c r="J27" s="69">
        <f>J26/J25*100</f>
        <v>48.584927580228033</v>
      </c>
      <c r="K27" s="69">
        <f>K26/K25*100</f>
        <v>48.584927580228033</v>
      </c>
      <c r="M27" s="68"/>
    </row>
    <row r="28" spans="1:13">
      <c r="A28" s="1">
        <v>21</v>
      </c>
      <c r="C28" s="8" t="s">
        <v>250</v>
      </c>
      <c r="E28" s="19"/>
      <c r="G28" s="19"/>
      <c r="H28" s="19"/>
      <c r="I28" s="19"/>
      <c r="J28" s="19"/>
      <c r="K28" s="19"/>
      <c r="M28" s="66"/>
    </row>
    <row r="29" spans="1:13">
      <c r="A29" s="1">
        <v>22</v>
      </c>
      <c r="C29" s="67" t="s">
        <v>243</v>
      </c>
      <c r="E29" s="19">
        <v>8.8439999999999994</v>
      </c>
      <c r="G29" s="19">
        <v>8.6440000000000001</v>
      </c>
      <c r="H29" s="19">
        <v>9.968</v>
      </c>
      <c r="I29" s="19">
        <v>9.82</v>
      </c>
      <c r="J29" s="19">
        <v>9.82</v>
      </c>
      <c r="K29" s="19">
        <v>9.82</v>
      </c>
      <c r="M29" s="68"/>
    </row>
    <row r="30" spans="1:13">
      <c r="A30" s="1">
        <v>23</v>
      </c>
      <c r="C30" s="67" t="s">
        <v>245</v>
      </c>
      <c r="E30" s="19">
        <v>2.4143700000000003</v>
      </c>
      <c r="G30" s="19">
        <v>2.5282800000000001</v>
      </c>
      <c r="H30" s="19">
        <v>2.6421199999999998</v>
      </c>
      <c r="I30" s="19">
        <v>2.6421199999999998</v>
      </c>
      <c r="J30" s="19">
        <v>2.6421199999999998</v>
      </c>
      <c r="K30" s="19">
        <v>2.6421199999999998</v>
      </c>
      <c r="M30" s="68"/>
    </row>
    <row r="31" spans="1:13">
      <c r="A31" s="1">
        <v>24</v>
      </c>
      <c r="C31" s="67" t="s">
        <v>246</v>
      </c>
      <c r="E31" s="69">
        <f>E30/E29*100</f>
        <v>27.299525101763916</v>
      </c>
      <c r="G31" s="69">
        <f>G30/G29*100</f>
        <v>29.248958815363256</v>
      </c>
      <c r="H31" s="69">
        <f>H30/H29*100</f>
        <v>26.506019261637238</v>
      </c>
      <c r="I31" s="69">
        <f>I30/I29*100</f>
        <v>26.905498981670057</v>
      </c>
      <c r="J31" s="69">
        <f>J30/J29*100</f>
        <v>26.905498981670057</v>
      </c>
      <c r="K31" s="69">
        <f>K30/K29*100</f>
        <v>26.905498981670057</v>
      </c>
      <c r="M31" s="68"/>
    </row>
    <row r="32" spans="1:13">
      <c r="A32" s="1">
        <v>25</v>
      </c>
      <c r="C32" s="8" t="s">
        <v>251</v>
      </c>
      <c r="E32" s="19"/>
      <c r="G32" s="19"/>
      <c r="H32" s="19"/>
      <c r="I32" s="19"/>
      <c r="J32" s="19"/>
      <c r="K32" s="19"/>
      <c r="M32" s="71"/>
    </row>
    <row r="33" spans="1:13">
      <c r="A33" s="1">
        <v>26</v>
      </c>
      <c r="C33" s="67" t="s">
        <v>242</v>
      </c>
      <c r="E33" s="72">
        <f t="shared" ref="E33" si="0">E9+E15</f>
        <v>2434.3322225470333</v>
      </c>
      <c r="G33" s="72">
        <f t="shared" ref="G33:H33" si="1">G9+G15</f>
        <v>2449.8333333333335</v>
      </c>
      <c r="H33" s="72">
        <f t="shared" si="1"/>
        <v>2580</v>
      </c>
      <c r="I33" s="72">
        <f t="shared" ref="I33:K33" si="2">I9+I15</f>
        <v>2626.0524999999998</v>
      </c>
      <c r="J33" s="72">
        <f t="shared" si="2"/>
        <v>2671.9179083333329</v>
      </c>
      <c r="K33" s="72">
        <f t="shared" si="2"/>
        <v>2718.4419017500004</v>
      </c>
      <c r="M33" s="68"/>
    </row>
    <row r="34" spans="1:13">
      <c r="A34" s="1">
        <v>27</v>
      </c>
      <c r="C34" s="67" t="s">
        <v>243</v>
      </c>
      <c r="E34" s="72">
        <f t="shared" ref="E34" si="3">E10+E16+E21+E25+E29</f>
        <v>132333.44096682672</v>
      </c>
      <c r="G34" s="72">
        <f t="shared" ref="G34:H34" si="4">G10+G16+G21+G25+G29</f>
        <v>131504.22792999996</v>
      </c>
      <c r="H34" s="72">
        <f t="shared" si="4"/>
        <v>104818.008</v>
      </c>
      <c r="I34" s="72">
        <f t="shared" ref="I34:K34" si="5">I10+I16+I21+I25+I29</f>
        <v>102126.55369034174</v>
      </c>
      <c r="J34" s="72">
        <f t="shared" si="5"/>
        <v>102777.40011564174</v>
      </c>
      <c r="K34" s="72">
        <f t="shared" si="5"/>
        <v>103438.62875425874</v>
      </c>
      <c r="M34" s="68"/>
    </row>
    <row r="35" spans="1:13">
      <c r="A35" s="1">
        <v>28</v>
      </c>
      <c r="C35" s="67" t="s">
        <v>245</v>
      </c>
      <c r="E35" s="72">
        <f t="shared" ref="E35" si="6">E12+E18+E22+E26+E30</f>
        <v>18679.103708222505</v>
      </c>
      <c r="G35" s="72">
        <f t="shared" ref="G35:H35" si="7">G12+G18+G22+G26+G30</f>
        <v>18618.800198459987</v>
      </c>
      <c r="H35" s="72">
        <f t="shared" si="7"/>
        <v>16581.829523200002</v>
      </c>
      <c r="I35" s="72">
        <f t="shared" ref="I35:K35" si="8">I12+I18+I22+I26+I30</f>
        <v>15128.315883984216</v>
      </c>
      <c r="J35" s="72">
        <f t="shared" si="8"/>
        <v>15132.020400364523</v>
      </c>
      <c r="K35" s="72">
        <f t="shared" si="8"/>
        <v>15233.566857277738</v>
      </c>
      <c r="M35" s="68"/>
    </row>
    <row r="36" spans="1:13">
      <c r="A36" s="1">
        <v>29</v>
      </c>
      <c r="C36" s="67" t="s">
        <v>246</v>
      </c>
      <c r="E36" s="90">
        <f t="shared" ref="E36" si="9">SUM(E35/E34)*100</f>
        <v>14.11518023845913</v>
      </c>
      <c r="G36" s="90">
        <f t="shared" ref="G36:H36" si="10">SUM(G35/G34)*100</f>
        <v>14.158328208558299</v>
      </c>
      <c r="H36" s="90">
        <f t="shared" si="10"/>
        <v>15.819638094248081</v>
      </c>
      <c r="I36" s="90">
        <f t="shared" ref="I36:K36" si="11">SUM(I35/I34)*100</f>
        <v>14.813303041493825</v>
      </c>
      <c r="J36" s="90">
        <f t="shared" si="11"/>
        <v>14.723100976808592</v>
      </c>
      <c r="K36" s="90">
        <f t="shared" si="11"/>
        <v>14.727154681708351</v>
      </c>
      <c r="M36" s="68"/>
    </row>
    <row r="37" spans="1:13">
      <c r="A37" s="1">
        <v>30</v>
      </c>
      <c r="C37" s="8" t="s">
        <v>252</v>
      </c>
      <c r="E37" s="19"/>
      <c r="G37" s="19"/>
      <c r="H37" s="19"/>
      <c r="I37" s="19"/>
      <c r="J37" s="19"/>
      <c r="K37" s="19"/>
      <c r="M37" s="66"/>
    </row>
    <row r="38" spans="1:13">
      <c r="A38" s="1">
        <v>31</v>
      </c>
      <c r="C38" s="67" t="s">
        <v>243</v>
      </c>
      <c r="E38" s="19">
        <v>362365.08968331735</v>
      </c>
      <c r="G38" s="19">
        <v>347703.94134344504</v>
      </c>
      <c r="H38" s="19">
        <v>374830.9191308131</v>
      </c>
      <c r="I38" s="19">
        <v>373661.72433434631</v>
      </c>
      <c r="J38" s="19">
        <v>381928.91553150013</v>
      </c>
      <c r="K38" s="19">
        <v>390419.54533434892</v>
      </c>
      <c r="M38" s="68"/>
    </row>
    <row r="39" spans="1:13">
      <c r="A39" s="1">
        <v>32</v>
      </c>
      <c r="C39" s="67" t="s">
        <v>245</v>
      </c>
      <c r="E39" s="19">
        <v>30069.055141921675</v>
      </c>
      <c r="G39" s="19">
        <v>28852.473052679074</v>
      </c>
      <c r="H39" s="19">
        <v>31103.469669474878</v>
      </c>
      <c r="I39" s="19">
        <v>31006.449885264057</v>
      </c>
      <c r="J39" s="19">
        <v>31692.46141080387</v>
      </c>
      <c r="K39" s="19">
        <v>32397.013871844272</v>
      </c>
      <c r="M39" s="68"/>
    </row>
    <row r="40" spans="1:13">
      <c r="A40" s="1">
        <v>33</v>
      </c>
      <c r="C40" s="67" t="s">
        <v>246</v>
      </c>
      <c r="E40" s="69">
        <f>E39/E38*100</f>
        <v>8.2980000000000018</v>
      </c>
      <c r="G40" s="69">
        <f>G39/G38*100</f>
        <v>8.2980000000000018</v>
      </c>
      <c r="H40" s="69">
        <f>H39/H38*100</f>
        <v>8.2980000000000018</v>
      </c>
      <c r="I40" s="69">
        <f>I39/I38*100</f>
        <v>8.298</v>
      </c>
      <c r="J40" s="69">
        <f>J39/J38*100</f>
        <v>8.2979999999999965</v>
      </c>
      <c r="K40" s="69">
        <f>K39/K38*100</f>
        <v>8.298</v>
      </c>
      <c r="M40" s="68"/>
    </row>
    <row r="41" spans="1:13">
      <c r="A41" s="1">
        <v>34</v>
      </c>
      <c r="C41" s="8" t="s">
        <v>253</v>
      </c>
      <c r="E41" s="19"/>
      <c r="G41" s="19"/>
      <c r="H41" s="19"/>
      <c r="I41" s="19"/>
      <c r="J41" s="19"/>
      <c r="K41" s="19"/>
      <c r="M41" s="71"/>
    </row>
    <row r="42" spans="1:13">
      <c r="A42" s="1">
        <v>35</v>
      </c>
      <c r="C42" s="67" t="s">
        <v>243</v>
      </c>
      <c r="E42" s="72">
        <f t="shared" ref="E42:E43" si="12">E34+E38</f>
        <v>494698.53065014409</v>
      </c>
      <c r="G42" s="72">
        <f t="shared" ref="G42:H42" si="13">G34+G38</f>
        <v>479208.16927344503</v>
      </c>
      <c r="H42" s="72">
        <f t="shared" si="13"/>
        <v>479648.92713081313</v>
      </c>
      <c r="I42" s="72">
        <f t="shared" ref="I42:K42" si="14">I34+I38</f>
        <v>475788.27802468801</v>
      </c>
      <c r="J42" s="72">
        <f t="shared" si="14"/>
        <v>484706.31564714189</v>
      </c>
      <c r="K42" s="72">
        <f t="shared" si="14"/>
        <v>493858.17408860766</v>
      </c>
      <c r="M42" s="68"/>
    </row>
    <row r="43" spans="1:13">
      <c r="A43" s="1">
        <v>36</v>
      </c>
      <c r="C43" s="67" t="s">
        <v>245</v>
      </c>
      <c r="E43" s="72">
        <f t="shared" si="12"/>
        <v>48748.15885014418</v>
      </c>
      <c r="G43" s="72">
        <f t="shared" ref="G43:H43" si="15">G35+G39</f>
        <v>47471.273251139064</v>
      </c>
      <c r="H43" s="72">
        <f t="shared" si="15"/>
        <v>47685.29919267488</v>
      </c>
      <c r="I43" s="72">
        <f t="shared" ref="I43:K43" si="16">I35+I39</f>
        <v>46134.765769248275</v>
      </c>
      <c r="J43" s="72">
        <f t="shared" si="16"/>
        <v>46824.481811168393</v>
      </c>
      <c r="K43" s="72">
        <f t="shared" si="16"/>
        <v>47630.580729122012</v>
      </c>
      <c r="M43" s="68"/>
    </row>
    <row r="44" spans="1:13">
      <c r="A44" s="1">
        <v>37</v>
      </c>
      <c r="C44" s="67" t="s">
        <v>246</v>
      </c>
      <c r="E44" s="70">
        <f t="shared" ref="E44" si="17">E43/E42*100</f>
        <v>9.8541143403191924</v>
      </c>
      <c r="G44" s="70">
        <f t="shared" ref="G44:H44" si="18">G43/G42*100</f>
        <v>9.90619031455849</v>
      </c>
      <c r="H44" s="70">
        <f t="shared" si="18"/>
        <v>9.9417087155643369</v>
      </c>
      <c r="I44" s="70">
        <f t="shared" ref="I44:K44" si="19">I43/I42*100</f>
        <v>9.6964906241036921</v>
      </c>
      <c r="J44" s="70">
        <f t="shared" si="19"/>
        <v>9.6603820291988587</v>
      </c>
      <c r="K44" s="70">
        <f t="shared" si="19"/>
        <v>9.6445868931950027</v>
      </c>
      <c r="M44" s="68"/>
    </row>
    <row r="45" spans="1:13">
      <c r="A45" s="1">
        <v>38</v>
      </c>
      <c r="C45" s="8" t="s">
        <v>254</v>
      </c>
      <c r="E45" s="19"/>
      <c r="G45" s="19"/>
      <c r="H45" s="19"/>
      <c r="I45" s="19"/>
      <c r="J45" s="19"/>
      <c r="K45" s="19"/>
      <c r="M45" s="66"/>
    </row>
    <row r="46" spans="1:13">
      <c r="A46" s="1">
        <v>39</v>
      </c>
      <c r="C46" s="67" t="s">
        <v>243</v>
      </c>
      <c r="E46" s="19">
        <v>2931.11</v>
      </c>
      <c r="G46" s="19">
        <v>2213.77</v>
      </c>
      <c r="H46" s="19">
        <v>3698.66</v>
      </c>
      <c r="I46" s="19">
        <v>2931.11</v>
      </c>
      <c r="J46" s="19">
        <v>2931.11</v>
      </c>
      <c r="K46" s="19">
        <v>2931.11</v>
      </c>
      <c r="M46" s="68"/>
    </row>
    <row r="47" spans="1:13">
      <c r="A47" s="1">
        <v>40</v>
      </c>
      <c r="C47" s="67" t="s">
        <v>245</v>
      </c>
      <c r="E47" s="19">
        <v>357.59541999999999</v>
      </c>
      <c r="G47" s="19">
        <v>226.66228999999998</v>
      </c>
      <c r="H47" s="19">
        <v>378.854805</v>
      </c>
      <c r="I47" s="19">
        <v>287.24878000000001</v>
      </c>
      <c r="J47" s="19">
        <v>287.24878000000001</v>
      </c>
      <c r="K47" s="19">
        <v>287.24878000000001</v>
      </c>
      <c r="M47" s="68"/>
    </row>
    <row r="48" spans="1:13">
      <c r="A48" s="1">
        <v>41</v>
      </c>
      <c r="C48" s="67" t="s">
        <v>246</v>
      </c>
      <c r="E48" s="70">
        <f>IFERROR(E47/E46*100,0)</f>
        <v>12.2</v>
      </c>
      <c r="G48" s="70">
        <f t="shared" ref="G48:H48" si="20">G47/G46*100</f>
        <v>10.238746120870731</v>
      </c>
      <c r="H48" s="70">
        <f t="shared" si="20"/>
        <v>10.243028691472048</v>
      </c>
      <c r="I48" s="70">
        <f t="shared" ref="I48:K48" si="21">I47/I46*100</f>
        <v>9.8000000000000007</v>
      </c>
      <c r="J48" s="70">
        <f t="shared" si="21"/>
        <v>9.8000000000000007</v>
      </c>
      <c r="K48" s="70">
        <f t="shared" si="21"/>
        <v>9.8000000000000007</v>
      </c>
      <c r="M48" s="68"/>
    </row>
    <row r="49" spans="1:14">
      <c r="A49" s="1">
        <v>42</v>
      </c>
      <c r="C49" s="8" t="s">
        <v>255</v>
      </c>
      <c r="E49" s="19"/>
      <c r="G49" s="19"/>
      <c r="H49" s="19"/>
      <c r="I49" s="19"/>
      <c r="J49" s="19"/>
      <c r="K49" s="19"/>
      <c r="M49" s="66"/>
    </row>
    <row r="50" spans="1:14">
      <c r="A50" s="1">
        <v>43</v>
      </c>
      <c r="C50" s="67" t="s">
        <v>243</v>
      </c>
      <c r="E50" s="19">
        <f t="shared" ref="E50:E51" si="22">E42+E46</f>
        <v>497629.64065014408</v>
      </c>
      <c r="G50" s="19">
        <f t="shared" ref="G50:H50" si="23">G42+G46</f>
        <v>481421.93927344505</v>
      </c>
      <c r="H50" s="19">
        <f t="shared" si="23"/>
        <v>483347.5871308131</v>
      </c>
      <c r="I50" s="19">
        <f t="shared" ref="I50:K50" si="24">I42+I46</f>
        <v>478719.388024688</v>
      </c>
      <c r="J50" s="19">
        <f t="shared" si="24"/>
        <v>487637.42564714188</v>
      </c>
      <c r="K50" s="19">
        <f t="shared" si="24"/>
        <v>496789.28408860764</v>
      </c>
      <c r="M50" s="68"/>
    </row>
    <row r="51" spans="1:14">
      <c r="A51" s="1">
        <v>44</v>
      </c>
      <c r="C51" s="67" t="s">
        <v>245</v>
      </c>
      <c r="E51" s="19">
        <f t="shared" si="22"/>
        <v>49105.754270144178</v>
      </c>
      <c r="G51" s="19">
        <f t="shared" ref="G51:H51" si="25">G43+G47</f>
        <v>47697.935541139064</v>
      </c>
      <c r="H51" s="19">
        <f t="shared" si="25"/>
        <v>48064.153997674883</v>
      </c>
      <c r="I51" s="19">
        <f t="shared" ref="I51:K51" si="26">I43+I47</f>
        <v>46422.014549248277</v>
      </c>
      <c r="J51" s="19">
        <f t="shared" si="26"/>
        <v>47111.730591168394</v>
      </c>
      <c r="K51" s="19">
        <f t="shared" si="26"/>
        <v>47917.829509122013</v>
      </c>
      <c r="M51" s="68"/>
    </row>
    <row r="52" spans="1:14">
      <c r="A52" s="1">
        <v>45</v>
      </c>
      <c r="C52" s="67" t="s">
        <v>246</v>
      </c>
      <c r="E52" s="70">
        <f t="shared" ref="E52" si="27">E51/E50*100</f>
        <v>9.8679319435209685</v>
      </c>
      <c r="G52" s="70">
        <f t="shared" ref="G52:H52" si="28">G51/G50*100</f>
        <v>9.9077195387322998</v>
      </c>
      <c r="H52" s="70">
        <f t="shared" si="28"/>
        <v>9.9440144685498986</v>
      </c>
      <c r="I52" s="70">
        <f t="shared" ref="I52:K52" si="29">I51/I50*100</f>
        <v>9.6971243928090605</v>
      </c>
      <c r="J52" s="70">
        <f t="shared" si="29"/>
        <v>9.661221250326836</v>
      </c>
      <c r="K52" s="70">
        <f t="shared" si="29"/>
        <v>9.6455038471754477</v>
      </c>
      <c r="M52" s="68"/>
    </row>
    <row r="53" spans="1:14">
      <c r="E53" s="19"/>
      <c r="G53" s="19"/>
      <c r="H53" s="19"/>
      <c r="I53" s="19"/>
      <c r="J53" s="19"/>
      <c r="K53" s="19"/>
    </row>
    <row r="54" spans="1:14">
      <c r="A54" s="1">
        <v>46</v>
      </c>
      <c r="C54" s="73" t="s">
        <v>256</v>
      </c>
      <c r="E54" s="19">
        <v>26194.153610012567</v>
      </c>
      <c r="G54" s="19">
        <v>25432.049412371605</v>
      </c>
      <c r="H54" s="19">
        <v>35153.561554530083</v>
      </c>
      <c r="I54" s="19">
        <v>40953.948779161503</v>
      </c>
      <c r="J54" s="19">
        <v>41680.714785191347</v>
      </c>
      <c r="K54" s="19">
        <v>42474.037484450637</v>
      </c>
    </row>
    <row r="55" spans="1:14" ht="4" customHeight="1">
      <c r="C55" s="73"/>
      <c r="E55" s="19"/>
      <c r="G55" s="19"/>
      <c r="H55" s="19"/>
      <c r="I55" s="19"/>
      <c r="J55" s="19"/>
      <c r="K55" s="19"/>
    </row>
    <row r="56" spans="1:14">
      <c r="A56" s="1">
        <f>A54+1</f>
        <v>47</v>
      </c>
      <c r="C56" s="73" t="s">
        <v>257</v>
      </c>
      <c r="E56" s="19">
        <v>15649.999999999998</v>
      </c>
      <c r="G56" s="19"/>
      <c r="H56" s="19"/>
      <c r="I56" s="19">
        <v>19603</v>
      </c>
      <c r="J56" s="19">
        <v>33201</v>
      </c>
      <c r="K56" s="19">
        <v>44045</v>
      </c>
    </row>
    <row r="57" spans="1:14">
      <c r="E57" s="19"/>
      <c r="G57" s="19"/>
      <c r="H57" s="19"/>
      <c r="I57" s="19"/>
      <c r="J57" s="19"/>
      <c r="K57" s="19"/>
    </row>
    <row r="58" spans="1:14" ht="13" thickBot="1">
      <c r="A58" s="1">
        <f>A56+1</f>
        <v>48</v>
      </c>
      <c r="C58" s="73" t="s">
        <v>258</v>
      </c>
      <c r="E58" s="74">
        <f t="shared" ref="E58:G58" si="30">E54+E51+E56</f>
        <v>90949.907880156738</v>
      </c>
      <c r="G58" s="74">
        <f t="shared" si="30"/>
        <v>73129.984953510662</v>
      </c>
      <c r="H58" s="74">
        <f>H54+H51+H56</f>
        <v>83217.715552204958</v>
      </c>
      <c r="I58" s="74">
        <f>I54+I51+I56</f>
        <v>106978.96332840978</v>
      </c>
      <c r="J58" s="74">
        <f t="shared" ref="J58:K58" si="31">J54+J51+J56</f>
        <v>121993.44537635974</v>
      </c>
      <c r="K58" s="74">
        <f t="shared" si="31"/>
        <v>134436.86699357265</v>
      </c>
      <c r="M58" s="19"/>
      <c r="N58" s="19"/>
    </row>
    <row r="59" spans="1:14">
      <c r="C59" s="73"/>
      <c r="E59" s="19"/>
      <c r="G59" s="19"/>
      <c r="H59" s="19"/>
      <c r="I59" s="19"/>
      <c r="J59" s="19"/>
      <c r="K59" s="19"/>
    </row>
    <row r="60" spans="1:14">
      <c r="A60" s="1">
        <f>A58+1</f>
        <v>49</v>
      </c>
      <c r="C60" s="73" t="s">
        <v>259</v>
      </c>
      <c r="E60" s="19">
        <v>394.26620666666668</v>
      </c>
      <c r="G60" s="19">
        <v>192.08391999999998</v>
      </c>
      <c r="H60" s="19">
        <v>510.46771000000001</v>
      </c>
      <c r="I60" s="19">
        <v>412.8</v>
      </c>
      <c r="J60" s="19">
        <v>412.8</v>
      </c>
      <c r="K60" s="19">
        <v>412.8</v>
      </c>
    </row>
    <row r="61" spans="1:14">
      <c r="C61" s="73"/>
      <c r="E61" s="19"/>
      <c r="G61" s="19"/>
      <c r="H61" s="19"/>
      <c r="I61" s="19"/>
      <c r="J61" s="19"/>
      <c r="K61" s="19"/>
    </row>
    <row r="62" spans="1:14">
      <c r="A62" s="1">
        <f>A60+1</f>
        <v>50</v>
      </c>
      <c r="C62" s="73" t="s">
        <v>260</v>
      </c>
      <c r="E62" s="19">
        <f t="shared" ref="E62" si="32">E58+E60</f>
        <v>91344.174086823405</v>
      </c>
      <c r="G62" s="19">
        <f t="shared" ref="G62" si="33">G58+G60</f>
        <v>73322.068873510667</v>
      </c>
      <c r="H62" s="19">
        <f t="shared" ref="H62:I62" si="34">H58+H60</f>
        <v>83728.183262204955</v>
      </c>
      <c r="I62" s="19">
        <f t="shared" si="34"/>
        <v>107391.76332840978</v>
      </c>
      <c r="J62" s="19">
        <f t="shared" ref="J62:K62" si="35">J58+J60</f>
        <v>122406.24537635974</v>
      </c>
      <c r="K62" s="19">
        <f t="shared" si="35"/>
        <v>134849.66699357264</v>
      </c>
      <c r="L62" s="19"/>
    </row>
    <row r="63" spans="1:14">
      <c r="C63" s="73"/>
      <c r="E63" s="19"/>
      <c r="G63" s="19"/>
      <c r="H63" s="19"/>
      <c r="I63" s="19"/>
    </row>
    <row r="64" spans="1:14" ht="14">
      <c r="B64" s="75"/>
      <c r="C64" s="73"/>
      <c r="E64" s="19"/>
      <c r="G64" s="19"/>
      <c r="H64" s="19"/>
      <c r="I64" s="19"/>
    </row>
    <row r="65" spans="2:10">
      <c r="C65" s="62"/>
      <c r="D65" s="62"/>
      <c r="E65" s="62"/>
      <c r="F65" s="62"/>
      <c r="G65" s="62"/>
      <c r="H65" s="62"/>
      <c r="I65" s="62"/>
      <c r="J65" s="62"/>
    </row>
    <row r="66" spans="2:10">
      <c r="C66" s="73"/>
      <c r="E66" s="19"/>
      <c r="G66" s="19"/>
      <c r="H66" s="19"/>
      <c r="I66" s="19"/>
      <c r="J66" s="19"/>
    </row>
    <row r="67" spans="2:10">
      <c r="C67" s="73"/>
      <c r="E67" s="44"/>
      <c r="G67" s="44"/>
      <c r="H67" s="44"/>
      <c r="I67" s="44"/>
      <c r="J67" s="44"/>
    </row>
    <row r="68" spans="2:10">
      <c r="C68" s="73"/>
      <c r="E68" s="44"/>
      <c r="G68" s="44"/>
      <c r="H68" s="44"/>
      <c r="I68" s="44"/>
      <c r="J68" s="44"/>
    </row>
    <row r="69" spans="2:10">
      <c r="C69" s="73"/>
      <c r="E69" s="44"/>
      <c r="G69" s="44"/>
      <c r="H69" s="44"/>
      <c r="I69" s="44"/>
      <c r="J69" s="44"/>
    </row>
    <row r="70" spans="2:10">
      <c r="C70" s="73"/>
      <c r="E70" s="44"/>
      <c r="G70" s="44"/>
      <c r="H70" s="44"/>
      <c r="I70" s="44"/>
      <c r="J70" s="44"/>
    </row>
    <row r="71" spans="2:10">
      <c r="C71" s="73"/>
      <c r="E71" s="44"/>
      <c r="G71" s="44"/>
      <c r="H71" s="44"/>
      <c r="I71" s="44"/>
      <c r="J71" s="44"/>
    </row>
    <row r="72" spans="2:10">
      <c r="C72" s="73"/>
      <c r="E72" s="44"/>
      <c r="G72" s="44"/>
      <c r="H72" s="44"/>
      <c r="I72" s="44"/>
      <c r="J72" s="44"/>
    </row>
    <row r="73" spans="2:10">
      <c r="C73" s="73"/>
      <c r="E73" s="44"/>
      <c r="G73" s="44"/>
      <c r="H73" s="44"/>
      <c r="I73" s="44"/>
      <c r="J73" s="44"/>
    </row>
    <row r="74" spans="2:10">
      <c r="C74" s="73"/>
      <c r="E74" s="44"/>
      <c r="G74" s="44"/>
      <c r="H74" s="44"/>
      <c r="I74" s="44"/>
      <c r="J74" s="44"/>
    </row>
    <row r="75" spans="2:10">
      <c r="C75" s="73"/>
      <c r="E75" s="44"/>
      <c r="G75" s="44"/>
      <c r="H75" s="44"/>
      <c r="I75" s="44"/>
      <c r="J75" s="44"/>
    </row>
    <row r="76" spans="2:10">
      <c r="C76" s="73"/>
      <c r="E76" s="44"/>
      <c r="G76" s="44"/>
      <c r="H76" s="44"/>
      <c r="I76" s="44"/>
      <c r="J76" s="44"/>
    </row>
    <row r="77" spans="2:10">
      <c r="B77" s="8"/>
      <c r="C77" s="73"/>
      <c r="E77" s="76"/>
      <c r="G77" s="76"/>
      <c r="H77" s="76"/>
      <c r="I77" s="76"/>
      <c r="J77" s="76"/>
    </row>
    <row r="78" spans="2:10">
      <c r="C78" s="73"/>
      <c r="E78" s="19"/>
      <c r="G78" s="19"/>
      <c r="H78" s="19"/>
      <c r="I78" s="19"/>
      <c r="J78" s="19"/>
    </row>
    <row r="79" spans="2:10">
      <c r="E79" s="19"/>
      <c r="G79" s="19"/>
      <c r="H79" s="19"/>
      <c r="I79" s="19"/>
      <c r="J79" s="19"/>
    </row>
    <row r="80" spans="2:10">
      <c r="C80" s="73"/>
      <c r="E80" s="19"/>
      <c r="G80" s="19"/>
      <c r="H80" s="19"/>
      <c r="I80" s="19"/>
      <c r="J80" s="19"/>
    </row>
    <row r="81" spans="3:10">
      <c r="C81" s="73"/>
      <c r="E81" s="19"/>
      <c r="G81" s="19"/>
      <c r="H81" s="19"/>
      <c r="I81" s="19"/>
      <c r="J81" s="19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2" orientation="portrait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theme="9" tint="0.39997558519241921"/>
    <pageSetUpPr fitToPage="1"/>
  </sheetPr>
  <dimension ref="A1:N49"/>
  <sheetViews>
    <sheetView showGridLines="0" view="pageBreakPreview" zoomScaleSheetLayoutView="100" workbookViewId="0">
      <pane xSplit="3" topLeftCell="D1" activePane="topRight" state="frozen"/>
      <selection activeCell="H18" sqref="H18"/>
      <selection pane="topRight" activeCell="H17" sqref="H17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27.453125" style="1" customWidth="1"/>
    <col min="4" max="4" width="1.81640625" style="1" customWidth="1"/>
    <col min="5" max="5" width="9.1796875" style="4"/>
    <col min="6" max="6" width="1.81640625" style="1" customWidth="1"/>
    <col min="7" max="7" width="11.81640625" style="1" customWidth="1"/>
    <col min="8" max="8" width="1.81640625" style="1" customWidth="1"/>
    <col min="9" max="12" width="11.26953125" style="1" customWidth="1"/>
    <col min="13" max="13" width="13.1796875" style="1" customWidth="1"/>
    <col min="14" max="16384" width="9.1796875" style="1"/>
  </cols>
  <sheetData>
    <row r="1" spans="1:14" ht="15">
      <c r="A1" s="9" t="s">
        <v>0</v>
      </c>
      <c r="G1" s="5"/>
      <c r="I1" s="5"/>
      <c r="M1" s="193" t="s">
        <v>261</v>
      </c>
    </row>
    <row r="2" spans="1:14">
      <c r="A2" s="10" t="s">
        <v>262</v>
      </c>
      <c r="G2" s="11"/>
      <c r="I2" s="11"/>
      <c r="M2" s="194" t="str">
        <f>'Schedule 1'!$M$2</f>
        <v>2025-27 GRA</v>
      </c>
    </row>
    <row r="3" spans="1:14">
      <c r="A3" s="10" t="s">
        <v>7</v>
      </c>
      <c r="G3" s="11"/>
      <c r="I3" s="11"/>
    </row>
    <row r="6" spans="1:14" s="4" customFormat="1" ht="13.5" customHeight="1">
      <c r="G6" s="11"/>
      <c r="I6" s="11"/>
      <c r="J6" s="11"/>
      <c r="K6" s="8"/>
      <c r="L6" s="8"/>
      <c r="M6" s="8"/>
    </row>
    <row r="7" spans="1:14" s="13" customFormat="1" ht="37.5">
      <c r="A7" s="12" t="s">
        <v>8</v>
      </c>
      <c r="C7" s="12" t="s">
        <v>9</v>
      </c>
      <c r="E7" s="12" t="s">
        <v>10</v>
      </c>
      <c r="G7" s="12" t="str">
        <f>'Schedule 1'!G7</f>
        <v>2024 GRA
Compliance</v>
      </c>
      <c r="I7" s="12" t="str">
        <f>'Schedule 1'!I7</f>
        <v>Actual 2023</v>
      </c>
      <c r="J7" s="12" t="str">
        <f>'Schedule 1'!J7</f>
        <v>Prelim. Actual 2024</v>
      </c>
      <c r="K7" s="12" t="str">
        <f>'Schedule 1'!K7</f>
        <v>Forecast 2025</v>
      </c>
      <c r="L7" s="12" t="str">
        <f>'Schedule 1'!L7</f>
        <v>Forecast 2026</v>
      </c>
      <c r="M7" s="12" t="str">
        <f>'Schedule 1'!M7</f>
        <v>Forecast 2027</v>
      </c>
    </row>
    <row r="9" spans="1:14">
      <c r="A9" s="1">
        <v>1</v>
      </c>
      <c r="C9" s="8" t="s">
        <v>263</v>
      </c>
    </row>
    <row r="10" spans="1:14">
      <c r="A10" s="1">
        <v>2</v>
      </c>
      <c r="C10" s="1" t="s">
        <v>264</v>
      </c>
      <c r="G10" s="19">
        <v>15530.835240660923</v>
      </c>
      <c r="I10" s="19">
        <v>13589.77392</v>
      </c>
      <c r="J10" s="19">
        <v>16600.14804</v>
      </c>
      <c r="K10" s="19">
        <v>17437.180201754654</v>
      </c>
      <c r="L10" s="19">
        <v>18190.43212708423</v>
      </c>
      <c r="M10" s="19">
        <v>18774.897657608632</v>
      </c>
    </row>
    <row r="11" spans="1:14">
      <c r="A11" s="1">
        <v>3</v>
      </c>
      <c r="C11" s="1" t="s">
        <v>265</v>
      </c>
      <c r="G11" s="19">
        <v>3267.0841701040531</v>
      </c>
      <c r="I11" s="19">
        <v>2976.1960300000001</v>
      </c>
      <c r="J11" s="19">
        <v>3739.8827500000002</v>
      </c>
      <c r="K11" s="19">
        <v>3415.0134302518472</v>
      </c>
      <c r="L11" s="19">
        <v>3831.3920389966033</v>
      </c>
      <c r="M11" s="19">
        <v>3438.3506253926453</v>
      </c>
      <c r="N11" s="19"/>
    </row>
    <row r="12" spans="1:14">
      <c r="A12" s="1">
        <v>4</v>
      </c>
      <c r="C12" s="1" t="s">
        <v>266</v>
      </c>
      <c r="G12" s="19">
        <v>1615.1414537274632</v>
      </c>
      <c r="I12" s="19">
        <v>1923.0380600000003</v>
      </c>
      <c r="J12" s="19">
        <v>1979.91327</v>
      </c>
      <c r="K12" s="19">
        <v>1759.5273513028715</v>
      </c>
      <c r="L12" s="19">
        <v>1801.0852627600498</v>
      </c>
      <c r="M12" s="19">
        <v>1829.5988486625627</v>
      </c>
    </row>
    <row r="13" spans="1:14">
      <c r="A13" s="1">
        <v>5</v>
      </c>
      <c r="C13" s="1" t="s">
        <v>267</v>
      </c>
      <c r="G13" s="19">
        <v>13091.567143529081</v>
      </c>
      <c r="I13" s="19">
        <v>13059.859519999998</v>
      </c>
      <c r="J13" s="19">
        <v>13950.849579999998</v>
      </c>
      <c r="K13" s="19">
        <v>15704.712712132967</v>
      </c>
      <c r="L13" s="19">
        <v>16673.907729294748</v>
      </c>
      <c r="M13" s="19">
        <v>17446.10268935241</v>
      </c>
    </row>
    <row r="14" spans="1:14">
      <c r="A14" s="1">
        <v>6</v>
      </c>
      <c r="C14" s="1" t="s">
        <v>268</v>
      </c>
      <c r="G14" s="19">
        <v>2417.0457679504998</v>
      </c>
      <c r="I14" s="19">
        <v>2217.7380200000002</v>
      </c>
      <c r="J14" s="19">
        <v>2503.8041199999998</v>
      </c>
      <c r="K14" s="19">
        <v>2993.0507375000002</v>
      </c>
      <c r="L14" s="19">
        <v>3329.0518430833336</v>
      </c>
      <c r="M14" s="19">
        <v>3392.5017399450003</v>
      </c>
    </row>
    <row r="15" spans="1:14">
      <c r="A15" s="1">
        <v>7</v>
      </c>
      <c r="C15" s="1" t="s">
        <v>269</v>
      </c>
      <c r="G15" s="91">
        <f>SUM(G10:G14)</f>
        <v>35921.673775972013</v>
      </c>
      <c r="I15" s="91">
        <f>SUM(I10:I14)</f>
        <v>33766.605549999993</v>
      </c>
      <c r="J15" s="91">
        <f>SUM(J10:J14)</f>
        <v>38774.597760000004</v>
      </c>
      <c r="K15" s="91">
        <f>SUM(K10:K14)</f>
        <v>41309.484432942343</v>
      </c>
      <c r="L15" s="91">
        <f>SUM(L10:L14)</f>
        <v>43825.869001218962</v>
      </c>
      <c r="M15" s="91">
        <f>SUM(M10:M14)</f>
        <v>44881.45156096125</v>
      </c>
    </row>
    <row r="17" spans="1:13">
      <c r="A17" s="1">
        <v>8</v>
      </c>
      <c r="C17" s="1" t="s">
        <v>188</v>
      </c>
      <c r="G17" s="36">
        <f>-'Schedule 5'!G23</f>
        <v>120</v>
      </c>
      <c r="I17" s="36">
        <f>-'Schedule 5'!I23</f>
        <v>120.85194</v>
      </c>
      <c r="J17" s="36">
        <f>-'Schedule 5'!J23</f>
        <v>113.85104000000001</v>
      </c>
      <c r="K17" s="36">
        <f>-'Schedule 5'!K23</f>
        <v>119.99999999999987</v>
      </c>
      <c r="L17" s="36">
        <f>-'Schedule 5'!L23</f>
        <v>119.99999999999987</v>
      </c>
      <c r="M17" s="36">
        <f>-'Schedule 5'!M23</f>
        <v>122.39999999999986</v>
      </c>
    </row>
    <row r="19" spans="1:13">
      <c r="A19" s="1">
        <v>9</v>
      </c>
      <c r="C19" s="1" t="s">
        <v>269</v>
      </c>
      <c r="G19" s="91">
        <f>SUM(G17:G17)</f>
        <v>120</v>
      </c>
      <c r="I19" s="91">
        <f>SUM(I17:I17)</f>
        <v>120.85194</v>
      </c>
      <c r="J19" s="91">
        <f>SUM(J17:J17)</f>
        <v>113.85104000000001</v>
      </c>
      <c r="K19" s="91">
        <f>SUM(K17:K17)</f>
        <v>119.99999999999987</v>
      </c>
      <c r="L19" s="91">
        <f t="shared" ref="L19:M19" si="0">SUM(L17:L17)</f>
        <v>119.99999999999987</v>
      </c>
      <c r="M19" s="91">
        <f t="shared" si="0"/>
        <v>122.39999999999986</v>
      </c>
    </row>
    <row r="21" spans="1:13">
      <c r="A21" s="1">
        <v>10</v>
      </c>
      <c r="C21" s="1" t="s">
        <v>270</v>
      </c>
    </row>
    <row r="22" spans="1:13" ht="13" thickBot="1">
      <c r="A22" s="1">
        <v>11</v>
      </c>
      <c r="C22" s="1" t="s">
        <v>271</v>
      </c>
      <c r="G22" s="45">
        <f>SUM(G15+G19)</f>
        <v>36041.673775972013</v>
      </c>
      <c r="I22" s="45">
        <f>SUM(I15+I19)</f>
        <v>33887.457489999993</v>
      </c>
      <c r="J22" s="45">
        <f>SUM(J15+J19)</f>
        <v>38888.448800000006</v>
      </c>
      <c r="K22" s="45">
        <f>SUM(K15+K19)</f>
        <v>41429.484432942343</v>
      </c>
      <c r="L22" s="45">
        <f t="shared" ref="L22:M22" si="1">SUM(L15+L19)</f>
        <v>43945.869001218962</v>
      </c>
      <c r="M22" s="45">
        <f t="shared" si="1"/>
        <v>45003.851560961251</v>
      </c>
    </row>
    <row r="24" spans="1:13">
      <c r="A24" s="1">
        <v>12</v>
      </c>
      <c r="C24" s="1" t="s">
        <v>272</v>
      </c>
      <c r="G24" s="36">
        <v>15294.673706715501</v>
      </c>
      <c r="I24" s="36">
        <v>14367.171207565638</v>
      </c>
      <c r="J24" s="36">
        <v>14214.361525015625</v>
      </c>
      <c r="K24" s="36">
        <v>16801.913015061196</v>
      </c>
      <c r="L24" s="36">
        <v>18660.706898319415</v>
      </c>
      <c r="M24" s="36">
        <v>20627.162239023681</v>
      </c>
    </row>
    <row r="25" spans="1:13">
      <c r="A25" s="1">
        <v>13</v>
      </c>
      <c r="C25" s="1" t="s">
        <v>273</v>
      </c>
      <c r="G25" s="36">
        <v>2759.2370003535048</v>
      </c>
      <c r="I25" s="36">
        <v>368.33334000000002</v>
      </c>
      <c r="J25" s="36">
        <v>1707.46594</v>
      </c>
      <c r="K25" s="36">
        <v>3435.4129848795005</v>
      </c>
      <c r="L25" s="36">
        <v>3469.3795538722961</v>
      </c>
      <c r="M25" s="36">
        <v>3503.6857885550176</v>
      </c>
    </row>
    <row r="26" spans="1:13">
      <c r="A26" s="1">
        <v>14</v>
      </c>
      <c r="C26" s="1" t="s">
        <v>269</v>
      </c>
      <c r="G26" s="91">
        <f>SUM(G24:G25)</f>
        <v>18053.910707069004</v>
      </c>
      <c r="I26" s="91">
        <f>SUM(I24:I25)</f>
        <v>14735.504547565637</v>
      </c>
      <c r="J26" s="91">
        <f>SUM(J24:J25)</f>
        <v>15921.827465015625</v>
      </c>
      <c r="K26" s="91">
        <f>SUM(K24:K25)</f>
        <v>20237.325999940698</v>
      </c>
      <c r="L26" s="91">
        <f t="shared" ref="L26:M26" si="2">SUM(L24:L25)</f>
        <v>22130.08645219171</v>
      </c>
      <c r="M26" s="91">
        <f t="shared" si="2"/>
        <v>24130.848027578697</v>
      </c>
    </row>
    <row r="28" spans="1:13" ht="13" thickBot="1">
      <c r="A28" s="1">
        <v>15</v>
      </c>
      <c r="C28" s="1" t="s">
        <v>274</v>
      </c>
      <c r="E28" s="4" t="s">
        <v>180</v>
      </c>
      <c r="G28" s="45">
        <f>SUM(G15+G19+G26)</f>
        <v>54095.584483041021</v>
      </c>
      <c r="I28" s="45">
        <f>SUM(I15+I19+I26)</f>
        <v>48622.96203756563</v>
      </c>
      <c r="J28" s="45">
        <f>SUM(J15+J19+J26)</f>
        <v>54810.276265015629</v>
      </c>
      <c r="K28" s="45">
        <f>SUM(K15+K19+K26)</f>
        <v>61666.810432883038</v>
      </c>
      <c r="L28" s="45">
        <f t="shared" ref="L28:M28" si="3">SUM(L15+L19+L26)</f>
        <v>66075.955453410672</v>
      </c>
      <c r="M28" s="45">
        <f t="shared" si="3"/>
        <v>69134.699588539952</v>
      </c>
    </row>
    <row r="29" spans="1:13">
      <c r="G29" s="19"/>
      <c r="I29" s="19"/>
      <c r="J29" s="19"/>
      <c r="K29" s="19"/>
      <c r="L29" s="19"/>
      <c r="M29" s="19"/>
    </row>
    <row r="30" spans="1:13" s="34" customFormat="1">
      <c r="C30" s="58" t="s">
        <v>345</v>
      </c>
      <c r="E30" s="37"/>
      <c r="G30" s="77"/>
      <c r="I30" s="77"/>
      <c r="J30" s="77"/>
      <c r="K30" s="77"/>
      <c r="L30" s="77"/>
      <c r="M30" s="77"/>
    </row>
    <row r="31" spans="1:13" s="34" customFormat="1">
      <c r="A31" s="34">
        <v>16</v>
      </c>
      <c r="C31" s="34" t="s">
        <v>80</v>
      </c>
      <c r="E31" s="37"/>
      <c r="G31" s="77">
        <f>'Schedule 6'!G15</f>
        <v>615.80899999999997</v>
      </c>
      <c r="I31" s="77">
        <f>'Schedule 6'!I15</f>
        <v>615.80899999999997</v>
      </c>
      <c r="J31" s="77">
        <f>'Schedule 6'!J15</f>
        <v>615.80899999999997</v>
      </c>
      <c r="K31" s="77">
        <f>'Schedule 6'!K15</f>
        <v>1062.596</v>
      </c>
      <c r="L31" s="77">
        <f>'Schedule 6'!L15</f>
        <v>1062.596</v>
      </c>
      <c r="M31" s="77">
        <f>'Schedule 6'!M15</f>
        <v>1062.596</v>
      </c>
    </row>
    <row r="32" spans="1:13" s="34" customFormat="1">
      <c r="A32" s="34">
        <v>17</v>
      </c>
      <c r="C32" s="34" t="s">
        <v>275</v>
      </c>
      <c r="E32" s="37"/>
      <c r="G32" s="78">
        <f>'Schedule 6'!G13</f>
        <v>776.69908654176004</v>
      </c>
      <c r="I32" s="78">
        <f>'Schedule 6'!I13</f>
        <v>756.18791000000022</v>
      </c>
      <c r="J32" s="78">
        <f>'Schedule 6'!J13</f>
        <v>759.21225999999979</v>
      </c>
      <c r="K32" s="78">
        <f>'Schedule 6'!K13</f>
        <v>770.60046419999981</v>
      </c>
      <c r="L32" s="78">
        <f>'Schedule 6'!L13</f>
        <v>789.80853488399998</v>
      </c>
      <c r="M32" s="78">
        <f>'Schedule 6'!M13</f>
        <v>805.60470558168038</v>
      </c>
    </row>
    <row r="33" spans="1:13" s="34" customFormat="1">
      <c r="A33" s="34">
        <v>18</v>
      </c>
      <c r="C33" s="34" t="s">
        <v>276</v>
      </c>
      <c r="E33" s="37"/>
      <c r="G33" s="92">
        <f>-G17</f>
        <v>-120</v>
      </c>
      <c r="I33" s="92">
        <f>-I17</f>
        <v>-120.85194</v>
      </c>
      <c r="J33" s="92">
        <f>-J17</f>
        <v>-113.85104000000001</v>
      </c>
      <c r="K33" s="92">
        <f>-K17</f>
        <v>-119.99999999999987</v>
      </c>
      <c r="L33" s="92">
        <f t="shared" ref="L33:M33" si="4">-L17</f>
        <v>-119.99999999999987</v>
      </c>
      <c r="M33" s="92">
        <f t="shared" si="4"/>
        <v>-122.39999999999986</v>
      </c>
    </row>
    <row r="34" spans="1:13" s="34" customFormat="1">
      <c r="E34" s="37"/>
      <c r="G34" s="77"/>
      <c r="I34" s="77"/>
      <c r="J34" s="77"/>
      <c r="K34" s="77"/>
      <c r="L34" s="77"/>
      <c r="M34" s="77"/>
    </row>
    <row r="35" spans="1:13" s="34" customFormat="1">
      <c r="A35" s="34">
        <v>19</v>
      </c>
      <c r="C35" s="34" t="s">
        <v>277</v>
      </c>
      <c r="E35" s="37"/>
      <c r="G35" s="77">
        <f>G22+G33+G32+G31</f>
        <v>37314.181862513775</v>
      </c>
      <c r="I35" s="77">
        <f>I22+I33+I32+I31</f>
        <v>35138.602459999995</v>
      </c>
      <c r="J35" s="77">
        <f>J22+J33+J32+J31</f>
        <v>40149.619020000006</v>
      </c>
      <c r="K35" s="77">
        <f>K22+K33+K32+K31</f>
        <v>43142.680897142338</v>
      </c>
      <c r="L35" s="77">
        <f t="shared" ref="L35:M35" si="5">L22+L33+L32+L31</f>
        <v>45678.273536102963</v>
      </c>
      <c r="M35" s="77">
        <f t="shared" si="5"/>
        <v>46749.652266542929</v>
      </c>
    </row>
    <row r="36" spans="1:13">
      <c r="G36" s="19"/>
      <c r="I36" s="19"/>
      <c r="J36" s="19"/>
      <c r="K36" s="19"/>
    </row>
    <row r="37" spans="1:13">
      <c r="G37" s="19"/>
      <c r="I37" s="19"/>
      <c r="J37" s="19"/>
      <c r="K37" s="19"/>
    </row>
    <row r="38" spans="1:13" ht="18.75" customHeight="1">
      <c r="A38" s="57"/>
      <c r="C38" s="132"/>
      <c r="D38" s="132"/>
      <c r="E38" s="132"/>
      <c r="F38" s="132"/>
      <c r="G38" s="132"/>
      <c r="H38" s="132"/>
      <c r="I38" s="77"/>
      <c r="J38" s="77"/>
      <c r="K38" s="77"/>
      <c r="L38" s="77"/>
      <c r="M38" s="77"/>
    </row>
    <row r="39" spans="1:13" ht="18.75" customHeight="1">
      <c r="A39" s="57"/>
      <c r="C39" s="132"/>
      <c r="D39" s="132"/>
      <c r="E39" s="132"/>
      <c r="F39" s="132"/>
      <c r="G39" s="132"/>
      <c r="H39" s="132"/>
      <c r="I39" s="77"/>
      <c r="J39" s="77"/>
      <c r="K39" s="77"/>
      <c r="L39" s="77"/>
      <c r="M39" s="77"/>
    </row>
    <row r="40" spans="1:13">
      <c r="G40" s="35"/>
      <c r="I40" s="35"/>
      <c r="J40" s="35"/>
      <c r="K40" s="35"/>
    </row>
    <row r="43" spans="1:13">
      <c r="G43" s="79"/>
      <c r="I43" s="79"/>
      <c r="J43" s="79"/>
      <c r="K43" s="79"/>
    </row>
    <row r="45" spans="1:13">
      <c r="G45" s="80"/>
      <c r="I45" s="80"/>
      <c r="J45" s="80"/>
      <c r="K45" s="80"/>
    </row>
    <row r="47" spans="1:13">
      <c r="G47" s="60"/>
      <c r="I47" s="60"/>
      <c r="J47" s="60"/>
      <c r="K47" s="60"/>
    </row>
    <row r="49" spans="7:11">
      <c r="G49" s="80"/>
      <c r="I49" s="80"/>
      <c r="J49" s="80"/>
      <c r="K49" s="80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3" orientation="portrait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39997558519241921"/>
    <pageSetUpPr fitToPage="1"/>
  </sheetPr>
  <dimension ref="A1:M44"/>
  <sheetViews>
    <sheetView showGridLines="0" view="pageBreakPreview" zoomScaleSheetLayoutView="100" workbookViewId="0">
      <selection activeCell="E3" sqref="E3"/>
    </sheetView>
  </sheetViews>
  <sheetFormatPr defaultColWidth="9.1796875" defaultRowHeight="12.5"/>
  <cols>
    <col min="1" max="1" width="5.26953125" style="94" customWidth="1"/>
    <col min="2" max="2" width="1.81640625" style="94" customWidth="1"/>
    <col min="3" max="3" width="22.54296875" style="94" customWidth="1"/>
    <col min="4" max="4" width="1.81640625" style="94" customWidth="1"/>
    <col min="5" max="5" width="14.7265625" style="95" bestFit="1" customWidth="1"/>
    <col min="6" max="6" width="1.81640625" style="94" customWidth="1"/>
    <col min="7" max="7" width="11.7265625" style="94" customWidth="1"/>
    <col min="8" max="8" width="1.81640625" style="94" customWidth="1"/>
    <col min="9" max="12" width="11.26953125" style="94" customWidth="1"/>
    <col min="13" max="13" width="12.453125" style="94" customWidth="1"/>
    <col min="14" max="16384" width="9.1796875" style="94"/>
  </cols>
  <sheetData>
    <row r="1" spans="1:13" ht="15">
      <c r="A1" s="93" t="s">
        <v>0</v>
      </c>
      <c r="G1" s="96"/>
      <c r="I1" s="96"/>
      <c r="M1" s="197" t="s">
        <v>278</v>
      </c>
    </row>
    <row r="2" spans="1:13">
      <c r="A2" s="97" t="s">
        <v>279</v>
      </c>
      <c r="G2" s="98"/>
      <c r="I2" s="98"/>
      <c r="M2" s="194" t="str">
        <f>'Schedule 1'!$M$2</f>
        <v>2025-27 GRA</v>
      </c>
    </row>
    <row r="3" spans="1:13">
      <c r="A3" s="97" t="s">
        <v>7</v>
      </c>
      <c r="G3" s="98"/>
      <c r="I3" s="98"/>
    </row>
    <row r="6" spans="1:13" s="95" customFormat="1" ht="13.5" customHeight="1">
      <c r="G6" s="98"/>
      <c r="I6" s="98"/>
      <c r="J6" s="11"/>
      <c r="K6" s="66"/>
      <c r="L6" s="66"/>
      <c r="M6" s="66"/>
    </row>
    <row r="7" spans="1:13" s="100" customFormat="1" ht="37.5">
      <c r="A7" s="99" t="s">
        <v>8</v>
      </c>
      <c r="C7" s="99" t="s">
        <v>9</v>
      </c>
      <c r="E7" s="99" t="s">
        <v>10</v>
      </c>
      <c r="G7" s="12" t="str">
        <f>'Schedule 1'!G7</f>
        <v>2024 GRA
Compliance</v>
      </c>
      <c r="I7" s="12" t="str">
        <f>'Schedule 1'!I7</f>
        <v>Actual 2023</v>
      </c>
      <c r="J7" s="12" t="str">
        <f>'Schedule 1'!J7</f>
        <v>Prelim. Actual 2024</v>
      </c>
      <c r="K7" s="12" t="str">
        <f>'Schedule 1'!K7</f>
        <v>Forecast 2025</v>
      </c>
      <c r="L7" s="12" t="str">
        <f>'Schedule 1'!L7</f>
        <v>Forecast 2026</v>
      </c>
      <c r="M7" s="12" t="str">
        <f>'Schedule 1'!M7</f>
        <v>Forecast 2027</v>
      </c>
    </row>
    <row r="9" spans="1:13">
      <c r="A9" s="94">
        <v>1</v>
      </c>
      <c r="C9" s="66" t="s">
        <v>318</v>
      </c>
      <c r="E9" s="95" t="s">
        <v>319</v>
      </c>
      <c r="G9" s="90">
        <v>119.8104326923077</v>
      </c>
      <c r="H9" s="90"/>
      <c r="I9" s="90">
        <v>113.66</v>
      </c>
      <c r="J9" s="90">
        <v>123.46000000000001</v>
      </c>
      <c r="K9" s="90">
        <v>128.94</v>
      </c>
      <c r="L9" s="90">
        <v>139.84</v>
      </c>
      <c r="M9" s="90">
        <v>144.44</v>
      </c>
    </row>
    <row r="11" spans="1:13">
      <c r="A11" s="94">
        <f>A9+1</f>
        <v>2</v>
      </c>
      <c r="C11" s="66" t="s">
        <v>320</v>
      </c>
      <c r="E11" s="94"/>
      <c r="G11" s="72">
        <f>SUM(G12:G13)</f>
        <v>19651.05678806212</v>
      </c>
      <c r="H11" s="72"/>
      <c r="I11" s="72">
        <f>SUM(I12:I13)</f>
        <v>18330.499100000001</v>
      </c>
      <c r="J11" s="72">
        <f>SUM(J12:J13)</f>
        <v>21108.165300000001</v>
      </c>
      <c r="K11" s="72">
        <f>SUM(K12:K13)</f>
        <v>22811.977780485307</v>
      </c>
      <c r="L11" s="72">
        <f>SUM(L12:L13)</f>
        <v>24942.865944693007</v>
      </c>
      <c r="M11" s="72">
        <f>SUM(M12:M13)</f>
        <v>26296.376394165447</v>
      </c>
    </row>
    <row r="12" spans="1:13">
      <c r="A12" s="94">
        <f>A11+1</f>
        <v>3</v>
      </c>
      <c r="C12" s="68" t="s">
        <v>322</v>
      </c>
      <c r="E12" s="95" t="s">
        <v>321</v>
      </c>
      <c r="G12" s="72">
        <f>G22</f>
        <v>16131.584517821524</v>
      </c>
      <c r="H12" s="72"/>
      <c r="I12" s="72">
        <f>I22</f>
        <v>15185.837019999999</v>
      </c>
      <c r="J12" s="72">
        <f>J22</f>
        <v>17057.763640000001</v>
      </c>
      <c r="K12" s="72">
        <f>K22</f>
        <v>18004.744695442336</v>
      </c>
      <c r="L12" s="72">
        <f>L22</f>
        <v>19529.878378135621</v>
      </c>
      <c r="M12" s="72">
        <f>M22</f>
        <v>20597.143385416239</v>
      </c>
    </row>
    <row r="13" spans="1:13">
      <c r="A13" s="94">
        <f>A12+1</f>
        <v>4</v>
      </c>
      <c r="C13" s="68" t="s">
        <v>323</v>
      </c>
      <c r="G13" s="154">
        <v>3519.4722702405975</v>
      </c>
      <c r="H13" s="154"/>
      <c r="I13" s="72">
        <v>3144.6620800000001</v>
      </c>
      <c r="J13" s="72">
        <v>4050.40166</v>
      </c>
      <c r="K13" s="72">
        <v>4807.2330850429735</v>
      </c>
      <c r="L13" s="72">
        <v>5412.9875665573845</v>
      </c>
      <c r="M13" s="72">
        <v>5699.2330087492082</v>
      </c>
    </row>
    <row r="14" spans="1:13">
      <c r="G14" s="72"/>
      <c r="H14" s="72"/>
      <c r="I14" s="72"/>
      <c r="J14" s="72"/>
      <c r="K14" s="72"/>
      <c r="L14" s="72"/>
      <c r="M14" s="72"/>
    </row>
    <row r="15" spans="1:13">
      <c r="C15" s="66" t="s">
        <v>280</v>
      </c>
    </row>
    <row r="16" spans="1:13">
      <c r="A16" s="94">
        <f>A13+1</f>
        <v>5</v>
      </c>
      <c r="C16" s="94" t="s">
        <v>264</v>
      </c>
      <c r="G16" s="72">
        <v>6040.0497404609259</v>
      </c>
      <c r="I16" s="72">
        <v>5939.4306199999992</v>
      </c>
      <c r="J16" s="72">
        <v>6669.0111500000003</v>
      </c>
      <c r="K16" s="72">
        <v>7516.7922017546489</v>
      </c>
      <c r="L16" s="72">
        <v>8071.4563670842263</v>
      </c>
      <c r="M16" s="72">
        <v>8453.4223824086239</v>
      </c>
    </row>
    <row r="17" spans="1:13">
      <c r="A17" s="94">
        <f>A16+1</f>
        <v>6</v>
      </c>
      <c r="C17" s="94" t="s">
        <v>281</v>
      </c>
      <c r="G17" s="72">
        <v>666.4309920119349</v>
      </c>
      <c r="I17" s="72">
        <v>343.05559499999998</v>
      </c>
      <c r="J17" s="72">
        <v>636.53591999999992</v>
      </c>
      <c r="K17" s="72">
        <v>565.37311</v>
      </c>
      <c r="L17" s="72">
        <v>639.02393999999993</v>
      </c>
      <c r="M17" s="72">
        <v>647.79393999999991</v>
      </c>
    </row>
    <row r="18" spans="1:13">
      <c r="A18" s="94">
        <f t="shared" ref="A18:A20" si="0">A17+1</f>
        <v>7</v>
      </c>
      <c r="C18" s="94" t="s">
        <v>282</v>
      </c>
      <c r="G18" s="72">
        <v>763.95617809211831</v>
      </c>
      <c r="I18" s="72">
        <v>652.91051500000003</v>
      </c>
      <c r="J18" s="72">
        <v>930.21657000000005</v>
      </c>
      <c r="K18" s="72">
        <v>808.35532025184727</v>
      </c>
      <c r="L18" s="72">
        <v>841.24139899660349</v>
      </c>
      <c r="M18" s="72">
        <v>866.87857139264554</v>
      </c>
    </row>
    <row r="19" spans="1:13">
      <c r="A19" s="94">
        <f t="shared" si="0"/>
        <v>8</v>
      </c>
      <c r="C19" s="94" t="s">
        <v>266</v>
      </c>
      <c r="G19" s="72">
        <v>349.97245372746323</v>
      </c>
      <c r="I19" s="72">
        <v>371.29205000000007</v>
      </c>
      <c r="J19" s="72">
        <v>425</v>
      </c>
      <c r="K19" s="72">
        <v>374.34935130287187</v>
      </c>
      <c r="L19" s="72">
        <v>388.38370276005008</v>
      </c>
      <c r="M19" s="72">
        <v>388.76325746256316</v>
      </c>
    </row>
    <row r="20" spans="1:13">
      <c r="A20" s="94">
        <f t="shared" si="0"/>
        <v>9</v>
      </c>
      <c r="C20" s="94" t="s">
        <v>283</v>
      </c>
      <c r="G20" s="72">
        <v>8311.1751535290823</v>
      </c>
      <c r="I20" s="72">
        <v>7879.1482400000004</v>
      </c>
      <c r="J20" s="72">
        <v>8397</v>
      </c>
      <c r="K20" s="72">
        <v>8739.874712132967</v>
      </c>
      <c r="L20" s="72">
        <v>9589.7729692947432</v>
      </c>
      <c r="M20" s="72">
        <v>10240.285234152405</v>
      </c>
    </row>
    <row r="21" spans="1:13">
      <c r="G21" s="72"/>
      <c r="I21" s="72"/>
      <c r="J21" s="72"/>
      <c r="K21" s="72"/>
      <c r="L21" s="72"/>
      <c r="M21" s="72"/>
    </row>
    <row r="22" spans="1:13">
      <c r="A22" s="94">
        <f>A20+1</f>
        <v>10</v>
      </c>
      <c r="C22" s="94" t="s">
        <v>284</v>
      </c>
      <c r="G22" s="101">
        <f>SUM(G16:G20)</f>
        <v>16131.584517821524</v>
      </c>
      <c r="I22" s="101">
        <f>SUM(I16:I20)</f>
        <v>15185.837019999999</v>
      </c>
      <c r="J22" s="101">
        <f>SUM(J16:J20)</f>
        <v>17057.763640000001</v>
      </c>
      <c r="K22" s="101">
        <f>SUM(K16:K20)</f>
        <v>18004.744695442336</v>
      </c>
      <c r="L22" s="101">
        <f>SUM(L16:L20)</f>
        <v>19529.878378135621</v>
      </c>
      <c r="M22" s="101">
        <f>SUM(M16:M20)</f>
        <v>20597.143385416239</v>
      </c>
    </row>
    <row r="24" spans="1:13">
      <c r="G24" s="72"/>
      <c r="I24" s="72"/>
      <c r="J24" s="72"/>
      <c r="K24" s="72"/>
    </row>
    <row r="25" spans="1:13" s="102" customFormat="1">
      <c r="E25" s="103"/>
      <c r="G25" s="104"/>
      <c r="I25" s="104"/>
      <c r="J25" s="104"/>
      <c r="K25" s="104"/>
      <c r="L25" s="104"/>
      <c r="M25" s="104"/>
    </row>
    <row r="26" spans="1:13" s="102" customFormat="1">
      <c r="E26" s="103"/>
      <c r="G26" s="104"/>
      <c r="I26" s="104"/>
      <c r="J26" s="104"/>
      <c r="K26" s="104"/>
      <c r="L26" s="104"/>
      <c r="M26" s="104"/>
    </row>
    <row r="27" spans="1:13" s="102" customFormat="1">
      <c r="E27" s="103"/>
      <c r="G27" s="104"/>
      <c r="I27" s="104"/>
      <c r="J27" s="104"/>
      <c r="K27" s="104"/>
      <c r="L27" s="104"/>
      <c r="M27" s="104"/>
    </row>
    <row r="28" spans="1:13" s="102" customFormat="1">
      <c r="E28" s="103"/>
      <c r="G28" s="104"/>
      <c r="I28" s="104"/>
      <c r="J28" s="104"/>
      <c r="K28" s="104"/>
      <c r="L28" s="104"/>
      <c r="M28" s="104"/>
    </row>
    <row r="29" spans="1:13" s="102" customFormat="1">
      <c r="E29" s="103"/>
      <c r="G29" s="104"/>
      <c r="I29" s="104"/>
      <c r="J29" s="104"/>
      <c r="K29" s="104"/>
      <c r="L29" s="104"/>
      <c r="M29" s="104"/>
    </row>
    <row r="30" spans="1:13" ht="18.75" customHeight="1">
      <c r="A30" s="105"/>
      <c r="C30" s="106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3" ht="18.75" customHeight="1">
      <c r="A31" s="105"/>
      <c r="C31" s="10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3" ht="18.75" customHeight="1">
      <c r="A32" s="105"/>
      <c r="C32" s="106"/>
      <c r="D32" s="106"/>
      <c r="E32" s="106"/>
      <c r="F32" s="106"/>
      <c r="G32" s="106"/>
      <c r="H32" s="106"/>
      <c r="I32" s="106"/>
      <c r="J32" s="106"/>
      <c r="K32" s="106"/>
      <c r="L32" s="106"/>
    </row>
    <row r="33" spans="1:12" ht="18.75" customHeight="1">
      <c r="A33" s="105"/>
      <c r="C33" s="106"/>
      <c r="D33" s="106"/>
      <c r="E33" s="106"/>
      <c r="F33" s="106"/>
      <c r="G33" s="106"/>
      <c r="H33" s="106"/>
      <c r="I33" s="106"/>
      <c r="J33" s="106"/>
      <c r="K33" s="106"/>
      <c r="L33" s="106"/>
    </row>
    <row r="34" spans="1:12" ht="18.75" customHeight="1">
      <c r="A34" s="105"/>
      <c r="C34" s="106"/>
      <c r="D34" s="106"/>
      <c r="E34" s="106"/>
      <c r="F34" s="106"/>
      <c r="G34" s="106"/>
      <c r="H34" s="106"/>
      <c r="I34" s="106"/>
      <c r="J34" s="106"/>
      <c r="K34" s="106"/>
      <c r="L34" s="106"/>
    </row>
    <row r="35" spans="1:12">
      <c r="G35" s="107"/>
      <c r="I35" s="107"/>
      <c r="J35" s="107"/>
      <c r="K35" s="107"/>
      <c r="L35" s="107"/>
    </row>
    <row r="38" spans="1:12">
      <c r="G38" s="108"/>
      <c r="I38" s="108"/>
      <c r="J38" s="108"/>
      <c r="K38" s="108"/>
      <c r="L38" s="108"/>
    </row>
    <row r="40" spans="1:12">
      <c r="G40" s="109"/>
      <c r="I40" s="109"/>
      <c r="J40" s="109"/>
      <c r="K40" s="109"/>
      <c r="L40" s="109"/>
    </row>
    <row r="42" spans="1:12">
      <c r="G42" s="110"/>
      <c r="I42" s="110"/>
      <c r="J42" s="110"/>
      <c r="K42" s="110"/>
      <c r="L42" s="110"/>
    </row>
    <row r="44" spans="1:12">
      <c r="G44" s="109"/>
      <c r="I44" s="109"/>
      <c r="J44" s="109"/>
      <c r="K44" s="109"/>
      <c r="L44" s="109"/>
    </row>
  </sheetData>
  <printOptions horizontalCentered="1"/>
  <pageMargins left="0.55118110236220474" right="0.31496062992125984" top="0.82677165354330717" bottom="0.9055118110236221" header="0.51181102362204722" footer="0.51181102362204722"/>
  <pageSetup scale="83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39997558519241921"/>
    <pageSetUpPr fitToPage="1"/>
  </sheetPr>
  <dimension ref="A1:AE52"/>
  <sheetViews>
    <sheetView view="pageBreakPreview" zoomScaleNormal="100" zoomScaleSheetLayoutView="100" workbookViewId="0">
      <pane ySplit="7" topLeftCell="A8" activePane="bottomLeft" state="frozen"/>
      <selection activeCell="H18" sqref="H18"/>
      <selection pane="bottomLeft" activeCell="A11" sqref="A11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42.26953125" style="1" customWidth="1"/>
    <col min="4" max="4" width="1.81640625" style="1" customWidth="1"/>
    <col min="5" max="5" width="9.1796875" style="4" customWidth="1"/>
    <col min="6" max="6" width="1.81640625" style="1" customWidth="1"/>
    <col min="7" max="7" width="12.6328125" style="1" customWidth="1"/>
    <col min="8" max="8" width="1.81640625" style="1" customWidth="1"/>
    <col min="9" max="12" width="11.26953125" style="1" customWidth="1"/>
    <col min="13" max="13" width="12.7265625" style="1" customWidth="1"/>
    <col min="23" max="16384" width="9.1796875" style="1"/>
  </cols>
  <sheetData>
    <row r="1" spans="1:13" ht="15">
      <c r="A1" s="9" t="s">
        <v>0</v>
      </c>
      <c r="M1" s="193" t="s">
        <v>5</v>
      </c>
    </row>
    <row r="2" spans="1:13">
      <c r="A2" s="10" t="s">
        <v>6</v>
      </c>
      <c r="M2" s="194" t="s">
        <v>440</v>
      </c>
    </row>
    <row r="3" spans="1:13">
      <c r="A3" s="10" t="s">
        <v>7</v>
      </c>
    </row>
    <row r="4" spans="1:13">
      <c r="A4" s="10"/>
    </row>
    <row r="5" spans="1:13">
      <c r="A5" s="10"/>
    </row>
    <row r="6" spans="1:13" s="4" customFormat="1">
      <c r="G6" s="11"/>
      <c r="I6" s="11"/>
      <c r="J6" s="11"/>
      <c r="K6" s="8"/>
      <c r="L6" s="8"/>
      <c r="M6" s="1"/>
    </row>
    <row r="7" spans="1:13" s="13" customFormat="1" ht="37.5">
      <c r="A7" s="12" t="s">
        <v>8</v>
      </c>
      <c r="C7" s="12" t="s">
        <v>9</v>
      </c>
      <c r="E7" s="12" t="s">
        <v>10</v>
      </c>
      <c r="G7" s="12" t="s">
        <v>434</v>
      </c>
      <c r="I7" s="12" t="s">
        <v>435</v>
      </c>
      <c r="J7" s="12" t="s">
        <v>436</v>
      </c>
      <c r="K7" s="12" t="s">
        <v>437</v>
      </c>
      <c r="L7" s="12" t="s">
        <v>438</v>
      </c>
      <c r="M7" s="12" t="s">
        <v>439</v>
      </c>
    </row>
    <row r="9" spans="1:13">
      <c r="A9" s="1">
        <v>1</v>
      </c>
      <c r="C9" s="8" t="s">
        <v>11</v>
      </c>
    </row>
    <row r="10" spans="1:13">
      <c r="A10" s="1">
        <f>A9+1</f>
        <v>2</v>
      </c>
      <c r="C10" s="1" t="s">
        <v>12</v>
      </c>
      <c r="E10" s="4" t="s">
        <v>315</v>
      </c>
      <c r="G10" s="14">
        <f>'Schedule 3'!G13</f>
        <v>891508.96603999985</v>
      </c>
      <c r="I10" s="14">
        <f>'Schedule 3'!I13</f>
        <v>796723.52518</v>
      </c>
      <c r="J10" s="14">
        <f>'Schedule 3'!J13</f>
        <v>843109.53199000005</v>
      </c>
      <c r="K10" s="14">
        <f>'Schedule 3'!K13</f>
        <v>946185.15125000011</v>
      </c>
      <c r="L10" s="14">
        <f>'Schedule 3'!L13</f>
        <v>1065349.9155100002</v>
      </c>
      <c r="M10" s="14">
        <f>'Schedule 3'!M13</f>
        <v>1186796.2497700001</v>
      </c>
    </row>
    <row r="11" spans="1:13">
      <c r="E11" s="4" t="s">
        <v>13</v>
      </c>
      <c r="G11" s="14"/>
      <c r="I11" s="14"/>
      <c r="J11" s="14"/>
      <c r="K11" s="14"/>
      <c r="L11" s="14"/>
      <c r="M11" s="14"/>
    </row>
    <row r="12" spans="1:13">
      <c r="C12" s="1" t="s">
        <v>14</v>
      </c>
      <c r="G12" s="14"/>
      <c r="I12" s="14"/>
      <c r="J12" s="14"/>
      <c r="K12" s="14"/>
      <c r="L12" s="14"/>
      <c r="M12" s="14"/>
    </row>
    <row r="13" spans="1:13">
      <c r="A13" s="1">
        <f>A10+1</f>
        <v>3</v>
      </c>
      <c r="C13" s="1" t="s">
        <v>15</v>
      </c>
      <c r="E13" s="4" t="s">
        <v>201</v>
      </c>
      <c r="G13" s="14">
        <f>'Schedule 3'!G19</f>
        <v>238671.18309000001</v>
      </c>
      <c r="I13" s="14">
        <f>'Schedule 3'!I19</f>
        <v>224234.18439000001</v>
      </c>
      <c r="J13" s="14">
        <f>'Schedule 3'!J19</f>
        <v>239951.13613</v>
      </c>
      <c r="K13" s="14">
        <f>'Schedule 3'!K19</f>
        <v>260607.70328000002</v>
      </c>
      <c r="L13" s="14">
        <f>'Schedule 3'!L19</f>
        <v>285135.57219000004</v>
      </c>
      <c r="M13" s="14">
        <f>'Schedule 3'!M19</f>
        <v>312792.33167000004</v>
      </c>
    </row>
    <row r="14" spans="1:13">
      <c r="G14" s="14"/>
      <c r="I14" s="14"/>
      <c r="J14" s="14"/>
      <c r="K14" s="14"/>
      <c r="L14" s="14"/>
      <c r="M14" s="14"/>
    </row>
    <row r="15" spans="1:13">
      <c r="A15" s="1">
        <f>A13+1</f>
        <v>4</v>
      </c>
      <c r="C15" s="1" t="s">
        <v>16</v>
      </c>
      <c r="E15" s="4" t="s">
        <v>19</v>
      </c>
      <c r="G15" s="14">
        <f>'Schedule 3'!G26</f>
        <v>116829.42595999998</v>
      </c>
      <c r="I15" s="14">
        <f>'Schedule 3'!I26</f>
        <v>68474.264779999998</v>
      </c>
      <c r="J15" s="14">
        <f>'Schedule 3'!J26</f>
        <v>93650.261869999973</v>
      </c>
      <c r="K15" s="14">
        <f>'Schedule 3'!K26</f>
        <v>106653.43485000002</v>
      </c>
      <c r="L15" s="14">
        <f>'Schedule 3'!L26</f>
        <v>66786.278299999991</v>
      </c>
      <c r="M15" s="14">
        <f>'Schedule 3'!M26</f>
        <v>89285.499410000019</v>
      </c>
    </row>
    <row r="16" spans="1:13">
      <c r="A16" s="1">
        <f>A15+1</f>
        <v>5</v>
      </c>
      <c r="C16" s="1" t="s">
        <v>18</v>
      </c>
      <c r="E16" s="4" t="s">
        <v>17</v>
      </c>
      <c r="G16" s="14">
        <f>'Schedule 3'!G24</f>
        <v>854.0401621111107</v>
      </c>
      <c r="I16" s="14">
        <f>'Schedule 3'!I24</f>
        <v>-140.50877341666705</v>
      </c>
      <c r="J16" s="14">
        <f>'Schedule 3'!J24</f>
        <v>854.0401621111107</v>
      </c>
      <c r="K16" s="14">
        <f>'Schedule 3'!K24</f>
        <v>802.88425466666627</v>
      </c>
      <c r="L16" s="14">
        <f>'Schedule 3'!L24</f>
        <v>751.72834722222183</v>
      </c>
      <c r="M16" s="14">
        <f>'Schedule 3'!M24</f>
        <v>700.57243977777739</v>
      </c>
    </row>
    <row r="17" spans="1:31">
      <c r="A17" s="1">
        <f>A16+1</f>
        <v>6</v>
      </c>
      <c r="C17" s="1" t="s">
        <v>20</v>
      </c>
      <c r="E17" s="4" t="s">
        <v>395</v>
      </c>
      <c r="G17" s="17">
        <f>'Schedule 3'!G32</f>
        <v>1750.8411599999995</v>
      </c>
      <c r="I17" s="17">
        <f>'Schedule 3'!I32</f>
        <v>2148.2762799999996</v>
      </c>
      <c r="J17" s="17">
        <f>'Schedule 3'!J32</f>
        <v>82.51127999999926</v>
      </c>
      <c r="K17" s="17">
        <f>'Schedule 3'!K32</f>
        <v>679.10731999999916</v>
      </c>
      <c r="L17" s="17">
        <f>'Schedule 3'!L32</f>
        <v>1275.7033599999982</v>
      </c>
      <c r="M17" s="17">
        <f>'Schedule 3'!M32</f>
        <v>1872.2993999999971</v>
      </c>
    </row>
    <row r="18" spans="1:31">
      <c r="A18" s="1">
        <f>A17+1</f>
        <v>7</v>
      </c>
      <c r="C18" s="1" t="s">
        <v>21</v>
      </c>
      <c r="G18" s="14">
        <f>SUM(G13:G17)</f>
        <v>358105.49037211109</v>
      </c>
      <c r="I18" s="14">
        <f>SUM(I13:I17)</f>
        <v>294716.21667658334</v>
      </c>
      <c r="J18" s="14">
        <f>SUM(J13:J17)</f>
        <v>334537.94944211107</v>
      </c>
      <c r="K18" s="14">
        <f>SUM(K13:K17)</f>
        <v>368743.12970466673</v>
      </c>
      <c r="L18" s="14">
        <f>SUM(L13:L17)</f>
        <v>353949.28219722223</v>
      </c>
      <c r="M18" s="14">
        <f>SUM(M13:M17)</f>
        <v>404650.70291977783</v>
      </c>
    </row>
    <row r="19" spans="1:31">
      <c r="G19" s="14"/>
      <c r="I19" s="14"/>
      <c r="J19" s="14"/>
      <c r="K19" s="14"/>
      <c r="L19" s="14"/>
      <c r="M19" s="14"/>
    </row>
    <row r="20" spans="1:31">
      <c r="C20" s="1" t="s">
        <v>22</v>
      </c>
      <c r="G20" s="14"/>
      <c r="I20" s="14"/>
      <c r="J20" s="14"/>
      <c r="K20" s="14"/>
      <c r="L20" s="14"/>
      <c r="M20" s="14"/>
      <c r="W20" s="14"/>
      <c r="X20" s="14"/>
      <c r="Y20" s="14"/>
      <c r="Z20" s="14"/>
      <c r="AA20" s="14"/>
      <c r="AC20" s="14"/>
      <c r="AD20" s="14"/>
      <c r="AE20" s="14"/>
    </row>
    <row r="21" spans="1:31">
      <c r="A21" s="1">
        <f>A18+1</f>
        <v>8</v>
      </c>
      <c r="C21" s="1" t="s">
        <v>387</v>
      </c>
      <c r="E21" s="4" t="s">
        <v>396</v>
      </c>
      <c r="G21" s="15">
        <f>'Schedule 3'!G106</f>
        <v>64819.315310999991</v>
      </c>
      <c r="I21" s="15">
        <f>'Schedule 3'!I106</f>
        <v>51591.04764099999</v>
      </c>
      <c r="J21" s="15">
        <f>'Schedule 3'!J106</f>
        <v>54400.445971000023</v>
      </c>
      <c r="K21" s="15">
        <f>'Schedule 3'!K106</f>
        <v>57553.069790999994</v>
      </c>
      <c r="L21" s="15">
        <f>'Schedule 3'!L106</f>
        <v>55508.795371</v>
      </c>
      <c r="M21" s="15">
        <f>'Schedule 3'!M106</f>
        <v>52005.883231000014</v>
      </c>
      <c r="W21" s="14"/>
      <c r="Y21" s="14"/>
      <c r="Z21" s="14"/>
      <c r="AA21" s="14"/>
      <c r="AC21" s="14"/>
      <c r="AD21" s="14"/>
      <c r="AE21" s="14"/>
    </row>
    <row r="22" spans="1:31">
      <c r="A22" s="1">
        <f>A21+1</f>
        <v>9</v>
      </c>
      <c r="C22" s="1" t="s">
        <v>388</v>
      </c>
      <c r="E22" s="4" t="s">
        <v>419</v>
      </c>
      <c r="G22" s="15">
        <f>'Schedule 3'!G108</f>
        <v>38780.100539999999</v>
      </c>
      <c r="I22" s="15">
        <f>'Schedule 3'!I108</f>
        <v>32881.231670000001</v>
      </c>
      <c r="J22" s="15">
        <f>'Schedule 3'!J108</f>
        <v>26959.189160000002</v>
      </c>
      <c r="K22" s="15">
        <f>'Schedule 3'!K108</f>
        <v>12564.81684</v>
      </c>
      <c r="L22" s="15">
        <f>'Schedule 3'!L108</f>
        <v>13388.23675</v>
      </c>
      <c r="M22" s="15">
        <f>'Schedule 3'!M108</f>
        <v>5093.4766099999997</v>
      </c>
      <c r="W22" s="14"/>
      <c r="Y22" s="14"/>
      <c r="Z22" s="14"/>
      <c r="AA22" s="14"/>
      <c r="AC22" s="14"/>
      <c r="AD22" s="14"/>
      <c r="AE22" s="14"/>
    </row>
    <row r="23" spans="1:31">
      <c r="A23" s="1">
        <f>A22+1</f>
        <v>10</v>
      </c>
      <c r="C23" s="1" t="s">
        <v>24</v>
      </c>
      <c r="G23" s="18">
        <f>G21-G22</f>
        <v>26039.214770999992</v>
      </c>
      <c r="I23" s="18">
        <f>I21-I22</f>
        <v>18709.815970999989</v>
      </c>
      <c r="J23" s="18">
        <f>J21-J22</f>
        <v>27441.256811000021</v>
      </c>
      <c r="K23" s="18">
        <f>K21-K22</f>
        <v>44988.252950999995</v>
      </c>
      <c r="L23" s="18">
        <f>L21-L22</f>
        <v>42120.558621000004</v>
      </c>
      <c r="M23" s="18">
        <f>M21-M22</f>
        <v>46912.406621000016</v>
      </c>
      <c r="W23" s="16"/>
      <c r="Y23" s="16"/>
      <c r="Z23" s="16"/>
      <c r="AA23" s="16"/>
      <c r="AC23" s="16"/>
      <c r="AD23" s="16"/>
      <c r="AE23" s="16"/>
    </row>
    <row r="24" spans="1:31">
      <c r="G24" s="15"/>
      <c r="I24" s="15"/>
      <c r="J24" s="15"/>
      <c r="K24" s="15"/>
      <c r="L24" s="15"/>
      <c r="M24" s="15"/>
      <c r="W24" s="14"/>
      <c r="Y24" s="14"/>
      <c r="Z24" s="14"/>
      <c r="AA24" s="14"/>
      <c r="AC24" s="14"/>
      <c r="AD24" s="14"/>
      <c r="AE24" s="14"/>
    </row>
    <row r="25" spans="1:31">
      <c r="C25" s="8" t="s">
        <v>25</v>
      </c>
      <c r="G25" s="14"/>
      <c r="I25" s="14"/>
      <c r="J25" s="14"/>
      <c r="K25" s="14"/>
      <c r="L25" s="14"/>
      <c r="M25" s="14"/>
      <c r="Y25" s="16"/>
      <c r="Z25" s="16"/>
      <c r="AA25" s="16"/>
      <c r="AD25" s="16"/>
      <c r="AE25" s="16"/>
    </row>
    <row r="26" spans="1:31">
      <c r="A26" s="1">
        <f>A23+1</f>
        <v>11</v>
      </c>
      <c r="C26" s="1" t="s">
        <v>26</v>
      </c>
      <c r="E26" s="4" t="s">
        <v>420</v>
      </c>
      <c r="G26" s="14">
        <f>G10-G18+G23</f>
        <v>559442.69043888873</v>
      </c>
      <c r="I26" s="14">
        <f>I10-I18+I23</f>
        <v>520717.12447441666</v>
      </c>
      <c r="J26" s="14">
        <f>J10-J18+J23</f>
        <v>536012.83935888903</v>
      </c>
      <c r="K26" s="14">
        <f>K10-K18+K23</f>
        <v>622430.27449633332</v>
      </c>
      <c r="L26" s="14">
        <f>L10-L18+L23</f>
        <v>753521.191933778</v>
      </c>
      <c r="M26" s="14">
        <f>M10-M18+M23</f>
        <v>829057.95347122231</v>
      </c>
      <c r="Y26" s="16"/>
      <c r="Z26" s="16"/>
      <c r="AA26" s="16"/>
      <c r="AB26" s="16"/>
      <c r="AC26" s="16"/>
      <c r="AD26" s="14"/>
      <c r="AE26" s="14"/>
    </row>
    <row r="27" spans="1:31">
      <c r="A27" s="1">
        <f>A26+1</f>
        <v>12</v>
      </c>
      <c r="C27" s="1" t="s">
        <v>27</v>
      </c>
      <c r="G27" s="17">
        <v>519440.24851144431</v>
      </c>
      <c r="I27" s="17">
        <v>478860.90882075269</v>
      </c>
      <c r="J27" s="17">
        <f>I26</f>
        <v>520717.12447441666</v>
      </c>
      <c r="K27" s="17">
        <f>J26</f>
        <v>536012.83935888903</v>
      </c>
      <c r="L27" s="17">
        <f>K26</f>
        <v>622430.27449633332</v>
      </c>
      <c r="M27" s="17">
        <f>L26</f>
        <v>753521.191933778</v>
      </c>
      <c r="Y27" s="16"/>
      <c r="Z27" s="16"/>
      <c r="AA27" s="16"/>
    </row>
    <row r="28" spans="1:31">
      <c r="G28" s="14"/>
      <c r="I28" s="14"/>
      <c r="J28" s="14"/>
      <c r="K28" s="14"/>
      <c r="L28" s="14"/>
      <c r="M28" s="14"/>
    </row>
    <row r="29" spans="1:31">
      <c r="A29" s="1">
        <f>A27+1</f>
        <v>13</v>
      </c>
      <c r="C29" s="1" t="s">
        <v>29</v>
      </c>
      <c r="G29" s="14">
        <f>(G27+G26)/2</f>
        <v>539441.46947516652</v>
      </c>
      <c r="I29" s="14">
        <f>(I27+I26)/2</f>
        <v>499789.01664758468</v>
      </c>
      <c r="J29" s="14">
        <f>(J27+J26)/2</f>
        <v>528364.98191665288</v>
      </c>
      <c r="K29" s="14">
        <f>(K27+K26)/2</f>
        <v>579221.55692761112</v>
      </c>
      <c r="L29" s="14">
        <f>(L27+L26)/2</f>
        <v>687975.73321505566</v>
      </c>
      <c r="M29" s="14">
        <f>(M27+M26)/2</f>
        <v>791289.57270250015</v>
      </c>
    </row>
    <row r="30" spans="1:31">
      <c r="G30" s="14"/>
      <c r="I30" s="14"/>
      <c r="J30" s="14"/>
      <c r="K30" s="14"/>
      <c r="L30" s="14"/>
      <c r="M30" s="14"/>
    </row>
    <row r="31" spans="1:31">
      <c r="A31" s="1">
        <f>A29+1</f>
        <v>14</v>
      </c>
      <c r="C31" s="1" t="s">
        <v>30</v>
      </c>
      <c r="E31" s="4" t="s">
        <v>31</v>
      </c>
      <c r="G31" s="17">
        <f>'Schedule 2'!G21</f>
        <v>8696.8057530924252</v>
      </c>
      <c r="I31" s="17">
        <f>'Schedule 2'!I21</f>
        <v>8242.374903482023</v>
      </c>
      <c r="J31" s="17">
        <f>'Schedule 2'!J21</f>
        <v>8918.9740113573207</v>
      </c>
      <c r="K31" s="17">
        <f>'Schedule 2'!K21</f>
        <v>9572.0153000581977</v>
      </c>
      <c r="L31" s="17">
        <f>'Schedule 2'!L21</f>
        <v>9880.4463640656322</v>
      </c>
      <c r="M31" s="17">
        <f>'Schedule 2'!M21</f>
        <v>10051.700578469272</v>
      </c>
    </row>
    <row r="32" spans="1:31">
      <c r="G32" s="15"/>
      <c r="I32" s="15"/>
      <c r="J32" s="15"/>
      <c r="K32" s="15"/>
      <c r="L32" s="15"/>
      <c r="M32" s="15"/>
    </row>
    <row r="33" spans="1:27">
      <c r="G33" s="15"/>
      <c r="I33" s="15"/>
      <c r="J33" s="15"/>
      <c r="K33" s="15"/>
      <c r="L33" s="15"/>
      <c r="M33" s="15"/>
    </row>
    <row r="34" spans="1:27">
      <c r="A34" s="1">
        <f>A31+1</f>
        <v>15</v>
      </c>
      <c r="C34" s="8" t="s">
        <v>32</v>
      </c>
      <c r="G34" s="14">
        <f>G29+G31</f>
        <v>548138.27522825892</v>
      </c>
      <c r="I34" s="14">
        <f>I29+I31</f>
        <v>508031.39155106671</v>
      </c>
      <c r="J34" s="14">
        <f>J29+J31</f>
        <v>537283.95592801017</v>
      </c>
      <c r="K34" s="14">
        <f>K29+K31</f>
        <v>588793.5722276693</v>
      </c>
      <c r="L34" s="14">
        <f>L29+L31</f>
        <v>697856.17957912129</v>
      </c>
      <c r="M34" s="14">
        <f>M29+M31</f>
        <v>801341.27328096947</v>
      </c>
    </row>
    <row r="35" spans="1:27">
      <c r="G35" s="15"/>
      <c r="I35" s="15"/>
      <c r="J35" s="15"/>
      <c r="K35" s="15"/>
      <c r="L35" s="15"/>
      <c r="M35" s="15"/>
    </row>
    <row r="36" spans="1:27">
      <c r="C36" s="1" t="s">
        <v>14</v>
      </c>
      <c r="G36" s="14"/>
      <c r="I36" s="14"/>
      <c r="J36" s="14"/>
      <c r="K36" s="14"/>
      <c r="L36" s="14"/>
      <c r="M36" s="14"/>
      <c r="W36" s="16"/>
      <c r="Y36" s="16"/>
      <c r="Z36" s="16"/>
      <c r="AA36" s="16"/>
    </row>
    <row r="37" spans="1:27">
      <c r="C37" s="8" t="s">
        <v>308</v>
      </c>
      <c r="G37" s="14"/>
      <c r="I37" s="14"/>
      <c r="J37" s="14"/>
      <c r="K37" s="14"/>
      <c r="L37" s="14"/>
      <c r="M37" s="14"/>
      <c r="Y37" s="16"/>
      <c r="Z37" s="16"/>
      <c r="AA37" s="16"/>
    </row>
    <row r="38" spans="1:27">
      <c r="A38" s="1">
        <f>A34+1</f>
        <v>16</v>
      </c>
      <c r="C38" s="1" t="s">
        <v>26</v>
      </c>
      <c r="G38" s="14">
        <v>264508.87426000001</v>
      </c>
      <c r="I38" s="14">
        <v>258304.73963</v>
      </c>
      <c r="J38" s="14">
        <v>261316.40392000001</v>
      </c>
      <c r="K38" s="14">
        <v>265453.18212999997</v>
      </c>
      <c r="L38" s="14">
        <v>265853.18212999997</v>
      </c>
      <c r="M38" s="14">
        <v>266253.18212999997</v>
      </c>
      <c r="W38" s="16"/>
      <c r="Y38" s="16"/>
      <c r="Z38" s="16"/>
      <c r="AA38" s="16"/>
    </row>
    <row r="39" spans="1:27">
      <c r="A39" s="1">
        <f>A38+1</f>
        <v>17</v>
      </c>
      <c r="C39" s="1" t="s">
        <v>33</v>
      </c>
      <c r="G39" s="17">
        <v>26515.609039999999</v>
      </c>
      <c r="I39" s="17">
        <v>18336.50923</v>
      </c>
      <c r="J39" s="17">
        <v>12932.89179</v>
      </c>
      <c r="K39" s="17">
        <v>16669.669999999998</v>
      </c>
      <c r="L39" s="17">
        <v>169.67</v>
      </c>
      <c r="M39" s="17">
        <v>169.67</v>
      </c>
    </row>
    <row r="40" spans="1:27">
      <c r="A40" s="1">
        <f>A39+1</f>
        <v>18</v>
      </c>
      <c r="C40" s="1" t="s">
        <v>34</v>
      </c>
      <c r="G40" s="14">
        <f>G38-G39</f>
        <v>237993.26522</v>
      </c>
      <c r="I40" s="14">
        <f>I38-I39</f>
        <v>239968.2304</v>
      </c>
      <c r="J40" s="14">
        <f>J38-J39</f>
        <v>248383.51213000002</v>
      </c>
      <c r="K40" s="14">
        <f>K38-K39</f>
        <v>248783.51212999999</v>
      </c>
      <c r="L40" s="14">
        <f>L38-L39</f>
        <v>265683.51212999999</v>
      </c>
      <c r="M40" s="14">
        <f>M38-M39</f>
        <v>266083.51212999999</v>
      </c>
    </row>
    <row r="41" spans="1:27">
      <c r="A41" s="1">
        <f>A40+1</f>
        <v>19</v>
      </c>
      <c r="C41" s="1" t="s">
        <v>35</v>
      </c>
      <c r="G41" s="17">
        <v>63971.36623</v>
      </c>
      <c r="I41" s="17">
        <v>59326.632490000004</v>
      </c>
      <c r="J41" s="17">
        <v>64784.582519999996</v>
      </c>
      <c r="K41" s="17">
        <v>71926.056599999996</v>
      </c>
      <c r="L41" s="17">
        <v>79486.317900000009</v>
      </c>
      <c r="M41" s="17">
        <v>87465.822700000004</v>
      </c>
    </row>
    <row r="42" spans="1:27">
      <c r="A42" s="1">
        <f>A41+1</f>
        <v>20</v>
      </c>
      <c r="C42" s="1" t="s">
        <v>36</v>
      </c>
      <c r="G42" s="14">
        <f>G40-G41</f>
        <v>174021.89899000002</v>
      </c>
      <c r="I42" s="14">
        <f>I40-I41</f>
        <v>180641.59791000001</v>
      </c>
      <c r="J42" s="14">
        <f>J40-J41</f>
        <v>183598.92961000002</v>
      </c>
      <c r="K42" s="14">
        <f>K40-K41</f>
        <v>176857.45552999998</v>
      </c>
      <c r="L42" s="14">
        <f>L40-L41</f>
        <v>186197.19422999996</v>
      </c>
      <c r="M42" s="14">
        <f>M40-M41</f>
        <v>178617.68942999997</v>
      </c>
      <c r="Z42" s="16"/>
      <c r="AA42" s="16"/>
    </row>
    <row r="43" spans="1:27">
      <c r="G43" s="14"/>
      <c r="I43" s="14"/>
      <c r="J43" s="14"/>
      <c r="K43" s="14"/>
      <c r="L43" s="14"/>
      <c r="M43" s="14"/>
      <c r="Z43" s="16"/>
      <c r="AA43" s="16"/>
    </row>
    <row r="44" spans="1:27">
      <c r="A44" s="1">
        <f>A42+1</f>
        <v>21</v>
      </c>
      <c r="C44" s="1" t="s">
        <v>27</v>
      </c>
      <c r="G44" s="17">
        <v>178055.01205999998</v>
      </c>
      <c r="I44" s="155">
        <v>181613.43411</v>
      </c>
      <c r="J44" s="17">
        <f>I42</f>
        <v>180641.59791000001</v>
      </c>
      <c r="K44" s="17">
        <f>J42</f>
        <v>183598.92961000002</v>
      </c>
      <c r="L44" s="17">
        <f>K42</f>
        <v>176857.45552999998</v>
      </c>
      <c r="M44" s="17">
        <f>L42</f>
        <v>186197.19422999996</v>
      </c>
    </row>
    <row r="45" spans="1:27">
      <c r="G45" s="14"/>
      <c r="I45" s="14"/>
      <c r="J45" s="14"/>
      <c r="K45" s="14"/>
      <c r="L45" s="14"/>
      <c r="M45" s="14"/>
    </row>
    <row r="46" spans="1:27">
      <c r="A46" s="1">
        <f>A44+1</f>
        <v>22</v>
      </c>
      <c r="C46" s="1" t="s">
        <v>29</v>
      </c>
      <c r="G46" s="17">
        <f>(G42+G44)/2</f>
        <v>176038.455525</v>
      </c>
      <c r="I46" s="17">
        <f>(I42+I44)/2</f>
        <v>181127.51601000002</v>
      </c>
      <c r="J46" s="17">
        <f>(J42+J44)/2</f>
        <v>182120.26376</v>
      </c>
      <c r="K46" s="17">
        <f>(K42+K44)/2</f>
        <v>180228.19257000001</v>
      </c>
      <c r="L46" s="17">
        <f>(L42+L44)/2</f>
        <v>181527.32487999997</v>
      </c>
      <c r="M46" s="17">
        <f>(M42+M44)/2</f>
        <v>182407.44182999997</v>
      </c>
      <c r="Z46" s="16"/>
      <c r="AA46" s="16"/>
    </row>
    <row r="47" spans="1:27">
      <c r="G47" s="14"/>
      <c r="I47" s="14"/>
      <c r="J47" s="14"/>
      <c r="K47" s="14"/>
      <c r="L47" s="14"/>
      <c r="M47" s="14"/>
    </row>
    <row r="48" spans="1:27" ht="13" thickBot="1">
      <c r="A48" s="1">
        <f>A46+1</f>
        <v>23</v>
      </c>
      <c r="C48" s="8" t="s">
        <v>37</v>
      </c>
      <c r="E48" s="4" t="s">
        <v>38</v>
      </c>
      <c r="G48" s="21">
        <f>G34-G46</f>
        <v>372099.81970325892</v>
      </c>
      <c r="I48" s="21">
        <f>I34-I46</f>
        <v>326903.87554106669</v>
      </c>
      <c r="J48" s="21">
        <f>J34-J46</f>
        <v>355163.69216801017</v>
      </c>
      <c r="K48" s="21">
        <f>K34-K46</f>
        <v>408565.37965766928</v>
      </c>
      <c r="L48" s="21">
        <f>L34-L46</f>
        <v>516328.85469912132</v>
      </c>
      <c r="M48" s="21">
        <f>M34-M46</f>
        <v>618933.83145096945</v>
      </c>
    </row>
    <row r="49" spans="3:13">
      <c r="G49" s="14"/>
      <c r="I49" s="14"/>
      <c r="J49" s="14"/>
      <c r="K49" s="14"/>
      <c r="L49" s="14"/>
    </row>
    <row r="50" spans="3:13">
      <c r="C50" s="1" t="s">
        <v>39</v>
      </c>
      <c r="G50" s="14"/>
      <c r="I50" s="14"/>
      <c r="J50" s="14"/>
      <c r="K50" s="14"/>
      <c r="L50" s="14"/>
    </row>
    <row r="51" spans="3:13" ht="31.5" customHeight="1">
      <c r="C51" s="203" t="s">
        <v>397</v>
      </c>
      <c r="D51" s="203"/>
      <c r="E51" s="203"/>
      <c r="F51" s="203"/>
      <c r="G51" s="203"/>
      <c r="H51" s="203"/>
      <c r="I51" s="203"/>
      <c r="J51" s="203"/>
      <c r="K51" s="203"/>
      <c r="L51" s="203"/>
      <c r="M51" s="203"/>
    </row>
    <row r="52" spans="3:13">
      <c r="C52" s="203"/>
      <c r="D52" s="203"/>
      <c r="E52" s="203"/>
      <c r="F52" s="203"/>
      <c r="G52" s="22"/>
      <c r="H52" s="22"/>
      <c r="I52" s="22"/>
      <c r="J52" s="22"/>
      <c r="K52" s="22"/>
      <c r="L52" s="22"/>
    </row>
  </sheetData>
  <mergeCells count="2">
    <mergeCell ref="C52:F52"/>
    <mergeCell ref="C51:M51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74" orientation="portrait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">
    <tabColor theme="9" tint="0.39997558519241921"/>
    <pageSetUpPr fitToPage="1"/>
  </sheetPr>
  <dimension ref="A1:M66"/>
  <sheetViews>
    <sheetView view="pageBreakPreview" zoomScaleSheetLayoutView="100" workbookViewId="0">
      <pane ySplit="7" topLeftCell="A8" activePane="bottomLeft" state="frozen"/>
      <selection activeCell="H18" sqref="H18"/>
      <selection pane="bottomLeft" activeCell="A8" sqref="A8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27.453125" style="1" customWidth="1"/>
    <col min="4" max="4" width="1.81640625" style="1" customWidth="1"/>
    <col min="5" max="5" width="9.1796875" style="4" customWidth="1"/>
    <col min="6" max="6" width="1.81640625" style="1" customWidth="1"/>
    <col min="7" max="7" width="12.26953125" style="1" customWidth="1"/>
    <col min="8" max="8" width="1.81640625" style="1" customWidth="1"/>
    <col min="9" max="12" width="11.26953125" style="1" customWidth="1"/>
    <col min="13" max="13" width="12.54296875" style="1" customWidth="1"/>
    <col min="14" max="16384" width="9.1796875" style="1"/>
  </cols>
  <sheetData>
    <row r="1" spans="1:13" ht="15">
      <c r="A1" s="9" t="s">
        <v>0</v>
      </c>
      <c r="M1" s="193" t="s">
        <v>285</v>
      </c>
    </row>
    <row r="2" spans="1:13">
      <c r="A2" s="10" t="s">
        <v>286</v>
      </c>
      <c r="M2" s="194" t="str">
        <f>'Schedule 1'!$M$2</f>
        <v>2025-27 GRA</v>
      </c>
    </row>
    <row r="3" spans="1:13">
      <c r="A3" s="10" t="s">
        <v>7</v>
      </c>
    </row>
    <row r="6" spans="1:13" s="4" customFormat="1">
      <c r="G6" s="11"/>
      <c r="I6" s="11"/>
      <c r="J6" s="11"/>
      <c r="K6" s="8"/>
      <c r="L6" s="8"/>
      <c r="M6" s="8"/>
    </row>
    <row r="7" spans="1:13" s="13" customFormat="1" ht="37.5">
      <c r="A7" s="12" t="s">
        <v>8</v>
      </c>
      <c r="C7" s="12" t="s">
        <v>9</v>
      </c>
      <c r="E7" s="12" t="s">
        <v>10</v>
      </c>
      <c r="G7" s="12" t="str">
        <f>'Schedule 1'!G7</f>
        <v>2024 GRA
Compliance</v>
      </c>
      <c r="I7" s="12" t="str">
        <f>'Schedule 1'!I7</f>
        <v>Actual 2023</v>
      </c>
      <c r="J7" s="12" t="str">
        <f>'Schedule 1'!J7</f>
        <v>Prelim. Actual 2024</v>
      </c>
      <c r="K7" s="12" t="str">
        <f>'Schedule 1'!K7</f>
        <v>Forecast 2025</v>
      </c>
      <c r="L7" s="12" t="str">
        <f>'Schedule 1'!L7</f>
        <v>Forecast 2026</v>
      </c>
      <c r="M7" s="12" t="str">
        <f>'Schedule 1'!M7</f>
        <v>Forecast 2027</v>
      </c>
    </row>
    <row r="9" spans="1:13" ht="12.75" customHeight="1">
      <c r="C9" s="8" t="s">
        <v>342</v>
      </c>
    </row>
    <row r="10" spans="1:13" ht="12.75" customHeight="1">
      <c r="C10" s="67"/>
      <c r="G10" s="19"/>
      <c r="I10" s="19"/>
      <c r="J10" s="19"/>
      <c r="K10" s="19"/>
      <c r="L10" s="19"/>
      <c r="M10" s="19"/>
    </row>
    <row r="11" spans="1:13" ht="12.75" customHeight="1">
      <c r="A11" s="1">
        <v>1</v>
      </c>
      <c r="C11" s="1" t="s">
        <v>287</v>
      </c>
      <c r="G11" s="19">
        <v>17520.00072</v>
      </c>
      <c r="I11" s="19">
        <v>17856.923719999999</v>
      </c>
      <c r="J11" s="19">
        <v>17520.00072</v>
      </c>
      <c r="K11" s="19">
        <v>17183.077719999997</v>
      </c>
      <c r="L11" s="19">
        <v>16846.154719999999</v>
      </c>
      <c r="M11" s="19">
        <v>16509.23172</v>
      </c>
    </row>
    <row r="12" spans="1:13" ht="12.75" customHeight="1">
      <c r="A12" s="1">
        <f t="shared" ref="A12:A31" si="0">A11+1</f>
        <v>2</v>
      </c>
      <c r="C12" s="1" t="s">
        <v>389</v>
      </c>
      <c r="G12" s="19">
        <v>6552.2169999999996</v>
      </c>
      <c r="I12" s="19">
        <v>6987.2510000000002</v>
      </c>
      <c r="J12" s="19">
        <v>6552.2169999999996</v>
      </c>
      <c r="K12" s="19">
        <v>6108.1279999999997</v>
      </c>
      <c r="L12" s="19">
        <v>5654.7939999999999</v>
      </c>
      <c r="M12" s="19">
        <v>5192.0240000000003</v>
      </c>
    </row>
    <row r="13" spans="1:13" ht="12.75" customHeight="1">
      <c r="A13" s="1">
        <f t="shared" si="0"/>
        <v>3</v>
      </c>
      <c r="C13" s="1" t="s">
        <v>391</v>
      </c>
      <c r="G13" s="19">
        <v>55620.473279999998</v>
      </c>
      <c r="I13" s="19">
        <v>59304.273280000001</v>
      </c>
      <c r="J13" s="19">
        <v>55620.473279999998</v>
      </c>
      <c r="K13" s="19">
        <v>51936.673280000003</v>
      </c>
      <c r="L13" s="19">
        <v>48252.87328</v>
      </c>
      <c r="M13" s="19">
        <v>44569.073280000004</v>
      </c>
    </row>
    <row r="14" spans="1:13" ht="12.75" customHeight="1">
      <c r="A14" s="1">
        <f t="shared" si="0"/>
        <v>4</v>
      </c>
      <c r="C14" s="1" t="s">
        <v>392</v>
      </c>
      <c r="G14" s="19">
        <v>5505</v>
      </c>
      <c r="I14" s="19">
        <v>5505</v>
      </c>
      <c r="J14" s="19">
        <v>5505</v>
      </c>
      <c r="K14" s="19">
        <v>5505</v>
      </c>
      <c r="L14" s="19">
        <v>5505</v>
      </c>
      <c r="M14" s="19">
        <v>5505</v>
      </c>
    </row>
    <row r="15" spans="1:13" ht="12.75" customHeight="1">
      <c r="A15" s="1">
        <f t="shared" si="0"/>
        <v>5</v>
      </c>
      <c r="C15" s="1" t="s">
        <v>393</v>
      </c>
      <c r="G15" s="19">
        <v>13430.018559999999</v>
      </c>
      <c r="I15" s="19">
        <v>14269.394719999998</v>
      </c>
      <c r="J15" s="19">
        <v>13430.018559999999</v>
      </c>
      <c r="K15" s="19">
        <v>12590.642399999999</v>
      </c>
      <c r="L15" s="19">
        <v>11751.266239999999</v>
      </c>
      <c r="M15" s="19">
        <v>10911.890079999997</v>
      </c>
    </row>
    <row r="16" spans="1:13" ht="12.75" customHeight="1">
      <c r="A16" s="1">
        <f t="shared" si="0"/>
        <v>6</v>
      </c>
      <c r="C16" s="1" t="s">
        <v>390</v>
      </c>
      <c r="G16" s="19">
        <v>12136</v>
      </c>
      <c r="I16" s="19">
        <v>12136</v>
      </c>
      <c r="J16" s="19">
        <v>12136</v>
      </c>
      <c r="K16" s="19">
        <v>12136</v>
      </c>
      <c r="L16" s="19">
        <v>12136</v>
      </c>
      <c r="M16" s="19">
        <v>12136</v>
      </c>
    </row>
    <row r="17" spans="1:13" ht="12.75" customHeight="1">
      <c r="A17" s="1">
        <f t="shared" si="0"/>
        <v>7</v>
      </c>
      <c r="C17" s="1" t="s">
        <v>389</v>
      </c>
      <c r="G17" s="19">
        <v>19402.978999999999</v>
      </c>
      <c r="I17" s="19">
        <v>20135.260999999999</v>
      </c>
      <c r="J17" s="19">
        <v>19402.978999999999</v>
      </c>
      <c r="K17" s="19">
        <v>18645.422999999999</v>
      </c>
      <c r="L17" s="19">
        <v>17861.721000000001</v>
      </c>
      <c r="M17" s="19">
        <v>17050.97</v>
      </c>
    </row>
    <row r="18" spans="1:13" ht="12.75" customHeight="1">
      <c r="A18" s="1">
        <f t="shared" si="0"/>
        <v>8</v>
      </c>
      <c r="C18" s="1" t="s">
        <v>389</v>
      </c>
      <c r="G18" s="19">
        <v>5658.8459999999995</v>
      </c>
      <c r="I18" s="19">
        <v>5876.6790000000001</v>
      </c>
      <c r="J18" s="19">
        <v>5658.8459999999995</v>
      </c>
      <c r="K18" s="19">
        <v>5435.1909999999998</v>
      </c>
      <c r="L18" s="19">
        <v>5205.5569999999998</v>
      </c>
      <c r="M18" s="19">
        <v>4969.7849999999999</v>
      </c>
    </row>
    <row r="19" spans="1:13" ht="12.75" customHeight="1">
      <c r="A19" s="1">
        <f t="shared" si="0"/>
        <v>9</v>
      </c>
      <c r="C19" s="1" t="s">
        <v>394</v>
      </c>
      <c r="G19" s="19">
        <v>2871</v>
      </c>
      <c r="I19" s="19">
        <v>2871</v>
      </c>
      <c r="J19" s="19">
        <v>2871</v>
      </c>
      <c r="K19" s="19">
        <v>2871</v>
      </c>
      <c r="L19" s="19">
        <v>2871</v>
      </c>
      <c r="M19" s="19">
        <v>2871</v>
      </c>
    </row>
    <row r="20" spans="1:13" ht="12.75" customHeight="1">
      <c r="A20" s="1">
        <f t="shared" si="0"/>
        <v>10</v>
      </c>
      <c r="C20" s="1" t="s">
        <v>336</v>
      </c>
      <c r="G20" s="19">
        <v>4175.0810000000001</v>
      </c>
      <c r="I20" s="19">
        <v>4333.2539999999999</v>
      </c>
      <c r="J20" s="19">
        <v>4175.0810000000001</v>
      </c>
      <c r="K20" s="19">
        <v>4013.6280000000002</v>
      </c>
      <c r="L20" s="19">
        <v>3848.8249999999998</v>
      </c>
      <c r="M20" s="19">
        <v>3680.6030000000001</v>
      </c>
    </row>
    <row r="21" spans="1:13" ht="12.75" customHeight="1">
      <c r="A21" s="1">
        <f t="shared" si="0"/>
        <v>11</v>
      </c>
      <c r="C21" s="1" t="s">
        <v>344</v>
      </c>
      <c r="G21" s="19">
        <v>3958.7449999999999</v>
      </c>
      <c r="I21" s="19">
        <v>3958.7449999999999</v>
      </c>
      <c r="J21" s="19">
        <v>3958.7449999999999</v>
      </c>
      <c r="K21" s="19">
        <v>3958.7449999999999</v>
      </c>
      <c r="L21" s="19">
        <v>3958.7449999999999</v>
      </c>
      <c r="M21" s="19">
        <v>3958.7449999999999</v>
      </c>
    </row>
    <row r="22" spans="1:13" ht="12.75" customHeight="1">
      <c r="A22" s="1">
        <f t="shared" si="0"/>
        <v>12</v>
      </c>
      <c r="C22" s="1" t="s">
        <v>337</v>
      </c>
      <c r="G22" s="19">
        <v>6849.5069999999996</v>
      </c>
      <c r="I22" s="19">
        <v>7078.6790000000001</v>
      </c>
      <c r="J22" s="19">
        <v>6849.5069999999996</v>
      </c>
      <c r="K22" s="19">
        <v>6613.64</v>
      </c>
      <c r="L22" s="19">
        <v>6370.8829999999998</v>
      </c>
      <c r="M22" s="19">
        <v>6121.0330000000004</v>
      </c>
    </row>
    <row r="23" spans="1:13" ht="12.75" customHeight="1">
      <c r="A23" s="1">
        <f t="shared" si="0"/>
        <v>13</v>
      </c>
      <c r="C23" s="1" t="s">
        <v>338</v>
      </c>
      <c r="G23" s="19">
        <v>17268.931</v>
      </c>
      <c r="I23" s="19">
        <v>17598.021000000001</v>
      </c>
      <c r="J23" s="19">
        <v>17268.931</v>
      </c>
      <c r="K23" s="19">
        <v>16926.181</v>
      </c>
      <c r="L23" s="19">
        <v>16569.204000000002</v>
      </c>
      <c r="M23" s="19">
        <v>16197.409</v>
      </c>
    </row>
    <row r="24" spans="1:13" ht="12.75" customHeight="1">
      <c r="A24" s="1">
        <f t="shared" si="0"/>
        <v>14</v>
      </c>
      <c r="C24" s="1" t="s">
        <v>441</v>
      </c>
      <c r="G24" s="19"/>
      <c r="I24" s="19">
        <v>6425</v>
      </c>
      <c r="J24" s="19">
        <v>6274.0893794367239</v>
      </c>
      <c r="K24" s="19">
        <v>6116.8956414252161</v>
      </c>
      <c r="L24" s="19">
        <v>5953.1571902956621</v>
      </c>
      <c r="M24" s="19">
        <v>5782.6015389226868</v>
      </c>
    </row>
    <row r="25" spans="1:13" ht="12.75" customHeight="1">
      <c r="A25" s="1">
        <f t="shared" si="0"/>
        <v>15</v>
      </c>
      <c r="C25" s="1" t="s">
        <v>442</v>
      </c>
      <c r="G25" s="19"/>
      <c r="I25" s="19">
        <v>1000</v>
      </c>
      <c r="J25" s="19">
        <v>1000</v>
      </c>
      <c r="K25" s="19">
        <v>1000</v>
      </c>
      <c r="L25" s="19">
        <v>1000</v>
      </c>
      <c r="M25" s="19">
        <v>1000</v>
      </c>
    </row>
    <row r="26" spans="1:13" ht="12.75" customHeight="1">
      <c r="A26" s="1">
        <f t="shared" si="0"/>
        <v>16</v>
      </c>
      <c r="C26" s="1" t="s">
        <v>339</v>
      </c>
      <c r="G26" s="19">
        <v>28873.613182975794</v>
      </c>
      <c r="I26" s="19"/>
      <c r="J26" s="19"/>
      <c r="K26" s="19"/>
      <c r="L26" s="19"/>
      <c r="M26" s="19"/>
    </row>
    <row r="27" spans="1:13" ht="12.75" customHeight="1">
      <c r="A27" s="1">
        <f t="shared" si="0"/>
        <v>17</v>
      </c>
      <c r="C27" s="1" t="s">
        <v>340</v>
      </c>
      <c r="G27" s="19">
        <v>33561.277350582997</v>
      </c>
      <c r="I27" s="19"/>
      <c r="J27" s="19">
        <v>27254</v>
      </c>
      <c r="K27" s="19">
        <v>26631.516509394503</v>
      </c>
      <c r="L27" s="19">
        <v>25981.831512652418</v>
      </c>
      <c r="M27" s="19">
        <v>25303.756348632891</v>
      </c>
    </row>
    <row r="28" spans="1:13" ht="12.75" customHeight="1">
      <c r="A28" s="1">
        <f t="shared" si="0"/>
        <v>18</v>
      </c>
      <c r="C28" s="1" t="s">
        <v>443</v>
      </c>
      <c r="G28" s="19"/>
      <c r="I28" s="19"/>
      <c r="J28" s="19"/>
      <c r="K28" s="19">
        <v>72094.385458929668</v>
      </c>
      <c r="L28" s="19">
        <v>72094.385458929668</v>
      </c>
      <c r="M28" s="19">
        <v>72094.385458929668</v>
      </c>
    </row>
    <row r="29" spans="1:13" ht="12.75" customHeight="1">
      <c r="A29" s="1">
        <f t="shared" si="0"/>
        <v>19</v>
      </c>
      <c r="C29" s="1" t="s">
        <v>444</v>
      </c>
      <c r="G29" s="19"/>
      <c r="I29" s="19"/>
      <c r="J29" s="19"/>
      <c r="K29" s="19"/>
      <c r="L29" s="19">
        <v>81140.148908338451</v>
      </c>
      <c r="M29" s="19">
        <v>81140.148908338451</v>
      </c>
    </row>
    <row r="30" spans="1:13" ht="12.75" customHeight="1">
      <c r="A30" s="1">
        <f t="shared" si="0"/>
        <v>20</v>
      </c>
      <c r="C30" s="1" t="s">
        <v>445</v>
      </c>
      <c r="G30" s="19"/>
      <c r="I30" s="19"/>
      <c r="J30" s="19"/>
      <c r="K30" s="19"/>
      <c r="L30" s="19"/>
      <c r="M30" s="19">
        <v>57684.272086624347</v>
      </c>
    </row>
    <row r="31" spans="1:13" ht="12.75" customHeight="1">
      <c r="A31" s="1">
        <f t="shared" si="0"/>
        <v>21</v>
      </c>
      <c r="C31" s="1" t="s">
        <v>288</v>
      </c>
      <c r="G31" s="19">
        <v>3086.8127297745518</v>
      </c>
      <c r="I31" s="19">
        <v>3028.5583300000003</v>
      </c>
      <c r="J31" s="19">
        <v>3181.8621712750564</v>
      </c>
      <c r="K31" s="19">
        <v>3320.9042600504417</v>
      </c>
      <c r="L31" s="19">
        <v>3320.9042600504417</v>
      </c>
      <c r="M31" s="19">
        <v>3617.4816692852637</v>
      </c>
    </row>
    <row r="32" spans="1:13">
      <c r="G32" s="19"/>
      <c r="I32" s="19"/>
      <c r="J32" s="19"/>
      <c r="K32" s="19"/>
      <c r="L32" s="19"/>
      <c r="M32" s="19"/>
    </row>
    <row r="33" spans="1:13" ht="12.75" customHeight="1">
      <c r="A33" s="1">
        <f>A31+1</f>
        <v>22</v>
      </c>
      <c r="C33" s="1" t="s">
        <v>26</v>
      </c>
      <c r="G33" s="19">
        <f>SUM(G11:G32)</f>
        <v>236470.50182333332</v>
      </c>
      <c r="I33" s="19">
        <f>SUM(I11:I32)</f>
        <v>188364.04005000001</v>
      </c>
      <c r="J33" s="19">
        <f>SUM(J11:J32)</f>
        <v>208658.75011071176</v>
      </c>
      <c r="K33" s="19">
        <f>SUM(K11:K32)</f>
        <v>273087.03126979986</v>
      </c>
      <c r="L33" s="19">
        <f>SUM(L11:L32)</f>
        <v>346322.45057026664</v>
      </c>
      <c r="M33" s="19">
        <f>SUM(M11:M32)</f>
        <v>396295.41009073332</v>
      </c>
    </row>
    <row r="34" spans="1:13" ht="12.75" customHeight="1">
      <c r="A34" s="1">
        <f>A33+1</f>
        <v>23</v>
      </c>
      <c r="C34" s="1" t="s">
        <v>27</v>
      </c>
      <c r="G34" s="43">
        <v>209760.46811086661</v>
      </c>
      <c r="I34" s="43">
        <v>187685.48979513653</v>
      </c>
      <c r="J34" s="43">
        <f>I33</f>
        <v>188364.04005000001</v>
      </c>
      <c r="K34" s="43">
        <f>J33</f>
        <v>208658.75011071176</v>
      </c>
      <c r="L34" s="43">
        <f>K33</f>
        <v>273087.03126979986</v>
      </c>
      <c r="M34" s="43">
        <f>L33</f>
        <v>346322.45057026664</v>
      </c>
    </row>
    <row r="35" spans="1:13">
      <c r="A35" s="1">
        <f>A34+1</f>
        <v>24</v>
      </c>
      <c r="C35" s="1" t="s">
        <v>289</v>
      </c>
      <c r="G35" s="19">
        <f>(G34+G33)/2</f>
        <v>223115.48496709997</v>
      </c>
      <c r="I35" s="19">
        <f>(I34+I33)/2</f>
        <v>188024.76492256828</v>
      </c>
      <c r="J35" s="19">
        <f>(J34+J33)/2</f>
        <v>198511.39508035587</v>
      </c>
      <c r="K35" s="19">
        <f>(K34+K33)/2</f>
        <v>240872.89069025579</v>
      </c>
      <c r="L35" s="19">
        <f t="shared" ref="L35:M35" si="1">(L34+L33)/2</f>
        <v>309704.74092003325</v>
      </c>
      <c r="M35" s="19">
        <f t="shared" si="1"/>
        <v>371308.93033050001</v>
      </c>
    </row>
    <row r="37" spans="1:13">
      <c r="C37" s="81"/>
      <c r="D37" s="81"/>
      <c r="E37" s="82"/>
      <c r="F37" s="81"/>
      <c r="G37" s="83"/>
      <c r="H37" s="81"/>
      <c r="I37" s="83"/>
      <c r="J37" s="83"/>
      <c r="K37" s="83"/>
      <c r="L37" s="83"/>
      <c r="M37" s="83"/>
    </row>
    <row r="38" spans="1:13">
      <c r="C38" s="8" t="s">
        <v>343</v>
      </c>
      <c r="E38" s="1"/>
    </row>
    <row r="40" spans="1:13">
      <c r="A40" s="1">
        <f>A35+1</f>
        <v>25</v>
      </c>
      <c r="C40" s="1" t="str">
        <f t="shared" ref="C40:C46" si="2">C11</f>
        <v>YDC Mayo B Flexible Term Debt</v>
      </c>
      <c r="G40" s="19">
        <v>974.98800453599983</v>
      </c>
      <c r="I40" s="19">
        <v>993.38400415799993</v>
      </c>
      <c r="J40" s="19">
        <v>974.98800453599983</v>
      </c>
      <c r="K40" s="19">
        <v>956.59200491399986</v>
      </c>
      <c r="L40" s="19">
        <v>938.19600529199977</v>
      </c>
      <c r="M40" s="19">
        <v>919.80000566999979</v>
      </c>
    </row>
    <row r="41" spans="1:13">
      <c r="A41" s="1">
        <f t="shared" ref="A41:A61" si="3">A40+1</f>
        <v>26</v>
      </c>
      <c r="C41" s="1" t="str">
        <f t="shared" si="2"/>
        <v>TD Bank Swap</v>
      </c>
      <c r="G41" s="19">
        <v>139.98098698666666</v>
      </c>
      <c r="I41" s="19">
        <v>148.85198763833333</v>
      </c>
      <c r="J41" s="19">
        <v>139.98098698666666</v>
      </c>
      <c r="K41" s="19">
        <v>130.92531533333334</v>
      </c>
      <c r="L41" s="19">
        <v>121.681151105</v>
      </c>
      <c r="M41" s="19">
        <v>112.24455759999996</v>
      </c>
    </row>
    <row r="42" spans="1:13">
      <c r="A42" s="1">
        <f t="shared" si="3"/>
        <v>27</v>
      </c>
      <c r="C42" s="1" t="str">
        <f t="shared" si="2"/>
        <v>YDC $92.5M Debt</v>
      </c>
      <c r="G42" s="19">
        <v>1589.3545239040006</v>
      </c>
      <c r="I42" s="19">
        <v>1688.080363904</v>
      </c>
      <c r="J42" s="19">
        <v>1589.3545239040006</v>
      </c>
      <c r="K42" s="19">
        <v>2265.9780814271999</v>
      </c>
      <c r="L42" s="19">
        <v>2115.9000694271999</v>
      </c>
      <c r="M42" s="19">
        <v>1965.8220574271998</v>
      </c>
    </row>
    <row r="43" spans="1:13">
      <c r="A43" s="1">
        <f t="shared" si="3"/>
        <v>28</v>
      </c>
      <c r="C43" s="1" t="str">
        <f t="shared" si="2"/>
        <v>YDC $5.5M Debt</v>
      </c>
      <c r="G43" s="19">
        <v>132.12</v>
      </c>
      <c r="I43" s="19">
        <v>132.12</v>
      </c>
      <c r="J43" s="19">
        <v>132.12</v>
      </c>
      <c r="K43" s="19">
        <v>132.12</v>
      </c>
      <c r="L43" s="19">
        <v>132.12</v>
      </c>
      <c r="M43" s="19">
        <v>132.12</v>
      </c>
    </row>
    <row r="44" spans="1:13">
      <c r="A44" s="1">
        <f t="shared" si="3"/>
        <v>29</v>
      </c>
      <c r="C44" s="1" t="str">
        <f t="shared" si="2"/>
        <v>YDC $21.0M Debt</v>
      </c>
      <c r="G44" s="19">
        <v>315.35362331200002</v>
      </c>
      <c r="I44" s="19">
        <v>333.90383644799999</v>
      </c>
      <c r="J44" s="19">
        <v>315.35362331200002</v>
      </c>
      <c r="K44" s="19">
        <v>296.803410176</v>
      </c>
      <c r="L44" s="19">
        <v>278.25319703999998</v>
      </c>
      <c r="M44" s="19">
        <v>259.70298390400001</v>
      </c>
    </row>
    <row r="45" spans="1:13">
      <c r="A45" s="1">
        <f t="shared" si="3"/>
        <v>30</v>
      </c>
      <c r="C45" s="1" t="str">
        <f t="shared" si="2"/>
        <v>YDC $12.1M Debt</v>
      </c>
      <c r="G45" s="19">
        <v>358.99285479452055</v>
      </c>
      <c r="I45" s="19">
        <v>358.012</v>
      </c>
      <c r="J45" s="19">
        <v>358.012</v>
      </c>
      <c r="K45" s="19">
        <v>358.012</v>
      </c>
      <c r="L45" s="19">
        <v>358.012</v>
      </c>
      <c r="M45" s="19">
        <v>358.012</v>
      </c>
    </row>
    <row r="46" spans="1:13">
      <c r="A46" s="1">
        <f t="shared" si="3"/>
        <v>31</v>
      </c>
      <c r="C46" s="1" t="str">
        <f t="shared" si="2"/>
        <v>TD Bank Swap</v>
      </c>
      <c r="G46" s="19">
        <v>672.86135824000007</v>
      </c>
      <c r="I46" s="19">
        <v>697.2925444816666</v>
      </c>
      <c r="J46" s="19">
        <v>672.86135824000007</v>
      </c>
      <c r="K46" s="19">
        <v>647.58720697166677</v>
      </c>
      <c r="L46" s="19">
        <v>621.44074946000012</v>
      </c>
      <c r="M46" s="19">
        <v>594.39186526666674</v>
      </c>
    </row>
    <row r="47" spans="1:13">
      <c r="A47" s="1">
        <f t="shared" si="3"/>
        <v>32</v>
      </c>
      <c r="C47" s="1" t="s">
        <v>389</v>
      </c>
      <c r="G47" s="19">
        <v>152.57887374416666</v>
      </c>
      <c r="I47" s="19">
        <v>158.25098402250003</v>
      </c>
      <c r="J47" s="19">
        <v>152.57887374416666</v>
      </c>
      <c r="K47" s="19">
        <v>146.75577025833334</v>
      </c>
      <c r="L47" s="19">
        <v>140.77701503583336</v>
      </c>
      <c r="M47" s="19">
        <v>134.63842869416669</v>
      </c>
    </row>
    <row r="48" spans="1:13">
      <c r="A48" s="1">
        <f t="shared" si="3"/>
        <v>33</v>
      </c>
      <c r="C48" s="1" t="s">
        <v>394</v>
      </c>
      <c r="G48" s="19">
        <v>83.230289999999997</v>
      </c>
      <c r="I48" s="19">
        <v>83.230289999999997</v>
      </c>
      <c r="J48" s="19">
        <v>83.230289999999997</v>
      </c>
      <c r="K48" s="19">
        <v>83.230289999999997</v>
      </c>
      <c r="L48" s="19">
        <v>83.230289999999997</v>
      </c>
      <c r="M48" s="19">
        <v>83.230289999999997</v>
      </c>
    </row>
    <row r="49" spans="1:13">
      <c r="A49" s="1">
        <f t="shared" si="3"/>
        <v>34</v>
      </c>
      <c r="C49" s="1" t="s">
        <v>336</v>
      </c>
      <c r="G49" s="19">
        <v>87.564097999999973</v>
      </c>
      <c r="I49" s="19">
        <v>90.778648875000016</v>
      </c>
      <c r="J49" s="19">
        <v>87.564097999999973</v>
      </c>
      <c r="K49" s="19">
        <v>84.282862375000008</v>
      </c>
      <c r="L49" s="19">
        <v>80.933563437499998</v>
      </c>
      <c r="M49" s="19">
        <v>77.514781525000004</v>
      </c>
    </row>
    <row r="50" spans="1:13">
      <c r="A50" s="1">
        <f t="shared" si="3"/>
        <v>35</v>
      </c>
      <c r="C50" s="1" t="s">
        <v>344</v>
      </c>
      <c r="G50" s="19">
        <v>61.756422000000001</v>
      </c>
      <c r="I50" s="19">
        <v>61.756422000000001</v>
      </c>
      <c r="J50" s="19">
        <v>61.756422000000001</v>
      </c>
      <c r="K50" s="19">
        <v>61.756422000000001</v>
      </c>
      <c r="L50" s="19">
        <v>61.756422000000001</v>
      </c>
      <c r="M50" s="19">
        <v>61.756422000000001</v>
      </c>
    </row>
    <row r="51" spans="1:13">
      <c r="A51" s="1">
        <f t="shared" si="3"/>
        <v>36</v>
      </c>
      <c r="C51" s="1" t="s">
        <v>337</v>
      </c>
      <c r="G51" s="19">
        <v>201.06583763749995</v>
      </c>
      <c r="I51" s="19">
        <v>207.57127702750003</v>
      </c>
      <c r="J51" s="19">
        <v>201.06583763749995</v>
      </c>
      <c r="K51" s="19">
        <v>194.37080770500003</v>
      </c>
      <c r="L51" s="19">
        <v>187.48018544249999</v>
      </c>
      <c r="M51" s="19">
        <v>180.38826491250001</v>
      </c>
    </row>
    <row r="52" spans="1:13">
      <c r="A52" s="1">
        <f t="shared" si="3"/>
        <v>37</v>
      </c>
      <c r="C52" s="1" t="s">
        <v>338</v>
      </c>
      <c r="G52" s="19">
        <v>710.84356546000004</v>
      </c>
      <c r="I52" s="19">
        <v>723.96016482500011</v>
      </c>
      <c r="J52" s="19">
        <v>710.84356546000004</v>
      </c>
      <c r="K52" s="19">
        <v>697.18326013000012</v>
      </c>
      <c r="L52" s="19">
        <v>682.95591850500023</v>
      </c>
      <c r="M52" s="19">
        <v>668.13802002500006</v>
      </c>
    </row>
    <row r="53" spans="1:13">
      <c r="A53" s="1">
        <f t="shared" si="3"/>
        <v>38</v>
      </c>
      <c r="C53" s="1" t="s">
        <v>441</v>
      </c>
      <c r="G53" s="19"/>
      <c r="I53" s="19">
        <v>0</v>
      </c>
      <c r="J53" s="19">
        <v>261.1244665540903</v>
      </c>
      <c r="K53" s="19">
        <v>254.84134910585757</v>
      </c>
      <c r="L53" s="19">
        <v>248.29663598781093</v>
      </c>
      <c r="M53" s="19">
        <v>241.4794357443904</v>
      </c>
    </row>
    <row r="54" spans="1:13">
      <c r="A54" s="1">
        <f t="shared" si="3"/>
        <v>39</v>
      </c>
      <c r="C54" s="1" t="s">
        <v>442</v>
      </c>
      <c r="G54" s="19"/>
      <c r="I54" s="19">
        <v>37.846027397260272</v>
      </c>
      <c r="J54" s="19">
        <v>70.194269666262855</v>
      </c>
      <c r="K54" s="19">
        <v>78.919939707604598</v>
      </c>
      <c r="L54" s="19">
        <v>91.502040253779739</v>
      </c>
      <c r="M54" s="19">
        <v>91.5</v>
      </c>
    </row>
    <row r="55" spans="1:13">
      <c r="A55" s="1">
        <f t="shared" si="3"/>
        <v>40</v>
      </c>
      <c r="C55" s="1" t="s">
        <v>339</v>
      </c>
      <c r="G55" s="19">
        <v>1221.353837639876</v>
      </c>
      <c r="I55" s="19"/>
      <c r="J55" s="19"/>
      <c r="K55" s="19"/>
      <c r="L55" s="19"/>
      <c r="M55" s="19"/>
    </row>
    <row r="56" spans="1:13">
      <c r="A56" s="1">
        <f t="shared" si="3"/>
        <v>41</v>
      </c>
      <c r="C56" s="1" t="s">
        <v>340</v>
      </c>
      <c r="G56" s="19">
        <v>832.33806803547213</v>
      </c>
      <c r="I56" s="19">
        <v>0</v>
      </c>
      <c r="J56" s="19">
        <v>244.01663561643835</v>
      </c>
      <c r="K56" s="19">
        <v>1178.3624123242366</v>
      </c>
      <c r="L56" s="19">
        <v>1128.4197111865465</v>
      </c>
      <c r="M56" s="19">
        <v>1090.8089710981903</v>
      </c>
    </row>
    <row r="57" spans="1:13">
      <c r="A57" s="1">
        <f t="shared" si="3"/>
        <v>42</v>
      </c>
      <c r="C57" s="1" t="s">
        <v>443</v>
      </c>
      <c r="G57" s="19"/>
      <c r="I57" s="19">
        <v>0</v>
      </c>
      <c r="J57" s="19">
        <v>0</v>
      </c>
      <c r="K57" s="19">
        <v>826.81396583857418</v>
      </c>
      <c r="L57" s="19">
        <v>3280.2945383812998</v>
      </c>
      <c r="M57" s="19">
        <v>3280.2945383812998</v>
      </c>
    </row>
    <row r="58" spans="1:13">
      <c r="A58" s="1">
        <f t="shared" si="3"/>
        <v>43</v>
      </c>
      <c r="C58" s="1" t="s">
        <v>444</v>
      </c>
      <c r="G58" s="19"/>
      <c r="I58" s="19">
        <v>0</v>
      </c>
      <c r="J58" s="19">
        <v>0</v>
      </c>
      <c r="K58" s="19">
        <v>0</v>
      </c>
      <c r="L58" s="19">
        <v>930.55524200083505</v>
      </c>
      <c r="M58" s="19">
        <v>3691.8767753294001</v>
      </c>
    </row>
    <row r="59" spans="1:13">
      <c r="A59" s="1">
        <f t="shared" si="3"/>
        <v>44</v>
      </c>
      <c r="C59" s="1" t="s">
        <v>445</v>
      </c>
      <c r="G59" s="19"/>
      <c r="I59" s="19">
        <v>0</v>
      </c>
      <c r="J59" s="19">
        <v>0</v>
      </c>
      <c r="K59" s="19">
        <v>0</v>
      </c>
      <c r="L59" s="19">
        <v>0</v>
      </c>
      <c r="M59" s="19">
        <v>661.55167932769723</v>
      </c>
    </row>
    <row r="60" spans="1:13">
      <c r="A60" s="1">
        <f t="shared" si="3"/>
        <v>45</v>
      </c>
      <c r="C60" s="1" t="str">
        <f>C31</f>
        <v>Minto Decommissioning Reserve</v>
      </c>
      <c r="G60" s="19">
        <v>110.43952188375452</v>
      </c>
      <c r="I60" s="19">
        <v>153.42141486345278</v>
      </c>
      <c r="J60" s="19">
        <v>153.30384127505636</v>
      </c>
      <c r="K60" s="19">
        <v>139.04208877538517</v>
      </c>
      <c r="L60" s="19">
        <v>0</v>
      </c>
      <c r="M60" s="19">
        <v>296.5774092348218</v>
      </c>
    </row>
    <row r="61" spans="1:13">
      <c r="A61" s="1">
        <f t="shared" si="3"/>
        <v>46</v>
      </c>
      <c r="C61" s="1" t="s">
        <v>341</v>
      </c>
      <c r="G61" s="19">
        <v>4.7264925790540762</v>
      </c>
      <c r="I61" s="19">
        <v>17.123062510861075</v>
      </c>
      <c r="J61" s="19">
        <v>44.513653495539842</v>
      </c>
      <c r="K61" s="19">
        <v>35.204942213254569</v>
      </c>
      <c r="L61" s="19">
        <v>25.024238384481677</v>
      </c>
      <c r="M61" s="19">
        <v>13.987502143486768</v>
      </c>
    </row>
    <row r="62" spans="1:13">
      <c r="C62" s="84"/>
      <c r="G62" s="19"/>
      <c r="I62" s="19"/>
      <c r="J62" s="19"/>
      <c r="K62" s="19"/>
      <c r="L62" s="19"/>
      <c r="M62" s="19"/>
    </row>
    <row r="63" spans="1:13">
      <c r="A63" s="1">
        <f>A61+1</f>
        <v>47</v>
      </c>
      <c r="C63" s="8" t="s">
        <v>290</v>
      </c>
      <c r="G63" s="19">
        <f>SUM(G40:G62)</f>
        <v>7649.5483587530107</v>
      </c>
      <c r="I63" s="19">
        <f>SUM(I40:I62)</f>
        <v>5885.5830281515764</v>
      </c>
      <c r="J63" s="19">
        <f>SUM(J40:J62)</f>
        <v>6252.8624504277213</v>
      </c>
      <c r="K63" s="19">
        <f>SUM(K40:K62)</f>
        <v>8568.7821292554454</v>
      </c>
      <c r="L63" s="19">
        <f>SUM(L40:L62)</f>
        <v>11506.828972939787</v>
      </c>
      <c r="M63" s="19">
        <f>SUM(M40:M62)</f>
        <v>14915.835988283821</v>
      </c>
    </row>
    <row r="65" spans="1:13">
      <c r="A65" s="1">
        <f>A63+1</f>
        <v>48</v>
      </c>
      <c r="C65" s="1" t="s">
        <v>291</v>
      </c>
      <c r="G65" s="86">
        <f>G63/G35</f>
        <v>3.4285152193183691E-2</v>
      </c>
      <c r="I65" s="86">
        <f>I63/I35</f>
        <v>3.1302169321021922E-2</v>
      </c>
      <c r="J65" s="86">
        <f>J63/J35</f>
        <v>3.1498758284866271E-2</v>
      </c>
      <c r="K65" s="86">
        <f>K63/K35</f>
        <v>3.5573875103588337E-2</v>
      </c>
      <c r="L65" s="86">
        <f>L63/L35</f>
        <v>3.7154190597007641E-2</v>
      </c>
      <c r="M65" s="86">
        <f>M63/M35</f>
        <v>4.0170959462265877E-2</v>
      </c>
    </row>
    <row r="66" spans="1:13">
      <c r="G66" s="85"/>
      <c r="I66" s="85"/>
      <c r="J66" s="86"/>
      <c r="K66" s="86"/>
      <c r="L66" s="85"/>
      <c r="M66" s="85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7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39997558519241921"/>
    <pageSetUpPr fitToPage="1"/>
  </sheetPr>
  <dimension ref="A1:M25"/>
  <sheetViews>
    <sheetView view="pageBreakPreview" zoomScaleSheetLayoutView="100" workbookViewId="0">
      <selection activeCell="J9" sqref="J9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27.54296875" style="1" customWidth="1"/>
    <col min="4" max="4" width="1.81640625" style="1" customWidth="1"/>
    <col min="5" max="5" width="9.1796875" style="4"/>
    <col min="6" max="6" width="1.81640625" style="1" customWidth="1"/>
    <col min="7" max="7" width="12.81640625" style="1" customWidth="1"/>
    <col min="8" max="8" width="1.81640625" style="1" customWidth="1"/>
    <col min="9" max="12" width="11.26953125" style="1" customWidth="1"/>
    <col min="13" max="13" width="12.90625" style="1" customWidth="1"/>
    <col min="14" max="16384" width="9.1796875" style="1"/>
  </cols>
  <sheetData>
    <row r="1" spans="1:13" ht="15">
      <c r="A1" s="9" t="s">
        <v>0</v>
      </c>
      <c r="M1" s="193" t="s">
        <v>40</v>
      </c>
    </row>
    <row r="2" spans="1:13" ht="14">
      <c r="A2" s="23" t="s">
        <v>41</v>
      </c>
      <c r="E2" s="24"/>
      <c r="F2" s="25"/>
      <c r="H2" s="25"/>
      <c r="M2" s="194" t="str">
        <f>'Schedule 1'!$M$2</f>
        <v>2025-27 GRA</v>
      </c>
    </row>
    <row r="3" spans="1:13">
      <c r="A3" s="10" t="s">
        <v>7</v>
      </c>
    </row>
    <row r="6" spans="1:13" s="4" customFormat="1">
      <c r="G6" s="11"/>
      <c r="I6" s="11"/>
      <c r="J6" s="11"/>
      <c r="K6" s="8"/>
      <c r="L6" s="8"/>
      <c r="M6" s="8"/>
    </row>
    <row r="7" spans="1:13" s="13" customFormat="1" ht="37.5">
      <c r="A7" s="12" t="s">
        <v>8</v>
      </c>
      <c r="C7" s="12" t="s">
        <v>9</v>
      </c>
      <c r="E7" s="12" t="s">
        <v>10</v>
      </c>
      <c r="G7" s="12" t="str">
        <f>'Schedule 1'!G7</f>
        <v>2024 GRA
Compliance</v>
      </c>
      <c r="I7" s="12" t="str">
        <f>'Schedule 1'!I7</f>
        <v>Actual 2023</v>
      </c>
      <c r="J7" s="12" t="str">
        <f>'Schedule 1'!J7</f>
        <v>Prelim. Actual 2024</v>
      </c>
      <c r="K7" s="12" t="str">
        <f>'Schedule 1'!K7</f>
        <v>Forecast 2025</v>
      </c>
      <c r="L7" s="12" t="str">
        <f>'Schedule 1'!L7</f>
        <v>Forecast 2026</v>
      </c>
      <c r="M7" s="12" t="str">
        <f>'Schedule 1'!M7</f>
        <v>Forecast 2027</v>
      </c>
    </row>
    <row r="9" spans="1:13">
      <c r="A9" s="1">
        <v>1</v>
      </c>
      <c r="C9" s="1" t="s">
        <v>42</v>
      </c>
      <c r="E9" s="4" t="s">
        <v>43</v>
      </c>
      <c r="G9" s="14">
        <f>'Schedule 5'!G16</f>
        <v>54095.584483041021</v>
      </c>
      <c r="I9" s="14">
        <f>'Schedule 5'!I16</f>
        <v>48622.96203756563</v>
      </c>
      <c r="J9" s="14">
        <f>'Schedule 5'!J16</f>
        <v>54810.276265015629</v>
      </c>
      <c r="K9" s="14">
        <f>'Schedule 5'!K16</f>
        <v>61666.810432883038</v>
      </c>
      <c r="L9" s="14">
        <f>'Schedule 5'!L16</f>
        <v>66075.955453410672</v>
      </c>
      <c r="M9" s="14">
        <f>'Schedule 5'!M16</f>
        <v>69134.699588539952</v>
      </c>
    </row>
    <row r="10" spans="1:13">
      <c r="A10" s="1">
        <v>2</v>
      </c>
      <c r="C10" s="1" t="s">
        <v>44</v>
      </c>
      <c r="E10" s="4" t="s">
        <v>45</v>
      </c>
      <c r="G10" s="14">
        <f>'Schedule 5'!G17</f>
        <v>776.69908654176004</v>
      </c>
      <c r="I10" s="14">
        <f>'Schedule 5'!I17</f>
        <v>756.18791000000022</v>
      </c>
      <c r="J10" s="14">
        <f>'Schedule 5'!J17</f>
        <v>759.21225999999979</v>
      </c>
      <c r="K10" s="14">
        <f>'Schedule 5'!K17</f>
        <v>770.60046419999981</v>
      </c>
      <c r="L10" s="14">
        <f>'Schedule 5'!L17</f>
        <v>789.80853488399998</v>
      </c>
      <c r="M10" s="14">
        <f>'Schedule 5'!M17</f>
        <v>805.60470558168038</v>
      </c>
    </row>
    <row r="11" spans="1:13">
      <c r="A11" s="1">
        <v>3</v>
      </c>
      <c r="C11" s="1" t="s">
        <v>46</v>
      </c>
      <c r="E11" s="4" t="s">
        <v>236</v>
      </c>
      <c r="G11" s="14">
        <v>-120.00024999999994</v>
      </c>
      <c r="I11" s="14">
        <f>'Schedule 5'!I23</f>
        <v>-120.85194</v>
      </c>
      <c r="J11" s="14">
        <f>'Schedule 5'!J23</f>
        <v>-113.85104000000001</v>
      </c>
      <c r="K11" s="14">
        <f>'Schedule 5'!K23</f>
        <v>-119.99999999999987</v>
      </c>
      <c r="L11" s="14">
        <f>'Schedule 5'!L23</f>
        <v>-119.99999999999987</v>
      </c>
      <c r="M11" s="14">
        <f>'Schedule 5'!M23</f>
        <v>-122.39999999999986</v>
      </c>
    </row>
    <row r="12" spans="1:13">
      <c r="G12" s="14"/>
      <c r="I12" s="14"/>
      <c r="J12" s="14"/>
      <c r="K12" s="14"/>
      <c r="L12" s="14"/>
      <c r="M12" s="14"/>
    </row>
    <row r="13" spans="1:13">
      <c r="A13" s="1">
        <v>4</v>
      </c>
      <c r="C13" s="1" t="s">
        <v>47</v>
      </c>
      <c r="G13" s="14">
        <f>SUM(G9:G11)</f>
        <v>54752.283319582784</v>
      </c>
      <c r="I13" s="14">
        <f>SUM(I9:I11)</f>
        <v>49258.298007565631</v>
      </c>
      <c r="J13" s="14">
        <f>SUM(J9:J11)</f>
        <v>55455.637485015628</v>
      </c>
      <c r="K13" s="14">
        <f>SUM(K9:K11)</f>
        <v>62317.410897083035</v>
      </c>
      <c r="L13" s="14">
        <f>SUM(L9:L11)</f>
        <v>66745.763988294668</v>
      </c>
      <c r="M13" s="14">
        <f>SUM(M9:M11)</f>
        <v>69817.904294121632</v>
      </c>
    </row>
    <row r="14" spans="1:13">
      <c r="G14" s="26"/>
      <c r="I14" s="26"/>
      <c r="J14" s="26"/>
      <c r="K14" s="26"/>
      <c r="L14" s="26"/>
      <c r="M14" s="26"/>
    </row>
    <row r="15" spans="1:13">
      <c r="A15" s="1">
        <v>5</v>
      </c>
      <c r="C15" s="1" t="s">
        <v>48</v>
      </c>
      <c r="G15" s="26">
        <f>G13*27/365</f>
        <v>4050.1689030924249</v>
      </c>
      <c r="I15" s="26">
        <f>I13*27/365</f>
        <v>3643.7645101486901</v>
      </c>
      <c r="J15" s="26">
        <f>J13*27/365</f>
        <v>4102.1978413573206</v>
      </c>
      <c r="K15" s="26">
        <f>K13*27/365</f>
        <v>4609.7810800581974</v>
      </c>
      <c r="L15" s="26">
        <f>L13*27/365</f>
        <v>4937.3578840656328</v>
      </c>
      <c r="M15" s="26">
        <f>M13*27/365</f>
        <v>5164.6120984692716</v>
      </c>
    </row>
    <row r="16" spans="1:13">
      <c r="G16" s="14"/>
      <c r="I16" s="14"/>
      <c r="J16" s="14"/>
      <c r="K16" s="14"/>
      <c r="L16" s="14"/>
      <c r="M16" s="14"/>
    </row>
    <row r="17" spans="1:13">
      <c r="A17" s="1">
        <v>6</v>
      </c>
      <c r="C17" s="1" t="s">
        <v>49</v>
      </c>
      <c r="G17" s="14">
        <v>4816.6368499999999</v>
      </c>
      <c r="I17" s="14">
        <v>4789.6103933333334</v>
      </c>
      <c r="J17" s="14">
        <v>5078.7761700000001</v>
      </c>
      <c r="K17" s="14">
        <v>5171.2342200000003</v>
      </c>
      <c r="L17" s="14">
        <v>5221.0884800000003</v>
      </c>
      <c r="M17" s="14">
        <v>5221.0884800000003</v>
      </c>
    </row>
    <row r="18" spans="1:13">
      <c r="G18" s="14"/>
      <c r="I18" s="14"/>
      <c r="J18" s="14"/>
      <c r="K18" s="14"/>
      <c r="L18" s="14"/>
      <c r="M18" s="14"/>
    </row>
    <row r="19" spans="1:13">
      <c r="A19" s="1">
        <v>7</v>
      </c>
      <c r="C19" s="1" t="s">
        <v>50</v>
      </c>
      <c r="E19" s="4" t="s">
        <v>51</v>
      </c>
      <c r="G19" s="17">
        <f>'Schedule 2A'!G30</f>
        <v>-170</v>
      </c>
      <c r="I19" s="17">
        <f>'Schedule 2A'!I30</f>
        <v>-191</v>
      </c>
      <c r="J19" s="17">
        <f>'Schedule 2A'!J30</f>
        <v>-262</v>
      </c>
      <c r="K19" s="17">
        <f>'Schedule 2A'!K30</f>
        <v>-209</v>
      </c>
      <c r="L19" s="17">
        <f>'Schedule 2A'!L30</f>
        <v>-278</v>
      </c>
      <c r="M19" s="17">
        <f>'Schedule 2A'!M30</f>
        <v>-334</v>
      </c>
    </row>
    <row r="20" spans="1:13">
      <c r="G20" s="14"/>
      <c r="I20" s="14"/>
      <c r="J20" s="14"/>
      <c r="K20" s="14"/>
      <c r="L20" s="14"/>
      <c r="M20" s="14"/>
    </row>
    <row r="21" spans="1:13" ht="13" thickBot="1">
      <c r="A21" s="1">
        <v>8</v>
      </c>
      <c r="C21" s="1" t="s">
        <v>30</v>
      </c>
      <c r="E21" s="4" t="s">
        <v>421</v>
      </c>
      <c r="G21" s="29">
        <f>G15+G17+G19</f>
        <v>8696.8057530924252</v>
      </c>
      <c r="I21" s="29">
        <f>I15+I17+I19</f>
        <v>8242.374903482023</v>
      </c>
      <c r="J21" s="29">
        <f>J15+J17+J19</f>
        <v>8918.9740113573207</v>
      </c>
      <c r="K21" s="29">
        <f>K15+K17+K19</f>
        <v>9572.0153000581977</v>
      </c>
      <c r="L21" s="29">
        <f>L15+L17+L19</f>
        <v>9880.4463640656322</v>
      </c>
      <c r="M21" s="29">
        <f>M15+M17+M19</f>
        <v>10051.700578469272</v>
      </c>
    </row>
    <row r="22" spans="1:13">
      <c r="G22" s="14"/>
      <c r="I22" s="14"/>
      <c r="J22" s="14"/>
      <c r="K22" s="14"/>
    </row>
    <row r="23" spans="1:13">
      <c r="C23" s="28" t="s">
        <v>13</v>
      </c>
      <c r="G23" s="14"/>
      <c r="I23" s="14"/>
      <c r="J23" s="14"/>
      <c r="K23" s="14"/>
    </row>
    <row r="25" spans="1:13">
      <c r="E25" s="11"/>
      <c r="F25" s="8"/>
      <c r="G25" s="30"/>
      <c r="H25" s="8"/>
      <c r="I25" s="30"/>
      <c r="J25" s="30"/>
      <c r="K25" s="30"/>
      <c r="L25" s="30"/>
      <c r="M25" s="30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3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0.39997558519241921"/>
    <pageSetUpPr fitToPage="1"/>
  </sheetPr>
  <dimension ref="A1:M30"/>
  <sheetViews>
    <sheetView view="pageBreakPreview" topLeftCell="A4" zoomScaleSheetLayoutView="100" workbookViewId="0">
      <selection activeCell="I9" sqref="I9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35.26953125" style="1" customWidth="1"/>
    <col min="4" max="4" width="1.81640625" style="1" customWidth="1"/>
    <col min="5" max="5" width="9.1796875" style="1"/>
    <col min="6" max="6" width="1.81640625" style="1" customWidth="1"/>
    <col min="7" max="7" width="12.26953125" style="1" customWidth="1"/>
    <col min="8" max="8" width="1.81640625" style="1" customWidth="1"/>
    <col min="9" max="12" width="11.26953125" style="1" customWidth="1"/>
    <col min="13" max="13" width="13.1796875" style="1" customWidth="1"/>
    <col min="14" max="16384" width="9.1796875" style="1"/>
  </cols>
  <sheetData>
    <row r="1" spans="1:13" ht="15">
      <c r="A1" s="9" t="s">
        <v>0</v>
      </c>
      <c r="M1" s="193" t="s">
        <v>52</v>
      </c>
    </row>
    <row r="2" spans="1:13">
      <c r="A2" s="10" t="s">
        <v>53</v>
      </c>
      <c r="M2" s="194" t="str">
        <f>'Schedule 1'!$M$2</f>
        <v>2025-27 GRA</v>
      </c>
    </row>
    <row r="3" spans="1:13">
      <c r="A3" s="10" t="s">
        <v>7</v>
      </c>
    </row>
    <row r="6" spans="1:13" s="4" customFormat="1">
      <c r="G6" s="11"/>
      <c r="I6" s="11"/>
      <c r="J6" s="11"/>
      <c r="K6" s="8"/>
      <c r="L6" s="8"/>
      <c r="M6" s="8"/>
    </row>
    <row r="7" spans="1:13" s="13" customFormat="1" ht="37.5">
      <c r="A7" s="12" t="s">
        <v>8</v>
      </c>
      <c r="C7" s="12" t="s">
        <v>9</v>
      </c>
      <c r="E7" s="12" t="s">
        <v>10</v>
      </c>
      <c r="G7" s="12" t="str">
        <f>'Schedule 1'!G7</f>
        <v>2024 GRA
Compliance</v>
      </c>
      <c r="I7" s="12" t="str">
        <f>'Schedule 1'!I7</f>
        <v>Actual 2023</v>
      </c>
      <c r="J7" s="12" t="str">
        <f>'Schedule 1'!J7</f>
        <v>Prelim. Actual 2024</v>
      </c>
      <c r="K7" s="12" t="str">
        <f>'Schedule 1'!K7</f>
        <v>Forecast 2025</v>
      </c>
      <c r="L7" s="12" t="str">
        <f>'Schedule 1'!L7</f>
        <v>Forecast 2026</v>
      </c>
      <c r="M7" s="12" t="str">
        <f>'Schedule 1'!M7</f>
        <v>Forecast 2027</v>
      </c>
    </row>
    <row r="9" spans="1:13">
      <c r="A9" s="1">
        <v>1</v>
      </c>
      <c r="C9" s="1" t="s">
        <v>54</v>
      </c>
      <c r="G9" s="16">
        <v>139615.18510921171</v>
      </c>
      <c r="I9" s="16">
        <v>97302.683870000037</v>
      </c>
      <c r="J9" s="16">
        <v>91816.736799940263</v>
      </c>
      <c r="K9" s="16">
        <v>159553.86779765325</v>
      </c>
      <c r="L9" s="16">
        <v>161358.31650682041</v>
      </c>
      <c r="M9" s="16">
        <v>163401.2525855822</v>
      </c>
    </row>
    <row r="11" spans="1:13">
      <c r="A11" s="1">
        <v>2</v>
      </c>
      <c r="C11" s="1" t="s">
        <v>55</v>
      </c>
      <c r="G11" s="31">
        <v>0.05</v>
      </c>
      <c r="I11" s="31">
        <v>0.05</v>
      </c>
      <c r="J11" s="31">
        <v>0.05</v>
      </c>
      <c r="K11" s="31">
        <v>0.05</v>
      </c>
      <c r="L11" s="31">
        <v>0.05</v>
      </c>
      <c r="M11" s="31">
        <v>0.05</v>
      </c>
    </row>
    <row r="13" spans="1:13">
      <c r="A13" s="1">
        <v>3</v>
      </c>
      <c r="C13" s="1" t="s">
        <v>56</v>
      </c>
      <c r="G13" s="14">
        <f>G11*G9</f>
        <v>6980.7592554605862</v>
      </c>
      <c r="I13" s="14">
        <f>I11*I9</f>
        <v>4865.1341935000019</v>
      </c>
      <c r="J13" s="14">
        <f>J11*J9</f>
        <v>4590.8368399970132</v>
      </c>
      <c r="K13" s="14">
        <f>K11*K9</f>
        <v>7977.6933898826628</v>
      </c>
      <c r="L13" s="14">
        <f>L11*L9</f>
        <v>8067.9158253410205</v>
      </c>
      <c r="M13" s="14">
        <f>M11*M9</f>
        <v>8170.0626292791103</v>
      </c>
    </row>
    <row r="15" spans="1:13">
      <c r="A15" s="1">
        <v>4</v>
      </c>
      <c r="C15" s="1" t="s">
        <v>57</v>
      </c>
      <c r="G15" s="17">
        <v>14</v>
      </c>
      <c r="I15" s="17">
        <v>14</v>
      </c>
      <c r="J15" s="17">
        <v>14</v>
      </c>
      <c r="K15" s="17">
        <v>14</v>
      </c>
      <c r="L15" s="17">
        <v>14</v>
      </c>
      <c r="M15" s="17">
        <v>14</v>
      </c>
    </row>
    <row r="17" spans="1:13">
      <c r="A17" s="1">
        <v>5</v>
      </c>
      <c r="C17" s="1" t="s">
        <v>58</v>
      </c>
      <c r="G17" s="17">
        <f>ROUND(G13*G15/365,0)</f>
        <v>268</v>
      </c>
      <c r="I17" s="17">
        <f>ROUND(I13*I15/365,0)</f>
        <v>187</v>
      </c>
      <c r="J17" s="17">
        <f>ROUND(J13*J15/365,0)</f>
        <v>176</v>
      </c>
      <c r="K17" s="17">
        <f>ROUND(K13*K15/365,0)</f>
        <v>306</v>
      </c>
      <c r="L17" s="17">
        <f>ROUND(L13*L15/365,0)</f>
        <v>309</v>
      </c>
      <c r="M17" s="17">
        <f>ROUND(M13*M15/365,0)</f>
        <v>313</v>
      </c>
    </row>
    <row r="20" spans="1:13">
      <c r="A20" s="1">
        <v>6</v>
      </c>
      <c r="C20" s="1" t="s">
        <v>59</v>
      </c>
      <c r="G20" s="14">
        <v>91344.174086823419</v>
      </c>
      <c r="I20" s="16">
        <v>78933.845731058202</v>
      </c>
      <c r="J20" s="16">
        <v>91292.311665779489</v>
      </c>
      <c r="K20" s="16">
        <v>107391.76332840978</v>
      </c>
      <c r="L20" s="16">
        <v>122406.24537635974</v>
      </c>
      <c r="M20" s="16">
        <v>134849.66699357264</v>
      </c>
    </row>
    <row r="22" spans="1:13">
      <c r="A22" s="1">
        <v>7</v>
      </c>
      <c r="C22" s="1" t="s">
        <v>354</v>
      </c>
      <c r="G22" s="31">
        <v>0.05</v>
      </c>
      <c r="I22" s="31">
        <v>0.05</v>
      </c>
      <c r="J22" s="31">
        <v>0.05</v>
      </c>
      <c r="K22" s="31">
        <v>0.05</v>
      </c>
      <c r="L22" s="31">
        <v>0.05</v>
      </c>
      <c r="M22" s="31">
        <v>0.05</v>
      </c>
    </row>
    <row r="24" spans="1:13">
      <c r="A24" s="1">
        <v>8</v>
      </c>
      <c r="C24" s="1" t="s">
        <v>60</v>
      </c>
      <c r="G24" s="14">
        <f>G22*G20</f>
        <v>4567.2087043411711</v>
      </c>
      <c r="I24" s="14">
        <f>I22*I20</f>
        <v>3946.6922865529104</v>
      </c>
      <c r="J24" s="14">
        <f>J22*J20</f>
        <v>4564.6155832889744</v>
      </c>
      <c r="K24" s="14">
        <f>K22*K20</f>
        <v>5369.5881664204899</v>
      </c>
      <c r="L24" s="14">
        <f>L22*L20</f>
        <v>6120.3122688179874</v>
      </c>
      <c r="M24" s="14">
        <f>M22*M20</f>
        <v>6742.4833496786323</v>
      </c>
    </row>
    <row r="26" spans="1:13">
      <c r="A26" s="1">
        <v>9</v>
      </c>
      <c r="C26" s="1" t="s">
        <v>61</v>
      </c>
      <c r="F26" s="1" t="s">
        <v>13</v>
      </c>
      <c r="G26" s="17">
        <v>35</v>
      </c>
      <c r="H26" s="1" t="s">
        <v>13</v>
      </c>
      <c r="I26" s="17">
        <v>35</v>
      </c>
      <c r="J26" s="17">
        <v>35</v>
      </c>
      <c r="K26" s="17">
        <v>35</v>
      </c>
      <c r="L26" s="17">
        <v>35</v>
      </c>
      <c r="M26" s="17">
        <v>35</v>
      </c>
    </row>
    <row r="28" spans="1:13">
      <c r="A28" s="1">
        <v>10</v>
      </c>
      <c r="C28" s="1" t="s">
        <v>62</v>
      </c>
      <c r="G28" s="17">
        <f>ROUND(G24*G26/365,0)</f>
        <v>438</v>
      </c>
      <c r="I28" s="17">
        <f>ROUND(I24*I26/365,0)</f>
        <v>378</v>
      </c>
      <c r="J28" s="17">
        <f>ROUND(J24*J26/365,0)</f>
        <v>438</v>
      </c>
      <c r="K28" s="17">
        <f>ROUND(K24*K26/365,0)</f>
        <v>515</v>
      </c>
      <c r="L28" s="17">
        <f>ROUND(L24*L26/365,0)</f>
        <v>587</v>
      </c>
      <c r="M28" s="17">
        <f>ROUND(M24*M26/365,0)</f>
        <v>647</v>
      </c>
    </row>
    <row r="30" spans="1:13" ht="13" thickBot="1">
      <c r="A30" s="1">
        <v>11</v>
      </c>
      <c r="C30" s="1" t="s">
        <v>63</v>
      </c>
      <c r="E30" s="1" t="s">
        <v>64</v>
      </c>
      <c r="G30" s="33">
        <f>G17-G28</f>
        <v>-170</v>
      </c>
      <c r="I30" s="33">
        <f>I17-I28</f>
        <v>-191</v>
      </c>
      <c r="J30" s="33">
        <f>J17-J28</f>
        <v>-262</v>
      </c>
      <c r="K30" s="33">
        <f>K17-K28</f>
        <v>-209</v>
      </c>
      <c r="L30" s="33">
        <f>L17-L28</f>
        <v>-278</v>
      </c>
      <c r="M30" s="33">
        <f>M17-M28</f>
        <v>-334</v>
      </c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76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9" tint="0.39997558519241921"/>
  </sheetPr>
  <dimension ref="A1:X202"/>
  <sheetViews>
    <sheetView view="pageBreakPreview" zoomScaleSheetLayoutView="100" workbookViewId="0">
      <pane ySplit="7" topLeftCell="A8" activePane="bottomLeft" state="frozen"/>
      <selection activeCell="H18" sqref="H18"/>
      <selection pane="bottomLeft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55" style="1" customWidth="1"/>
    <col min="4" max="4" width="1.81640625" style="1" customWidth="1"/>
    <col min="5" max="5" width="9.1796875" style="4" customWidth="1"/>
    <col min="6" max="6" width="1.81640625" style="1" customWidth="1"/>
    <col min="7" max="7" width="12.6328125" style="1" customWidth="1"/>
    <col min="8" max="8" width="1.81640625" style="1" customWidth="1"/>
    <col min="9" max="10" width="11.26953125" style="1" customWidth="1"/>
    <col min="11" max="12" width="11.1796875" style="1" customWidth="1"/>
    <col min="13" max="13" width="13.08984375" style="1" customWidth="1"/>
    <col min="14" max="14" width="9.1796875" style="1"/>
    <col min="25" max="16384" width="9.1796875" style="1"/>
  </cols>
  <sheetData>
    <row r="1" spans="1:13" ht="15">
      <c r="A1" s="9" t="s">
        <v>0</v>
      </c>
      <c r="M1" s="193" t="s">
        <v>65</v>
      </c>
    </row>
    <row r="2" spans="1:13">
      <c r="A2" s="10" t="s">
        <v>328</v>
      </c>
      <c r="M2" s="194" t="str">
        <f>'Schedule 1'!$M$2</f>
        <v>2025-27 GRA</v>
      </c>
    </row>
    <row r="3" spans="1:13">
      <c r="A3" s="10" t="s">
        <v>7</v>
      </c>
    </row>
    <row r="6" spans="1:13" s="4" customFormat="1">
      <c r="E6" s="4" t="s">
        <v>13</v>
      </c>
      <c r="G6" s="11"/>
      <c r="I6" s="11"/>
      <c r="J6" s="11"/>
      <c r="K6" s="8"/>
      <c r="L6" s="8"/>
      <c r="M6" s="8"/>
    </row>
    <row r="7" spans="1:13" s="13" customFormat="1" ht="37.5">
      <c r="A7" s="12" t="s">
        <v>8</v>
      </c>
      <c r="C7" s="12" t="s">
        <v>9</v>
      </c>
      <c r="E7" s="12" t="s">
        <v>10</v>
      </c>
      <c r="G7" s="12" t="str">
        <f>'Schedule 1'!G7</f>
        <v>2024 GRA
Compliance</v>
      </c>
      <c r="I7" s="12" t="str">
        <f>'Schedule 1'!I7</f>
        <v>Actual 2023</v>
      </c>
      <c r="J7" s="12" t="str">
        <f>'Schedule 1'!J7</f>
        <v>Prelim. Actual 2024</v>
      </c>
      <c r="K7" s="12" t="str">
        <f>'Schedule 1'!K7</f>
        <v>Forecast 2025</v>
      </c>
      <c r="L7" s="12" t="str">
        <f>'Schedule 1'!L7</f>
        <v>Forecast 2026</v>
      </c>
      <c r="M7" s="12" t="str">
        <f>'Schedule 1'!M7</f>
        <v>Forecast 2027</v>
      </c>
    </row>
    <row r="9" spans="1:13">
      <c r="C9" s="8" t="s">
        <v>11</v>
      </c>
    </row>
    <row r="10" spans="1:13">
      <c r="A10" s="1">
        <v>1</v>
      </c>
      <c r="C10" s="1" t="s">
        <v>66</v>
      </c>
      <c r="F10" s="34"/>
      <c r="G10" s="14">
        <v>799031.29677999986</v>
      </c>
      <c r="H10" s="34"/>
      <c r="I10" s="14">
        <v>735254.06200000003</v>
      </c>
      <c r="J10" s="14">
        <f>I13</f>
        <v>796723.52518</v>
      </c>
      <c r="K10" s="14">
        <f>J13</f>
        <v>843109.53199000005</v>
      </c>
      <c r="L10" s="14">
        <f>K13</f>
        <v>946185.15125000011</v>
      </c>
      <c r="M10" s="14">
        <f>L13</f>
        <v>1065349.9155100002</v>
      </c>
    </row>
    <row r="11" spans="1:13">
      <c r="A11" s="1">
        <f>A10+1</f>
        <v>2</v>
      </c>
      <c r="C11" s="1" t="s">
        <v>67</v>
      </c>
      <c r="F11" s="34"/>
      <c r="G11" s="14">
        <v>92477.66926000001</v>
      </c>
      <c r="H11" s="34"/>
      <c r="I11" s="14">
        <v>65714.950319999989</v>
      </c>
      <c r="J11" s="14">
        <v>46386.006809999992</v>
      </c>
      <c r="K11" s="14">
        <v>103075.61926000002</v>
      </c>
      <c r="L11" s="14">
        <v>119164.76426000001</v>
      </c>
      <c r="M11" s="14">
        <v>121446.33426000002</v>
      </c>
    </row>
    <row r="12" spans="1:13">
      <c r="A12" s="1">
        <f>A11+1</f>
        <v>3</v>
      </c>
      <c r="C12" s="1" t="s">
        <v>68</v>
      </c>
      <c r="F12" s="34"/>
      <c r="G12" s="17">
        <v>0</v>
      </c>
      <c r="H12" s="34"/>
      <c r="I12" s="17">
        <v>-4245.4871399999784</v>
      </c>
      <c r="J12" s="17">
        <v>0</v>
      </c>
      <c r="K12" s="17">
        <v>0</v>
      </c>
      <c r="L12" s="17">
        <v>0</v>
      </c>
      <c r="M12" s="17">
        <v>0</v>
      </c>
    </row>
    <row r="13" spans="1:13">
      <c r="A13" s="1">
        <f>A12+1</f>
        <v>4</v>
      </c>
      <c r="C13" s="1" t="s">
        <v>69</v>
      </c>
      <c r="E13" s="4" t="s">
        <v>70</v>
      </c>
      <c r="F13" s="34"/>
      <c r="G13" s="14">
        <f>G10+G11+G12</f>
        <v>891508.96603999985</v>
      </c>
      <c r="H13" s="34"/>
      <c r="I13" s="14">
        <f>I10+I11+I12</f>
        <v>796723.52518</v>
      </c>
      <c r="J13" s="14">
        <f>J10+J11+J12</f>
        <v>843109.53199000005</v>
      </c>
      <c r="K13" s="14">
        <f>K10+K11+K12</f>
        <v>946185.15125000011</v>
      </c>
      <c r="L13" s="14">
        <f>L10+L11+L12</f>
        <v>1065349.9155100002</v>
      </c>
      <c r="M13" s="14">
        <f>M10+M11+M12</f>
        <v>1186796.2497700001</v>
      </c>
    </row>
    <row r="14" spans="1:13">
      <c r="F14" s="34"/>
      <c r="H14" s="34"/>
    </row>
    <row r="15" spans="1:13">
      <c r="C15" s="8" t="s">
        <v>71</v>
      </c>
    </row>
    <row r="16" spans="1:13">
      <c r="A16" s="1">
        <f>A13+1</f>
        <v>5</v>
      </c>
      <c r="C16" s="1" t="s">
        <v>66</v>
      </c>
      <c r="G16" s="14">
        <v>223323.00612999999</v>
      </c>
      <c r="I16" s="14">
        <v>211204.98300000001</v>
      </c>
      <c r="J16" s="14">
        <f>I19</f>
        <v>224234.18439000001</v>
      </c>
      <c r="K16" s="14">
        <f>J19</f>
        <v>239951.13613</v>
      </c>
      <c r="L16" s="14">
        <f>K19</f>
        <v>260607.70328000002</v>
      </c>
      <c r="M16" s="14">
        <f>L19</f>
        <v>285135.57219000004</v>
      </c>
    </row>
    <row r="17" spans="1:13">
      <c r="A17" s="1">
        <f>A16+1</f>
        <v>6</v>
      </c>
      <c r="C17" s="1" t="s">
        <v>72</v>
      </c>
      <c r="E17" s="4" t="s">
        <v>73</v>
      </c>
      <c r="G17" s="14">
        <v>15348.176959999999</v>
      </c>
      <c r="I17" s="14">
        <v>16003.778729999998</v>
      </c>
      <c r="J17" s="14">
        <v>15716.951740000002</v>
      </c>
      <c r="K17" s="14">
        <v>20656.567150000003</v>
      </c>
      <c r="L17" s="14">
        <v>24527.868910000008</v>
      </c>
      <c r="M17" s="14">
        <v>27656.75947999999</v>
      </c>
    </row>
    <row r="18" spans="1:13">
      <c r="A18" s="1">
        <f>A17+1</f>
        <v>7</v>
      </c>
      <c r="C18" s="1" t="s">
        <v>68</v>
      </c>
      <c r="G18" s="17">
        <v>0</v>
      </c>
      <c r="I18" s="17">
        <v>-2974.5773399999998</v>
      </c>
      <c r="J18" s="17">
        <v>0</v>
      </c>
      <c r="K18" s="17">
        <v>0</v>
      </c>
      <c r="L18" s="17">
        <v>0</v>
      </c>
      <c r="M18" s="17">
        <v>0</v>
      </c>
    </row>
    <row r="19" spans="1:13">
      <c r="A19" s="1">
        <f>A18+1</f>
        <v>8</v>
      </c>
      <c r="C19" s="1" t="s">
        <v>69</v>
      </c>
      <c r="E19" s="4" t="s">
        <v>292</v>
      </c>
      <c r="G19" s="16">
        <f>SUM(G16:G18)</f>
        <v>238671.18309000001</v>
      </c>
      <c r="I19" s="16">
        <f>SUM(I16:I18)</f>
        <v>224234.18439000001</v>
      </c>
      <c r="J19" s="16">
        <f>SUM(J16:J18)</f>
        <v>239951.13613</v>
      </c>
      <c r="K19" s="16">
        <f>SUM(K16:K18)</f>
        <v>260607.70328000002</v>
      </c>
      <c r="L19" s="16">
        <f>SUM(L16:L18)</f>
        <v>285135.57219000004</v>
      </c>
      <c r="M19" s="16">
        <f>SUM(M16:M18)</f>
        <v>312792.33167000004</v>
      </c>
    </row>
    <row r="20" spans="1:13">
      <c r="G20" s="16"/>
      <c r="I20" s="16"/>
      <c r="J20" s="16"/>
      <c r="K20" s="16"/>
      <c r="L20" s="16"/>
      <c r="M20" s="16"/>
    </row>
    <row r="21" spans="1:13">
      <c r="C21" s="1" t="s">
        <v>74</v>
      </c>
    </row>
    <row r="22" spans="1:13">
      <c r="A22" s="1">
        <f>A19+1</f>
        <v>9</v>
      </c>
      <c r="C22" s="1" t="s">
        <v>18</v>
      </c>
      <c r="G22" s="14">
        <v>1388.4635799999996</v>
      </c>
      <c r="I22" s="14">
        <v>1388.4635799999996</v>
      </c>
      <c r="J22" s="14">
        <v>1388.4635799999996</v>
      </c>
      <c r="K22" s="14">
        <v>1388.4635799999996</v>
      </c>
      <c r="L22" s="14">
        <v>1388.4635799999996</v>
      </c>
      <c r="M22" s="14">
        <v>1388.4635799999996</v>
      </c>
    </row>
    <row r="23" spans="1:13">
      <c r="A23" s="1">
        <f>A22+1</f>
        <v>10</v>
      </c>
      <c r="C23" s="1" t="s">
        <v>23</v>
      </c>
      <c r="G23" s="17">
        <v>-534.42341788888893</v>
      </c>
      <c r="I23" s="17">
        <v>-1528.9723534166667</v>
      </c>
      <c r="J23" s="17">
        <v>-534.42341788888893</v>
      </c>
      <c r="K23" s="17">
        <v>-585.57932533333337</v>
      </c>
      <c r="L23" s="17">
        <v>-636.73523277777781</v>
      </c>
      <c r="M23" s="17">
        <v>-687.89114022222225</v>
      </c>
    </row>
    <row r="24" spans="1:13">
      <c r="A24" s="1">
        <f>A23+1</f>
        <v>11</v>
      </c>
      <c r="C24" s="1" t="s">
        <v>77</v>
      </c>
      <c r="E24" s="4" t="s">
        <v>75</v>
      </c>
      <c r="G24" s="15">
        <f>SUM(G22:G23)</f>
        <v>854.0401621111107</v>
      </c>
      <c r="I24" s="15">
        <f>SUM(I22:I23)</f>
        <v>-140.50877341666705</v>
      </c>
      <c r="J24" s="15">
        <f>SUM(J22:J23)</f>
        <v>854.0401621111107</v>
      </c>
      <c r="K24" s="15">
        <f>SUM(K22:K23)</f>
        <v>802.88425466666627</v>
      </c>
      <c r="L24" s="15">
        <f>SUM(L22:L23)</f>
        <v>751.72834722222183</v>
      </c>
      <c r="M24" s="15">
        <f>SUM(M22:M23)</f>
        <v>700.57243977777739</v>
      </c>
    </row>
    <row r="26" spans="1:13">
      <c r="A26" s="1">
        <f>A24+1</f>
        <v>12</v>
      </c>
      <c r="C26" s="1" t="s">
        <v>16</v>
      </c>
      <c r="E26" s="4" t="s">
        <v>78</v>
      </c>
      <c r="G26" s="26">
        <v>116829.42595999998</v>
      </c>
      <c r="I26" s="26">
        <v>68474.264779999998</v>
      </c>
      <c r="J26" s="26">
        <v>93650.261869999973</v>
      </c>
      <c r="K26" s="26">
        <v>106653.43485000002</v>
      </c>
      <c r="L26" s="26">
        <v>66786.278299999991</v>
      </c>
      <c r="M26" s="26">
        <v>89285.499410000019</v>
      </c>
    </row>
    <row r="27" spans="1:13">
      <c r="G27" s="14"/>
      <c r="I27" s="14"/>
      <c r="J27" s="14"/>
      <c r="K27" s="14"/>
      <c r="L27" s="14"/>
      <c r="M27" s="14"/>
    </row>
    <row r="28" spans="1:13">
      <c r="C28" s="1" t="s">
        <v>79</v>
      </c>
      <c r="G28" s="14"/>
      <c r="I28" s="14"/>
      <c r="J28" s="14"/>
      <c r="K28" s="14"/>
      <c r="L28" s="14"/>
      <c r="M28" s="14"/>
    </row>
    <row r="29" spans="1:13">
      <c r="A29" s="1">
        <f>A26+1</f>
        <v>13</v>
      </c>
      <c r="C29" s="128" t="s">
        <v>331</v>
      </c>
      <c r="G29" s="14">
        <v>3132.2389999999996</v>
      </c>
      <c r="I29" s="14">
        <v>3394.2389999999996</v>
      </c>
      <c r="J29" s="14">
        <v>3132.2389999999996</v>
      </c>
      <c r="K29" s="14">
        <v>2870.2389999999996</v>
      </c>
      <c r="L29" s="14">
        <v>2608.2389999999996</v>
      </c>
      <c r="M29" s="14">
        <v>2346.2389999999996</v>
      </c>
    </row>
    <row r="30" spans="1:13">
      <c r="A30" s="1">
        <f>A29+1</f>
        <v>14</v>
      </c>
      <c r="C30" s="128" t="s">
        <v>80</v>
      </c>
      <c r="G30" s="14">
        <v>-3347.3319999999999</v>
      </c>
      <c r="I30" s="14">
        <v>-3282.1970000000001</v>
      </c>
      <c r="J30" s="14">
        <v>-5085.9620000000004</v>
      </c>
      <c r="K30" s="14">
        <v>-4577.366</v>
      </c>
      <c r="L30" s="14">
        <v>-4068.77</v>
      </c>
      <c r="M30" s="14">
        <v>-3560.174</v>
      </c>
    </row>
    <row r="31" spans="1:13">
      <c r="A31" s="1">
        <f>A30+1</f>
        <v>15</v>
      </c>
      <c r="C31" s="128" t="s">
        <v>81</v>
      </c>
      <c r="G31" s="17">
        <v>1965.9341599999998</v>
      </c>
      <c r="I31" s="17">
        <v>2036.2342800000001</v>
      </c>
      <c r="J31" s="17">
        <v>2036.2342800000001</v>
      </c>
      <c r="K31" s="17">
        <v>2386.2343199999996</v>
      </c>
      <c r="L31" s="17">
        <v>2736.2343599999986</v>
      </c>
      <c r="M31" s="17">
        <v>3086.2343999999975</v>
      </c>
    </row>
    <row r="32" spans="1:13">
      <c r="A32" s="1">
        <f>A31+1</f>
        <v>16</v>
      </c>
      <c r="C32" s="1" t="s">
        <v>309</v>
      </c>
      <c r="E32" s="4" t="s">
        <v>82</v>
      </c>
      <c r="G32" s="15">
        <f>SUM(G29:G31)</f>
        <v>1750.8411599999995</v>
      </c>
      <c r="I32" s="15">
        <f>SUM(I29:I31)</f>
        <v>2148.2762799999996</v>
      </c>
      <c r="J32" s="15">
        <f>SUM(J29:J31)</f>
        <v>82.51127999999926</v>
      </c>
      <c r="K32" s="15">
        <f>SUM(K29:K31)</f>
        <v>679.10731999999916</v>
      </c>
      <c r="L32" s="15">
        <f>SUM(L29:L31)</f>
        <v>1275.7033599999982</v>
      </c>
      <c r="M32" s="15">
        <f>SUM(M29:M31)</f>
        <v>1872.2993999999971</v>
      </c>
    </row>
    <row r="33" spans="1:13">
      <c r="G33" s="14"/>
      <c r="I33" s="14"/>
      <c r="J33" s="14"/>
      <c r="K33" s="14"/>
      <c r="L33" s="14"/>
      <c r="M33" s="14"/>
    </row>
    <row r="34" spans="1:13">
      <c r="A34" s="1">
        <f>A32+1</f>
        <v>17</v>
      </c>
      <c r="C34" s="1" t="s">
        <v>83</v>
      </c>
      <c r="G34" s="17">
        <f>G24+G26+G32</f>
        <v>119434.30728211108</v>
      </c>
      <c r="I34" s="17">
        <f>I24+I26+I32</f>
        <v>70482.03228658333</v>
      </c>
      <c r="J34" s="17">
        <f>J24+J26+J32</f>
        <v>94586.813312111088</v>
      </c>
      <c r="K34" s="17">
        <f>K24+K26+K32</f>
        <v>108135.42642466669</v>
      </c>
      <c r="L34" s="17">
        <f>L24+L26+L32</f>
        <v>68813.710007222209</v>
      </c>
      <c r="M34" s="17">
        <f>M24+M26+M32</f>
        <v>91858.371249777803</v>
      </c>
    </row>
    <row r="35" spans="1:13">
      <c r="G35" s="14"/>
      <c r="I35" s="14"/>
      <c r="J35" s="14"/>
      <c r="K35" s="14"/>
      <c r="L35" s="14"/>
      <c r="M35" s="14"/>
    </row>
    <row r="36" spans="1:13" ht="13" thickBot="1">
      <c r="A36" s="1">
        <f>A34+1</f>
        <v>18</v>
      </c>
      <c r="C36" s="1" t="s">
        <v>84</v>
      </c>
      <c r="G36" s="21">
        <f>G13-G19-G34</f>
        <v>533403.47566788876</v>
      </c>
      <c r="I36" s="21">
        <f>I13-I19-I34</f>
        <v>502007.30850341672</v>
      </c>
      <c r="J36" s="21">
        <f>J13-J19-J34</f>
        <v>508571.58254788897</v>
      </c>
      <c r="K36" s="21">
        <f>K13-K19-K34</f>
        <v>577442.02154533344</v>
      </c>
      <c r="L36" s="21">
        <f>L13-L19-L34</f>
        <v>711400.63331277797</v>
      </c>
      <c r="M36" s="21">
        <f>M13-M19-M34</f>
        <v>782145.54685022228</v>
      </c>
    </row>
    <row r="37" spans="1:13">
      <c r="G37" s="14"/>
      <c r="I37" s="14"/>
      <c r="J37" s="14"/>
      <c r="K37" s="14"/>
      <c r="L37" s="14"/>
      <c r="M37" s="14"/>
    </row>
    <row r="38" spans="1:13">
      <c r="C38" s="1" t="s">
        <v>22</v>
      </c>
    </row>
    <row r="39" spans="1:13">
      <c r="A39" s="1">
        <f>A36+1</f>
        <v>19</v>
      </c>
      <c r="C39" s="1" t="s">
        <v>327</v>
      </c>
      <c r="G39" s="14"/>
      <c r="I39" s="14"/>
      <c r="J39" s="14"/>
      <c r="K39" s="14"/>
      <c r="L39" s="14"/>
      <c r="M39" s="14"/>
    </row>
    <row r="40" spans="1:13">
      <c r="A40" s="1">
        <f t="shared" ref="A40:A45" si="0">A39+1</f>
        <v>20</v>
      </c>
      <c r="C40" s="128" t="s">
        <v>85</v>
      </c>
      <c r="G40" s="14"/>
      <c r="I40" s="14"/>
      <c r="J40" s="14"/>
      <c r="K40" s="14"/>
      <c r="L40" s="14"/>
      <c r="M40" s="14"/>
    </row>
    <row r="41" spans="1:13">
      <c r="A41" s="1">
        <f t="shared" si="0"/>
        <v>21</v>
      </c>
      <c r="C41" s="129" t="s">
        <v>86</v>
      </c>
      <c r="G41" s="14">
        <v>11541.019820000001</v>
      </c>
      <c r="I41" s="14">
        <v>13764.835939999999</v>
      </c>
      <c r="J41" s="14">
        <f>I44</f>
        <v>14201.454519999999</v>
      </c>
      <c r="K41" s="14">
        <f>J44</f>
        <v>12004.444710000002</v>
      </c>
      <c r="L41" s="14">
        <f>K44</f>
        <v>9898.7891699999982</v>
      </c>
      <c r="M41" s="14">
        <f>L44</f>
        <v>7834.89509</v>
      </c>
    </row>
    <row r="42" spans="1:13">
      <c r="A42" s="1">
        <f t="shared" si="0"/>
        <v>22</v>
      </c>
      <c r="C42" s="130" t="s">
        <v>87</v>
      </c>
      <c r="G42" s="14">
        <v>1175.0000000000005</v>
      </c>
      <c r="I42" s="14">
        <f>I44-I41-I43</f>
        <v>1510.3823700000003</v>
      </c>
      <c r="J42" s="14">
        <f>J44-J41-J43</f>
        <v>1059.8237500000023</v>
      </c>
      <c r="K42" s="14">
        <f>K44-K41-K43</f>
        <v>394.99999999999682</v>
      </c>
      <c r="L42" s="14">
        <f>L44-L41-L43</f>
        <v>350.00000000000182</v>
      </c>
      <c r="M42" s="14">
        <f>M44-M41-M43</f>
        <v>0</v>
      </c>
    </row>
    <row r="43" spans="1:13">
      <c r="A43" s="1">
        <f t="shared" si="0"/>
        <v>23</v>
      </c>
      <c r="C43" s="130" t="s">
        <v>88</v>
      </c>
      <c r="G43" s="17">
        <v>-2133.7426</v>
      </c>
      <c r="I43" s="17">
        <v>-1073.76379</v>
      </c>
      <c r="J43" s="17">
        <v>-3256.83356</v>
      </c>
      <c r="K43" s="17">
        <v>-2500.6555400000002</v>
      </c>
      <c r="L43" s="17">
        <v>-2413.89408</v>
      </c>
      <c r="M43" s="17">
        <v>-1833.39408</v>
      </c>
    </row>
    <row r="44" spans="1:13">
      <c r="A44" s="1">
        <f t="shared" si="0"/>
        <v>24</v>
      </c>
      <c r="C44" s="129" t="s">
        <v>89</v>
      </c>
      <c r="G44" s="14">
        <v>10582.277220000002</v>
      </c>
      <c r="I44" s="14">
        <v>14201.454519999999</v>
      </c>
      <c r="J44" s="14">
        <v>12004.444710000002</v>
      </c>
      <c r="K44" s="14">
        <v>9898.7891699999982</v>
      </c>
      <c r="L44" s="14">
        <v>7834.89509</v>
      </c>
      <c r="M44" s="14">
        <v>6001.50101</v>
      </c>
    </row>
    <row r="45" spans="1:13">
      <c r="A45" s="1">
        <f t="shared" si="0"/>
        <v>25</v>
      </c>
      <c r="C45" s="128" t="s">
        <v>346</v>
      </c>
      <c r="G45" s="14">
        <v>785</v>
      </c>
      <c r="I45" s="14">
        <v>10818.60723</v>
      </c>
      <c r="J45" s="14">
        <v>1398.90831</v>
      </c>
      <c r="K45" s="14">
        <v>0</v>
      </c>
      <c r="L45" s="14">
        <v>350</v>
      </c>
      <c r="M45" s="14">
        <v>350</v>
      </c>
    </row>
    <row r="46" spans="1:13">
      <c r="C46" s="129"/>
      <c r="G46" s="14"/>
      <c r="I46" s="14"/>
      <c r="J46" s="14"/>
      <c r="K46" s="14"/>
      <c r="L46" s="14"/>
      <c r="M46" s="14"/>
    </row>
    <row r="47" spans="1:13">
      <c r="A47" s="1">
        <f>A45+1</f>
        <v>26</v>
      </c>
      <c r="C47" s="128" t="s">
        <v>90</v>
      </c>
      <c r="G47" s="14"/>
      <c r="I47" s="14"/>
      <c r="J47" s="14"/>
      <c r="K47" s="14"/>
      <c r="L47" s="14"/>
      <c r="M47" s="14"/>
    </row>
    <row r="48" spans="1:13">
      <c r="A48" s="1">
        <f>A47+1</f>
        <v>27</v>
      </c>
      <c r="C48" s="129" t="s">
        <v>86</v>
      </c>
      <c r="G48" s="14">
        <v>26961.318859999999</v>
      </c>
      <c r="I48" s="14">
        <v>17088.781999999999</v>
      </c>
      <c r="J48" s="14">
        <f>I51</f>
        <v>22917.287059999999</v>
      </c>
      <c r="K48" s="14">
        <f>J51</f>
        <v>26866.73561</v>
      </c>
      <c r="L48" s="14">
        <f>K51</f>
        <v>29514.516</v>
      </c>
      <c r="M48" s="14">
        <f>L51</f>
        <v>29083.976030000002</v>
      </c>
    </row>
    <row r="49" spans="1:13">
      <c r="A49" s="1">
        <f>A48+1</f>
        <v>28</v>
      </c>
      <c r="C49" s="130" t="s">
        <v>87</v>
      </c>
      <c r="G49" s="14">
        <v>7326.7949999999983</v>
      </c>
      <c r="I49" s="14">
        <f>I51-I48-I50</f>
        <v>6648.0631999999996</v>
      </c>
      <c r="J49" s="14">
        <f>J51-J48-J50</f>
        <v>4761.9116800000011</v>
      </c>
      <c r="K49" s="14">
        <f>K51-K48-K50</f>
        <v>4113</v>
      </c>
      <c r="L49" s="14">
        <f>L51-L48-L50</f>
        <v>1450.000000000002</v>
      </c>
      <c r="M49" s="14">
        <f>M51-M48-M50</f>
        <v>904.99999999999773</v>
      </c>
    </row>
    <row r="50" spans="1:13">
      <c r="A50" s="1">
        <f>A49+1</f>
        <v>29</v>
      </c>
      <c r="C50" s="130" t="s">
        <v>88</v>
      </c>
      <c r="G50" s="17">
        <v>-812.46312</v>
      </c>
      <c r="I50" s="17">
        <v>-819.55813999999998</v>
      </c>
      <c r="J50" s="17">
        <v>-812.46312999999998</v>
      </c>
      <c r="K50" s="17">
        <v>-1465.2196100000001</v>
      </c>
      <c r="L50" s="17">
        <v>-1880.53997</v>
      </c>
      <c r="M50" s="17">
        <v>-2074.95498</v>
      </c>
    </row>
    <row r="51" spans="1:13">
      <c r="A51" s="1">
        <f>A50+1</f>
        <v>30</v>
      </c>
      <c r="C51" s="129" t="s">
        <v>89</v>
      </c>
      <c r="G51" s="14">
        <v>33475.650739999997</v>
      </c>
      <c r="I51" s="14">
        <v>22917.287059999999</v>
      </c>
      <c r="J51" s="14">
        <v>26866.73561</v>
      </c>
      <c r="K51" s="14">
        <v>29514.516</v>
      </c>
      <c r="L51" s="14">
        <v>29083.976030000002</v>
      </c>
      <c r="M51" s="14">
        <v>27914.021049999999</v>
      </c>
    </row>
    <row r="52" spans="1:13">
      <c r="A52" s="1">
        <f>A51+1</f>
        <v>31</v>
      </c>
      <c r="C52" s="128" t="s">
        <v>347</v>
      </c>
      <c r="G52" s="14">
        <v>29867.4228</v>
      </c>
      <c r="I52" s="14">
        <v>19713.993149999998</v>
      </c>
      <c r="J52" s="14">
        <v>21992.339010000003</v>
      </c>
      <c r="K52" s="14">
        <v>7414.7601399999994</v>
      </c>
      <c r="L52" s="14">
        <v>8864.7601400000003</v>
      </c>
      <c r="M52" s="14">
        <v>0</v>
      </c>
    </row>
    <row r="53" spans="1:13">
      <c r="C53" s="129"/>
      <c r="G53" s="14"/>
      <c r="I53" s="14"/>
      <c r="J53" s="14"/>
      <c r="K53" s="14"/>
      <c r="L53" s="14"/>
      <c r="M53" s="14"/>
    </row>
    <row r="54" spans="1:13">
      <c r="A54" s="1">
        <f>A52+1</f>
        <v>32</v>
      </c>
      <c r="C54" s="128" t="s">
        <v>91</v>
      </c>
      <c r="G54" s="14"/>
      <c r="I54" s="14"/>
      <c r="J54" s="14"/>
      <c r="K54" s="14"/>
      <c r="L54" s="14"/>
      <c r="M54" s="14"/>
    </row>
    <row r="55" spans="1:13">
      <c r="A55" s="1">
        <f>A54+1</f>
        <v>33</v>
      </c>
      <c r="C55" s="129" t="s">
        <v>86</v>
      </c>
      <c r="G55" s="14">
        <v>126.89604</v>
      </c>
      <c r="I55" s="14">
        <v>177.79390999999998</v>
      </c>
      <c r="J55" s="14">
        <f>I58</f>
        <v>126.89604</v>
      </c>
      <c r="K55" s="14">
        <f>J58</f>
        <v>95.773559999999989</v>
      </c>
      <c r="L55" s="14">
        <f>K58</f>
        <v>200.39814999999996</v>
      </c>
      <c r="M55" s="14">
        <f>L58</f>
        <v>136.34276999999997</v>
      </c>
    </row>
    <row r="56" spans="1:13">
      <c r="A56" s="1">
        <f>A55+1</f>
        <v>34</v>
      </c>
      <c r="C56" s="130" t="s">
        <v>87</v>
      </c>
      <c r="G56" s="14">
        <v>0</v>
      </c>
      <c r="I56" s="14">
        <f>I58-I55-I57</f>
        <v>0</v>
      </c>
      <c r="J56" s="14">
        <f>J58-J55-J57</f>
        <v>19.775389999999994</v>
      </c>
      <c r="K56" s="14">
        <f>K58-K55-K57</f>
        <v>174.99999999999997</v>
      </c>
      <c r="L56" s="14">
        <f>L58-L55-L57</f>
        <v>0</v>
      </c>
      <c r="M56" s="14">
        <f>M58-M55-M57</f>
        <v>0</v>
      </c>
    </row>
    <row r="57" spans="1:13">
      <c r="A57" s="1">
        <f>A56+1</f>
        <v>35</v>
      </c>
      <c r="C57" s="130" t="s">
        <v>88</v>
      </c>
      <c r="G57" s="17">
        <v>-50.897870000000005</v>
      </c>
      <c r="I57" s="17">
        <v>-50.897870000000005</v>
      </c>
      <c r="J57" s="17">
        <v>-50.897870000000005</v>
      </c>
      <c r="K57" s="17">
        <v>-70.375410000000002</v>
      </c>
      <c r="L57" s="17">
        <v>-64.05538</v>
      </c>
      <c r="M57" s="17">
        <v>-38.955080000000002</v>
      </c>
    </row>
    <row r="58" spans="1:13">
      <c r="A58" s="1">
        <f>A57+1</f>
        <v>36</v>
      </c>
      <c r="C58" s="129" t="s">
        <v>89</v>
      </c>
      <c r="G58" s="14">
        <v>75.998169999999988</v>
      </c>
      <c r="I58" s="14">
        <v>126.89604</v>
      </c>
      <c r="J58" s="14">
        <v>95.773559999999989</v>
      </c>
      <c r="K58" s="14">
        <v>200.39814999999996</v>
      </c>
      <c r="L58" s="14">
        <v>136.34276999999997</v>
      </c>
      <c r="M58" s="14">
        <v>97.387689999999949</v>
      </c>
    </row>
    <row r="59" spans="1:13">
      <c r="A59" s="1">
        <f>A58+1</f>
        <v>37</v>
      </c>
      <c r="C59" s="128" t="s">
        <v>348</v>
      </c>
      <c r="G59" s="14">
        <v>0</v>
      </c>
      <c r="I59" s="14">
        <v>0</v>
      </c>
      <c r="J59" s="14">
        <v>19.775389999999998</v>
      </c>
      <c r="K59" s="14">
        <v>0</v>
      </c>
      <c r="L59" s="14">
        <v>0</v>
      </c>
      <c r="M59" s="14">
        <v>0</v>
      </c>
    </row>
    <row r="60" spans="1:13">
      <c r="C60" s="129"/>
      <c r="G60" s="14"/>
      <c r="I60" s="14"/>
      <c r="J60" s="14"/>
      <c r="K60" s="14"/>
      <c r="L60" s="14"/>
      <c r="M60" s="14"/>
    </row>
    <row r="61" spans="1:13">
      <c r="A61" s="1">
        <f>A59+1</f>
        <v>38</v>
      </c>
      <c r="C61" s="128" t="s">
        <v>350</v>
      </c>
      <c r="G61" s="14"/>
      <c r="I61" s="14"/>
      <c r="J61" s="14"/>
      <c r="K61" s="14"/>
      <c r="L61" s="14"/>
      <c r="M61" s="14"/>
    </row>
    <row r="62" spans="1:13">
      <c r="A62" s="1">
        <f>A61+1</f>
        <v>39</v>
      </c>
      <c r="C62" s="129" t="s">
        <v>86</v>
      </c>
      <c r="G62" s="14">
        <v>664.59255099999814</v>
      </c>
      <c r="I62" s="14">
        <v>886.12359099999958</v>
      </c>
      <c r="J62" s="14">
        <f>I65</f>
        <v>664.59255099999962</v>
      </c>
      <c r="K62" s="14">
        <f>J65</f>
        <v>443.06151099999965</v>
      </c>
      <c r="L62" s="14">
        <f>K65</f>
        <v>221.53047099999972</v>
      </c>
      <c r="M62" s="14">
        <f>L65</f>
        <v>-2.4890000003665591E-3</v>
      </c>
    </row>
    <row r="63" spans="1:13">
      <c r="A63" s="1">
        <f>A62+1</f>
        <v>40</v>
      </c>
      <c r="C63" s="130" t="s">
        <v>87</v>
      </c>
      <c r="G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</row>
    <row r="64" spans="1:13">
      <c r="A64" s="1">
        <f>A63+1</f>
        <v>41</v>
      </c>
      <c r="C64" s="130" t="s">
        <v>88</v>
      </c>
      <c r="G64" s="17">
        <v>-221.53103999999993</v>
      </c>
      <c r="I64" s="17">
        <v>-221.53103999999993</v>
      </c>
      <c r="J64" s="17">
        <v>-221.53103999999993</v>
      </c>
      <c r="K64" s="17">
        <v>-221.53103999999993</v>
      </c>
      <c r="L64" s="17">
        <v>-221.53296000000009</v>
      </c>
      <c r="M64" s="17">
        <v>0</v>
      </c>
    </row>
    <row r="65" spans="1:13">
      <c r="A65" s="1">
        <f>A64+1</f>
        <v>42</v>
      </c>
      <c r="C65" s="129" t="s">
        <v>89</v>
      </c>
      <c r="G65" s="14">
        <v>443.06151099999818</v>
      </c>
      <c r="I65" s="14">
        <f>SUM(I62:I64)</f>
        <v>664.59255099999962</v>
      </c>
      <c r="J65" s="14">
        <f>SUM(J62:J64)</f>
        <v>443.06151099999965</v>
      </c>
      <c r="K65" s="14">
        <f>SUM(K62:K64)</f>
        <v>221.53047099999972</v>
      </c>
      <c r="L65" s="14">
        <f>SUM(L62:L64)</f>
        <v>-2.4890000003665591E-3</v>
      </c>
      <c r="M65" s="14">
        <f>SUM(M62:M64)</f>
        <v>-2.4890000003665591E-3</v>
      </c>
    </row>
    <row r="66" spans="1:13">
      <c r="A66" s="1">
        <f>A65+1</f>
        <v>43</v>
      </c>
      <c r="C66" s="128" t="s">
        <v>349</v>
      </c>
      <c r="G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</row>
    <row r="67" spans="1:13">
      <c r="C67" s="129"/>
      <c r="G67" s="14"/>
      <c r="I67" s="14"/>
      <c r="J67" s="14"/>
      <c r="K67" s="14"/>
      <c r="L67" s="14"/>
      <c r="M67" s="14"/>
    </row>
    <row r="68" spans="1:13">
      <c r="A68" s="1">
        <f>A66+1</f>
        <v>44</v>
      </c>
      <c r="C68" s="128" t="s">
        <v>92</v>
      </c>
      <c r="G68" s="14"/>
      <c r="I68" s="14"/>
      <c r="J68" s="14"/>
      <c r="K68" s="14"/>
      <c r="L68" s="14"/>
      <c r="M68" s="14"/>
    </row>
    <row r="69" spans="1:13">
      <c r="A69" s="1">
        <f>A68+1</f>
        <v>45</v>
      </c>
      <c r="C69" s="129" t="s">
        <v>86</v>
      </c>
      <c r="G69" s="14">
        <v>9840.0845800000006</v>
      </c>
      <c r="I69" s="14">
        <v>4582.3754600000011</v>
      </c>
      <c r="J69" s="14">
        <f>I72</f>
        <v>4424.2910099999981</v>
      </c>
      <c r="K69" s="14">
        <f>J72</f>
        <v>4915.9551700000002</v>
      </c>
      <c r="L69" s="14">
        <f>J72</f>
        <v>4915.9551700000002</v>
      </c>
      <c r="M69" s="14">
        <f>K72</f>
        <v>6068.1010699999988</v>
      </c>
    </row>
    <row r="70" spans="1:13">
      <c r="A70" s="1">
        <f>A69+1</f>
        <v>46</v>
      </c>
      <c r="C70" s="130" t="s">
        <v>87</v>
      </c>
      <c r="G70" s="14">
        <v>4830</v>
      </c>
      <c r="I70" s="14">
        <f>I72-I69-I71</f>
        <v>567.80190999999695</v>
      </c>
      <c r="J70" s="14">
        <f>J72-J69-J71</f>
        <v>1210.0228100000022</v>
      </c>
      <c r="K70" s="14">
        <f>K72-K69-K71</f>
        <v>1984.9999999999986</v>
      </c>
      <c r="L70" s="14">
        <f>L72-L69-L71</f>
        <v>2042.1458999999986</v>
      </c>
      <c r="M70" s="14">
        <f>M72-M69-M71</f>
        <v>815.57514000000094</v>
      </c>
    </row>
    <row r="71" spans="1:13">
      <c r="A71" s="1">
        <f>A70+1</f>
        <v>47</v>
      </c>
      <c r="C71" s="130" t="s">
        <v>88</v>
      </c>
      <c r="G71" s="17">
        <v>-1280.6828700000001</v>
      </c>
      <c r="I71" s="17">
        <v>-725.88635999999997</v>
      </c>
      <c r="J71" s="17">
        <v>-718.35865000000001</v>
      </c>
      <c r="K71" s="17">
        <v>-832.85410000000002</v>
      </c>
      <c r="L71" s="17">
        <v>-914.42485999999997</v>
      </c>
      <c r="M71" s="17">
        <v>-976.19484999999997</v>
      </c>
    </row>
    <row r="72" spans="1:13">
      <c r="A72" s="1">
        <f>A71+1</f>
        <v>48</v>
      </c>
      <c r="C72" s="129" t="s">
        <v>89</v>
      </c>
      <c r="G72" s="14">
        <v>13389.40171</v>
      </c>
      <c r="I72" s="14">
        <v>4424.2910099999981</v>
      </c>
      <c r="J72" s="14">
        <v>4915.9551700000002</v>
      </c>
      <c r="K72" s="14">
        <v>6068.1010699999988</v>
      </c>
      <c r="L72" s="14">
        <v>6043.6762099999987</v>
      </c>
      <c r="M72" s="14">
        <v>5907.4813599999998</v>
      </c>
    </row>
    <row r="73" spans="1:13">
      <c r="A73" s="1">
        <f>A72+1</f>
        <v>49</v>
      </c>
      <c r="C73" s="128" t="s">
        <v>351</v>
      </c>
      <c r="G73" s="14">
        <v>4624.81232</v>
      </c>
      <c r="I73" s="14">
        <v>446.65201000000002</v>
      </c>
      <c r="J73" s="14">
        <v>763.93205999999998</v>
      </c>
      <c r="K73" s="14">
        <v>718.23143999999991</v>
      </c>
      <c r="L73" s="14">
        <v>698.23143999999991</v>
      </c>
      <c r="M73" s="14">
        <v>868.23143999999991</v>
      </c>
    </row>
    <row r="74" spans="1:13">
      <c r="C74" s="129"/>
      <c r="G74" s="14"/>
      <c r="I74" s="14"/>
      <c r="J74" s="14"/>
      <c r="K74" s="14"/>
      <c r="L74" s="14"/>
      <c r="M74" s="14"/>
    </row>
    <row r="75" spans="1:13">
      <c r="A75" s="1">
        <f>A73+1</f>
        <v>50</v>
      </c>
      <c r="C75" s="128" t="s">
        <v>314</v>
      </c>
      <c r="G75" s="14"/>
      <c r="I75" s="14"/>
      <c r="J75" s="14"/>
      <c r="K75" s="14"/>
      <c r="L75" s="14"/>
      <c r="M75" s="14"/>
    </row>
    <row r="76" spans="1:13">
      <c r="A76" s="1">
        <f>A75+1</f>
        <v>51</v>
      </c>
      <c r="C76" s="129" t="s">
        <v>86</v>
      </c>
      <c r="G76" s="14">
        <v>1856.5061900982544</v>
      </c>
      <c r="I76" s="14">
        <v>1121.361264098254</v>
      </c>
      <c r="J76" s="14">
        <f>I79</f>
        <v>1509.8699307602858</v>
      </c>
      <c r="K76" s="14">
        <f>J79</f>
        <v>1933.1117107602859</v>
      </c>
      <c r="L76" s="14">
        <f>K79</f>
        <v>2349.5355877602856</v>
      </c>
      <c r="M76" s="14">
        <f>L79</f>
        <v>2428.2594647602859</v>
      </c>
    </row>
    <row r="77" spans="1:13">
      <c r="A77" s="1">
        <f>A76+1</f>
        <v>52</v>
      </c>
      <c r="C77" s="130" t="s">
        <v>87</v>
      </c>
      <c r="G77" s="14">
        <v>1160.0000000000002</v>
      </c>
      <c r="I77" s="14">
        <f>I79-I76-I78</f>
        <v>519.54001000000005</v>
      </c>
      <c r="J77" s="14">
        <f>J79-J76-J78</f>
        <v>643.66061000000002</v>
      </c>
      <c r="K77" s="14">
        <f>K79-K76-K78</f>
        <v>746.99999999999955</v>
      </c>
      <c r="L77" s="14">
        <f>L79-L76-L78</f>
        <v>484.00000000000051</v>
      </c>
      <c r="M77" s="14">
        <f>M79-M76-M78</f>
        <v>443.99999999999926</v>
      </c>
    </row>
    <row r="78" spans="1:13">
      <c r="A78" s="1">
        <f>A77+1</f>
        <v>53</v>
      </c>
      <c r="C78" s="130" t="s">
        <v>88</v>
      </c>
      <c r="G78" s="17">
        <v>-254.758464</v>
      </c>
      <c r="I78" s="17">
        <v>-131.03134333796822</v>
      </c>
      <c r="J78" s="17">
        <v>-220.41882999999996</v>
      </c>
      <c r="K78" s="17">
        <v>-330.57612299999988</v>
      </c>
      <c r="L78" s="17">
        <v>-405.27612300000015</v>
      </c>
      <c r="M78" s="17">
        <v>-453.6761229999999</v>
      </c>
    </row>
    <row r="79" spans="1:13">
      <c r="A79" s="1">
        <f>A78+1</f>
        <v>54</v>
      </c>
      <c r="C79" s="129" t="s">
        <v>89</v>
      </c>
      <c r="G79" s="14">
        <v>2761.7477260982546</v>
      </c>
      <c r="I79" s="14">
        <v>1509.8699307602858</v>
      </c>
      <c r="J79" s="14">
        <v>1933.1117107602859</v>
      </c>
      <c r="K79" s="14">
        <v>2349.5355877602856</v>
      </c>
      <c r="L79" s="14">
        <v>2428.2594647602859</v>
      </c>
      <c r="M79" s="14">
        <v>2418.5833417602853</v>
      </c>
    </row>
    <row r="80" spans="1:13">
      <c r="A80" s="1">
        <f>A79+1</f>
        <v>55</v>
      </c>
      <c r="C80" s="128" t="s">
        <v>352</v>
      </c>
      <c r="G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</row>
    <row r="81" spans="1:13">
      <c r="C81" s="129"/>
      <c r="G81" s="14"/>
      <c r="I81" s="14"/>
      <c r="J81" s="14"/>
      <c r="K81" s="14"/>
      <c r="L81" s="14"/>
      <c r="M81" s="14"/>
    </row>
    <row r="82" spans="1:13">
      <c r="A82" s="1">
        <f>A80+1</f>
        <v>56</v>
      </c>
      <c r="C82" s="128" t="s">
        <v>371</v>
      </c>
      <c r="G82" s="14"/>
      <c r="I82" s="14"/>
      <c r="J82" s="14"/>
      <c r="K82" s="14"/>
      <c r="L82" s="14"/>
      <c r="M82" s="14"/>
    </row>
    <row r="83" spans="1:13">
      <c r="A83" s="1">
        <f>A82+1</f>
        <v>57</v>
      </c>
      <c r="C83" s="129" t="s">
        <v>86</v>
      </c>
      <c r="G83" s="14">
        <f>1668.05440190174+1016.431208</f>
        <v>2684.4856099017397</v>
      </c>
      <c r="I83" s="14">
        <v>6096.5622559017456</v>
      </c>
      <c r="J83" s="14">
        <v>7807.3795292397153</v>
      </c>
      <c r="K83" s="14">
        <v>8138.6926992397148</v>
      </c>
      <c r="L83" s="14">
        <v>9297.5283422397151</v>
      </c>
      <c r="M83" s="14">
        <v>9978.9772952397143</v>
      </c>
    </row>
    <row r="84" spans="1:13">
      <c r="A84" s="1">
        <f>A83+1</f>
        <v>58</v>
      </c>
      <c r="C84" s="130" t="s">
        <v>87</v>
      </c>
      <c r="G84" s="14">
        <v>1599.9999999999998</v>
      </c>
      <c r="I84" s="14">
        <v>1900.7505600000013</v>
      </c>
      <c r="J84" s="14">
        <v>1015.1778599999997</v>
      </c>
      <c r="K84" s="14">
        <v>1855</v>
      </c>
      <c r="L84" s="14">
        <v>1374.9999999999991</v>
      </c>
      <c r="M84" s="14">
        <v>400.00000000000028</v>
      </c>
    </row>
    <row r="85" spans="1:13">
      <c r="A85" s="1">
        <f>A84+1</f>
        <v>59</v>
      </c>
      <c r="C85" s="130" t="s">
        <v>88</v>
      </c>
      <c r="G85" s="14">
        <f>-130.907376</f>
        <v>-130.907376</v>
      </c>
      <c r="I85" s="14">
        <v>-189.93328666203183</v>
      </c>
      <c r="J85" s="14">
        <v>-683.86469</v>
      </c>
      <c r="K85" s="14">
        <v>-696.16435700000011</v>
      </c>
      <c r="L85" s="14">
        <v>-693.55104699999993</v>
      </c>
      <c r="M85" s="14">
        <v>-714.7370269999999</v>
      </c>
    </row>
    <row r="86" spans="1:13" ht="3" customHeight="1">
      <c r="C86" s="130"/>
      <c r="G86" s="17"/>
      <c r="I86" s="17"/>
      <c r="J86" s="17"/>
      <c r="K86" s="17"/>
      <c r="L86" s="17"/>
      <c r="M86" s="17"/>
    </row>
    <row r="87" spans="1:13">
      <c r="A87" s="1">
        <f>A85+1</f>
        <v>60</v>
      </c>
      <c r="C87" s="129" t="s">
        <v>89</v>
      </c>
      <c r="G87" s="14">
        <f>3387.14698590174+766.431248</f>
        <v>4153.5782339017405</v>
      </c>
      <c r="I87" s="14">
        <f>SUM(I83:I86)</f>
        <v>7807.3795292397153</v>
      </c>
      <c r="J87" s="14">
        <f>SUM(J83:J86)</f>
        <v>8138.6926992397148</v>
      </c>
      <c r="K87" s="14">
        <f>SUM(K83:K86)</f>
        <v>9297.5283422397151</v>
      </c>
      <c r="L87" s="14">
        <f>SUM(L83:L86)</f>
        <v>9978.9772952397143</v>
      </c>
      <c r="M87" s="14">
        <f>SUM(M83:M86)</f>
        <v>9664.2402682397151</v>
      </c>
    </row>
    <row r="88" spans="1:13">
      <c r="A88" s="1">
        <f>A87+1</f>
        <v>61</v>
      </c>
      <c r="C88" s="128" t="s">
        <v>355</v>
      </c>
      <c r="G88" s="14">
        <v>3858.6516299999998</v>
      </c>
      <c r="I88" s="14">
        <v>1901.9792800000002</v>
      </c>
      <c r="J88" s="14">
        <v>2784.2343900000001</v>
      </c>
      <c r="K88" s="14">
        <v>4431.8252599999996</v>
      </c>
      <c r="L88" s="14">
        <v>3475.2451700000001</v>
      </c>
      <c r="M88" s="14">
        <v>3875.2451700000001</v>
      </c>
    </row>
    <row r="89" spans="1:13">
      <c r="C89" s="128"/>
      <c r="G89" s="14"/>
      <c r="I89" s="14"/>
      <c r="J89" s="14"/>
      <c r="K89" s="14"/>
      <c r="L89" s="14"/>
      <c r="M89" s="14"/>
    </row>
    <row r="90" spans="1:13">
      <c r="A90" s="1">
        <f>A88+1</f>
        <v>62</v>
      </c>
      <c r="C90" s="128" t="s">
        <v>384</v>
      </c>
      <c r="G90" s="14"/>
      <c r="I90" s="14"/>
      <c r="J90" s="14"/>
      <c r="K90" s="14"/>
      <c r="L90" s="14"/>
      <c r="M90" s="14"/>
    </row>
    <row r="91" spans="1:13">
      <c r="A91" s="1">
        <f>A90+1</f>
        <v>63</v>
      </c>
      <c r="C91" s="129" t="s">
        <v>86</v>
      </c>
      <c r="G91" s="14">
        <v>0</v>
      </c>
      <c r="I91" s="14">
        <v>25.876999999999999</v>
      </c>
      <c r="J91" s="14">
        <f>I94</f>
        <v>25.876999999999999</v>
      </c>
      <c r="K91" s="14">
        <f>J94</f>
        <v>67.370999999999995</v>
      </c>
      <c r="L91" s="14">
        <f>K94</f>
        <v>67.370999999999995</v>
      </c>
      <c r="M91" s="14">
        <f>L94</f>
        <v>67.370999999999995</v>
      </c>
    </row>
    <row r="92" spans="1:13">
      <c r="A92" s="1">
        <f>A91+1</f>
        <v>64</v>
      </c>
      <c r="C92" s="130" t="s">
        <v>87</v>
      </c>
      <c r="G92" s="14">
        <v>0</v>
      </c>
      <c r="I92" s="14">
        <v>0</v>
      </c>
      <c r="J92" s="14">
        <v>41.494</v>
      </c>
      <c r="K92" s="14">
        <v>0</v>
      </c>
      <c r="L92" s="14">
        <v>0</v>
      </c>
      <c r="M92" s="14">
        <v>0</v>
      </c>
    </row>
    <row r="93" spans="1:13">
      <c r="A93" s="1">
        <f>A92+1</f>
        <v>65</v>
      </c>
      <c r="C93" s="130" t="s">
        <v>88</v>
      </c>
      <c r="G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</row>
    <row r="94" spans="1:13">
      <c r="A94" s="1">
        <f>A93+1</f>
        <v>66</v>
      </c>
      <c r="C94" s="129" t="s">
        <v>89</v>
      </c>
      <c r="G94" s="14">
        <v>0</v>
      </c>
      <c r="I94" s="14">
        <f>SUM(I91:I93)</f>
        <v>25.876999999999999</v>
      </c>
      <c r="J94" s="14">
        <f>SUM(J91:J93)</f>
        <v>67.370999999999995</v>
      </c>
      <c r="K94" s="14">
        <f>SUM(K91:K93)</f>
        <v>67.370999999999995</v>
      </c>
      <c r="L94" s="14">
        <f>SUM(L91:L93)</f>
        <v>67.370999999999995</v>
      </c>
      <c r="M94" s="14">
        <f>SUM(M91:M93)</f>
        <v>67.370999999999995</v>
      </c>
    </row>
    <row r="95" spans="1:13">
      <c r="C95" s="128"/>
      <c r="G95" s="14"/>
      <c r="I95" s="14"/>
      <c r="J95" s="14"/>
      <c r="K95" s="14"/>
      <c r="L95" s="14"/>
      <c r="M95" s="14"/>
    </row>
    <row r="96" spans="1:13">
      <c r="A96" s="1">
        <f>A94+1</f>
        <v>67</v>
      </c>
      <c r="C96" s="128" t="s">
        <v>385</v>
      </c>
      <c r="G96" s="14"/>
      <c r="I96" s="14"/>
      <c r="J96" s="14"/>
      <c r="K96" s="14"/>
      <c r="L96" s="14"/>
      <c r="M96" s="14"/>
    </row>
    <row r="97" spans="1:13">
      <c r="A97" s="1">
        <f>A96+1</f>
        <v>68</v>
      </c>
      <c r="C97" s="129" t="s">
        <v>86</v>
      </c>
      <c r="G97" s="14">
        <v>-62.4</v>
      </c>
      <c r="I97" s="14">
        <v>-62.4</v>
      </c>
      <c r="J97" s="14">
        <f>I100</f>
        <v>-86.6</v>
      </c>
      <c r="K97" s="14">
        <f>J100</f>
        <v>-64.699999999999989</v>
      </c>
      <c r="L97" s="14">
        <f>K100</f>
        <v>-64.699999999999989</v>
      </c>
      <c r="M97" s="14">
        <f>L100</f>
        <v>-64.699999999999989</v>
      </c>
    </row>
    <row r="98" spans="1:13">
      <c r="A98" s="1">
        <f>A97+1</f>
        <v>69</v>
      </c>
      <c r="C98" s="130" t="s">
        <v>87</v>
      </c>
      <c r="G98" s="14">
        <v>0</v>
      </c>
      <c r="I98" s="14">
        <v>-24.2</v>
      </c>
      <c r="J98" s="14">
        <v>21.9</v>
      </c>
      <c r="K98" s="14">
        <v>0</v>
      </c>
      <c r="L98" s="14">
        <v>0</v>
      </c>
      <c r="M98" s="14">
        <v>0</v>
      </c>
    </row>
    <row r="99" spans="1:13">
      <c r="A99" s="1">
        <f>A98+1</f>
        <v>70</v>
      </c>
      <c r="C99" s="130" t="s">
        <v>88</v>
      </c>
      <c r="G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</row>
    <row r="100" spans="1:13">
      <c r="A100" s="1">
        <f>A99+1</f>
        <v>71</v>
      </c>
      <c r="C100" s="129" t="s">
        <v>89</v>
      </c>
      <c r="G100" s="14">
        <v>-62.4</v>
      </c>
      <c r="I100" s="14">
        <f>SUM(I97:I99)</f>
        <v>-86.6</v>
      </c>
      <c r="J100" s="14">
        <f>SUM(J97:J99)</f>
        <v>-64.699999999999989</v>
      </c>
      <c r="K100" s="14">
        <f>SUM(K97:K99)</f>
        <v>-64.699999999999989</v>
      </c>
      <c r="L100" s="14">
        <f>SUM(L97:L99)</f>
        <v>-64.699999999999989</v>
      </c>
      <c r="M100" s="14">
        <f>SUM(M97:M99)</f>
        <v>-64.699999999999989</v>
      </c>
    </row>
    <row r="101" spans="1:13">
      <c r="C101" s="128"/>
      <c r="G101" s="14"/>
      <c r="I101" s="14"/>
      <c r="J101" s="14"/>
      <c r="K101" s="14"/>
      <c r="L101" s="14"/>
      <c r="M101" s="14"/>
    </row>
    <row r="102" spans="1:13">
      <c r="A102" s="1">
        <f>A100+1</f>
        <v>72</v>
      </c>
      <c r="C102" s="1" t="s">
        <v>325</v>
      </c>
      <c r="G102" s="14"/>
      <c r="I102" s="14"/>
      <c r="J102" s="14"/>
      <c r="K102" s="14"/>
      <c r="L102" s="14"/>
      <c r="M102" s="14"/>
    </row>
    <row r="103" spans="1:13">
      <c r="A103" s="1">
        <f>A102+1</f>
        <v>73</v>
      </c>
      <c r="C103" s="128" t="s">
        <v>86</v>
      </c>
      <c r="G103" s="14">
        <f>G41+G48+G55+G62+G69+G76+G83+G91+G97</f>
        <v>53612.503650999999</v>
      </c>
      <c r="I103" s="14">
        <f t="shared" ref="I103:M104" si="1">I41+I48+I55+I62+I69+I76+I83+I91+I97</f>
        <v>43681.311420999991</v>
      </c>
      <c r="J103" s="14">
        <f t="shared" si="1"/>
        <v>51591.047641000012</v>
      </c>
      <c r="K103" s="14">
        <f t="shared" si="1"/>
        <v>54400.445971000001</v>
      </c>
      <c r="L103" s="14">
        <f t="shared" si="1"/>
        <v>56400.923890999999</v>
      </c>
      <c r="M103" s="14">
        <f t="shared" si="1"/>
        <v>55533.220231000014</v>
      </c>
    </row>
    <row r="104" spans="1:13">
      <c r="A104" s="1">
        <f>A103+1</f>
        <v>74</v>
      </c>
      <c r="C104" s="131" t="s">
        <v>87</v>
      </c>
      <c r="G104" s="14">
        <f>G42+G49+G56+G63+G70+G77+G84+G92+G98</f>
        <v>16091.794999999998</v>
      </c>
      <c r="I104" s="14">
        <f t="shared" si="1"/>
        <v>11122.338049999998</v>
      </c>
      <c r="J104" s="14">
        <f t="shared" si="1"/>
        <v>8773.7661000000044</v>
      </c>
      <c r="K104" s="14">
        <f t="shared" si="1"/>
        <v>9269.9999999999945</v>
      </c>
      <c r="L104" s="14">
        <f t="shared" si="1"/>
        <v>5701.1459000000023</v>
      </c>
      <c r="M104" s="14">
        <f t="shared" si="1"/>
        <v>2564.5751399999981</v>
      </c>
    </row>
    <row r="105" spans="1:13">
      <c r="A105" s="1">
        <f>A104+1</f>
        <v>75</v>
      </c>
      <c r="C105" s="131" t="s">
        <v>88</v>
      </c>
      <c r="G105" s="17">
        <f>G43+G50+G57+G64+G71+G78+G93+G99+G85</f>
        <v>-4884.9833399999998</v>
      </c>
      <c r="I105" s="17">
        <f>I43+I50+I57+I64+I71+I78+I86+I93+I99+I85</f>
        <v>-3212.6018300000005</v>
      </c>
      <c r="J105" s="17">
        <f>J43+J50+J57+J64+J71+J78+J86+J93+J99+J85</f>
        <v>-5964.3677699999998</v>
      </c>
      <c r="K105" s="17">
        <f>K43+K50+K57+K64+K71+K78+K86+K93+K99+K85</f>
        <v>-6117.3761800000011</v>
      </c>
      <c r="L105" s="17">
        <f>L43+L50+L57+L64+L71+L78+L86+L93+L99+L85</f>
        <v>-6593.2744200000006</v>
      </c>
      <c r="M105" s="17">
        <f>M43+M50+M57+M64+M71+M78+M86+M93+M99+M85</f>
        <v>-6091.9121400000004</v>
      </c>
    </row>
    <row r="106" spans="1:13">
      <c r="A106" s="1">
        <f>A105+1</f>
        <v>76</v>
      </c>
      <c r="C106" s="128" t="s">
        <v>89</v>
      </c>
      <c r="E106" s="4" t="s">
        <v>316</v>
      </c>
      <c r="G106" s="14">
        <f>SUM(G103:G105)</f>
        <v>64819.315310999991</v>
      </c>
      <c r="I106" s="14">
        <f>SUM(I103:I105)</f>
        <v>51591.04764099999</v>
      </c>
      <c r="J106" s="14">
        <f>SUM(J103:J105)</f>
        <v>54400.445971000023</v>
      </c>
      <c r="K106" s="14">
        <f>SUM(K103:K105)</f>
        <v>57553.069790999994</v>
      </c>
      <c r="L106" s="14">
        <f>SUM(L103:L105)</f>
        <v>55508.795371</v>
      </c>
      <c r="M106" s="14">
        <f>SUM(M103:M105)</f>
        <v>52005.883231000014</v>
      </c>
    </row>
    <row r="107" spans="1:13">
      <c r="C107" s="128"/>
      <c r="G107" s="14"/>
      <c r="I107" s="14"/>
      <c r="J107" s="14"/>
      <c r="K107" s="14"/>
      <c r="L107" s="14"/>
      <c r="M107" s="14"/>
    </row>
    <row r="108" spans="1:13">
      <c r="A108" s="1">
        <f>A106+1</f>
        <v>77</v>
      </c>
      <c r="C108" s="1" t="s">
        <v>386</v>
      </c>
      <c r="E108" s="4" t="s">
        <v>93</v>
      </c>
      <c r="G108" s="15">
        <v>38780.100539999999</v>
      </c>
      <c r="I108" s="15">
        <f>SUM(I45,I52,I59,I66,I73,I80,I88)</f>
        <v>32881.231670000001</v>
      </c>
      <c r="J108" s="15">
        <f>SUM(J45,J52,J59,J66,J73,J80,J88)</f>
        <v>26959.189160000002</v>
      </c>
      <c r="K108" s="15">
        <f>SUM(K45,K52,K59,K66,K73,K80,K88)</f>
        <v>12564.81684</v>
      </c>
      <c r="L108" s="15">
        <f>SUM(L45,L52,L59,L66,L73,L80,L88)</f>
        <v>13388.23675</v>
      </c>
      <c r="M108" s="15">
        <f>SUM(M45,M52,M59,M66,M73,M80,M88)</f>
        <v>5093.4766099999997</v>
      </c>
    </row>
    <row r="109" spans="1:13">
      <c r="G109" s="14"/>
      <c r="I109" s="14"/>
      <c r="J109" s="14"/>
      <c r="K109" s="14"/>
      <c r="L109" s="14"/>
      <c r="M109" s="14"/>
    </row>
    <row r="110" spans="1:13">
      <c r="A110" s="1">
        <f>A108+1</f>
        <v>78</v>
      </c>
      <c r="C110" s="1" t="s">
        <v>326</v>
      </c>
      <c r="G110" s="17">
        <f>G106-G108</f>
        <v>26039.214770999992</v>
      </c>
      <c r="I110" s="17">
        <f>I106-I108</f>
        <v>18709.815970999989</v>
      </c>
      <c r="J110" s="17">
        <f>J106-J108</f>
        <v>27441.256811000021</v>
      </c>
      <c r="K110" s="17">
        <f>K106-K108</f>
        <v>44988.252950999995</v>
      </c>
      <c r="L110" s="17">
        <f>L106-L108</f>
        <v>42120.558621000004</v>
      </c>
      <c r="M110" s="17">
        <f>M106-M108</f>
        <v>46912.406621000016</v>
      </c>
    </row>
    <row r="112" spans="1:13" ht="13" thickBot="1">
      <c r="A112" s="1">
        <f>A110+1</f>
        <v>79</v>
      </c>
      <c r="C112" s="1" t="s">
        <v>329</v>
      </c>
      <c r="E112" s="4" t="s">
        <v>76</v>
      </c>
      <c r="G112" s="33">
        <f>G36+G110</f>
        <v>559442.69043888873</v>
      </c>
      <c r="I112" s="33">
        <f>I36+I110</f>
        <v>520717.12447441672</v>
      </c>
      <c r="J112" s="33">
        <f>J36+J110</f>
        <v>536012.83935888903</v>
      </c>
      <c r="K112" s="33">
        <f>K36+K110</f>
        <v>622430.27449633344</v>
      </c>
      <c r="L112" s="33">
        <f>L36+L110</f>
        <v>753521.191933778</v>
      </c>
      <c r="M112" s="33">
        <f>M36+M110</f>
        <v>829057.95347122231</v>
      </c>
    </row>
    <row r="113" spans="3:24">
      <c r="G113" s="16"/>
      <c r="I113" s="16"/>
      <c r="J113" s="16"/>
      <c r="K113" s="16"/>
      <c r="L113" s="16"/>
      <c r="M113" s="16"/>
    </row>
    <row r="114" spans="3:24">
      <c r="G114" s="14"/>
      <c r="I114" s="14"/>
      <c r="J114" s="14"/>
      <c r="K114" s="14"/>
      <c r="L114" s="14"/>
      <c r="M114" s="14"/>
    </row>
    <row r="115" spans="3:24">
      <c r="G115" s="14"/>
      <c r="I115" s="14"/>
      <c r="J115" s="14"/>
      <c r="K115" s="14"/>
      <c r="L115" s="14"/>
      <c r="M115" s="14"/>
    </row>
    <row r="116" spans="3:24">
      <c r="C116" s="129"/>
      <c r="G116" s="14"/>
      <c r="I116" s="14"/>
      <c r="J116" s="14"/>
      <c r="K116" s="14"/>
      <c r="L116" s="14"/>
      <c r="M116" s="14"/>
    </row>
    <row r="117" spans="3:24">
      <c r="G117" s="14"/>
      <c r="I117" s="14"/>
      <c r="J117" s="14"/>
      <c r="K117" s="14"/>
      <c r="L117" s="14"/>
      <c r="M117" s="14"/>
    </row>
    <row r="118" spans="3:24">
      <c r="E118" s="111"/>
      <c r="G118" s="16"/>
      <c r="I118" s="16"/>
      <c r="J118" s="16"/>
      <c r="K118" s="16"/>
    </row>
    <row r="119" spans="3:24"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3:24"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3:24"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3:24"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3:24"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3:24"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3:24"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3:24"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3:24"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3:24"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5:24"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5:24"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5:24"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5:24"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5:24"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5:24"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5:24"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5:24"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5:24"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5:24"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5:24"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5:24"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5:24"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5:24"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5:24"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5:24"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5:24"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5:24"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5:24"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5:24"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5:24"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5:24"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5:24"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5:24"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5:24"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5:24"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5:24"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5:24"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5:24"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5:24"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5:24"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5:24"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5:24"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5:24"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5:24"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5:24"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5:24"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5:24"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5:24"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5:24"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5:24"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5:24"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5:24"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5:24"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5:24"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5:24"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5:24"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5:24"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5:24"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5:24"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5:24"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5:24"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5:24"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5:24"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5:24"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5:24"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5:24"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5:24"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5:24"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5:24"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5:24"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5:24"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5:24"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5:24"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5:24"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5:24"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5:24"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5:24"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5:24"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5:24"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5:24"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5:24"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5:24"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5:24">
      <c r="O202" s="1"/>
      <c r="P202" s="1"/>
      <c r="Q202" s="1"/>
      <c r="R202" s="1"/>
      <c r="S202" s="1"/>
      <c r="T202" s="1"/>
      <c r="U202" s="1"/>
      <c r="V202" s="1"/>
      <c r="W202" s="1"/>
      <c r="X202" s="1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67" fitToHeight="2" orientation="portrait" blackAndWhite="1" r:id="rId1"/>
  <headerFooter alignWithMargins="0"/>
  <rowBreaks count="1" manualBreakCount="1">
    <brk id="67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A1:V151"/>
  <sheetViews>
    <sheetView view="pageBreakPreview" zoomScale="145" zoomScaleNormal="100" zoomScaleSheetLayoutView="145" workbookViewId="0">
      <pane ySplit="6" topLeftCell="A7" activePane="bottomLeft" state="frozen"/>
      <selection activeCell="H18" sqref="H18"/>
      <selection pane="bottomLeft" activeCell="A7" sqref="A7"/>
    </sheetView>
  </sheetViews>
  <sheetFormatPr defaultColWidth="9.1796875" defaultRowHeight="12.5"/>
  <cols>
    <col min="1" max="1" width="5.7265625" style="113" customWidth="1"/>
    <col min="2" max="2" width="31.1796875" style="113" customWidth="1"/>
    <col min="3" max="4" width="14.54296875" style="114" customWidth="1"/>
    <col min="5" max="5" width="12.54296875" style="114" bestFit="1" customWidth="1"/>
    <col min="6" max="6" width="14.54296875" style="114" customWidth="1"/>
    <col min="7" max="7" width="15.26953125" style="115" customWidth="1"/>
    <col min="8" max="8" width="17" style="114" customWidth="1"/>
    <col min="23" max="16384" width="9.1796875" style="113"/>
  </cols>
  <sheetData>
    <row r="1" spans="1:8" s="133" customFormat="1" ht="15.75" customHeight="1">
      <c r="A1" s="137" t="s">
        <v>0</v>
      </c>
      <c r="B1" s="134"/>
      <c r="C1" s="134"/>
      <c r="D1" s="134"/>
      <c r="E1" s="138"/>
      <c r="F1" s="134"/>
      <c r="H1" s="195" t="s">
        <v>460</v>
      </c>
    </row>
    <row r="2" spans="1:8" s="133" customFormat="1" ht="15.75" customHeight="1">
      <c r="A2" s="139" t="s">
        <v>461</v>
      </c>
      <c r="B2" s="134"/>
      <c r="C2" s="134"/>
      <c r="D2" s="134"/>
      <c r="E2" s="138"/>
      <c r="F2" s="134"/>
      <c r="H2" s="194" t="str">
        <f>'Schedule 1'!$M$2</f>
        <v>2025-27 GRA</v>
      </c>
    </row>
    <row r="3" spans="1:8" s="133" customFormat="1" ht="15.75" customHeight="1">
      <c r="A3" s="153" t="s">
        <v>332</v>
      </c>
      <c r="B3" s="134"/>
      <c r="C3" s="134"/>
      <c r="D3" s="134"/>
      <c r="E3" s="138"/>
      <c r="F3" s="134"/>
      <c r="G3" s="134"/>
      <c r="H3" s="134"/>
    </row>
    <row r="4" spans="1:8" s="133" customFormat="1" ht="15.75" customHeight="1">
      <c r="A4" s="135"/>
      <c r="B4" s="135"/>
      <c r="C4" s="135"/>
      <c r="D4" s="135"/>
      <c r="E4" s="135"/>
      <c r="F4" s="135"/>
      <c r="G4" s="135"/>
      <c r="H4" s="135"/>
    </row>
    <row r="5" spans="1:8" s="133" customFormat="1" ht="13" thickBot="1">
      <c r="A5" s="140"/>
      <c r="B5" s="140"/>
      <c r="C5" s="136"/>
      <c r="D5" s="136"/>
      <c r="E5" s="136"/>
      <c r="F5" s="136"/>
      <c r="G5" s="141"/>
      <c r="H5" s="136"/>
    </row>
    <row r="6" spans="1:8" s="142" customFormat="1" ht="50.5" thickBot="1">
      <c r="A6" s="140"/>
      <c r="B6" s="189" t="s">
        <v>9</v>
      </c>
      <c r="C6" s="190" t="s">
        <v>335</v>
      </c>
      <c r="D6" s="190" t="s">
        <v>449</v>
      </c>
      <c r="E6" s="191" t="s">
        <v>450</v>
      </c>
      <c r="F6" s="190" t="s">
        <v>451</v>
      </c>
      <c r="G6" s="192" t="s">
        <v>424</v>
      </c>
      <c r="H6" s="190" t="s">
        <v>458</v>
      </c>
    </row>
    <row r="7" spans="1:8" s="142" customFormat="1">
      <c r="A7" s="140"/>
      <c r="B7" s="199" t="s">
        <v>452</v>
      </c>
      <c r="C7" s="200" t="s">
        <v>453</v>
      </c>
      <c r="D7" s="200" t="s">
        <v>454</v>
      </c>
      <c r="E7" s="201" t="s">
        <v>455</v>
      </c>
      <c r="F7" s="200" t="s">
        <v>456</v>
      </c>
      <c r="G7" s="202" t="s">
        <v>457</v>
      </c>
      <c r="H7" s="200" t="s">
        <v>459</v>
      </c>
    </row>
    <row r="8" spans="1:8">
      <c r="A8" s="112" t="s">
        <v>95</v>
      </c>
    </row>
    <row r="9" spans="1:8">
      <c r="A9" s="116"/>
      <c r="B9" s="117" t="s">
        <v>96</v>
      </c>
      <c r="C9" s="148">
        <v>444911.51999999996</v>
      </c>
      <c r="D9" s="148">
        <v>0</v>
      </c>
      <c r="E9" s="148"/>
      <c r="F9" s="148">
        <f t="shared" ref="F9:F14" si="0">C9+D9-E9</f>
        <v>444911.51999999996</v>
      </c>
      <c r="G9" s="143">
        <v>0</v>
      </c>
      <c r="H9" s="148">
        <f t="shared" ref="H9:H14" si="1">IFERROR(C9/G9+D9/G9/2,0)</f>
        <v>0</v>
      </c>
    </row>
    <row r="10" spans="1:8">
      <c r="A10" s="116"/>
      <c r="B10" s="117" t="s">
        <v>97</v>
      </c>
      <c r="C10" s="148">
        <v>27680.47</v>
      </c>
      <c r="D10" s="148">
        <v>0</v>
      </c>
      <c r="E10" s="148"/>
      <c r="F10" s="148">
        <f t="shared" si="0"/>
        <v>27680.47</v>
      </c>
      <c r="G10" s="143">
        <v>0</v>
      </c>
      <c r="H10" s="148">
        <f t="shared" si="1"/>
        <v>0</v>
      </c>
    </row>
    <row r="11" spans="1:8">
      <c r="A11" s="116"/>
      <c r="B11" s="117" t="s">
        <v>98</v>
      </c>
      <c r="C11" s="148">
        <v>576862.49</v>
      </c>
      <c r="D11" s="148">
        <v>0</v>
      </c>
      <c r="E11" s="148"/>
      <c r="F11" s="148">
        <f t="shared" si="0"/>
        <v>576862.49</v>
      </c>
      <c r="G11" s="143">
        <v>0</v>
      </c>
      <c r="H11" s="148">
        <f t="shared" si="1"/>
        <v>0</v>
      </c>
    </row>
    <row r="12" spans="1:8">
      <c r="A12" s="116"/>
      <c r="B12" s="117" t="s">
        <v>132</v>
      </c>
      <c r="C12" s="148">
        <v>17775.009999999998</v>
      </c>
      <c r="D12" s="148">
        <v>0</v>
      </c>
      <c r="E12" s="148"/>
      <c r="F12" s="148">
        <f t="shared" si="0"/>
        <v>17775.009999999998</v>
      </c>
      <c r="G12" s="143">
        <v>0</v>
      </c>
      <c r="H12" s="148">
        <f t="shared" si="1"/>
        <v>0</v>
      </c>
    </row>
    <row r="13" spans="1:8">
      <c r="A13" s="116"/>
      <c r="B13" s="117" t="s">
        <v>99</v>
      </c>
      <c r="C13" s="148">
        <v>547992.46000000008</v>
      </c>
      <c r="D13" s="148">
        <v>0</v>
      </c>
      <c r="E13" s="148"/>
      <c r="F13" s="148">
        <f t="shared" si="0"/>
        <v>547992.46000000008</v>
      </c>
      <c r="G13" s="143">
        <v>0</v>
      </c>
      <c r="H13" s="148">
        <f t="shared" si="1"/>
        <v>0</v>
      </c>
    </row>
    <row r="14" spans="1:8">
      <c r="A14" s="116"/>
      <c r="B14" s="117" t="s">
        <v>100</v>
      </c>
      <c r="C14" s="148">
        <v>78435.600000000006</v>
      </c>
      <c r="D14" s="148">
        <v>0</v>
      </c>
      <c r="E14" s="148">
        <f>H14</f>
        <v>1568.7120000000002</v>
      </c>
      <c r="F14" s="148">
        <f t="shared" si="0"/>
        <v>76866.888000000006</v>
      </c>
      <c r="G14" s="143">
        <v>50</v>
      </c>
      <c r="H14" s="148">
        <f t="shared" si="1"/>
        <v>1568.7120000000002</v>
      </c>
    </row>
    <row r="15" spans="1:8">
      <c r="A15" s="116"/>
      <c r="B15" s="117" t="s">
        <v>313</v>
      </c>
      <c r="C15" s="149"/>
      <c r="D15" s="149"/>
      <c r="E15" s="149"/>
      <c r="F15" s="149"/>
      <c r="G15" s="118"/>
      <c r="H15" s="149">
        <v>-12.96</v>
      </c>
    </row>
    <row r="16" spans="1:8" s="121" customFormat="1" ht="18.75" customHeight="1">
      <c r="A16" s="112" t="s">
        <v>101</v>
      </c>
      <c r="B16" s="112"/>
      <c r="C16" s="150">
        <f>SUBTOTAL(9,C9:C15)</f>
        <v>1693657.5500000003</v>
      </c>
      <c r="D16" s="150">
        <f>SUBTOTAL(9,D9:D15)</f>
        <v>0</v>
      </c>
      <c r="E16" s="150">
        <f>SUBTOTAL(9,E9:E15)</f>
        <v>1568.7120000000002</v>
      </c>
      <c r="F16" s="150">
        <f>SUBTOTAL(9,F9:F15)</f>
        <v>1692088.8380000002</v>
      </c>
      <c r="G16" s="120"/>
      <c r="H16" s="150">
        <f>SUBTOTAL(9,H9:H15)</f>
        <v>1555.7520000000002</v>
      </c>
    </row>
    <row r="17" spans="1:8">
      <c r="C17" s="151"/>
      <c r="D17" s="151"/>
      <c r="E17" s="151"/>
      <c r="F17" s="151"/>
      <c r="G17" s="122"/>
      <c r="H17" s="151"/>
    </row>
    <row r="18" spans="1:8">
      <c r="A18" s="112" t="s">
        <v>102</v>
      </c>
      <c r="C18" s="151"/>
      <c r="D18" s="151"/>
      <c r="E18" s="151"/>
      <c r="F18" s="151"/>
      <c r="G18" s="122"/>
      <c r="H18" s="151"/>
    </row>
    <row r="19" spans="1:8">
      <c r="A19" s="123"/>
      <c r="B19" s="117" t="s">
        <v>103</v>
      </c>
      <c r="C19" s="148">
        <v>54670251.469999999</v>
      </c>
      <c r="D19" s="148">
        <v>8119089.9900000002</v>
      </c>
      <c r="E19" s="148"/>
      <c r="F19" s="148">
        <f t="shared" ref="F19:F28" si="2">C19+D19-E19</f>
        <v>62789341.460000001</v>
      </c>
      <c r="G19" s="143">
        <v>72</v>
      </c>
      <c r="H19" s="148">
        <f t="shared" ref="H19:H28" si="3">IFERROR(C19/G19+D19/G19/2,0)</f>
        <v>815691.61756944435</v>
      </c>
    </row>
    <row r="20" spans="1:8">
      <c r="A20" s="123"/>
      <c r="B20" s="117" t="s">
        <v>110</v>
      </c>
      <c r="C20" s="148">
        <v>10278688.460000001</v>
      </c>
      <c r="D20" s="148">
        <v>0</v>
      </c>
      <c r="E20" s="148"/>
      <c r="F20" s="148">
        <f t="shared" si="2"/>
        <v>10278688.460000001</v>
      </c>
      <c r="G20" s="143">
        <v>40</v>
      </c>
      <c r="H20" s="148">
        <f t="shared" si="3"/>
        <v>256967.21150000003</v>
      </c>
    </row>
    <row r="21" spans="1:8">
      <c r="A21" s="123"/>
      <c r="B21" s="117" t="s">
        <v>104</v>
      </c>
      <c r="C21" s="148">
        <v>167340009.76000002</v>
      </c>
      <c r="D21" s="148">
        <v>300000</v>
      </c>
      <c r="E21" s="148">
        <v>201205.09</v>
      </c>
      <c r="F21" s="148">
        <f t="shared" si="2"/>
        <v>167438804.67000002</v>
      </c>
      <c r="G21" s="143">
        <v>103</v>
      </c>
      <c r="H21" s="148">
        <f t="shared" si="3"/>
        <v>1626116.5996116507</v>
      </c>
    </row>
    <row r="22" spans="1:8">
      <c r="A22" s="123"/>
      <c r="B22" s="117" t="s">
        <v>353</v>
      </c>
      <c r="C22" s="148">
        <v>6711437.5</v>
      </c>
      <c r="D22" s="148">
        <v>0</v>
      </c>
      <c r="E22" s="148"/>
      <c r="F22" s="148">
        <f t="shared" si="2"/>
        <v>6711437.5</v>
      </c>
      <c r="G22" s="143">
        <v>103</v>
      </c>
      <c r="H22" s="148">
        <f t="shared" si="3"/>
        <v>65159.587378640776</v>
      </c>
    </row>
    <row r="23" spans="1:8">
      <c r="A23" s="123"/>
      <c r="B23" s="117" t="s">
        <v>293</v>
      </c>
      <c r="C23" s="148">
        <v>13677670.189999999</v>
      </c>
      <c r="D23" s="148">
        <v>0</v>
      </c>
      <c r="E23" s="148"/>
      <c r="F23" s="148">
        <f t="shared" si="2"/>
        <v>13677670.189999999</v>
      </c>
      <c r="G23" s="143">
        <v>10</v>
      </c>
      <c r="H23" s="148">
        <f t="shared" si="3"/>
        <v>1367767.0189999999</v>
      </c>
    </row>
    <row r="24" spans="1:8">
      <c r="A24" s="123"/>
      <c r="B24" s="117" t="s">
        <v>105</v>
      </c>
      <c r="C24" s="148">
        <v>28222837.399999995</v>
      </c>
      <c r="D24" s="148">
        <v>0</v>
      </c>
      <c r="E24" s="148"/>
      <c r="F24" s="148">
        <f t="shared" si="2"/>
        <v>28222837.399999995</v>
      </c>
      <c r="G24" s="143">
        <v>85</v>
      </c>
      <c r="H24" s="148">
        <f t="shared" si="3"/>
        <v>332033.38117647055</v>
      </c>
    </row>
    <row r="25" spans="1:8">
      <c r="A25" s="123"/>
      <c r="B25" s="117" t="s">
        <v>106</v>
      </c>
      <c r="C25" s="148">
        <v>27401092.300000001</v>
      </c>
      <c r="D25" s="148">
        <v>0</v>
      </c>
      <c r="E25" s="148"/>
      <c r="F25" s="148">
        <f t="shared" si="2"/>
        <v>27401092.300000001</v>
      </c>
      <c r="G25" s="143">
        <v>40</v>
      </c>
      <c r="H25" s="148">
        <f t="shared" si="3"/>
        <v>685027.3075</v>
      </c>
    </row>
    <row r="26" spans="1:8">
      <c r="A26" s="123"/>
      <c r="B26" s="117" t="s">
        <v>311</v>
      </c>
      <c r="C26" s="148">
        <v>858680.05</v>
      </c>
      <c r="D26" s="148">
        <v>0</v>
      </c>
      <c r="E26" s="148"/>
      <c r="F26" s="148">
        <f t="shared" si="2"/>
        <v>858680.05</v>
      </c>
      <c r="G26" s="143">
        <v>20</v>
      </c>
      <c r="H26" s="148">
        <f t="shared" si="3"/>
        <v>42934.002500000002</v>
      </c>
    </row>
    <row r="27" spans="1:8">
      <c r="A27" s="123"/>
      <c r="B27" s="117" t="s">
        <v>107</v>
      </c>
      <c r="C27" s="148">
        <v>13324218.880000003</v>
      </c>
      <c r="D27" s="148">
        <v>337766.82</v>
      </c>
      <c r="E27" s="148"/>
      <c r="F27" s="148">
        <f t="shared" si="2"/>
        <v>13661985.700000003</v>
      </c>
      <c r="G27" s="143">
        <v>30</v>
      </c>
      <c r="H27" s="148">
        <f t="shared" si="3"/>
        <v>449770.07633333339</v>
      </c>
    </row>
    <row r="28" spans="1:8">
      <c r="A28" s="123"/>
      <c r="B28" s="117" t="s">
        <v>108</v>
      </c>
      <c r="C28" s="148">
        <v>107086</v>
      </c>
      <c r="D28" s="148">
        <v>0</v>
      </c>
      <c r="E28" s="148"/>
      <c r="F28" s="148">
        <f t="shared" si="2"/>
        <v>107086</v>
      </c>
      <c r="G28" s="143">
        <v>30</v>
      </c>
      <c r="H28" s="148">
        <f t="shared" si="3"/>
        <v>3569.5333333333333</v>
      </c>
    </row>
    <row r="29" spans="1:8">
      <c r="A29" s="123"/>
      <c r="B29" s="117" t="s">
        <v>313</v>
      </c>
      <c r="C29" s="149"/>
      <c r="D29" s="149"/>
      <c r="E29" s="149"/>
      <c r="F29" s="149"/>
      <c r="G29" s="144"/>
      <c r="H29" s="149">
        <v>-140295.96</v>
      </c>
    </row>
    <row r="30" spans="1:8" s="121" customFormat="1">
      <c r="A30" s="112" t="s">
        <v>109</v>
      </c>
      <c r="B30" s="112"/>
      <c r="C30" s="150">
        <f>SUBTOTAL(9,C19:C29)</f>
        <v>322591972.01000005</v>
      </c>
      <c r="D30" s="150">
        <f>SUBTOTAL(9,D19:D29)</f>
        <v>8756856.8100000005</v>
      </c>
      <c r="E30" s="150">
        <f>SUBTOTAL(9,E19:E29)</f>
        <v>201205.09</v>
      </c>
      <c r="F30" s="150">
        <f>SUBTOTAL(9,F19:F29)</f>
        <v>331147623.73000002</v>
      </c>
      <c r="G30" s="119"/>
      <c r="H30" s="150">
        <f>SUBTOTAL(9,H19:H29)</f>
        <v>5504740.3759028735</v>
      </c>
    </row>
    <row r="31" spans="1:8">
      <c r="C31" s="151"/>
      <c r="D31" s="151"/>
      <c r="E31" s="151"/>
      <c r="F31" s="151"/>
      <c r="G31" s="122"/>
      <c r="H31" s="151"/>
    </row>
    <row r="32" spans="1:8">
      <c r="A32" s="112" t="s">
        <v>97</v>
      </c>
      <c r="C32" s="151"/>
      <c r="D32" s="151"/>
      <c r="E32" s="151"/>
      <c r="F32" s="151"/>
      <c r="G32" s="122"/>
      <c r="H32" s="151"/>
    </row>
    <row r="33" spans="1:8">
      <c r="A33" s="123"/>
      <c r="B33" s="117" t="s">
        <v>103</v>
      </c>
      <c r="C33" s="148">
        <v>6848082.21</v>
      </c>
      <c r="D33" s="148">
        <v>0</v>
      </c>
      <c r="E33" s="148"/>
      <c r="F33" s="148">
        <f t="shared" ref="F33:F40" si="4">C33+D33-E33</f>
        <v>6848082.21</v>
      </c>
      <c r="G33" s="143">
        <v>72</v>
      </c>
      <c r="H33" s="148">
        <f t="shared" ref="H33:H40" si="5">IFERROR(C33/G33+D33/G33/2,0)</f>
        <v>95112.252916666665</v>
      </c>
    </row>
    <row r="34" spans="1:8">
      <c r="A34" s="123"/>
      <c r="B34" s="117" t="s">
        <v>110</v>
      </c>
      <c r="C34" s="148">
        <v>474668.13</v>
      </c>
      <c r="D34" s="148">
        <v>0</v>
      </c>
      <c r="E34" s="148"/>
      <c r="F34" s="148">
        <f t="shared" si="4"/>
        <v>474668.13</v>
      </c>
      <c r="G34" s="143">
        <v>55</v>
      </c>
      <c r="H34" s="148">
        <f t="shared" si="5"/>
        <v>8630.3296363636364</v>
      </c>
    </row>
    <row r="35" spans="1:8">
      <c r="A35" s="123"/>
      <c r="B35" s="117" t="s">
        <v>111</v>
      </c>
      <c r="C35" s="148">
        <v>2735507.95</v>
      </c>
      <c r="D35" s="148">
        <v>0</v>
      </c>
      <c r="E35" s="148"/>
      <c r="F35" s="148">
        <f t="shared" si="4"/>
        <v>2735507.95</v>
      </c>
      <c r="G35" s="143">
        <v>40</v>
      </c>
      <c r="H35" s="148">
        <f t="shared" si="5"/>
        <v>68387.69875000001</v>
      </c>
    </row>
    <row r="36" spans="1:8">
      <c r="A36" s="123"/>
      <c r="B36" s="117" t="s">
        <v>112</v>
      </c>
      <c r="C36" s="148">
        <v>14262845.489999998</v>
      </c>
      <c r="D36" s="148">
        <v>62469706.530000001</v>
      </c>
      <c r="E36" s="148">
        <v>887417.86</v>
      </c>
      <c r="F36" s="148">
        <f t="shared" si="4"/>
        <v>75845134.159999996</v>
      </c>
      <c r="G36" s="143">
        <v>40</v>
      </c>
      <c r="H36" s="148">
        <f t="shared" si="5"/>
        <v>1137442.468875</v>
      </c>
    </row>
    <row r="37" spans="1:8">
      <c r="A37" s="123"/>
      <c r="B37" s="117" t="s">
        <v>293</v>
      </c>
      <c r="C37" s="148">
        <v>2962780.46</v>
      </c>
      <c r="D37" s="148">
        <v>975000</v>
      </c>
      <c r="E37" s="148"/>
      <c r="F37" s="148">
        <f t="shared" si="4"/>
        <v>3937780.46</v>
      </c>
      <c r="G37" s="143">
        <v>5</v>
      </c>
      <c r="H37" s="148">
        <f t="shared" si="5"/>
        <v>690056.09199999995</v>
      </c>
    </row>
    <row r="38" spans="1:8">
      <c r="A38" s="123"/>
      <c r="B38" s="117" t="s">
        <v>312</v>
      </c>
      <c r="C38" s="148">
        <v>243547.65000000002</v>
      </c>
      <c r="D38" s="148">
        <v>0</v>
      </c>
      <c r="E38" s="148"/>
      <c r="F38" s="148">
        <f t="shared" si="4"/>
        <v>243547.65000000002</v>
      </c>
      <c r="G38" s="143">
        <v>12</v>
      </c>
      <c r="H38" s="148">
        <f t="shared" si="5"/>
        <v>20295.637500000001</v>
      </c>
    </row>
    <row r="39" spans="1:8">
      <c r="A39" s="123"/>
      <c r="B39" s="117" t="s">
        <v>106</v>
      </c>
      <c r="C39" s="148">
        <v>9040987.5399999991</v>
      </c>
      <c r="D39" s="148">
        <v>0</v>
      </c>
      <c r="E39" s="148"/>
      <c r="F39" s="148">
        <f t="shared" si="4"/>
        <v>9040987.5399999991</v>
      </c>
      <c r="G39" s="143">
        <v>45</v>
      </c>
      <c r="H39" s="148">
        <f t="shared" si="5"/>
        <v>200910.83422222221</v>
      </c>
    </row>
    <row r="40" spans="1:8">
      <c r="A40" s="123"/>
      <c r="B40" s="117" t="s">
        <v>107</v>
      </c>
      <c r="C40" s="148">
        <v>1874382.7200000002</v>
      </c>
      <c r="D40" s="148">
        <v>75000</v>
      </c>
      <c r="E40" s="148"/>
      <c r="F40" s="148">
        <f t="shared" si="4"/>
        <v>1949382.7200000002</v>
      </c>
      <c r="G40" s="143">
        <v>30</v>
      </c>
      <c r="H40" s="148">
        <f t="shared" si="5"/>
        <v>63729.424000000006</v>
      </c>
    </row>
    <row r="41" spans="1:8">
      <c r="A41" s="123"/>
      <c r="B41" s="117" t="s">
        <v>313</v>
      </c>
      <c r="C41" s="149"/>
      <c r="D41" s="149"/>
      <c r="E41" s="149"/>
      <c r="F41" s="149"/>
      <c r="G41" s="118"/>
      <c r="H41" s="149">
        <v>-66276.72</v>
      </c>
    </row>
    <row r="42" spans="1:8" s="121" customFormat="1" ht="18.75" customHeight="1">
      <c r="A42" s="112" t="s">
        <v>113</v>
      </c>
      <c r="B42" s="112"/>
      <c r="C42" s="150">
        <f>SUBTOTAL(9,C33:C41)</f>
        <v>38442802.149999991</v>
      </c>
      <c r="D42" s="150">
        <f>SUBTOTAL(9,D33:D41)</f>
        <v>63519706.530000001</v>
      </c>
      <c r="E42" s="150">
        <f>SUBTOTAL(9,E33:E41)</f>
        <v>887417.86</v>
      </c>
      <c r="F42" s="150">
        <f>SUBTOTAL(9,F33:F41)</f>
        <v>101075090.81999999</v>
      </c>
      <c r="G42" s="120"/>
      <c r="H42" s="150">
        <f>SUBTOTAL(9,H33:H41)</f>
        <v>2218288.0179002522</v>
      </c>
    </row>
    <row r="43" spans="1:8">
      <c r="C43" s="151"/>
      <c r="D43" s="151"/>
      <c r="E43" s="151"/>
      <c r="F43" s="151"/>
      <c r="G43" s="122"/>
      <c r="H43" s="151"/>
    </row>
    <row r="44" spans="1:8">
      <c r="A44" s="112" t="s">
        <v>114</v>
      </c>
      <c r="C44" s="151"/>
      <c r="D44" s="151"/>
      <c r="E44" s="151"/>
      <c r="F44" s="151"/>
      <c r="G44" s="122"/>
      <c r="H44" s="151"/>
    </row>
    <row r="45" spans="1:8">
      <c r="A45" s="123"/>
      <c r="B45" s="117" t="s">
        <v>114</v>
      </c>
      <c r="C45" s="149">
        <v>0</v>
      </c>
      <c r="D45" s="149">
        <v>0</v>
      </c>
      <c r="E45" s="149"/>
      <c r="F45" s="149">
        <f>C45+D45-E45</f>
        <v>0</v>
      </c>
      <c r="G45" s="144">
        <v>0</v>
      </c>
      <c r="H45" s="149">
        <v>0</v>
      </c>
    </row>
    <row r="46" spans="1:8" s="121" customFormat="1" ht="18.75" customHeight="1">
      <c r="A46" s="112" t="s">
        <v>115</v>
      </c>
      <c r="B46" s="112"/>
      <c r="C46" s="150">
        <f>C45</f>
        <v>0</v>
      </c>
      <c r="D46" s="150">
        <f>D45</f>
        <v>0</v>
      </c>
      <c r="E46" s="150">
        <f>E45</f>
        <v>0</v>
      </c>
      <c r="F46" s="150">
        <f>F45</f>
        <v>0</v>
      </c>
      <c r="G46" s="120"/>
      <c r="H46" s="150">
        <f>SUBTOTAL(9,H45)</f>
        <v>0</v>
      </c>
    </row>
    <row r="47" spans="1:8">
      <c r="C47" s="151"/>
      <c r="D47" s="151"/>
      <c r="E47" s="151"/>
      <c r="F47" s="151"/>
      <c r="G47" s="122"/>
      <c r="H47" s="151"/>
    </row>
    <row r="48" spans="1:8">
      <c r="A48" s="112" t="s">
        <v>98</v>
      </c>
      <c r="C48" s="151"/>
      <c r="D48" s="151"/>
      <c r="E48" s="151"/>
      <c r="F48" s="151"/>
      <c r="G48" s="122"/>
      <c r="H48" s="151"/>
    </row>
    <row r="49" spans="1:8">
      <c r="A49" s="123"/>
      <c r="B49" s="117" t="s">
        <v>116</v>
      </c>
      <c r="C49" s="148">
        <v>83695107.349999964</v>
      </c>
      <c r="D49" s="148">
        <v>712992.66</v>
      </c>
      <c r="E49" s="148"/>
      <c r="F49" s="148">
        <f t="shared" ref="F49:F59" si="6">C49+D49-E49</f>
        <v>84408100.009999961</v>
      </c>
      <c r="G49" s="143">
        <v>65</v>
      </c>
      <c r="H49" s="148">
        <f t="shared" ref="H49:H59" si="7">IFERROR(C49/G49+D49/G49/2,0)</f>
        <v>1293101.5950769223</v>
      </c>
    </row>
    <row r="50" spans="1:8">
      <c r="A50" s="123"/>
      <c r="B50" s="117" t="s">
        <v>117</v>
      </c>
      <c r="C50" s="148">
        <v>16756318.379999999</v>
      </c>
      <c r="D50" s="148">
        <v>0</v>
      </c>
      <c r="E50" s="148"/>
      <c r="F50" s="148">
        <f t="shared" si="6"/>
        <v>16756318.379999999</v>
      </c>
      <c r="G50" s="143">
        <v>60</v>
      </c>
      <c r="H50" s="148">
        <f t="shared" si="7"/>
        <v>279271.973</v>
      </c>
    </row>
    <row r="51" spans="1:8">
      <c r="A51" s="123"/>
      <c r="B51" s="117" t="s">
        <v>118</v>
      </c>
      <c r="C51" s="148">
        <v>4297239.04</v>
      </c>
      <c r="D51" s="148">
        <v>0</v>
      </c>
      <c r="E51" s="148"/>
      <c r="F51" s="148">
        <f t="shared" si="6"/>
        <v>4297239.04</v>
      </c>
      <c r="G51" s="143">
        <v>60</v>
      </c>
      <c r="H51" s="148">
        <f t="shared" si="7"/>
        <v>71620.650666666668</v>
      </c>
    </row>
    <row r="52" spans="1:8">
      <c r="A52" s="123"/>
      <c r="B52" s="117" t="s">
        <v>119</v>
      </c>
      <c r="C52" s="148">
        <v>21925657.629999995</v>
      </c>
      <c r="D52" s="148">
        <v>120000</v>
      </c>
      <c r="E52" s="148"/>
      <c r="F52" s="148">
        <f t="shared" si="6"/>
        <v>22045657.629999995</v>
      </c>
      <c r="G52" s="143">
        <v>60</v>
      </c>
      <c r="H52" s="148">
        <f t="shared" si="7"/>
        <v>366427.62716666661</v>
      </c>
    </row>
    <row r="53" spans="1:8">
      <c r="A53" s="123"/>
      <c r="B53" s="117" t="s">
        <v>120</v>
      </c>
      <c r="C53" s="148">
        <v>277975</v>
      </c>
      <c r="D53" s="148">
        <v>0</v>
      </c>
      <c r="E53" s="148"/>
      <c r="F53" s="148">
        <f t="shared" si="6"/>
        <v>277975</v>
      </c>
      <c r="G53" s="143">
        <v>60</v>
      </c>
      <c r="H53" s="148">
        <f t="shared" si="7"/>
        <v>4632.916666666667</v>
      </c>
    </row>
    <row r="54" spans="1:8">
      <c r="A54" s="123"/>
      <c r="B54" s="117" t="s">
        <v>121</v>
      </c>
      <c r="C54" s="148">
        <v>75796055.899999976</v>
      </c>
      <c r="D54" s="148">
        <v>850791.22</v>
      </c>
      <c r="E54" s="148"/>
      <c r="F54" s="148">
        <f t="shared" si="6"/>
        <v>76646847.119999975</v>
      </c>
      <c r="G54" s="143">
        <v>54</v>
      </c>
      <c r="H54" s="148">
        <f t="shared" si="7"/>
        <v>1411508.3612962959</v>
      </c>
    </row>
    <row r="55" spans="1:8">
      <c r="A55" s="123"/>
      <c r="B55" s="117" t="s">
        <v>330</v>
      </c>
      <c r="C55" s="148">
        <v>10688553.15</v>
      </c>
      <c r="D55" s="148">
        <v>0</v>
      </c>
      <c r="E55" s="148"/>
      <c r="F55" s="148">
        <f t="shared" si="6"/>
        <v>10688553.15</v>
      </c>
      <c r="G55" s="143">
        <v>10</v>
      </c>
      <c r="H55" s="148">
        <f t="shared" si="7"/>
        <v>1068855.3149999999</v>
      </c>
    </row>
    <row r="56" spans="1:8">
      <c r="A56" s="123"/>
      <c r="B56" s="117" t="s">
        <v>333</v>
      </c>
      <c r="C56" s="148">
        <v>13991451.050000001</v>
      </c>
      <c r="D56" s="148">
        <v>0</v>
      </c>
      <c r="E56" s="148"/>
      <c r="F56" s="148">
        <f t="shared" si="6"/>
        <v>13991451.050000001</v>
      </c>
      <c r="G56" s="143">
        <v>10</v>
      </c>
      <c r="H56" s="148">
        <f t="shared" si="7"/>
        <v>1399145.105</v>
      </c>
    </row>
    <row r="57" spans="1:8">
      <c r="A57" s="123"/>
      <c r="B57" s="117" t="s">
        <v>334</v>
      </c>
      <c r="C57" s="148">
        <v>848040.31</v>
      </c>
      <c r="D57" s="148">
        <v>0</v>
      </c>
      <c r="E57" s="148"/>
      <c r="F57" s="148">
        <f t="shared" si="6"/>
        <v>848040.31</v>
      </c>
      <c r="G57" s="143">
        <v>10</v>
      </c>
      <c r="H57" s="148">
        <f t="shared" si="7"/>
        <v>84804.031000000003</v>
      </c>
    </row>
    <row r="58" spans="1:8">
      <c r="A58" s="123"/>
      <c r="B58" s="117" t="s">
        <v>122</v>
      </c>
      <c r="C58" s="148">
        <v>8907593.5500000007</v>
      </c>
      <c r="D58" s="148">
        <v>0</v>
      </c>
      <c r="E58" s="148"/>
      <c r="F58" s="148">
        <f t="shared" si="6"/>
        <v>8907593.5500000007</v>
      </c>
      <c r="G58" s="143">
        <v>55</v>
      </c>
      <c r="H58" s="148">
        <f t="shared" si="7"/>
        <v>161956.24636363637</v>
      </c>
    </row>
    <row r="59" spans="1:8">
      <c r="A59" s="123"/>
      <c r="B59" s="117" t="s">
        <v>123</v>
      </c>
      <c r="C59" s="148">
        <v>274477.45</v>
      </c>
      <c r="D59" s="148">
        <v>0</v>
      </c>
      <c r="E59" s="148"/>
      <c r="F59" s="148">
        <f t="shared" si="6"/>
        <v>274477.45</v>
      </c>
      <c r="G59" s="143">
        <v>30</v>
      </c>
      <c r="H59" s="148">
        <f t="shared" si="7"/>
        <v>9149.248333333333</v>
      </c>
    </row>
    <row r="60" spans="1:8">
      <c r="A60" s="123"/>
      <c r="B60" s="117" t="s">
        <v>313</v>
      </c>
      <c r="C60" s="149"/>
      <c r="D60" s="149"/>
      <c r="E60" s="149"/>
      <c r="F60" s="149"/>
      <c r="G60" s="144"/>
      <c r="H60" s="149">
        <v>-79596.960000000006</v>
      </c>
    </row>
    <row r="61" spans="1:8" s="121" customFormat="1" ht="18" customHeight="1">
      <c r="A61" s="112" t="s">
        <v>124</v>
      </c>
      <c r="B61" s="112"/>
      <c r="C61" s="150">
        <f>SUBTOTAL(9,C49:C60)</f>
        <v>237458468.80999997</v>
      </c>
      <c r="D61" s="150">
        <f>SUBTOTAL(9,D49:D60)</f>
        <v>1683783.88</v>
      </c>
      <c r="E61" s="150">
        <f>SUBTOTAL(9,E49:E60)</f>
        <v>0</v>
      </c>
      <c r="F61" s="150">
        <f>SUBTOTAL(9,F49:F60)</f>
        <v>239142252.68999997</v>
      </c>
      <c r="G61" s="120"/>
      <c r="H61" s="150">
        <f>SUBTOTAL(9,H49:H60)</f>
        <v>6070876.1095701884</v>
      </c>
    </row>
    <row r="62" spans="1:8">
      <c r="C62" s="151"/>
      <c r="D62" s="151"/>
      <c r="E62" s="151"/>
      <c r="F62" s="151"/>
      <c r="G62" s="122"/>
      <c r="H62" s="151"/>
    </row>
    <row r="63" spans="1:8">
      <c r="A63" s="112" t="s">
        <v>125</v>
      </c>
      <c r="C63" s="151"/>
      <c r="D63" s="151"/>
      <c r="E63" s="151"/>
      <c r="F63" s="151"/>
      <c r="G63" s="122"/>
      <c r="H63" s="151"/>
    </row>
    <row r="64" spans="1:8">
      <c r="A64" s="123"/>
      <c r="B64" s="117" t="s">
        <v>116</v>
      </c>
      <c r="C64" s="148">
        <v>4640086.0399999991</v>
      </c>
      <c r="D64" s="148">
        <v>0</v>
      </c>
      <c r="E64" s="148"/>
      <c r="F64" s="148">
        <f t="shared" ref="F64:F74" si="8">C64+D64-E64</f>
        <v>4640086.0399999991</v>
      </c>
      <c r="G64" s="143">
        <v>65</v>
      </c>
      <c r="H64" s="148">
        <f t="shared" ref="H64:H74" si="9">IFERROR(C64/G64+D64/G64/2,0)</f>
        <v>71385.939076923067</v>
      </c>
    </row>
    <row r="65" spans="1:8">
      <c r="A65" s="123"/>
      <c r="B65" s="117" t="s">
        <v>126</v>
      </c>
      <c r="C65" s="148">
        <v>2646131.54</v>
      </c>
      <c r="D65" s="148">
        <v>0</v>
      </c>
      <c r="E65" s="148"/>
      <c r="F65" s="148">
        <f t="shared" si="8"/>
        <v>2646131.54</v>
      </c>
      <c r="G65" s="143">
        <v>12</v>
      </c>
      <c r="H65" s="148">
        <f t="shared" si="9"/>
        <v>220510.96166666667</v>
      </c>
    </row>
    <row r="66" spans="1:8">
      <c r="A66" s="123"/>
      <c r="B66" s="117" t="s">
        <v>127</v>
      </c>
      <c r="C66" s="148">
        <v>41597.199999999997</v>
      </c>
      <c r="D66" s="148">
        <v>0</v>
      </c>
      <c r="E66" s="148"/>
      <c r="F66" s="148">
        <f t="shared" si="8"/>
        <v>41597.199999999997</v>
      </c>
      <c r="G66" s="143">
        <v>60</v>
      </c>
      <c r="H66" s="148">
        <f t="shared" si="9"/>
        <v>693.28666666666663</v>
      </c>
    </row>
    <row r="67" spans="1:8">
      <c r="A67" s="123"/>
      <c r="B67" s="117" t="s">
        <v>294</v>
      </c>
      <c r="C67" s="148">
        <v>432532.51</v>
      </c>
      <c r="D67" s="148">
        <v>0</v>
      </c>
      <c r="E67" s="148"/>
      <c r="F67" s="148">
        <f t="shared" si="8"/>
        <v>432532.51</v>
      </c>
      <c r="G67" s="143">
        <v>12</v>
      </c>
      <c r="H67" s="148">
        <f t="shared" si="9"/>
        <v>36044.375833333332</v>
      </c>
    </row>
    <row r="68" spans="1:8">
      <c r="A68" s="123"/>
      <c r="B68" s="117" t="s">
        <v>128</v>
      </c>
      <c r="C68" s="148">
        <v>0</v>
      </c>
      <c r="D68" s="148">
        <v>0</v>
      </c>
      <c r="E68" s="148"/>
      <c r="F68" s="148">
        <f t="shared" si="8"/>
        <v>0</v>
      </c>
      <c r="G68" s="143">
        <v>60</v>
      </c>
      <c r="H68" s="148">
        <f t="shared" si="9"/>
        <v>0</v>
      </c>
    </row>
    <row r="69" spans="1:8">
      <c r="A69" s="123"/>
      <c r="B69" s="117" t="s">
        <v>295</v>
      </c>
      <c r="C69" s="148">
        <v>95136.43</v>
      </c>
      <c r="D69" s="148">
        <v>0</v>
      </c>
      <c r="E69" s="148"/>
      <c r="F69" s="148">
        <f t="shared" si="8"/>
        <v>95136.43</v>
      </c>
      <c r="G69" s="143">
        <v>12</v>
      </c>
      <c r="H69" s="148">
        <f t="shared" si="9"/>
        <v>7928.0358333333324</v>
      </c>
    </row>
    <row r="70" spans="1:8">
      <c r="A70" s="123"/>
      <c r="B70" s="117" t="s">
        <v>129</v>
      </c>
      <c r="C70" s="148">
        <v>1837887.92</v>
      </c>
      <c r="D70" s="148">
        <v>0</v>
      </c>
      <c r="E70" s="148"/>
      <c r="F70" s="148">
        <f t="shared" si="8"/>
        <v>1837887.92</v>
      </c>
      <c r="G70" s="143">
        <v>60</v>
      </c>
      <c r="H70" s="148">
        <f t="shared" si="9"/>
        <v>30631.465333333334</v>
      </c>
    </row>
    <row r="71" spans="1:8">
      <c r="A71" s="123"/>
      <c r="B71" s="117" t="s">
        <v>130</v>
      </c>
      <c r="C71" s="148">
        <v>78813.429999999993</v>
      </c>
      <c r="D71" s="148">
        <v>0</v>
      </c>
      <c r="E71" s="148"/>
      <c r="F71" s="148">
        <f t="shared" si="8"/>
        <v>78813.429999999993</v>
      </c>
      <c r="G71" s="143">
        <v>45</v>
      </c>
      <c r="H71" s="148">
        <f t="shared" si="9"/>
        <v>1751.4095555555555</v>
      </c>
    </row>
    <row r="72" spans="1:8">
      <c r="A72" s="123"/>
      <c r="B72" s="117" t="s">
        <v>296</v>
      </c>
      <c r="C72" s="148">
        <v>920692.5</v>
      </c>
      <c r="D72" s="148">
        <v>0</v>
      </c>
      <c r="E72" s="148"/>
      <c r="F72" s="148">
        <f t="shared" si="8"/>
        <v>920692.5</v>
      </c>
      <c r="G72" s="143">
        <v>12</v>
      </c>
      <c r="H72" s="148">
        <f t="shared" si="9"/>
        <v>76724.375</v>
      </c>
    </row>
    <row r="73" spans="1:8">
      <c r="A73" s="123"/>
      <c r="B73" s="117" t="s">
        <v>297</v>
      </c>
      <c r="C73" s="148">
        <v>8158949.7799999993</v>
      </c>
      <c r="D73" s="148">
        <v>221760.57</v>
      </c>
      <c r="E73" s="148"/>
      <c r="F73" s="148">
        <f t="shared" si="8"/>
        <v>8380710.3499999996</v>
      </c>
      <c r="G73" s="143">
        <v>54</v>
      </c>
      <c r="H73" s="148">
        <f t="shared" si="9"/>
        <v>153145.00120370369</v>
      </c>
    </row>
    <row r="74" spans="1:8">
      <c r="A74" s="123"/>
      <c r="B74" s="117" t="s">
        <v>298</v>
      </c>
      <c r="C74" s="148">
        <v>7111245.04</v>
      </c>
      <c r="D74" s="148">
        <v>0</v>
      </c>
      <c r="E74" s="148"/>
      <c r="F74" s="148">
        <f t="shared" si="8"/>
        <v>7111245.04</v>
      </c>
      <c r="G74" s="143">
        <v>12</v>
      </c>
      <c r="H74" s="148">
        <f t="shared" si="9"/>
        <v>592603.7533333333</v>
      </c>
    </row>
    <row r="75" spans="1:8">
      <c r="A75" s="123"/>
      <c r="B75" s="117" t="s">
        <v>313</v>
      </c>
      <c r="C75" s="149"/>
      <c r="D75" s="149"/>
      <c r="E75" s="149"/>
      <c r="F75" s="149"/>
      <c r="G75" s="144"/>
      <c r="H75" s="149">
        <v>-36367.199999999997</v>
      </c>
    </row>
    <row r="76" spans="1:8" s="121" customFormat="1">
      <c r="A76" s="112" t="s">
        <v>131</v>
      </c>
      <c r="B76" s="112"/>
      <c r="C76" s="150">
        <f>SUBTOTAL(9,C64:C75)</f>
        <v>25963072.389999997</v>
      </c>
      <c r="D76" s="150">
        <f>SUBTOTAL(9,D64:D75)</f>
        <v>221760.57</v>
      </c>
      <c r="E76" s="150">
        <f>SUBTOTAL(9,E64:E75)</f>
        <v>0</v>
      </c>
      <c r="F76" s="150">
        <f>SUBTOTAL(9,F64:F75)</f>
        <v>26184832.959999997</v>
      </c>
      <c r="G76" s="120"/>
      <c r="H76" s="150">
        <f>SUBTOTAL(9,H64:H75)</f>
        <v>1155051.4035028492</v>
      </c>
    </row>
    <row r="77" spans="1:8">
      <c r="C77" s="151"/>
      <c r="D77" s="151"/>
      <c r="E77" s="151"/>
      <c r="F77" s="151"/>
      <c r="G77" s="122"/>
      <c r="H77" s="151"/>
    </row>
    <row r="78" spans="1:8">
      <c r="A78" s="112" t="s">
        <v>132</v>
      </c>
      <c r="C78" s="151"/>
      <c r="D78" s="151"/>
      <c r="E78" s="151"/>
      <c r="F78" s="151"/>
      <c r="G78" s="122"/>
      <c r="H78" s="151"/>
    </row>
    <row r="79" spans="1:8">
      <c r="A79" s="123"/>
      <c r="B79" s="117" t="s">
        <v>116</v>
      </c>
      <c r="C79" s="148">
        <v>19847678.359999999</v>
      </c>
      <c r="D79" s="148">
        <v>2182742.56</v>
      </c>
      <c r="E79" s="148"/>
      <c r="F79" s="148">
        <f t="shared" ref="F79:F94" si="10">C79+D79-E79</f>
        <v>22030420.919999998</v>
      </c>
      <c r="G79" s="143">
        <v>40</v>
      </c>
      <c r="H79" s="148">
        <f t="shared" ref="H79:H94" si="11">IFERROR(C79/G79+D79/G79/2,0)</f>
        <v>523476.24099999998</v>
      </c>
    </row>
    <row r="80" spans="1:8">
      <c r="A80" s="123"/>
      <c r="B80" s="117" t="s">
        <v>117</v>
      </c>
      <c r="C80" s="148">
        <v>44763.01</v>
      </c>
      <c r="D80" s="148">
        <v>0</v>
      </c>
      <c r="E80" s="148"/>
      <c r="F80" s="148">
        <f t="shared" si="10"/>
        <v>44763.01</v>
      </c>
      <c r="G80" s="143">
        <v>50</v>
      </c>
      <c r="H80" s="148">
        <f t="shared" si="11"/>
        <v>895.26020000000005</v>
      </c>
    </row>
    <row r="81" spans="1:8">
      <c r="A81" s="123"/>
      <c r="B81" s="117" t="s">
        <v>128</v>
      </c>
      <c r="C81" s="148">
        <v>662900.07999999984</v>
      </c>
      <c r="D81" s="148">
        <v>0</v>
      </c>
      <c r="E81" s="148"/>
      <c r="F81" s="148">
        <f t="shared" si="10"/>
        <v>662900.07999999984</v>
      </c>
      <c r="G81" s="143">
        <v>50</v>
      </c>
      <c r="H81" s="148">
        <f t="shared" si="11"/>
        <v>13258.001599999996</v>
      </c>
    </row>
    <row r="82" spans="1:8">
      <c r="A82" s="123"/>
      <c r="B82" s="117" t="s">
        <v>133</v>
      </c>
      <c r="C82" s="148">
        <v>285794.73</v>
      </c>
      <c r="D82" s="148">
        <v>6192619.2999999998</v>
      </c>
      <c r="E82" s="148"/>
      <c r="F82" s="148">
        <f t="shared" si="10"/>
        <v>6478414.0299999993</v>
      </c>
      <c r="G82" s="143">
        <v>50</v>
      </c>
      <c r="H82" s="148">
        <f t="shared" si="11"/>
        <v>67642.087599999999</v>
      </c>
    </row>
    <row r="83" spans="1:8">
      <c r="A83" s="123"/>
      <c r="B83" s="117" t="s">
        <v>134</v>
      </c>
      <c r="C83" s="148">
        <v>2619726.4199999981</v>
      </c>
      <c r="D83" s="148">
        <v>0</v>
      </c>
      <c r="E83" s="148"/>
      <c r="F83" s="148">
        <f t="shared" si="10"/>
        <v>2619726.4199999981</v>
      </c>
      <c r="G83" s="143">
        <v>40</v>
      </c>
      <c r="H83" s="148">
        <f t="shared" si="11"/>
        <v>65493.160499999954</v>
      </c>
    </row>
    <row r="84" spans="1:8">
      <c r="A84" s="123"/>
      <c r="B84" s="117" t="s">
        <v>135</v>
      </c>
      <c r="C84" s="148">
        <v>385154.92</v>
      </c>
      <c r="D84" s="148">
        <v>0</v>
      </c>
      <c r="E84" s="148"/>
      <c r="F84" s="148">
        <f t="shared" si="10"/>
        <v>385154.92</v>
      </c>
      <c r="G84" s="143">
        <v>40</v>
      </c>
      <c r="H84" s="148">
        <f t="shared" si="11"/>
        <v>9628.8729999999996</v>
      </c>
    </row>
    <row r="85" spans="1:8">
      <c r="A85" s="123"/>
      <c r="B85" s="117" t="s">
        <v>310</v>
      </c>
      <c r="C85" s="148">
        <v>43376.77</v>
      </c>
      <c r="D85" s="148">
        <v>0</v>
      </c>
      <c r="E85" s="148"/>
      <c r="F85" s="148">
        <f t="shared" si="10"/>
        <v>43376.77</v>
      </c>
      <c r="G85" s="143">
        <v>40</v>
      </c>
      <c r="H85" s="148">
        <f t="shared" si="11"/>
        <v>1084.4192499999999</v>
      </c>
    </row>
    <row r="86" spans="1:8">
      <c r="A86" s="123"/>
      <c r="B86" s="117" t="s">
        <v>136</v>
      </c>
      <c r="C86" s="148">
        <v>0</v>
      </c>
      <c r="D86" s="148">
        <v>0</v>
      </c>
      <c r="E86" s="148"/>
      <c r="F86" s="148">
        <f t="shared" si="10"/>
        <v>0</v>
      </c>
      <c r="G86" s="143">
        <v>0</v>
      </c>
      <c r="H86" s="148">
        <f t="shared" si="11"/>
        <v>0</v>
      </c>
    </row>
    <row r="87" spans="1:8">
      <c r="A87" s="123"/>
      <c r="B87" s="117" t="s">
        <v>137</v>
      </c>
      <c r="C87" s="148">
        <v>312632.61</v>
      </c>
      <c r="D87" s="148">
        <v>0</v>
      </c>
      <c r="E87" s="148"/>
      <c r="F87" s="148">
        <f t="shared" si="10"/>
        <v>312632.61</v>
      </c>
      <c r="G87" s="143">
        <v>16</v>
      </c>
      <c r="H87" s="148">
        <f t="shared" si="11"/>
        <v>19539.538124999999</v>
      </c>
    </row>
    <row r="88" spans="1:8">
      <c r="A88" s="123"/>
      <c r="B88" s="117" t="s">
        <v>138</v>
      </c>
      <c r="C88" s="148">
        <v>288392.19</v>
      </c>
      <c r="D88" s="148">
        <v>0</v>
      </c>
      <c r="E88" s="148"/>
      <c r="F88" s="148">
        <f t="shared" si="10"/>
        <v>288392.19</v>
      </c>
      <c r="G88" s="143">
        <v>16</v>
      </c>
      <c r="H88" s="148">
        <f t="shared" si="11"/>
        <v>18024.511875</v>
      </c>
    </row>
    <row r="89" spans="1:8">
      <c r="A89" s="123"/>
      <c r="B89" s="117" t="s">
        <v>121</v>
      </c>
      <c r="C89" s="148">
        <v>2202066.91</v>
      </c>
      <c r="D89" s="148">
        <v>0</v>
      </c>
      <c r="E89" s="148"/>
      <c r="F89" s="148">
        <f t="shared" si="10"/>
        <v>2202066.91</v>
      </c>
      <c r="G89" s="143">
        <v>40</v>
      </c>
      <c r="H89" s="148">
        <f t="shared" si="11"/>
        <v>55051.672750000005</v>
      </c>
    </row>
    <row r="90" spans="1:8">
      <c r="A90" s="123"/>
      <c r="B90" s="117" t="s">
        <v>122</v>
      </c>
      <c r="C90" s="148">
        <v>64798.340000000004</v>
      </c>
      <c r="D90" s="148">
        <v>0</v>
      </c>
      <c r="E90" s="148"/>
      <c r="F90" s="148">
        <f t="shared" si="10"/>
        <v>64798.340000000004</v>
      </c>
      <c r="G90" s="143">
        <v>55</v>
      </c>
      <c r="H90" s="148">
        <f t="shared" si="11"/>
        <v>1178.1516363636365</v>
      </c>
    </row>
    <row r="91" spans="1:8">
      <c r="A91" s="123"/>
      <c r="B91" s="117" t="s">
        <v>123</v>
      </c>
      <c r="C91" s="148">
        <v>100328.43</v>
      </c>
      <c r="D91" s="148">
        <v>0</v>
      </c>
      <c r="E91" s="148"/>
      <c r="F91" s="148">
        <f t="shared" si="10"/>
        <v>100328.43</v>
      </c>
      <c r="G91" s="143">
        <v>30</v>
      </c>
      <c r="H91" s="148">
        <f t="shared" si="11"/>
        <v>3344.2809999999999</v>
      </c>
    </row>
    <row r="92" spans="1:8">
      <c r="A92" s="123"/>
      <c r="B92" s="117" t="s">
        <v>139</v>
      </c>
      <c r="C92" s="148">
        <v>603366.85</v>
      </c>
      <c r="D92" s="148">
        <v>0</v>
      </c>
      <c r="E92" s="148"/>
      <c r="F92" s="148">
        <f t="shared" si="10"/>
        <v>603366.85</v>
      </c>
      <c r="G92" s="143">
        <v>40</v>
      </c>
      <c r="H92" s="148">
        <f t="shared" si="11"/>
        <v>15084.171249999999</v>
      </c>
    </row>
    <row r="93" spans="1:8">
      <c r="A93" s="123"/>
      <c r="B93" s="117" t="s">
        <v>140</v>
      </c>
      <c r="C93" s="148">
        <v>4042479.1899999995</v>
      </c>
      <c r="D93" s="148">
        <v>0</v>
      </c>
      <c r="E93" s="148"/>
      <c r="F93" s="148">
        <f t="shared" si="10"/>
        <v>4042479.1899999995</v>
      </c>
      <c r="G93" s="143">
        <v>35</v>
      </c>
      <c r="H93" s="148">
        <f t="shared" si="11"/>
        <v>115499.40542857141</v>
      </c>
    </row>
    <row r="94" spans="1:8">
      <c r="A94" s="123"/>
      <c r="B94" s="117" t="s">
        <v>141</v>
      </c>
      <c r="C94" s="148">
        <v>36442.910000000003</v>
      </c>
      <c r="D94" s="148">
        <v>0</v>
      </c>
      <c r="E94" s="148"/>
      <c r="F94" s="148">
        <f t="shared" si="10"/>
        <v>36442.910000000003</v>
      </c>
      <c r="G94" s="143">
        <v>30</v>
      </c>
      <c r="H94" s="148">
        <f t="shared" si="11"/>
        <v>1214.7636666666667</v>
      </c>
    </row>
    <row r="95" spans="1:8">
      <c r="A95" s="123"/>
      <c r="B95" s="117" t="s">
        <v>313</v>
      </c>
      <c r="C95" s="149"/>
      <c r="D95" s="149"/>
      <c r="E95" s="149"/>
      <c r="F95" s="149"/>
      <c r="G95" s="118"/>
      <c r="H95" s="149">
        <v>49978.92</v>
      </c>
    </row>
    <row r="96" spans="1:8" s="121" customFormat="1" ht="18" customHeight="1">
      <c r="A96" s="112" t="s">
        <v>142</v>
      </c>
      <c r="B96" s="112"/>
      <c r="C96" s="150">
        <f>SUBTOTAL(9,C79:C95)</f>
        <v>31539901.720000003</v>
      </c>
      <c r="D96" s="150">
        <f>SUBTOTAL(9,D79:D95)</f>
        <v>8375361.8599999994</v>
      </c>
      <c r="E96" s="150">
        <f>SUBTOTAL(9,E79:E95)</f>
        <v>0</v>
      </c>
      <c r="F96" s="150">
        <f>SUBTOTAL(9,F79:F95)</f>
        <v>39915263.579999998</v>
      </c>
      <c r="G96" s="120"/>
      <c r="H96" s="150">
        <f>SUBTOTAL(9,H79:H95)</f>
        <v>960393.45888160157</v>
      </c>
    </row>
    <row r="97" spans="1:8">
      <c r="C97" s="152"/>
      <c r="D97" s="152"/>
      <c r="E97" s="152"/>
      <c r="F97" s="152"/>
      <c r="G97" s="124"/>
      <c r="H97" s="152"/>
    </row>
    <row r="98" spans="1:8">
      <c r="A98" s="112" t="s">
        <v>143</v>
      </c>
      <c r="C98" s="151"/>
      <c r="D98" s="151"/>
      <c r="E98" s="151"/>
      <c r="F98" s="151"/>
      <c r="G98" s="122"/>
      <c r="H98" s="151"/>
    </row>
    <row r="99" spans="1:8">
      <c r="A99" s="123"/>
      <c r="B99" s="117" t="s">
        <v>144</v>
      </c>
      <c r="C99" s="148">
        <v>4320.91</v>
      </c>
      <c r="D99" s="148">
        <v>0</v>
      </c>
      <c r="E99" s="148"/>
      <c r="F99" s="148">
        <f t="shared" ref="F99:F111" si="12">C99+D99-E99</f>
        <v>4320.91</v>
      </c>
      <c r="G99" s="143">
        <v>50</v>
      </c>
      <c r="H99" s="148">
        <f t="shared" ref="H99:H111" si="13">IFERROR(C99/G99+D99/G99/2,0)</f>
        <v>86.418199999999999</v>
      </c>
    </row>
    <row r="100" spans="1:8">
      <c r="A100" s="123"/>
      <c r="B100" s="117" t="s">
        <v>145</v>
      </c>
      <c r="C100" s="148">
        <v>5938453.1499999994</v>
      </c>
      <c r="D100" s="148">
        <v>0</v>
      </c>
      <c r="E100" s="148"/>
      <c r="F100" s="148">
        <f t="shared" si="12"/>
        <v>5938453.1499999994</v>
      </c>
      <c r="G100" s="143">
        <v>50</v>
      </c>
      <c r="H100" s="148">
        <f t="shared" si="13"/>
        <v>118769.06299999999</v>
      </c>
    </row>
    <row r="101" spans="1:8">
      <c r="A101" s="123"/>
      <c r="B101" s="117" t="s">
        <v>146</v>
      </c>
      <c r="C101" s="148">
        <v>11488539.590000004</v>
      </c>
      <c r="D101" s="148">
        <v>1187996.6399999999</v>
      </c>
      <c r="E101" s="148"/>
      <c r="F101" s="148">
        <f t="shared" si="12"/>
        <v>12676536.230000004</v>
      </c>
      <c r="G101" s="143">
        <v>55</v>
      </c>
      <c r="H101" s="148">
        <f t="shared" si="13"/>
        <v>219682.5074545455</v>
      </c>
    </row>
    <row r="102" spans="1:8">
      <c r="A102" s="123"/>
      <c r="B102" s="117" t="s">
        <v>147</v>
      </c>
      <c r="C102" s="148">
        <v>2028554.5099999998</v>
      </c>
      <c r="D102" s="148">
        <v>40000</v>
      </c>
      <c r="E102" s="148"/>
      <c r="F102" s="148">
        <f t="shared" si="12"/>
        <v>2068554.5099999998</v>
      </c>
      <c r="G102" s="143">
        <v>20</v>
      </c>
      <c r="H102" s="148">
        <f t="shared" si="13"/>
        <v>102427.72549999999</v>
      </c>
    </row>
    <row r="103" spans="1:8">
      <c r="A103" s="123"/>
      <c r="B103" s="117" t="s">
        <v>148</v>
      </c>
      <c r="C103" s="148">
        <v>19296.990000000002</v>
      </c>
      <c r="D103" s="148">
        <v>0</v>
      </c>
      <c r="E103" s="148"/>
      <c r="F103" s="148">
        <f t="shared" si="12"/>
        <v>19296.990000000002</v>
      </c>
      <c r="G103" s="143">
        <v>40</v>
      </c>
      <c r="H103" s="148">
        <f t="shared" si="13"/>
        <v>482.42475000000002</v>
      </c>
    </row>
    <row r="104" spans="1:8">
      <c r="A104" s="123"/>
      <c r="B104" s="117" t="s">
        <v>149</v>
      </c>
      <c r="C104" s="148">
        <v>149953.85999999999</v>
      </c>
      <c r="D104" s="148">
        <v>25000</v>
      </c>
      <c r="E104" s="148"/>
      <c r="F104" s="148">
        <f t="shared" si="12"/>
        <v>174953.86</v>
      </c>
      <c r="G104" s="143">
        <v>30</v>
      </c>
      <c r="H104" s="148">
        <f t="shared" si="13"/>
        <v>5415.1286666666665</v>
      </c>
    </row>
    <row r="105" spans="1:8">
      <c r="A105" s="123"/>
      <c r="B105" s="117" t="s">
        <v>150</v>
      </c>
      <c r="C105" s="148">
        <v>2351733.3100000005</v>
      </c>
      <c r="D105" s="148">
        <v>360000</v>
      </c>
      <c r="E105" s="148"/>
      <c r="F105" s="148">
        <f t="shared" si="12"/>
        <v>2711733.3100000005</v>
      </c>
      <c r="G105" s="143">
        <v>7</v>
      </c>
      <c r="H105" s="148">
        <f t="shared" si="13"/>
        <v>361676.18714285723</v>
      </c>
    </row>
    <row r="106" spans="1:8">
      <c r="A106" s="123"/>
      <c r="B106" s="117" t="s">
        <v>151</v>
      </c>
      <c r="C106" s="148">
        <v>0</v>
      </c>
      <c r="D106" s="148">
        <v>0</v>
      </c>
      <c r="E106" s="148"/>
      <c r="F106" s="148">
        <f t="shared" si="12"/>
        <v>0</v>
      </c>
      <c r="G106" s="143">
        <v>5</v>
      </c>
      <c r="H106" s="148">
        <f t="shared" si="13"/>
        <v>0</v>
      </c>
    </row>
    <row r="107" spans="1:8">
      <c r="A107" s="123"/>
      <c r="B107" s="117" t="s">
        <v>152</v>
      </c>
      <c r="C107" s="148">
        <v>3707198.109999998</v>
      </c>
      <c r="D107" s="148">
        <v>678726.21</v>
      </c>
      <c r="E107" s="148"/>
      <c r="F107" s="148">
        <f t="shared" si="12"/>
        <v>4385924.3199999984</v>
      </c>
      <c r="G107" s="143">
        <v>20</v>
      </c>
      <c r="H107" s="148">
        <f t="shared" si="13"/>
        <v>202328.06074999992</v>
      </c>
    </row>
    <row r="108" spans="1:8">
      <c r="A108" s="123"/>
      <c r="B108" s="117" t="s">
        <v>136</v>
      </c>
      <c r="C108" s="148">
        <v>0</v>
      </c>
      <c r="D108" s="148">
        <v>0</v>
      </c>
      <c r="E108" s="148"/>
      <c r="F108" s="148">
        <f t="shared" si="12"/>
        <v>0</v>
      </c>
      <c r="G108" s="143">
        <v>15</v>
      </c>
      <c r="H108" s="148">
        <f t="shared" si="13"/>
        <v>0</v>
      </c>
    </row>
    <row r="109" spans="1:8">
      <c r="A109" s="123"/>
      <c r="B109" s="117" t="s">
        <v>153</v>
      </c>
      <c r="C109" s="148">
        <v>5793772.7699999977</v>
      </c>
      <c r="D109" s="148">
        <v>0</v>
      </c>
      <c r="E109" s="148"/>
      <c r="F109" s="148">
        <f t="shared" si="12"/>
        <v>5793772.7699999977</v>
      </c>
      <c r="G109" s="143">
        <v>20</v>
      </c>
      <c r="H109" s="148">
        <f t="shared" si="13"/>
        <v>289688.63849999988</v>
      </c>
    </row>
    <row r="110" spans="1:8">
      <c r="A110" s="123"/>
      <c r="B110" s="117" t="s">
        <v>154</v>
      </c>
      <c r="C110" s="148">
        <v>59031.369999999995</v>
      </c>
      <c r="D110" s="148">
        <v>0</v>
      </c>
      <c r="E110" s="148"/>
      <c r="F110" s="148">
        <f t="shared" si="12"/>
        <v>59031.369999999995</v>
      </c>
      <c r="G110" s="143">
        <v>40</v>
      </c>
      <c r="H110" s="148">
        <f t="shared" si="13"/>
        <v>1475.7842499999999</v>
      </c>
    </row>
    <row r="111" spans="1:8">
      <c r="A111" s="123"/>
      <c r="B111" s="117" t="s">
        <v>155</v>
      </c>
      <c r="C111" s="148">
        <v>2152408.6399999997</v>
      </c>
      <c r="D111" s="148">
        <v>0</v>
      </c>
      <c r="E111" s="148"/>
      <c r="F111" s="148">
        <f t="shared" si="12"/>
        <v>2152408.6399999997</v>
      </c>
      <c r="G111" s="143">
        <v>40</v>
      </c>
      <c r="H111" s="148">
        <f t="shared" si="13"/>
        <v>53810.215999999993</v>
      </c>
    </row>
    <row r="112" spans="1:8">
      <c r="A112" s="123"/>
      <c r="B112" s="117" t="s">
        <v>313</v>
      </c>
      <c r="C112" s="149"/>
      <c r="D112" s="149"/>
      <c r="E112" s="149"/>
      <c r="F112" s="149"/>
      <c r="G112" s="144"/>
      <c r="H112" s="149">
        <v>-67343.759999999995</v>
      </c>
    </row>
    <row r="113" spans="1:8" s="121" customFormat="1" ht="18" customHeight="1">
      <c r="A113" s="112" t="s">
        <v>156</v>
      </c>
      <c r="B113" s="112"/>
      <c r="C113" s="150">
        <f>SUBTOTAL(9,C99:C112)</f>
        <v>33693263.209999993</v>
      </c>
      <c r="D113" s="150">
        <f>SUBTOTAL(9,D99:D112)</f>
        <v>2291722.8499999996</v>
      </c>
      <c r="E113" s="150">
        <f>SUBTOTAL(9,E99:E112)</f>
        <v>0</v>
      </c>
      <c r="F113" s="150">
        <f>SUBTOTAL(9,F99:F112)</f>
        <v>35984986.059999995</v>
      </c>
      <c r="G113" s="120"/>
      <c r="H113" s="150">
        <f>SUBTOTAL(9,H99:H112)</f>
        <v>1288498.3942140692</v>
      </c>
    </row>
    <row r="114" spans="1:8">
      <c r="C114" s="152"/>
      <c r="D114" s="152"/>
      <c r="E114" s="152"/>
      <c r="F114" s="152"/>
      <c r="G114" s="126"/>
      <c r="H114" s="152"/>
    </row>
    <row r="115" spans="1:8">
      <c r="A115" s="112" t="s">
        <v>157</v>
      </c>
      <c r="C115" s="151"/>
      <c r="D115" s="151"/>
      <c r="E115" s="151"/>
      <c r="F115" s="151"/>
      <c r="G115" s="122"/>
      <c r="H115" s="151"/>
    </row>
    <row r="116" spans="1:8">
      <c r="A116" s="123"/>
      <c r="B116" s="117" t="s">
        <v>158</v>
      </c>
      <c r="C116" s="148">
        <v>408414.00999999995</v>
      </c>
      <c r="D116" s="148">
        <v>50000</v>
      </c>
      <c r="E116" s="148"/>
      <c r="F116" s="148">
        <f t="shared" ref="F116:F122" si="14">C116+D116-E116</f>
        <v>458414.00999999995</v>
      </c>
      <c r="G116" s="143">
        <v>8</v>
      </c>
      <c r="H116" s="148">
        <f t="shared" ref="H116:H122" si="15">IFERROR(C116/G116+D116/G116/2,0)</f>
        <v>54176.751249999994</v>
      </c>
    </row>
    <row r="117" spans="1:8">
      <c r="A117" s="123"/>
      <c r="B117" s="117" t="s">
        <v>159</v>
      </c>
      <c r="C117" s="148">
        <v>211681.52</v>
      </c>
      <c r="D117" s="148">
        <v>0</v>
      </c>
      <c r="E117" s="148"/>
      <c r="F117" s="148">
        <f t="shared" si="14"/>
        <v>211681.52</v>
      </c>
      <c r="G117" s="143">
        <v>11</v>
      </c>
      <c r="H117" s="148">
        <f t="shared" si="15"/>
        <v>19243.774545454544</v>
      </c>
    </row>
    <row r="118" spans="1:8">
      <c r="A118" s="123"/>
      <c r="B118" s="117" t="s">
        <v>299</v>
      </c>
      <c r="C118" s="148">
        <v>71771.58</v>
      </c>
      <c r="D118" s="148">
        <v>0</v>
      </c>
      <c r="E118" s="148"/>
      <c r="F118" s="148">
        <f t="shared" si="14"/>
        <v>71771.58</v>
      </c>
      <c r="G118" s="143">
        <v>25</v>
      </c>
      <c r="H118" s="148">
        <f t="shared" si="15"/>
        <v>2870.8632000000002</v>
      </c>
    </row>
    <row r="119" spans="1:8">
      <c r="A119" s="123"/>
      <c r="B119" s="117" t="s">
        <v>160</v>
      </c>
      <c r="C119" s="148">
        <v>53710.58</v>
      </c>
      <c r="D119" s="148">
        <v>0</v>
      </c>
      <c r="E119" s="148"/>
      <c r="F119" s="148">
        <f t="shared" si="14"/>
        <v>53710.58</v>
      </c>
      <c r="G119" s="143">
        <v>25</v>
      </c>
      <c r="H119" s="148">
        <f t="shared" si="15"/>
        <v>2148.4232000000002</v>
      </c>
    </row>
    <row r="120" spans="1:8">
      <c r="A120" s="123"/>
      <c r="B120" s="117" t="s">
        <v>161</v>
      </c>
      <c r="C120" s="148">
        <v>4758154.22</v>
      </c>
      <c r="D120" s="148">
        <v>675000</v>
      </c>
      <c r="E120" s="148"/>
      <c r="F120" s="148">
        <f t="shared" si="14"/>
        <v>5433154.2199999997</v>
      </c>
      <c r="G120" s="143">
        <v>9</v>
      </c>
      <c r="H120" s="148">
        <f t="shared" si="15"/>
        <v>566183.80222222221</v>
      </c>
    </row>
    <row r="121" spans="1:8">
      <c r="A121" s="123"/>
      <c r="B121" s="117" t="s">
        <v>162</v>
      </c>
      <c r="C121" s="148">
        <v>2666730.69</v>
      </c>
      <c r="D121" s="148">
        <v>0</v>
      </c>
      <c r="E121" s="148"/>
      <c r="F121" s="148">
        <f t="shared" si="14"/>
        <v>2666730.69</v>
      </c>
      <c r="G121" s="143">
        <v>20</v>
      </c>
      <c r="H121" s="148">
        <f t="shared" si="15"/>
        <v>133336.53450000001</v>
      </c>
    </row>
    <row r="122" spans="1:8">
      <c r="A122" s="123"/>
      <c r="B122" s="117" t="s">
        <v>300</v>
      </c>
      <c r="C122" s="148">
        <v>1003858.15</v>
      </c>
      <c r="D122" s="148">
        <v>0</v>
      </c>
      <c r="E122" s="148"/>
      <c r="F122" s="148">
        <f t="shared" si="14"/>
        <v>1003858.15</v>
      </c>
      <c r="G122" s="145">
        <v>20</v>
      </c>
      <c r="H122" s="148">
        <f t="shared" si="15"/>
        <v>50192.907500000001</v>
      </c>
    </row>
    <row r="123" spans="1:8">
      <c r="A123" s="123"/>
      <c r="B123" s="117" t="s">
        <v>313</v>
      </c>
      <c r="C123" s="149"/>
      <c r="D123" s="149"/>
      <c r="E123" s="149"/>
      <c r="F123" s="149"/>
      <c r="G123" s="146"/>
      <c r="H123" s="149">
        <v>19267.32</v>
      </c>
    </row>
    <row r="124" spans="1:8" s="121" customFormat="1" ht="18" customHeight="1">
      <c r="A124" s="112" t="s">
        <v>163</v>
      </c>
      <c r="B124" s="112"/>
      <c r="C124" s="150">
        <f>SUBTOTAL(9,C116:C123)</f>
        <v>9174320.75</v>
      </c>
      <c r="D124" s="150">
        <f>SUBTOTAL(9,D116:D123)</f>
        <v>725000</v>
      </c>
      <c r="E124" s="150">
        <f>SUBTOTAL(9,E116:E123)</f>
        <v>0</v>
      </c>
      <c r="F124" s="150">
        <f>SUBTOTAL(9,F116:F123)</f>
        <v>9899320.75</v>
      </c>
      <c r="G124" s="119"/>
      <c r="H124" s="150">
        <f>SUBTOTAL(9,H116:H123)</f>
        <v>847420.3764176768</v>
      </c>
    </row>
    <row r="125" spans="1:8">
      <c r="C125" s="152"/>
      <c r="D125" s="152"/>
      <c r="E125" s="152"/>
      <c r="F125" s="152"/>
      <c r="H125" s="152"/>
    </row>
    <row r="126" spans="1:8">
      <c r="A126" s="112" t="s">
        <v>301</v>
      </c>
      <c r="C126" s="151"/>
      <c r="D126" s="151"/>
      <c r="E126" s="151"/>
      <c r="F126" s="151"/>
      <c r="G126" s="122"/>
      <c r="H126" s="151"/>
    </row>
    <row r="127" spans="1:8">
      <c r="A127" s="123"/>
      <c r="B127" s="117" t="s">
        <v>301</v>
      </c>
      <c r="C127" s="149">
        <v>1165687.07</v>
      </c>
      <c r="D127" s="149">
        <v>0</v>
      </c>
      <c r="E127" s="149"/>
      <c r="F127" s="149">
        <f>C127+D127-E127</f>
        <v>1165687.07</v>
      </c>
      <c r="G127" s="144">
        <v>0</v>
      </c>
      <c r="H127" s="149">
        <v>0</v>
      </c>
    </row>
    <row r="128" spans="1:8" s="121" customFormat="1" ht="18.75" customHeight="1">
      <c r="A128" s="112" t="s">
        <v>302</v>
      </c>
      <c r="B128" s="112"/>
      <c r="C128" s="150">
        <f>SUBTOTAL(9,C127)</f>
        <v>1165687.07</v>
      </c>
      <c r="D128" s="150">
        <f>SUBTOTAL(9,D127)</f>
        <v>0</v>
      </c>
      <c r="E128" s="150">
        <f>SUBTOTAL(9,E127)</f>
        <v>0</v>
      </c>
      <c r="F128" s="150">
        <f>SUBTOTAL(9,F127)</f>
        <v>1165687.07</v>
      </c>
      <c r="G128" s="120"/>
      <c r="H128" s="150">
        <f>SUBTOTAL(9,H127)</f>
        <v>0</v>
      </c>
    </row>
    <row r="129" spans="1:8" s="121" customFormat="1" ht="18.75" customHeight="1">
      <c r="A129" s="112"/>
      <c r="B129" s="112"/>
      <c r="C129" s="150"/>
      <c r="D129" s="150"/>
      <c r="E129" s="150"/>
      <c r="F129" s="150"/>
      <c r="G129" s="120"/>
      <c r="H129" s="150"/>
    </row>
    <row r="130" spans="1:8">
      <c r="A130" s="112" t="s">
        <v>303</v>
      </c>
      <c r="C130" s="151"/>
      <c r="D130" s="151"/>
      <c r="E130" s="151"/>
      <c r="F130" s="151"/>
      <c r="G130" s="122"/>
      <c r="H130" s="151"/>
    </row>
    <row r="131" spans="1:8">
      <c r="A131" s="123"/>
      <c r="B131" s="117" t="s">
        <v>103</v>
      </c>
      <c r="C131" s="148">
        <v>6184735</v>
      </c>
      <c r="D131" s="148">
        <v>0</v>
      </c>
      <c r="E131" s="148"/>
      <c r="F131" s="148">
        <f t="shared" ref="F131:F137" si="16">C131+D131-E131</f>
        <v>6184735</v>
      </c>
      <c r="G131" s="143">
        <v>72</v>
      </c>
      <c r="H131" s="148">
        <f t="shared" ref="H131:H137" si="17">IFERROR(C131/G131+D131/G131/2,0)</f>
        <v>85899.097222222219</v>
      </c>
    </row>
    <row r="132" spans="1:8">
      <c r="A132" s="123"/>
      <c r="B132" s="117" t="s">
        <v>304</v>
      </c>
      <c r="C132" s="148">
        <v>13200669.02</v>
      </c>
      <c r="D132" s="148">
        <v>0</v>
      </c>
      <c r="E132" s="148"/>
      <c r="F132" s="148">
        <f t="shared" si="16"/>
        <v>13200669.02</v>
      </c>
      <c r="G132" s="143">
        <v>60</v>
      </c>
      <c r="H132" s="148">
        <f t="shared" si="17"/>
        <v>220011.15033333332</v>
      </c>
    </row>
    <row r="133" spans="1:8">
      <c r="A133" s="123"/>
      <c r="B133" s="117" t="s">
        <v>305</v>
      </c>
      <c r="C133" s="148">
        <v>20890968.260000002</v>
      </c>
      <c r="D133" s="148">
        <v>0</v>
      </c>
      <c r="E133" s="148"/>
      <c r="F133" s="148">
        <f t="shared" si="16"/>
        <v>20890968.260000002</v>
      </c>
      <c r="G133" s="143">
        <v>40</v>
      </c>
      <c r="H133" s="148">
        <f t="shared" si="17"/>
        <v>522274.20650000003</v>
      </c>
    </row>
    <row r="134" spans="1:8">
      <c r="A134" s="123"/>
      <c r="B134" s="117" t="s">
        <v>293</v>
      </c>
      <c r="C134" s="148">
        <v>1692147.0399999998</v>
      </c>
      <c r="D134" s="148">
        <v>2080235.3</v>
      </c>
      <c r="E134" s="148"/>
      <c r="F134" s="148">
        <f t="shared" si="16"/>
        <v>3772382.34</v>
      </c>
      <c r="G134" s="143">
        <v>2</v>
      </c>
      <c r="H134" s="148">
        <f t="shared" si="17"/>
        <v>1366132.345</v>
      </c>
    </row>
    <row r="135" spans="1:8">
      <c r="A135" s="123"/>
      <c r="B135" s="117" t="s">
        <v>106</v>
      </c>
      <c r="C135" s="148">
        <v>3655939.21</v>
      </c>
      <c r="D135" s="148">
        <v>0</v>
      </c>
      <c r="E135" s="148"/>
      <c r="F135" s="148">
        <f t="shared" si="16"/>
        <v>3655939.21</v>
      </c>
      <c r="G135" s="143">
        <v>45</v>
      </c>
      <c r="H135" s="148">
        <f t="shared" si="17"/>
        <v>81243.093555555548</v>
      </c>
    </row>
    <row r="136" spans="1:8">
      <c r="A136" s="123"/>
      <c r="B136" s="117" t="s">
        <v>107</v>
      </c>
      <c r="C136" s="148">
        <v>2944021.28</v>
      </c>
      <c r="D136" s="148">
        <v>0</v>
      </c>
      <c r="E136" s="148"/>
      <c r="F136" s="148">
        <f t="shared" si="16"/>
        <v>2944021.28</v>
      </c>
      <c r="G136" s="143">
        <v>30</v>
      </c>
      <c r="H136" s="148">
        <f t="shared" si="17"/>
        <v>98134.042666666661</v>
      </c>
    </row>
    <row r="137" spans="1:8">
      <c r="A137" s="123"/>
      <c r="B137" s="113" t="s">
        <v>306</v>
      </c>
      <c r="C137" s="148">
        <v>779651</v>
      </c>
      <c r="D137" s="148">
        <v>0</v>
      </c>
      <c r="E137" s="148"/>
      <c r="F137" s="148">
        <f t="shared" si="16"/>
        <v>779651</v>
      </c>
      <c r="G137" s="143">
        <v>30</v>
      </c>
      <c r="H137" s="148">
        <f t="shared" si="17"/>
        <v>25988.366666666665</v>
      </c>
    </row>
    <row r="138" spans="1:8">
      <c r="A138" s="123"/>
      <c r="B138" s="117" t="s">
        <v>313</v>
      </c>
      <c r="C138" s="149"/>
      <c r="D138" s="149"/>
      <c r="E138" s="149"/>
      <c r="F138" s="149"/>
      <c r="G138" s="144"/>
      <c r="H138" s="149">
        <v>-13981.32</v>
      </c>
    </row>
    <row r="139" spans="1:8" s="121" customFormat="1" ht="18" customHeight="1">
      <c r="A139" s="112" t="s">
        <v>307</v>
      </c>
      <c r="B139" s="112"/>
      <c r="C139" s="150">
        <f>SUBTOTAL(9,C131:C138)</f>
        <v>49348130.810000002</v>
      </c>
      <c r="D139" s="150">
        <f>SUBTOTAL(9,D131:D138)</f>
        <v>2080235.3</v>
      </c>
      <c r="E139" s="150">
        <f>SUBTOTAL(9,E131:E138)</f>
        <v>0</v>
      </c>
      <c r="F139" s="150">
        <f>SUBTOTAL(9,F131:F138)</f>
        <v>51428366.110000007</v>
      </c>
      <c r="G139" s="127"/>
      <c r="H139" s="150">
        <f>SUBTOTAL(9,H131:H138)</f>
        <v>2385700.9819444451</v>
      </c>
    </row>
    <row r="140" spans="1:8">
      <c r="C140" s="152"/>
      <c r="D140" s="152"/>
      <c r="E140" s="152"/>
      <c r="F140" s="152"/>
      <c r="H140" s="152"/>
    </row>
    <row r="141" spans="1:8">
      <c r="A141" s="121" t="s">
        <v>462</v>
      </c>
      <c r="C141" s="152"/>
      <c r="D141" s="152"/>
      <c r="E141" s="152"/>
      <c r="F141" s="152"/>
      <c r="H141" s="152"/>
    </row>
    <row r="142" spans="1:8">
      <c r="B142" s="113" t="s">
        <v>462</v>
      </c>
      <c r="C142" s="149">
        <v>0</v>
      </c>
      <c r="D142" s="149">
        <v>0</v>
      </c>
      <c r="E142" s="149"/>
      <c r="F142" s="149">
        <f>C142+D142</f>
        <v>0</v>
      </c>
      <c r="G142" s="144"/>
      <c r="H142" s="149">
        <f>IFERROR(C142/G142+D142/G142/2,0)</f>
        <v>0</v>
      </c>
    </row>
    <row r="143" spans="1:8">
      <c r="A143" s="121" t="s">
        <v>463</v>
      </c>
      <c r="C143" s="150">
        <f>SUBTOTAL(9,C142)</f>
        <v>0</v>
      </c>
      <c r="D143" s="150">
        <f>SUBTOTAL(9,D142)</f>
        <v>0</v>
      </c>
      <c r="E143" s="150">
        <f>SUBTOTAL(9,E142)</f>
        <v>0</v>
      </c>
      <c r="F143" s="150">
        <f>SUBTOTAL(9,F142)</f>
        <v>0</v>
      </c>
      <c r="G143" s="156"/>
      <c r="H143" s="150">
        <f>SUBTOTAL(9,H142)</f>
        <v>0</v>
      </c>
    </row>
    <row r="144" spans="1:8">
      <c r="C144" s="152"/>
      <c r="D144" s="152"/>
      <c r="E144" s="152"/>
      <c r="F144" s="152"/>
      <c r="H144" s="152"/>
    </row>
    <row r="145" spans="1:8">
      <c r="C145" s="152"/>
      <c r="D145" s="152"/>
      <c r="E145" s="152"/>
      <c r="F145" s="152"/>
      <c r="H145" s="152"/>
    </row>
    <row r="146" spans="1:8">
      <c r="A146" s="121" t="s">
        <v>356</v>
      </c>
      <c r="C146" s="152"/>
      <c r="D146" s="152"/>
      <c r="E146" s="152"/>
      <c r="F146" s="152"/>
      <c r="H146" s="152"/>
    </row>
    <row r="147" spans="1:8">
      <c r="B147" s="113" t="s">
        <v>356</v>
      </c>
      <c r="C147" s="149">
        <v>1930990.1099999999</v>
      </c>
      <c r="D147" s="149">
        <v>0</v>
      </c>
      <c r="E147" s="149"/>
      <c r="F147" s="149">
        <f>C147+D147</f>
        <v>1930990.1099999999</v>
      </c>
      <c r="G147" s="144"/>
      <c r="H147" s="149">
        <v>225597.91</v>
      </c>
    </row>
    <row r="148" spans="1:8">
      <c r="A148" s="121" t="s">
        <v>357</v>
      </c>
      <c r="C148" s="150">
        <f>SUBTOTAL(9,C147)</f>
        <v>1930990.1099999999</v>
      </c>
      <c r="D148" s="150">
        <f>SUBTOTAL(9,D147)</f>
        <v>0</v>
      </c>
      <c r="E148" s="150">
        <f>SUBTOTAL(9,E147)</f>
        <v>0</v>
      </c>
      <c r="F148" s="150">
        <f>SUBTOTAL(9,F147)</f>
        <v>1930990.1099999999</v>
      </c>
      <c r="G148" s="156"/>
      <c r="H148" s="150">
        <f>SUBTOTAL(9,H147)</f>
        <v>225597.91</v>
      </c>
    </row>
    <row r="149" spans="1:8">
      <c r="C149" s="152"/>
      <c r="D149" s="152"/>
      <c r="E149" s="152"/>
      <c r="F149" s="152"/>
      <c r="H149" s="152"/>
    </row>
    <row r="150" spans="1:8" s="121" customFormat="1" ht="18" customHeight="1">
      <c r="A150" s="112" t="s">
        <v>28</v>
      </c>
      <c r="B150" s="112"/>
      <c r="C150" s="150">
        <f>SUBTOTAL(9,C9:C148)</f>
        <v>753002266.57999969</v>
      </c>
      <c r="D150" s="150">
        <f>SUBTOTAL(9,D9:D148)</f>
        <v>87654427.799999982</v>
      </c>
      <c r="E150" s="150">
        <f>SUBTOTAL(9,E9:E148)</f>
        <v>1090191.662</v>
      </c>
      <c r="F150" s="150">
        <f>SUBTOTAL(9,F9:F148)</f>
        <v>839566502.7179997</v>
      </c>
      <c r="G150" s="127"/>
      <c r="H150" s="150">
        <f>SUBTOTAL(9,H9:H148)</f>
        <v>20658122.780333947</v>
      </c>
    </row>
    <row r="151" spans="1:8">
      <c r="C151" s="125"/>
      <c r="D151" s="125"/>
      <c r="E151" s="125"/>
      <c r="F151" s="125"/>
      <c r="H151" s="125"/>
    </row>
  </sheetData>
  <printOptions horizontalCentered="1"/>
  <pageMargins left="0.55118110236220474" right="0.31496062992125984" top="0.82677165354330717" bottom="0.9055118110236221" header="0.51181102362204722" footer="0.51181102362204722"/>
  <pageSetup scale="58" fitToHeight="2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8B34E-96A4-4293-B4F8-731641B7EBA1}">
  <sheetPr>
    <tabColor theme="9" tint="0.39997558519241921"/>
    <pageSetUpPr fitToPage="1"/>
  </sheetPr>
  <dimension ref="A1:X163"/>
  <sheetViews>
    <sheetView view="pageBreakPreview" zoomScale="115" zoomScaleNormal="100" zoomScaleSheetLayoutView="115" workbookViewId="0">
      <pane ySplit="6" topLeftCell="A7" activePane="bottomLeft" state="frozen"/>
      <selection activeCell="I1" sqref="I1"/>
      <selection pane="bottomLeft"/>
    </sheetView>
  </sheetViews>
  <sheetFormatPr defaultColWidth="9.1796875" defaultRowHeight="12.5"/>
  <cols>
    <col min="1" max="1" width="5.7265625" style="113" customWidth="1"/>
    <col min="2" max="2" width="31.1796875" style="113" customWidth="1"/>
    <col min="3" max="4" width="14.54296875" style="114" customWidth="1"/>
    <col min="5" max="5" width="12.54296875" style="114" bestFit="1" customWidth="1"/>
    <col min="6" max="6" width="14.54296875" style="114" customWidth="1"/>
    <col min="7" max="7" width="15.26953125" style="115" customWidth="1"/>
    <col min="8" max="8" width="17" style="114" customWidth="1"/>
    <col min="25" max="16384" width="9.1796875" style="113"/>
  </cols>
  <sheetData>
    <row r="1" spans="1:8" s="133" customFormat="1" ht="15.75" customHeight="1">
      <c r="A1" s="137" t="s">
        <v>0</v>
      </c>
      <c r="B1" s="134"/>
      <c r="C1" s="134"/>
      <c r="D1" s="134"/>
      <c r="E1" s="138"/>
      <c r="F1" s="134"/>
      <c r="H1" s="195" t="s">
        <v>464</v>
      </c>
    </row>
    <row r="2" spans="1:8" s="133" customFormat="1" ht="15.75" customHeight="1">
      <c r="A2" s="139" t="s">
        <v>465</v>
      </c>
      <c r="B2" s="134"/>
      <c r="C2" s="134"/>
      <c r="D2" s="134"/>
      <c r="E2" s="138"/>
      <c r="F2" s="134"/>
      <c r="H2" s="194" t="str">
        <f>'Schedule 1'!$M$2</f>
        <v>2025-27 GRA</v>
      </c>
    </row>
    <row r="3" spans="1:8" s="133" customFormat="1" ht="15.75" customHeight="1">
      <c r="A3" s="153" t="s">
        <v>332</v>
      </c>
      <c r="B3" s="134"/>
      <c r="C3" s="134"/>
      <c r="D3" s="134"/>
      <c r="E3" s="138"/>
      <c r="F3" s="134"/>
      <c r="G3" s="134"/>
      <c r="H3" s="134"/>
    </row>
    <row r="4" spans="1:8" s="133" customFormat="1" ht="15.75" customHeight="1">
      <c r="A4" s="135"/>
      <c r="B4" s="135"/>
      <c r="C4" s="135"/>
      <c r="D4" s="135"/>
      <c r="E4" s="135"/>
      <c r="F4" s="135"/>
      <c r="G4" s="135"/>
      <c r="H4" s="135"/>
    </row>
    <row r="5" spans="1:8" s="133" customFormat="1" ht="13" thickBot="1">
      <c r="A5" s="140"/>
      <c r="B5" s="140"/>
      <c r="C5" s="136"/>
      <c r="D5" s="136"/>
      <c r="E5" s="136"/>
      <c r="F5" s="136"/>
      <c r="G5" s="141"/>
      <c r="H5" s="136"/>
    </row>
    <row r="6" spans="1:8" s="142" customFormat="1" ht="50.5" thickBot="1">
      <c r="A6" s="140"/>
      <c r="B6" s="189" t="s">
        <v>9</v>
      </c>
      <c r="C6" s="190" t="s">
        <v>451</v>
      </c>
      <c r="D6" s="190" t="s">
        <v>466</v>
      </c>
      <c r="E6" s="191" t="s">
        <v>467</v>
      </c>
      <c r="F6" s="190" t="s">
        <v>468</v>
      </c>
      <c r="G6" s="192" t="s">
        <v>424</v>
      </c>
      <c r="H6" s="190" t="s">
        <v>469</v>
      </c>
    </row>
    <row r="7" spans="1:8" s="142" customFormat="1">
      <c r="A7" s="140"/>
      <c r="B7" s="199" t="s">
        <v>452</v>
      </c>
      <c r="C7" s="200" t="s">
        <v>453</v>
      </c>
      <c r="D7" s="200" t="s">
        <v>454</v>
      </c>
      <c r="E7" s="201" t="s">
        <v>455</v>
      </c>
      <c r="F7" s="200" t="s">
        <v>456</v>
      </c>
      <c r="G7" s="202" t="s">
        <v>457</v>
      </c>
      <c r="H7" s="200" t="s">
        <v>459</v>
      </c>
    </row>
    <row r="8" spans="1:8">
      <c r="A8" s="112" t="s">
        <v>95</v>
      </c>
    </row>
    <row r="9" spans="1:8">
      <c r="A9" s="116"/>
      <c r="B9" s="117" t="s">
        <v>96</v>
      </c>
      <c r="C9" s="148">
        <f>'Schedule 3A - 2025'!F9</f>
        <v>444911.51999999996</v>
      </c>
      <c r="D9" s="148">
        <v>0</v>
      </c>
      <c r="E9" s="148"/>
      <c r="F9" s="148">
        <f t="shared" ref="F9:F14" si="0">C9+D9-E9</f>
        <v>444911.51999999996</v>
      </c>
      <c r="G9" s="143">
        <v>0</v>
      </c>
      <c r="H9" s="148">
        <f t="shared" ref="H9:H14" si="1">IFERROR(C9/G9+D9/G9/2,0)</f>
        <v>0</v>
      </c>
    </row>
    <row r="10" spans="1:8">
      <c r="A10" s="116"/>
      <c r="B10" s="117" t="s">
        <v>97</v>
      </c>
      <c r="C10" s="148">
        <f>'Schedule 3A - 2025'!F10</f>
        <v>27680.47</v>
      </c>
      <c r="D10" s="148">
        <v>0</v>
      </c>
      <c r="E10" s="148"/>
      <c r="F10" s="148">
        <f t="shared" si="0"/>
        <v>27680.47</v>
      </c>
      <c r="G10" s="143">
        <v>0</v>
      </c>
      <c r="H10" s="148">
        <f t="shared" si="1"/>
        <v>0</v>
      </c>
    </row>
    <row r="11" spans="1:8">
      <c r="A11" s="116"/>
      <c r="B11" s="117" t="s">
        <v>98</v>
      </c>
      <c r="C11" s="148">
        <f>'Schedule 3A - 2025'!F11</f>
        <v>576862.49</v>
      </c>
      <c r="D11" s="148">
        <v>0</v>
      </c>
      <c r="E11" s="148"/>
      <c r="F11" s="148">
        <f t="shared" si="0"/>
        <v>576862.49</v>
      </c>
      <c r="G11" s="143">
        <v>0</v>
      </c>
      <c r="H11" s="148">
        <f t="shared" si="1"/>
        <v>0</v>
      </c>
    </row>
    <row r="12" spans="1:8">
      <c r="A12" s="116"/>
      <c r="B12" s="117" t="s">
        <v>132</v>
      </c>
      <c r="C12" s="148">
        <f>'Schedule 3A - 2025'!F12</f>
        <v>17775.009999999998</v>
      </c>
      <c r="D12" s="148">
        <v>0</v>
      </c>
      <c r="E12" s="148"/>
      <c r="F12" s="148">
        <f t="shared" si="0"/>
        <v>17775.009999999998</v>
      </c>
      <c r="G12" s="143">
        <v>0</v>
      </c>
      <c r="H12" s="148">
        <f t="shared" si="1"/>
        <v>0</v>
      </c>
    </row>
    <row r="13" spans="1:8">
      <c r="A13" s="116"/>
      <c r="B13" s="117" t="s">
        <v>99</v>
      </c>
      <c r="C13" s="148">
        <f>'Schedule 3A - 2025'!F13</f>
        <v>547992.46000000008</v>
      </c>
      <c r="D13" s="148">
        <v>0</v>
      </c>
      <c r="E13" s="148"/>
      <c r="F13" s="148">
        <f t="shared" si="0"/>
        <v>547992.46000000008</v>
      </c>
      <c r="G13" s="143">
        <v>0</v>
      </c>
      <c r="H13" s="148">
        <f t="shared" si="1"/>
        <v>0</v>
      </c>
    </row>
    <row r="14" spans="1:8">
      <c r="A14" s="116"/>
      <c r="B14" s="117" t="s">
        <v>100</v>
      </c>
      <c r="C14" s="148">
        <f>'Schedule 3A - 2025'!F14</f>
        <v>76866.888000000006</v>
      </c>
      <c r="D14" s="148">
        <v>0</v>
      </c>
      <c r="E14" s="148">
        <f>H14</f>
        <v>1537.3377600000001</v>
      </c>
      <c r="F14" s="148">
        <f t="shared" si="0"/>
        <v>75329.550240000011</v>
      </c>
      <c r="G14" s="143">
        <v>50</v>
      </c>
      <c r="H14" s="148">
        <f t="shared" si="1"/>
        <v>1537.3377600000001</v>
      </c>
    </row>
    <row r="15" spans="1:8">
      <c r="A15" s="116"/>
      <c r="B15" s="117" t="s">
        <v>313</v>
      </c>
      <c r="C15" s="149"/>
      <c r="D15" s="149"/>
      <c r="E15" s="149"/>
      <c r="F15" s="149"/>
      <c r="G15" s="118"/>
      <c r="H15" s="149">
        <v>-12.96</v>
      </c>
    </row>
    <row r="16" spans="1:8" s="121" customFormat="1" ht="18.75" customHeight="1">
      <c r="A16" s="112" t="s">
        <v>101</v>
      </c>
      <c r="B16" s="112"/>
      <c r="C16" s="150">
        <f>SUBTOTAL(9,C9:C15)</f>
        <v>1692088.8380000002</v>
      </c>
      <c r="D16" s="150">
        <f>SUBTOTAL(9,D9:D15)</f>
        <v>0</v>
      </c>
      <c r="E16" s="150">
        <f>SUBTOTAL(9,E9:E15)</f>
        <v>1537.3377600000001</v>
      </c>
      <c r="F16" s="150">
        <f>SUBTOTAL(9,F9:F15)</f>
        <v>1690551.5002400002</v>
      </c>
      <c r="G16" s="120"/>
      <c r="H16" s="150">
        <f>SUBTOTAL(9,H9:H15)</f>
        <v>1524.3777600000001</v>
      </c>
    </row>
    <row r="17" spans="1:8">
      <c r="C17" s="151"/>
      <c r="D17" s="151"/>
      <c r="E17" s="151"/>
      <c r="F17" s="151"/>
      <c r="G17" s="122"/>
      <c r="H17" s="151"/>
    </row>
    <row r="18" spans="1:8">
      <c r="A18" s="112" t="s">
        <v>102</v>
      </c>
      <c r="C18" s="151"/>
      <c r="D18" s="151"/>
      <c r="E18" s="151"/>
      <c r="F18" s="151"/>
      <c r="G18" s="122"/>
      <c r="H18" s="151"/>
    </row>
    <row r="19" spans="1:8">
      <c r="A19" s="123"/>
      <c r="B19" s="117" t="s">
        <v>103</v>
      </c>
      <c r="C19" s="148">
        <f>'Schedule 3A - 2025'!F19</f>
        <v>62789341.460000001</v>
      </c>
      <c r="D19" s="148">
        <v>109763162.62</v>
      </c>
      <c r="E19" s="148"/>
      <c r="F19" s="148">
        <f t="shared" ref="F19:F28" si="2">C19+D19-E19</f>
        <v>172552504.08000001</v>
      </c>
      <c r="G19" s="143">
        <v>72</v>
      </c>
      <c r="H19" s="148">
        <f t="shared" ref="H19:H28" si="3">IFERROR(C19/G19+D19/G19/2,0)</f>
        <v>1634318.3718055557</v>
      </c>
    </row>
    <row r="20" spans="1:8">
      <c r="A20" s="123"/>
      <c r="B20" s="117" t="s">
        <v>110</v>
      </c>
      <c r="C20" s="148">
        <f>'Schedule 3A - 2025'!F20</f>
        <v>10278688.460000001</v>
      </c>
      <c r="D20" s="148">
        <v>0</v>
      </c>
      <c r="E20" s="148"/>
      <c r="F20" s="148">
        <f t="shared" si="2"/>
        <v>10278688.460000001</v>
      </c>
      <c r="G20" s="143">
        <v>40</v>
      </c>
      <c r="H20" s="148">
        <f t="shared" si="3"/>
        <v>256967.21150000003</v>
      </c>
    </row>
    <row r="21" spans="1:8">
      <c r="A21" s="123"/>
      <c r="B21" s="117" t="s">
        <v>104</v>
      </c>
      <c r="C21" s="148">
        <f>'Schedule 3A - 2025'!F21</f>
        <v>167438804.67000002</v>
      </c>
      <c r="D21" s="148">
        <v>1200000</v>
      </c>
      <c r="E21" s="148"/>
      <c r="F21" s="148">
        <f t="shared" si="2"/>
        <v>168638804.67000002</v>
      </c>
      <c r="G21" s="143">
        <v>103</v>
      </c>
      <c r="H21" s="148">
        <f t="shared" si="3"/>
        <v>1631444.7055339806</v>
      </c>
    </row>
    <row r="22" spans="1:8">
      <c r="A22" s="123"/>
      <c r="B22" s="117" t="s">
        <v>353</v>
      </c>
      <c r="C22" s="148">
        <f>'Schedule 3A - 2025'!F22</f>
        <v>6711437.5</v>
      </c>
      <c r="D22" s="148">
        <v>0</v>
      </c>
      <c r="E22" s="148"/>
      <c r="F22" s="148">
        <f t="shared" si="2"/>
        <v>6711437.5</v>
      </c>
      <c r="G22" s="143">
        <v>103</v>
      </c>
      <c r="H22" s="148">
        <f t="shared" si="3"/>
        <v>65159.587378640776</v>
      </c>
    </row>
    <row r="23" spans="1:8">
      <c r="A23" s="123"/>
      <c r="B23" s="117" t="s">
        <v>293</v>
      </c>
      <c r="C23" s="148">
        <f>'Schedule 3A - 2025'!F23</f>
        <v>13677670.189999999</v>
      </c>
      <c r="D23" s="148">
        <v>0</v>
      </c>
      <c r="E23" s="148"/>
      <c r="F23" s="148">
        <f t="shared" si="2"/>
        <v>13677670.189999999</v>
      </c>
      <c r="G23" s="143">
        <v>10</v>
      </c>
      <c r="H23" s="148">
        <f t="shared" si="3"/>
        <v>1367767.0189999999</v>
      </c>
    </row>
    <row r="24" spans="1:8">
      <c r="A24" s="123"/>
      <c r="B24" s="117" t="s">
        <v>105</v>
      </c>
      <c r="C24" s="148">
        <f>'Schedule 3A - 2025'!F24</f>
        <v>28222837.399999995</v>
      </c>
      <c r="D24" s="148">
        <v>0</v>
      </c>
      <c r="E24" s="148"/>
      <c r="F24" s="148">
        <f t="shared" si="2"/>
        <v>28222837.399999995</v>
      </c>
      <c r="G24" s="143">
        <v>85</v>
      </c>
      <c r="H24" s="148">
        <f t="shared" si="3"/>
        <v>332033.38117647055</v>
      </c>
    </row>
    <row r="25" spans="1:8">
      <c r="A25" s="123"/>
      <c r="B25" s="117" t="s">
        <v>106</v>
      </c>
      <c r="C25" s="148">
        <f>'Schedule 3A - 2025'!F25</f>
        <v>27401092.300000001</v>
      </c>
      <c r="D25" s="148">
        <v>0</v>
      </c>
      <c r="E25" s="148"/>
      <c r="F25" s="148">
        <f t="shared" si="2"/>
        <v>27401092.300000001</v>
      </c>
      <c r="G25" s="143">
        <v>40</v>
      </c>
      <c r="H25" s="148">
        <f t="shared" si="3"/>
        <v>685027.3075</v>
      </c>
    </row>
    <row r="26" spans="1:8">
      <c r="A26" s="123"/>
      <c r="B26" s="117" t="s">
        <v>311</v>
      </c>
      <c r="C26" s="148">
        <f>'Schedule 3A - 2025'!F26</f>
        <v>858680.05</v>
      </c>
      <c r="D26" s="148">
        <v>0</v>
      </c>
      <c r="E26" s="148"/>
      <c r="F26" s="148">
        <f t="shared" si="2"/>
        <v>858680.05</v>
      </c>
      <c r="G26" s="143">
        <v>20</v>
      </c>
      <c r="H26" s="148">
        <f t="shared" si="3"/>
        <v>42934.002500000002</v>
      </c>
    </row>
    <row r="27" spans="1:8">
      <c r="A27" s="123"/>
      <c r="B27" s="117" t="s">
        <v>107</v>
      </c>
      <c r="C27" s="148">
        <f>'Schedule 3A - 2025'!F27</f>
        <v>13661985.700000003</v>
      </c>
      <c r="D27" s="148">
        <v>1531955.54</v>
      </c>
      <c r="E27" s="148"/>
      <c r="F27" s="148">
        <f t="shared" si="2"/>
        <v>15193941.240000002</v>
      </c>
      <c r="G27" s="143">
        <v>30</v>
      </c>
      <c r="H27" s="148">
        <f t="shared" si="3"/>
        <v>480932.11566666677</v>
      </c>
    </row>
    <row r="28" spans="1:8">
      <c r="A28" s="123"/>
      <c r="B28" s="117" t="s">
        <v>108</v>
      </c>
      <c r="C28" s="148">
        <f>'Schedule 3A - 2025'!F28</f>
        <v>107086</v>
      </c>
      <c r="D28" s="148">
        <v>0</v>
      </c>
      <c r="E28" s="148"/>
      <c r="F28" s="148">
        <f t="shared" si="2"/>
        <v>107086</v>
      </c>
      <c r="G28" s="143">
        <v>30</v>
      </c>
      <c r="H28" s="148">
        <f t="shared" si="3"/>
        <v>3569.5333333333333</v>
      </c>
    </row>
    <row r="29" spans="1:8">
      <c r="A29" s="123"/>
      <c r="B29" s="117" t="s">
        <v>313</v>
      </c>
      <c r="C29" s="149"/>
      <c r="D29" s="149"/>
      <c r="E29" s="149"/>
      <c r="F29" s="149"/>
      <c r="G29" s="144"/>
      <c r="H29" s="149">
        <v>-140295.96</v>
      </c>
    </row>
    <row r="30" spans="1:8" s="121" customFormat="1">
      <c r="A30" s="112" t="s">
        <v>109</v>
      </c>
      <c r="B30" s="112"/>
      <c r="C30" s="150">
        <f>SUBTOTAL(9,C19:C29)</f>
        <v>331147623.73000002</v>
      </c>
      <c r="D30" s="150">
        <f>SUBTOTAL(9,D19:D29)</f>
        <v>112495118.16000001</v>
      </c>
      <c r="E30" s="150">
        <f>SUBTOTAL(9,E19:E29)</f>
        <v>0</v>
      </c>
      <c r="F30" s="150">
        <f>SUBTOTAL(9,F19:F29)</f>
        <v>443642741.89000005</v>
      </c>
      <c r="G30" s="119"/>
      <c r="H30" s="150">
        <f>SUBTOTAL(9,H19:H29)</f>
        <v>6359857.2753946483</v>
      </c>
    </row>
    <row r="31" spans="1:8">
      <c r="C31" s="151"/>
      <c r="D31" s="151"/>
      <c r="E31" s="151"/>
      <c r="F31" s="151"/>
      <c r="G31" s="122"/>
      <c r="H31" s="151"/>
    </row>
    <row r="32" spans="1:8">
      <c r="A32" s="112" t="s">
        <v>97</v>
      </c>
      <c r="C32" s="151"/>
      <c r="D32" s="151"/>
      <c r="E32" s="151"/>
      <c r="F32" s="151"/>
      <c r="G32" s="122"/>
      <c r="H32" s="151"/>
    </row>
    <row r="33" spans="1:8">
      <c r="A33" s="123"/>
      <c r="B33" s="117" t="s">
        <v>103</v>
      </c>
      <c r="C33" s="148">
        <f>'Schedule 3A - 2025'!F33</f>
        <v>6848082.21</v>
      </c>
      <c r="D33" s="148">
        <v>0</v>
      </c>
      <c r="E33" s="148"/>
      <c r="F33" s="148">
        <f t="shared" ref="F33:F40" si="4">C33+D33-E33</f>
        <v>6848082.21</v>
      </c>
      <c r="G33" s="143">
        <v>72</v>
      </c>
      <c r="H33" s="148">
        <f t="shared" ref="H33:H40" si="5">IFERROR(C33/G33+D33/G33/2,0)</f>
        <v>95112.252916666665</v>
      </c>
    </row>
    <row r="34" spans="1:8">
      <c r="A34" s="123"/>
      <c r="B34" s="117" t="s">
        <v>110</v>
      </c>
      <c r="C34" s="148">
        <f>'Schedule 3A - 2025'!F34</f>
        <v>474668.13</v>
      </c>
      <c r="D34" s="148">
        <v>0</v>
      </c>
      <c r="E34" s="148"/>
      <c r="F34" s="148">
        <f t="shared" si="4"/>
        <v>474668.13</v>
      </c>
      <c r="G34" s="143">
        <v>55</v>
      </c>
      <c r="H34" s="148">
        <f t="shared" si="5"/>
        <v>8630.3296363636364</v>
      </c>
    </row>
    <row r="35" spans="1:8">
      <c r="A35" s="123"/>
      <c r="B35" s="117" t="s">
        <v>111</v>
      </c>
      <c r="C35" s="148">
        <f>'Schedule 3A - 2025'!F35</f>
        <v>2735507.95</v>
      </c>
      <c r="D35" s="148">
        <v>100000</v>
      </c>
      <c r="E35" s="148"/>
      <c r="F35" s="148">
        <f t="shared" si="4"/>
        <v>2835507.95</v>
      </c>
      <c r="G35" s="143">
        <v>40</v>
      </c>
      <c r="H35" s="148">
        <f t="shared" si="5"/>
        <v>69637.69875000001</v>
      </c>
    </row>
    <row r="36" spans="1:8">
      <c r="A36" s="123"/>
      <c r="B36" s="117" t="s">
        <v>112</v>
      </c>
      <c r="C36" s="148">
        <f>'Schedule 3A - 2025'!F36</f>
        <v>75845134.159999996</v>
      </c>
      <c r="D36" s="148">
        <v>190000</v>
      </c>
      <c r="E36" s="148"/>
      <c r="F36" s="148">
        <f t="shared" si="4"/>
        <v>76035134.159999996</v>
      </c>
      <c r="G36" s="143">
        <v>40</v>
      </c>
      <c r="H36" s="148">
        <f t="shared" si="5"/>
        <v>1898503.3539999998</v>
      </c>
    </row>
    <row r="37" spans="1:8">
      <c r="A37" s="123"/>
      <c r="B37" s="117" t="s">
        <v>293</v>
      </c>
      <c r="C37" s="148">
        <f>'Schedule 3A - 2025'!F37</f>
        <v>3937780.46</v>
      </c>
      <c r="D37" s="148">
        <v>0</v>
      </c>
      <c r="E37" s="148"/>
      <c r="F37" s="148">
        <f t="shared" si="4"/>
        <v>3937780.46</v>
      </c>
      <c r="G37" s="143">
        <v>5</v>
      </c>
      <c r="H37" s="148">
        <f t="shared" si="5"/>
        <v>787556.09199999995</v>
      </c>
    </row>
    <row r="38" spans="1:8">
      <c r="A38" s="123"/>
      <c r="B38" s="117" t="s">
        <v>312</v>
      </c>
      <c r="C38" s="148">
        <f>'Schedule 3A - 2025'!F38</f>
        <v>243547.65000000002</v>
      </c>
      <c r="D38" s="148">
        <v>0</v>
      </c>
      <c r="E38" s="148"/>
      <c r="F38" s="148">
        <f t="shared" si="4"/>
        <v>243547.65000000002</v>
      </c>
      <c r="G38" s="143">
        <v>12</v>
      </c>
      <c r="H38" s="148">
        <f t="shared" si="5"/>
        <v>20295.637500000001</v>
      </c>
    </row>
    <row r="39" spans="1:8">
      <c r="A39" s="123"/>
      <c r="B39" s="117" t="s">
        <v>106</v>
      </c>
      <c r="C39" s="148">
        <f>'Schedule 3A - 2025'!F39</f>
        <v>9040987.5399999991</v>
      </c>
      <c r="D39" s="148">
        <v>0</v>
      </c>
      <c r="E39" s="148"/>
      <c r="F39" s="148">
        <f t="shared" si="4"/>
        <v>9040987.5399999991</v>
      </c>
      <c r="G39" s="143">
        <v>45</v>
      </c>
      <c r="H39" s="148">
        <f t="shared" si="5"/>
        <v>200910.83422222221</v>
      </c>
    </row>
    <row r="40" spans="1:8">
      <c r="A40" s="123"/>
      <c r="B40" s="117" t="s">
        <v>107</v>
      </c>
      <c r="C40" s="148">
        <f>'Schedule 3A - 2025'!F40</f>
        <v>1949382.7200000002</v>
      </c>
      <c r="D40" s="148">
        <v>0</v>
      </c>
      <c r="E40" s="148"/>
      <c r="F40" s="148">
        <f t="shared" si="4"/>
        <v>1949382.7200000002</v>
      </c>
      <c r="G40" s="143">
        <v>30</v>
      </c>
      <c r="H40" s="148">
        <f t="shared" si="5"/>
        <v>64979.424000000006</v>
      </c>
    </row>
    <row r="41" spans="1:8">
      <c r="A41" s="123"/>
      <c r="B41" s="117" t="s">
        <v>313</v>
      </c>
      <c r="C41" s="149"/>
      <c r="D41" s="149"/>
      <c r="E41" s="149"/>
      <c r="F41" s="149"/>
      <c r="G41" s="118"/>
      <c r="H41" s="149">
        <v>-66276.72</v>
      </c>
    </row>
    <row r="42" spans="1:8" s="121" customFormat="1" ht="18.75" customHeight="1">
      <c r="A42" s="112" t="s">
        <v>113</v>
      </c>
      <c r="B42" s="112"/>
      <c r="C42" s="150">
        <f>SUBTOTAL(9,C33:C41)</f>
        <v>101075090.81999999</v>
      </c>
      <c r="D42" s="150">
        <f>SUBTOTAL(9,D33:D41)</f>
        <v>290000</v>
      </c>
      <c r="E42" s="150">
        <f>SUBTOTAL(9,E33:E41)</f>
        <v>0</v>
      </c>
      <c r="F42" s="150">
        <f>SUBTOTAL(9,F33:F41)</f>
        <v>101365090.81999999</v>
      </c>
      <c r="G42" s="120"/>
      <c r="H42" s="150">
        <f>SUBTOTAL(9,H33:H41)</f>
        <v>3079348.9030252523</v>
      </c>
    </row>
    <row r="43" spans="1:8">
      <c r="C43" s="151"/>
      <c r="D43" s="151"/>
      <c r="E43" s="151"/>
      <c r="F43" s="151"/>
      <c r="G43" s="122"/>
      <c r="H43" s="151"/>
    </row>
    <row r="44" spans="1:8">
      <c r="A44" s="112" t="s">
        <v>114</v>
      </c>
      <c r="C44" s="151"/>
      <c r="D44" s="151"/>
      <c r="E44" s="151"/>
      <c r="F44" s="151"/>
      <c r="G44" s="122"/>
      <c r="H44" s="151"/>
    </row>
    <row r="45" spans="1:8">
      <c r="A45" s="123"/>
      <c r="B45" s="117" t="s">
        <v>114</v>
      </c>
      <c r="C45" s="149">
        <f>'Schedule 3A - 2025'!F45</f>
        <v>0</v>
      </c>
      <c r="D45" s="149">
        <v>0</v>
      </c>
      <c r="E45" s="149"/>
      <c r="F45" s="149">
        <f>C45+D45-E45</f>
        <v>0</v>
      </c>
      <c r="G45" s="144">
        <v>0</v>
      </c>
      <c r="H45" s="149">
        <v>0</v>
      </c>
    </row>
    <row r="46" spans="1:8" s="121" customFormat="1" ht="18.75" customHeight="1">
      <c r="A46" s="112" t="s">
        <v>115</v>
      </c>
      <c r="B46" s="112"/>
      <c r="C46" s="150">
        <f>C45</f>
        <v>0</v>
      </c>
      <c r="D46" s="150">
        <f>D45</f>
        <v>0</v>
      </c>
      <c r="E46" s="150">
        <f>E45</f>
        <v>0</v>
      </c>
      <c r="F46" s="150">
        <f>F45</f>
        <v>0</v>
      </c>
      <c r="G46" s="120"/>
      <c r="H46" s="150">
        <f>SUBTOTAL(9,H45)</f>
        <v>0</v>
      </c>
    </row>
    <row r="47" spans="1:8">
      <c r="C47" s="151"/>
      <c r="D47" s="151"/>
      <c r="E47" s="151"/>
      <c r="F47" s="151"/>
      <c r="G47" s="122"/>
      <c r="H47" s="151"/>
    </row>
    <row r="48" spans="1:8">
      <c r="A48" s="112" t="s">
        <v>98</v>
      </c>
      <c r="C48" s="151"/>
      <c r="D48" s="151"/>
      <c r="E48" s="151"/>
      <c r="F48" s="151"/>
      <c r="G48" s="122"/>
      <c r="H48" s="151"/>
    </row>
    <row r="49" spans="1:8">
      <c r="A49" s="123"/>
      <c r="B49" s="117" t="s">
        <v>116</v>
      </c>
      <c r="C49" s="148">
        <f>'Schedule 3A - 2025'!F49</f>
        <v>84408100.009999961</v>
      </c>
      <c r="D49" s="148">
        <v>300000</v>
      </c>
      <c r="E49" s="148"/>
      <c r="F49" s="148">
        <f t="shared" ref="F49:F59" si="6">C49+D49-E49</f>
        <v>84708100.009999961</v>
      </c>
      <c r="G49" s="143">
        <v>65</v>
      </c>
      <c r="H49" s="148">
        <f t="shared" ref="H49:H59" si="7">IFERROR(C49/G49+D49/G49/2,0)</f>
        <v>1300893.8463076917</v>
      </c>
    </row>
    <row r="50" spans="1:8">
      <c r="A50" s="123"/>
      <c r="B50" s="117" t="s">
        <v>117</v>
      </c>
      <c r="C50" s="148">
        <f>'Schedule 3A - 2025'!F50</f>
        <v>16756318.379999999</v>
      </c>
      <c r="D50" s="148">
        <v>0</v>
      </c>
      <c r="E50" s="148"/>
      <c r="F50" s="148">
        <f t="shared" si="6"/>
        <v>16756318.379999999</v>
      </c>
      <c r="G50" s="143">
        <v>60</v>
      </c>
      <c r="H50" s="148">
        <f t="shared" si="7"/>
        <v>279271.973</v>
      </c>
    </row>
    <row r="51" spans="1:8">
      <c r="A51" s="123"/>
      <c r="B51" s="117" t="s">
        <v>118</v>
      </c>
      <c r="C51" s="148">
        <f>'Schedule 3A - 2025'!F51</f>
        <v>4297239.04</v>
      </c>
      <c r="D51" s="148">
        <v>100000</v>
      </c>
      <c r="E51" s="148"/>
      <c r="F51" s="148">
        <f t="shared" si="6"/>
        <v>4397239.04</v>
      </c>
      <c r="G51" s="143">
        <v>60</v>
      </c>
      <c r="H51" s="148">
        <f t="shared" si="7"/>
        <v>72453.983999999997</v>
      </c>
    </row>
    <row r="52" spans="1:8">
      <c r="A52" s="123"/>
      <c r="B52" s="117" t="s">
        <v>119</v>
      </c>
      <c r="C52" s="148">
        <f>'Schedule 3A - 2025'!F52</f>
        <v>22045657.629999995</v>
      </c>
      <c r="D52" s="148">
        <v>0</v>
      </c>
      <c r="E52" s="148"/>
      <c r="F52" s="148">
        <f t="shared" si="6"/>
        <v>22045657.629999995</v>
      </c>
      <c r="G52" s="143">
        <v>60</v>
      </c>
      <c r="H52" s="148">
        <f t="shared" si="7"/>
        <v>367427.62716666661</v>
      </c>
    </row>
    <row r="53" spans="1:8">
      <c r="A53" s="123"/>
      <c r="B53" s="117" t="s">
        <v>120</v>
      </c>
      <c r="C53" s="148">
        <f>'Schedule 3A - 2025'!F53</f>
        <v>277975</v>
      </c>
      <c r="D53" s="148">
        <v>0</v>
      </c>
      <c r="E53" s="148"/>
      <c r="F53" s="148">
        <f t="shared" si="6"/>
        <v>277975</v>
      </c>
      <c r="G53" s="143">
        <v>60</v>
      </c>
      <c r="H53" s="148">
        <f t="shared" si="7"/>
        <v>4632.916666666667</v>
      </c>
    </row>
    <row r="54" spans="1:8">
      <c r="A54" s="123"/>
      <c r="B54" s="117" t="s">
        <v>121</v>
      </c>
      <c r="C54" s="148">
        <f>'Schedule 3A - 2025'!F54</f>
        <v>76646847.119999975</v>
      </c>
      <c r="D54" s="148">
        <v>2030000</v>
      </c>
      <c r="E54" s="148"/>
      <c r="F54" s="148">
        <f t="shared" si="6"/>
        <v>78676847.119999975</v>
      </c>
      <c r="G54" s="143">
        <v>54</v>
      </c>
      <c r="H54" s="148">
        <f t="shared" si="7"/>
        <v>1438182.3540740737</v>
      </c>
    </row>
    <row r="55" spans="1:8">
      <c r="A55" s="123"/>
      <c r="B55" s="117" t="s">
        <v>330</v>
      </c>
      <c r="C55" s="148">
        <f>'Schedule 3A - 2025'!F55</f>
        <v>10688553.15</v>
      </c>
      <c r="D55" s="148">
        <v>0</v>
      </c>
      <c r="E55" s="148"/>
      <c r="F55" s="148">
        <f t="shared" si="6"/>
        <v>10688553.15</v>
      </c>
      <c r="G55" s="143">
        <v>10</v>
      </c>
      <c r="H55" s="148">
        <f t="shared" si="7"/>
        <v>1068855.3149999999</v>
      </c>
    </row>
    <row r="56" spans="1:8">
      <c r="A56" s="123"/>
      <c r="B56" s="117" t="s">
        <v>333</v>
      </c>
      <c r="C56" s="148">
        <f>'Schedule 3A - 2025'!F56</f>
        <v>13991451.050000001</v>
      </c>
      <c r="D56" s="148">
        <v>0</v>
      </c>
      <c r="E56" s="148"/>
      <c r="F56" s="148">
        <f t="shared" si="6"/>
        <v>13991451.050000001</v>
      </c>
      <c r="G56" s="143">
        <v>10</v>
      </c>
      <c r="H56" s="148">
        <f t="shared" si="7"/>
        <v>1399145.105</v>
      </c>
    </row>
    <row r="57" spans="1:8">
      <c r="A57" s="123"/>
      <c r="B57" s="117" t="s">
        <v>334</v>
      </c>
      <c r="C57" s="148">
        <f>'Schedule 3A - 2025'!F57</f>
        <v>848040.31</v>
      </c>
      <c r="D57" s="148">
        <v>0</v>
      </c>
      <c r="E57" s="148"/>
      <c r="F57" s="148">
        <f t="shared" si="6"/>
        <v>848040.31</v>
      </c>
      <c r="G57" s="143">
        <v>10</v>
      </c>
      <c r="H57" s="148">
        <f t="shared" si="7"/>
        <v>84804.031000000003</v>
      </c>
    </row>
    <row r="58" spans="1:8">
      <c r="A58" s="123"/>
      <c r="B58" s="117" t="s">
        <v>122</v>
      </c>
      <c r="C58" s="148">
        <f>'Schedule 3A - 2025'!F58</f>
        <v>8907593.5500000007</v>
      </c>
      <c r="D58" s="148">
        <v>0</v>
      </c>
      <c r="E58" s="148"/>
      <c r="F58" s="148">
        <f t="shared" si="6"/>
        <v>8907593.5500000007</v>
      </c>
      <c r="G58" s="143">
        <v>55</v>
      </c>
      <c r="H58" s="148">
        <f t="shared" si="7"/>
        <v>161956.24636363637</v>
      </c>
    </row>
    <row r="59" spans="1:8">
      <c r="A59" s="123"/>
      <c r="B59" s="117" t="s">
        <v>123</v>
      </c>
      <c r="C59" s="148">
        <f>'Schedule 3A - 2025'!F59</f>
        <v>274477.45</v>
      </c>
      <c r="D59" s="148">
        <v>0</v>
      </c>
      <c r="E59" s="148"/>
      <c r="F59" s="148">
        <f t="shared" si="6"/>
        <v>274477.45</v>
      </c>
      <c r="G59" s="143">
        <v>30</v>
      </c>
      <c r="H59" s="148">
        <f t="shared" si="7"/>
        <v>9149.248333333333</v>
      </c>
    </row>
    <row r="60" spans="1:8">
      <c r="A60" s="123"/>
      <c r="B60" s="117" t="s">
        <v>313</v>
      </c>
      <c r="C60" s="149"/>
      <c r="D60" s="149"/>
      <c r="E60" s="149"/>
      <c r="F60" s="149"/>
      <c r="G60" s="144"/>
      <c r="H60" s="149">
        <v>-79596.960000000006</v>
      </c>
    </row>
    <row r="61" spans="1:8" s="121" customFormat="1" ht="18" customHeight="1">
      <c r="A61" s="112" t="s">
        <v>124</v>
      </c>
      <c r="B61" s="112"/>
      <c r="C61" s="150">
        <f>SUBTOTAL(9,C49:C60)</f>
        <v>239142252.68999997</v>
      </c>
      <c r="D61" s="150">
        <f>SUBTOTAL(9,D49:D60)</f>
        <v>2430000</v>
      </c>
      <c r="E61" s="150">
        <f>SUBTOTAL(9,E49:E60)</f>
        <v>0</v>
      </c>
      <c r="F61" s="150">
        <f>SUBTOTAL(9,F49:F60)</f>
        <v>241572252.68999997</v>
      </c>
      <c r="G61" s="120"/>
      <c r="H61" s="150">
        <f>SUBTOTAL(9,H49:H60)</f>
        <v>6107175.6869120691</v>
      </c>
    </row>
    <row r="62" spans="1:8">
      <c r="C62" s="151"/>
      <c r="D62" s="151"/>
      <c r="E62" s="151"/>
      <c r="F62" s="151"/>
      <c r="G62" s="122"/>
      <c r="H62" s="151"/>
    </row>
    <row r="63" spans="1:8">
      <c r="A63" s="112" t="s">
        <v>125</v>
      </c>
      <c r="C63" s="151"/>
      <c r="D63" s="151"/>
      <c r="E63" s="151"/>
      <c r="F63" s="151"/>
      <c r="G63" s="122"/>
      <c r="H63" s="151"/>
    </row>
    <row r="64" spans="1:8">
      <c r="A64" s="123"/>
      <c r="B64" s="117" t="s">
        <v>116</v>
      </c>
      <c r="C64" s="148">
        <f>'Schedule 3A - 2025'!F64</f>
        <v>4640086.0399999991</v>
      </c>
      <c r="D64" s="148">
        <v>0</v>
      </c>
      <c r="E64" s="148"/>
      <c r="F64" s="148">
        <f t="shared" ref="F64:F74" si="8">C64+D64-E64</f>
        <v>4640086.0399999991</v>
      </c>
      <c r="G64" s="143">
        <v>65</v>
      </c>
      <c r="H64" s="148">
        <f t="shared" ref="H64:H74" si="9">IFERROR(C64/G64+D64/G64/2,0)</f>
        <v>71385.939076923067</v>
      </c>
    </row>
    <row r="65" spans="1:8">
      <c r="A65" s="123"/>
      <c r="B65" s="117" t="s">
        <v>126</v>
      </c>
      <c r="C65" s="148">
        <f>'Schedule 3A - 2025'!F65</f>
        <v>2646131.54</v>
      </c>
      <c r="D65" s="148">
        <v>0</v>
      </c>
      <c r="E65" s="148"/>
      <c r="F65" s="148">
        <f t="shared" si="8"/>
        <v>2646131.54</v>
      </c>
      <c r="G65" s="143">
        <v>12</v>
      </c>
      <c r="H65" s="148">
        <f t="shared" si="9"/>
        <v>220510.96166666667</v>
      </c>
    </row>
    <row r="66" spans="1:8">
      <c r="A66" s="123"/>
      <c r="B66" s="117" t="s">
        <v>127</v>
      </c>
      <c r="C66" s="148">
        <f>'Schedule 3A - 2025'!F66</f>
        <v>41597.199999999997</v>
      </c>
      <c r="D66" s="148">
        <v>0</v>
      </c>
      <c r="E66" s="148"/>
      <c r="F66" s="148">
        <f t="shared" si="8"/>
        <v>41597.199999999997</v>
      </c>
      <c r="G66" s="143">
        <v>60</v>
      </c>
      <c r="H66" s="148">
        <f t="shared" si="9"/>
        <v>693.28666666666663</v>
      </c>
    </row>
    <row r="67" spans="1:8">
      <c r="A67" s="123"/>
      <c r="B67" s="117" t="s">
        <v>294</v>
      </c>
      <c r="C67" s="148">
        <f>'Schedule 3A - 2025'!F67</f>
        <v>432532.51</v>
      </c>
      <c r="D67" s="148">
        <v>0</v>
      </c>
      <c r="E67" s="148"/>
      <c r="F67" s="148">
        <f t="shared" si="8"/>
        <v>432532.51</v>
      </c>
      <c r="G67" s="143">
        <v>12</v>
      </c>
      <c r="H67" s="148">
        <f t="shared" si="9"/>
        <v>36044.375833333332</v>
      </c>
    </row>
    <row r="68" spans="1:8">
      <c r="A68" s="123"/>
      <c r="B68" s="117" t="s">
        <v>128</v>
      </c>
      <c r="C68" s="148">
        <f>'Schedule 3A - 2025'!F68</f>
        <v>0</v>
      </c>
      <c r="D68" s="148">
        <v>0</v>
      </c>
      <c r="E68" s="148"/>
      <c r="F68" s="148">
        <f t="shared" si="8"/>
        <v>0</v>
      </c>
      <c r="G68" s="143">
        <v>60</v>
      </c>
      <c r="H68" s="148">
        <f t="shared" si="9"/>
        <v>0</v>
      </c>
    </row>
    <row r="69" spans="1:8">
      <c r="A69" s="123"/>
      <c r="B69" s="117" t="s">
        <v>295</v>
      </c>
      <c r="C69" s="148">
        <f>'Schedule 3A - 2025'!F69</f>
        <v>95136.43</v>
      </c>
      <c r="D69" s="148">
        <v>0</v>
      </c>
      <c r="E69" s="148"/>
      <c r="F69" s="148">
        <f t="shared" si="8"/>
        <v>95136.43</v>
      </c>
      <c r="G69" s="143">
        <v>12</v>
      </c>
      <c r="H69" s="148">
        <f t="shared" si="9"/>
        <v>7928.0358333333324</v>
      </c>
    </row>
    <row r="70" spans="1:8">
      <c r="A70" s="123"/>
      <c r="B70" s="117" t="s">
        <v>129</v>
      </c>
      <c r="C70" s="148">
        <f>'Schedule 3A - 2025'!F70</f>
        <v>1837887.92</v>
      </c>
      <c r="D70" s="148">
        <v>0</v>
      </c>
      <c r="E70" s="148"/>
      <c r="F70" s="148">
        <f t="shared" si="8"/>
        <v>1837887.92</v>
      </c>
      <c r="G70" s="143">
        <v>60</v>
      </c>
      <c r="H70" s="148">
        <f t="shared" si="9"/>
        <v>30631.465333333334</v>
      </c>
    </row>
    <row r="71" spans="1:8">
      <c r="A71" s="123"/>
      <c r="B71" s="117" t="s">
        <v>130</v>
      </c>
      <c r="C71" s="148">
        <f>'Schedule 3A - 2025'!F71</f>
        <v>78813.429999999993</v>
      </c>
      <c r="D71" s="148">
        <v>0</v>
      </c>
      <c r="E71" s="148"/>
      <c r="F71" s="148">
        <f t="shared" si="8"/>
        <v>78813.429999999993</v>
      </c>
      <c r="G71" s="143">
        <v>45</v>
      </c>
      <c r="H71" s="148">
        <f t="shared" si="9"/>
        <v>1751.4095555555555</v>
      </c>
    </row>
    <row r="72" spans="1:8">
      <c r="A72" s="123"/>
      <c r="B72" s="117" t="s">
        <v>296</v>
      </c>
      <c r="C72" s="148">
        <f>'Schedule 3A - 2025'!F72</f>
        <v>920692.5</v>
      </c>
      <c r="D72" s="148">
        <v>0</v>
      </c>
      <c r="E72" s="148"/>
      <c r="F72" s="148">
        <f t="shared" si="8"/>
        <v>920692.5</v>
      </c>
      <c r="G72" s="143">
        <v>12</v>
      </c>
      <c r="H72" s="148">
        <f t="shared" si="9"/>
        <v>76724.375</v>
      </c>
    </row>
    <row r="73" spans="1:8">
      <c r="A73" s="123"/>
      <c r="B73" s="117" t="s">
        <v>297</v>
      </c>
      <c r="C73" s="148">
        <f>'Schedule 3A - 2025'!F73</f>
        <v>8380710.3499999996</v>
      </c>
      <c r="D73" s="148">
        <v>100000</v>
      </c>
      <c r="E73" s="148"/>
      <c r="F73" s="148">
        <f t="shared" si="8"/>
        <v>8480710.3499999996</v>
      </c>
      <c r="G73" s="143">
        <v>54</v>
      </c>
      <c r="H73" s="148">
        <f t="shared" si="9"/>
        <v>156124.26574074072</v>
      </c>
    </row>
    <row r="74" spans="1:8">
      <c r="A74" s="123"/>
      <c r="B74" s="117" t="s">
        <v>298</v>
      </c>
      <c r="C74" s="148">
        <f>'Schedule 3A - 2025'!F74</f>
        <v>7111245.04</v>
      </c>
      <c r="D74" s="148">
        <v>0</v>
      </c>
      <c r="E74" s="148"/>
      <c r="F74" s="148">
        <f t="shared" si="8"/>
        <v>7111245.04</v>
      </c>
      <c r="G74" s="143">
        <v>12</v>
      </c>
      <c r="H74" s="148">
        <f t="shared" si="9"/>
        <v>592603.7533333333</v>
      </c>
    </row>
    <row r="75" spans="1:8">
      <c r="A75" s="123"/>
      <c r="B75" s="117" t="s">
        <v>313</v>
      </c>
      <c r="C75" s="149"/>
      <c r="D75" s="149"/>
      <c r="E75" s="149"/>
      <c r="F75" s="149"/>
      <c r="G75" s="144"/>
      <c r="H75" s="149">
        <v>-36367.199999999997</v>
      </c>
    </row>
    <row r="76" spans="1:8" s="121" customFormat="1">
      <c r="A76" s="112" t="s">
        <v>131</v>
      </c>
      <c r="B76" s="112"/>
      <c r="C76" s="150">
        <f>SUBTOTAL(9,C64:C75)</f>
        <v>26184832.959999997</v>
      </c>
      <c r="D76" s="150">
        <f>SUBTOTAL(9,D64:D75)</f>
        <v>100000</v>
      </c>
      <c r="E76" s="150">
        <f>SUBTOTAL(9,E64:E75)</f>
        <v>0</v>
      </c>
      <c r="F76" s="150">
        <f>SUBTOTAL(9,F64:F75)</f>
        <v>26284832.959999997</v>
      </c>
      <c r="G76" s="120"/>
      <c r="H76" s="150">
        <f>SUBTOTAL(9,H64:H75)</f>
        <v>1158030.668039886</v>
      </c>
    </row>
    <row r="77" spans="1:8">
      <c r="C77" s="151"/>
      <c r="D77" s="151"/>
      <c r="E77" s="151"/>
      <c r="F77" s="151"/>
      <c r="G77" s="122"/>
      <c r="H77" s="151"/>
    </row>
    <row r="78" spans="1:8">
      <c r="A78" s="112" t="s">
        <v>132</v>
      </c>
      <c r="C78" s="151"/>
      <c r="D78" s="151"/>
      <c r="E78" s="151"/>
      <c r="F78" s="151"/>
      <c r="G78" s="122"/>
      <c r="H78" s="151"/>
    </row>
    <row r="79" spans="1:8">
      <c r="A79" s="123"/>
      <c r="B79" s="117" t="s">
        <v>116</v>
      </c>
      <c r="C79" s="148">
        <f>'Schedule 3A - 2025'!F79</f>
        <v>22030420.919999998</v>
      </c>
      <c r="D79" s="148">
        <v>2380458.38</v>
      </c>
      <c r="E79" s="148"/>
      <c r="F79" s="148">
        <f t="shared" ref="F79:F94" si="10">C79+D79-E79</f>
        <v>24410879.299999997</v>
      </c>
      <c r="G79" s="143">
        <v>40</v>
      </c>
      <c r="H79" s="148">
        <f t="shared" ref="H79:H94" si="11">IFERROR(C79/G79+D79/G79/2,0)</f>
        <v>580516.25274999999</v>
      </c>
    </row>
    <row r="80" spans="1:8">
      <c r="A80" s="123"/>
      <c r="B80" s="117" t="s">
        <v>117</v>
      </c>
      <c r="C80" s="148">
        <f>'Schedule 3A - 2025'!F80</f>
        <v>44763.01</v>
      </c>
      <c r="D80" s="148">
        <v>0</v>
      </c>
      <c r="E80" s="148"/>
      <c r="F80" s="148">
        <f t="shared" si="10"/>
        <v>44763.01</v>
      </c>
      <c r="G80" s="143">
        <v>50</v>
      </c>
      <c r="H80" s="148">
        <f t="shared" si="11"/>
        <v>895.26020000000005</v>
      </c>
    </row>
    <row r="81" spans="1:8">
      <c r="A81" s="123"/>
      <c r="B81" s="117" t="s">
        <v>128</v>
      </c>
      <c r="C81" s="148">
        <f>'Schedule 3A - 2025'!F81</f>
        <v>662900.07999999984</v>
      </c>
      <c r="D81" s="148">
        <v>0</v>
      </c>
      <c r="E81" s="148"/>
      <c r="F81" s="148">
        <f t="shared" si="10"/>
        <v>662900.07999999984</v>
      </c>
      <c r="G81" s="143">
        <v>50</v>
      </c>
      <c r="H81" s="148">
        <f t="shared" si="11"/>
        <v>13258.001599999996</v>
      </c>
    </row>
    <row r="82" spans="1:8">
      <c r="A82" s="123"/>
      <c r="B82" s="117" t="s">
        <v>133</v>
      </c>
      <c r="C82" s="148">
        <f>'Schedule 3A - 2025'!F82</f>
        <v>6478414.0299999993</v>
      </c>
      <c r="D82" s="148">
        <v>0</v>
      </c>
      <c r="E82" s="148"/>
      <c r="F82" s="148">
        <f t="shared" si="10"/>
        <v>6478414.0299999993</v>
      </c>
      <c r="G82" s="143">
        <v>50</v>
      </c>
      <c r="H82" s="148">
        <f t="shared" si="11"/>
        <v>129568.28059999998</v>
      </c>
    </row>
    <row r="83" spans="1:8">
      <c r="A83" s="123"/>
      <c r="B83" s="117" t="s">
        <v>134</v>
      </c>
      <c r="C83" s="148">
        <f>'Schedule 3A - 2025'!F83</f>
        <v>2619726.4199999981</v>
      </c>
      <c r="D83" s="148">
        <v>0</v>
      </c>
      <c r="E83" s="148"/>
      <c r="F83" s="148">
        <f t="shared" si="10"/>
        <v>2619726.4199999981</v>
      </c>
      <c r="G83" s="143">
        <v>40</v>
      </c>
      <c r="H83" s="148">
        <f t="shared" si="11"/>
        <v>65493.160499999954</v>
      </c>
    </row>
    <row r="84" spans="1:8">
      <c r="A84" s="123"/>
      <c r="B84" s="117" t="s">
        <v>135</v>
      </c>
      <c r="C84" s="148">
        <f>'Schedule 3A - 2025'!F84</f>
        <v>385154.92</v>
      </c>
      <c r="D84" s="148">
        <v>0</v>
      </c>
      <c r="E84" s="148"/>
      <c r="F84" s="148">
        <f t="shared" si="10"/>
        <v>385154.92</v>
      </c>
      <c r="G84" s="143">
        <v>40</v>
      </c>
      <c r="H84" s="148">
        <f t="shared" si="11"/>
        <v>9628.8729999999996</v>
      </c>
    </row>
    <row r="85" spans="1:8">
      <c r="A85" s="123"/>
      <c r="B85" s="117" t="s">
        <v>310</v>
      </c>
      <c r="C85" s="148">
        <f>'Schedule 3A - 2025'!F85</f>
        <v>43376.77</v>
      </c>
      <c r="D85" s="148">
        <v>0</v>
      </c>
      <c r="E85" s="148"/>
      <c r="F85" s="148">
        <f t="shared" si="10"/>
        <v>43376.77</v>
      </c>
      <c r="G85" s="143">
        <v>40</v>
      </c>
      <c r="H85" s="148">
        <f t="shared" si="11"/>
        <v>1084.4192499999999</v>
      </c>
    </row>
    <row r="86" spans="1:8">
      <c r="A86" s="123"/>
      <c r="B86" s="117" t="s">
        <v>136</v>
      </c>
      <c r="C86" s="148">
        <f>'Schedule 3A - 2025'!F86</f>
        <v>0</v>
      </c>
      <c r="D86" s="148">
        <v>0</v>
      </c>
      <c r="E86" s="148"/>
      <c r="F86" s="148">
        <f t="shared" si="10"/>
        <v>0</v>
      </c>
      <c r="G86" s="143">
        <v>0</v>
      </c>
      <c r="H86" s="148">
        <f t="shared" si="11"/>
        <v>0</v>
      </c>
    </row>
    <row r="87" spans="1:8">
      <c r="A87" s="123"/>
      <c r="B87" s="117" t="s">
        <v>137</v>
      </c>
      <c r="C87" s="148">
        <f>'Schedule 3A - 2025'!F87</f>
        <v>312632.61</v>
      </c>
      <c r="D87" s="148">
        <v>0</v>
      </c>
      <c r="E87" s="148"/>
      <c r="F87" s="148">
        <f t="shared" si="10"/>
        <v>312632.61</v>
      </c>
      <c r="G87" s="143">
        <v>16</v>
      </c>
      <c r="H87" s="148">
        <f t="shared" si="11"/>
        <v>19539.538124999999</v>
      </c>
    </row>
    <row r="88" spans="1:8">
      <c r="A88" s="123"/>
      <c r="B88" s="117" t="s">
        <v>138</v>
      </c>
      <c r="C88" s="148">
        <f>'Schedule 3A - 2025'!F88</f>
        <v>288392.19</v>
      </c>
      <c r="D88" s="148">
        <v>0</v>
      </c>
      <c r="E88" s="148"/>
      <c r="F88" s="148">
        <f t="shared" si="10"/>
        <v>288392.19</v>
      </c>
      <c r="G88" s="143">
        <v>16</v>
      </c>
      <c r="H88" s="148">
        <f t="shared" si="11"/>
        <v>18024.511875</v>
      </c>
    </row>
    <row r="89" spans="1:8">
      <c r="A89" s="123"/>
      <c r="B89" s="117" t="s">
        <v>121</v>
      </c>
      <c r="C89" s="148">
        <f>'Schedule 3A - 2025'!F89</f>
        <v>2202066.91</v>
      </c>
      <c r="D89" s="148">
        <v>0</v>
      </c>
      <c r="E89" s="148"/>
      <c r="F89" s="148">
        <f t="shared" si="10"/>
        <v>2202066.91</v>
      </c>
      <c r="G89" s="143">
        <v>40</v>
      </c>
      <c r="H89" s="148">
        <f t="shared" si="11"/>
        <v>55051.672750000005</v>
      </c>
    </row>
    <row r="90" spans="1:8">
      <c r="A90" s="123"/>
      <c r="B90" s="117" t="s">
        <v>122</v>
      </c>
      <c r="C90" s="148">
        <f>'Schedule 3A - 2025'!F90</f>
        <v>64798.340000000004</v>
      </c>
      <c r="D90" s="148">
        <v>0</v>
      </c>
      <c r="E90" s="148"/>
      <c r="F90" s="148">
        <f t="shared" si="10"/>
        <v>64798.340000000004</v>
      </c>
      <c r="G90" s="143">
        <v>55</v>
      </c>
      <c r="H90" s="148">
        <f t="shared" si="11"/>
        <v>1178.1516363636365</v>
      </c>
    </row>
    <row r="91" spans="1:8">
      <c r="A91" s="123"/>
      <c r="B91" s="117" t="s">
        <v>123</v>
      </c>
      <c r="C91" s="148">
        <f>'Schedule 3A - 2025'!F91</f>
        <v>100328.43</v>
      </c>
      <c r="D91" s="148">
        <v>0</v>
      </c>
      <c r="E91" s="148"/>
      <c r="F91" s="148">
        <f t="shared" si="10"/>
        <v>100328.43</v>
      </c>
      <c r="G91" s="143">
        <v>30</v>
      </c>
      <c r="H91" s="148">
        <f t="shared" si="11"/>
        <v>3344.2809999999999</v>
      </c>
    </row>
    <row r="92" spans="1:8">
      <c r="A92" s="123"/>
      <c r="B92" s="117" t="s">
        <v>139</v>
      </c>
      <c r="C92" s="148">
        <f>'Schedule 3A - 2025'!F92</f>
        <v>603366.85</v>
      </c>
      <c r="D92" s="148">
        <v>0</v>
      </c>
      <c r="E92" s="148"/>
      <c r="F92" s="148">
        <f t="shared" si="10"/>
        <v>603366.85</v>
      </c>
      <c r="G92" s="143">
        <v>40</v>
      </c>
      <c r="H92" s="148">
        <f t="shared" si="11"/>
        <v>15084.171249999999</v>
      </c>
    </row>
    <row r="93" spans="1:8">
      <c r="A93" s="123"/>
      <c r="B93" s="117" t="s">
        <v>140</v>
      </c>
      <c r="C93" s="148">
        <f>'Schedule 3A - 2025'!F93</f>
        <v>4042479.1899999995</v>
      </c>
      <c r="D93" s="148">
        <v>0</v>
      </c>
      <c r="E93" s="148"/>
      <c r="F93" s="148">
        <f t="shared" si="10"/>
        <v>4042479.1899999995</v>
      </c>
      <c r="G93" s="143">
        <v>35</v>
      </c>
      <c r="H93" s="148">
        <f t="shared" si="11"/>
        <v>115499.40542857141</v>
      </c>
    </row>
    <row r="94" spans="1:8">
      <c r="A94" s="123"/>
      <c r="B94" s="117" t="s">
        <v>141</v>
      </c>
      <c r="C94" s="148">
        <f>'Schedule 3A - 2025'!F94</f>
        <v>36442.910000000003</v>
      </c>
      <c r="D94" s="148">
        <v>0</v>
      </c>
      <c r="E94" s="148"/>
      <c r="F94" s="148">
        <f t="shared" si="10"/>
        <v>36442.910000000003</v>
      </c>
      <c r="G94" s="143">
        <v>30</v>
      </c>
      <c r="H94" s="148">
        <f t="shared" si="11"/>
        <v>1214.7636666666667</v>
      </c>
    </row>
    <row r="95" spans="1:8">
      <c r="A95" s="123"/>
      <c r="B95" s="117" t="s">
        <v>313</v>
      </c>
      <c r="C95" s="149"/>
      <c r="D95" s="149"/>
      <c r="E95" s="149"/>
      <c r="F95" s="149"/>
      <c r="G95" s="118"/>
      <c r="H95" s="149">
        <v>49978.92</v>
      </c>
    </row>
    <row r="96" spans="1:8" s="121" customFormat="1" ht="18" customHeight="1">
      <c r="A96" s="112" t="s">
        <v>142</v>
      </c>
      <c r="B96" s="112"/>
      <c r="C96" s="150">
        <f>SUBTOTAL(9,C79:C95)</f>
        <v>39915263.579999998</v>
      </c>
      <c r="D96" s="150">
        <f>SUBTOTAL(9,D79:D95)</f>
        <v>2380458.38</v>
      </c>
      <c r="E96" s="150">
        <f>SUBTOTAL(9,E79:E95)</f>
        <v>0</v>
      </c>
      <c r="F96" s="150">
        <f>SUBTOTAL(9,F79:F95)</f>
        <v>42295721.959999993</v>
      </c>
      <c r="G96" s="120"/>
      <c r="H96" s="150">
        <f>SUBTOTAL(9,H79:H95)</f>
        <v>1079359.6636316015</v>
      </c>
    </row>
    <row r="97" spans="1:8">
      <c r="C97" s="152"/>
      <c r="D97" s="152"/>
      <c r="E97" s="152"/>
      <c r="F97" s="152"/>
      <c r="G97" s="124"/>
      <c r="H97" s="152"/>
    </row>
    <row r="98" spans="1:8">
      <c r="A98" s="112" t="s">
        <v>143</v>
      </c>
      <c r="C98" s="151"/>
      <c r="D98" s="151"/>
      <c r="E98" s="151"/>
      <c r="F98" s="151"/>
      <c r="G98" s="122"/>
      <c r="H98" s="151"/>
    </row>
    <row r="99" spans="1:8">
      <c r="A99" s="123"/>
      <c r="B99" s="117" t="s">
        <v>144</v>
      </c>
      <c r="C99" s="148">
        <f>'Schedule 3A - 2025'!F99</f>
        <v>4320.91</v>
      </c>
      <c r="D99" s="148">
        <v>0</v>
      </c>
      <c r="E99" s="148"/>
      <c r="F99" s="148">
        <f t="shared" ref="F99:F111" si="12">C99+D99-E99</f>
        <v>4320.91</v>
      </c>
      <c r="G99" s="143">
        <v>50</v>
      </c>
      <c r="H99" s="148">
        <f t="shared" ref="H99:H111" si="13">IFERROR(C99/G99+D99/G99/2,0)</f>
        <v>86.418199999999999</v>
      </c>
    </row>
    <row r="100" spans="1:8">
      <c r="A100" s="123"/>
      <c r="B100" s="117" t="s">
        <v>145</v>
      </c>
      <c r="C100" s="148">
        <f>'Schedule 3A - 2025'!F100</f>
        <v>5938453.1499999994</v>
      </c>
      <c r="D100" s="148">
        <v>0</v>
      </c>
      <c r="E100" s="148"/>
      <c r="F100" s="148">
        <f t="shared" si="12"/>
        <v>5938453.1499999994</v>
      </c>
      <c r="G100" s="143">
        <v>50</v>
      </c>
      <c r="H100" s="148">
        <f t="shared" si="13"/>
        <v>118769.06299999999</v>
      </c>
    </row>
    <row r="101" spans="1:8">
      <c r="A101" s="123"/>
      <c r="B101" s="117" t="s">
        <v>146</v>
      </c>
      <c r="C101" s="148">
        <f>'Schedule 3A - 2025'!F101</f>
        <v>12676536.230000004</v>
      </c>
      <c r="D101" s="148">
        <v>840000</v>
      </c>
      <c r="E101" s="148"/>
      <c r="F101" s="148">
        <f t="shared" si="12"/>
        <v>13516536.230000004</v>
      </c>
      <c r="G101" s="143">
        <v>55</v>
      </c>
      <c r="H101" s="148">
        <f t="shared" si="13"/>
        <v>238118.84054545464</v>
      </c>
    </row>
    <row r="102" spans="1:8">
      <c r="A102" s="123"/>
      <c r="B102" s="117" t="s">
        <v>147</v>
      </c>
      <c r="C102" s="148">
        <f>'Schedule 3A - 2025'!F102</f>
        <v>2068554.5099999998</v>
      </c>
      <c r="D102" s="148">
        <v>40000</v>
      </c>
      <c r="E102" s="148"/>
      <c r="F102" s="148">
        <f t="shared" si="12"/>
        <v>2108554.5099999998</v>
      </c>
      <c r="G102" s="143">
        <v>20</v>
      </c>
      <c r="H102" s="148">
        <f t="shared" si="13"/>
        <v>104427.72549999999</v>
      </c>
    </row>
    <row r="103" spans="1:8">
      <c r="A103" s="123"/>
      <c r="B103" s="117" t="s">
        <v>148</v>
      </c>
      <c r="C103" s="148">
        <f>'Schedule 3A - 2025'!F103</f>
        <v>19296.990000000002</v>
      </c>
      <c r="D103" s="148">
        <v>0</v>
      </c>
      <c r="E103" s="148"/>
      <c r="F103" s="148">
        <f t="shared" si="12"/>
        <v>19296.990000000002</v>
      </c>
      <c r="G103" s="143">
        <v>40</v>
      </c>
      <c r="H103" s="148">
        <f t="shared" si="13"/>
        <v>482.42475000000002</v>
      </c>
    </row>
    <row r="104" spans="1:8">
      <c r="A104" s="123"/>
      <c r="B104" s="117" t="s">
        <v>149</v>
      </c>
      <c r="C104" s="148">
        <f>'Schedule 3A - 2025'!F104</f>
        <v>174953.86</v>
      </c>
      <c r="D104" s="148">
        <v>25000</v>
      </c>
      <c r="E104" s="148"/>
      <c r="F104" s="148">
        <f t="shared" si="12"/>
        <v>199953.86</v>
      </c>
      <c r="G104" s="143">
        <v>30</v>
      </c>
      <c r="H104" s="148">
        <f t="shared" si="13"/>
        <v>6248.4619999999995</v>
      </c>
    </row>
    <row r="105" spans="1:8">
      <c r="A105" s="123"/>
      <c r="B105" s="117" t="s">
        <v>150</v>
      </c>
      <c r="C105" s="148">
        <f>'Schedule 3A - 2025'!F105</f>
        <v>2711733.3100000005</v>
      </c>
      <c r="D105" s="148">
        <v>485000</v>
      </c>
      <c r="E105" s="148"/>
      <c r="F105" s="148">
        <f t="shared" si="12"/>
        <v>3196733.3100000005</v>
      </c>
      <c r="G105" s="143">
        <v>7</v>
      </c>
      <c r="H105" s="148">
        <f t="shared" si="13"/>
        <v>422033.33000000007</v>
      </c>
    </row>
    <row r="106" spans="1:8">
      <c r="A106" s="123"/>
      <c r="B106" s="117" t="s">
        <v>151</v>
      </c>
      <c r="C106" s="148">
        <f>'Schedule 3A - 2025'!F106</f>
        <v>0</v>
      </c>
      <c r="D106" s="148">
        <v>0</v>
      </c>
      <c r="E106" s="148"/>
      <c r="F106" s="148">
        <f t="shared" si="12"/>
        <v>0</v>
      </c>
      <c r="G106" s="143">
        <v>5</v>
      </c>
      <c r="H106" s="148">
        <f t="shared" si="13"/>
        <v>0</v>
      </c>
    </row>
    <row r="107" spans="1:8">
      <c r="A107" s="123"/>
      <c r="B107" s="117" t="s">
        <v>152</v>
      </c>
      <c r="C107" s="148">
        <f>'Schedule 3A - 2025'!F107</f>
        <v>4385924.3199999984</v>
      </c>
      <c r="D107" s="148">
        <v>1230000</v>
      </c>
      <c r="E107" s="148"/>
      <c r="F107" s="148">
        <f t="shared" si="12"/>
        <v>5615924.3199999984</v>
      </c>
      <c r="G107" s="143">
        <v>20</v>
      </c>
      <c r="H107" s="148">
        <f t="shared" si="13"/>
        <v>250046.21599999993</v>
      </c>
    </row>
    <row r="108" spans="1:8">
      <c r="A108" s="123"/>
      <c r="B108" s="117" t="s">
        <v>136</v>
      </c>
      <c r="C108" s="148">
        <f>'Schedule 3A - 2025'!F108</f>
        <v>0</v>
      </c>
      <c r="D108" s="148">
        <v>0</v>
      </c>
      <c r="E108" s="148"/>
      <c r="F108" s="148">
        <f t="shared" si="12"/>
        <v>0</v>
      </c>
      <c r="G108" s="143">
        <v>15</v>
      </c>
      <c r="H108" s="148">
        <f t="shared" si="13"/>
        <v>0</v>
      </c>
    </row>
    <row r="109" spans="1:8">
      <c r="A109" s="123"/>
      <c r="B109" s="117" t="s">
        <v>153</v>
      </c>
      <c r="C109" s="148">
        <f>'Schedule 3A - 2025'!F109</f>
        <v>5793772.7699999977</v>
      </c>
      <c r="D109" s="148">
        <v>80000</v>
      </c>
      <c r="E109" s="148"/>
      <c r="F109" s="148">
        <f t="shared" si="12"/>
        <v>5873772.7699999977</v>
      </c>
      <c r="G109" s="143">
        <v>20</v>
      </c>
      <c r="H109" s="148">
        <f t="shared" si="13"/>
        <v>291688.63849999988</v>
      </c>
    </row>
    <row r="110" spans="1:8">
      <c r="A110" s="123"/>
      <c r="B110" s="117" t="s">
        <v>154</v>
      </c>
      <c r="C110" s="148">
        <f>'Schedule 3A - 2025'!F110</f>
        <v>59031.369999999995</v>
      </c>
      <c r="D110" s="148">
        <v>0</v>
      </c>
      <c r="E110" s="148"/>
      <c r="F110" s="148">
        <f t="shared" si="12"/>
        <v>59031.369999999995</v>
      </c>
      <c r="G110" s="143">
        <v>40</v>
      </c>
      <c r="H110" s="148">
        <f t="shared" si="13"/>
        <v>1475.7842499999999</v>
      </c>
    </row>
    <row r="111" spans="1:8">
      <c r="A111" s="123"/>
      <c r="B111" s="117" t="s">
        <v>155</v>
      </c>
      <c r="C111" s="148">
        <f>'Schedule 3A - 2025'!F111</f>
        <v>2152408.6399999997</v>
      </c>
      <c r="D111" s="148">
        <v>0</v>
      </c>
      <c r="E111" s="148"/>
      <c r="F111" s="148">
        <f t="shared" si="12"/>
        <v>2152408.6399999997</v>
      </c>
      <c r="G111" s="143">
        <v>40</v>
      </c>
      <c r="H111" s="148">
        <f t="shared" si="13"/>
        <v>53810.215999999993</v>
      </c>
    </row>
    <row r="112" spans="1:8">
      <c r="A112" s="123"/>
      <c r="B112" s="117" t="s">
        <v>313</v>
      </c>
      <c r="C112" s="149"/>
      <c r="D112" s="149"/>
      <c r="E112" s="149"/>
      <c r="F112" s="149"/>
      <c r="G112" s="144"/>
      <c r="H112" s="149">
        <v>-67343.759999999995</v>
      </c>
    </row>
    <row r="113" spans="1:8" s="121" customFormat="1" ht="18" customHeight="1">
      <c r="A113" s="112" t="s">
        <v>156</v>
      </c>
      <c r="B113" s="112"/>
      <c r="C113" s="150">
        <f>SUBTOTAL(9,C99:C112)</f>
        <v>35984986.059999995</v>
      </c>
      <c r="D113" s="150">
        <f>SUBTOTAL(9,D99:D112)</f>
        <v>2700000</v>
      </c>
      <c r="E113" s="150">
        <f>SUBTOTAL(9,E99:E112)</f>
        <v>0</v>
      </c>
      <c r="F113" s="150">
        <f>SUBTOTAL(9,F99:F112)</f>
        <v>38684986.059999995</v>
      </c>
      <c r="G113" s="120"/>
      <c r="H113" s="150">
        <f>SUBTOTAL(9,H99:H112)</f>
        <v>1419843.3587454546</v>
      </c>
    </row>
    <row r="114" spans="1:8">
      <c r="C114" s="152"/>
      <c r="D114" s="152"/>
      <c r="E114" s="152"/>
      <c r="F114" s="152"/>
      <c r="G114" s="126"/>
      <c r="H114" s="152"/>
    </row>
    <row r="115" spans="1:8">
      <c r="A115" s="112" t="s">
        <v>157</v>
      </c>
      <c r="C115" s="151"/>
      <c r="D115" s="151"/>
      <c r="E115" s="151"/>
      <c r="F115" s="151"/>
      <c r="G115" s="122"/>
      <c r="H115" s="151"/>
    </row>
    <row r="116" spans="1:8">
      <c r="A116" s="123"/>
      <c r="B116" s="117" t="s">
        <v>158</v>
      </c>
      <c r="C116" s="148">
        <f>'Schedule 3A - 2025'!F116</f>
        <v>458414.00999999995</v>
      </c>
      <c r="D116" s="148">
        <v>50000</v>
      </c>
      <c r="E116" s="148"/>
      <c r="F116" s="148">
        <f t="shared" ref="F116:F122" si="14">C116+D116-E116</f>
        <v>508414.00999999995</v>
      </c>
      <c r="G116" s="143">
        <v>8</v>
      </c>
      <c r="H116" s="148">
        <f t="shared" ref="H116:H122" si="15">IFERROR(C116/G116+D116/G116/2,0)</f>
        <v>60426.751249999994</v>
      </c>
    </row>
    <row r="117" spans="1:8">
      <c r="A117" s="123"/>
      <c r="B117" s="117" t="s">
        <v>159</v>
      </c>
      <c r="C117" s="148">
        <f>'Schedule 3A - 2025'!F117</f>
        <v>211681.52</v>
      </c>
      <c r="D117" s="148">
        <v>0</v>
      </c>
      <c r="E117" s="148"/>
      <c r="F117" s="148">
        <f t="shared" si="14"/>
        <v>211681.52</v>
      </c>
      <c r="G117" s="143">
        <v>11</v>
      </c>
      <c r="H117" s="148">
        <f t="shared" si="15"/>
        <v>19243.774545454544</v>
      </c>
    </row>
    <row r="118" spans="1:8">
      <c r="A118" s="123"/>
      <c r="B118" s="117" t="s">
        <v>299</v>
      </c>
      <c r="C118" s="148">
        <f>'Schedule 3A - 2025'!F118</f>
        <v>71771.58</v>
      </c>
      <c r="D118" s="148">
        <v>0</v>
      </c>
      <c r="E118" s="148"/>
      <c r="F118" s="148">
        <f t="shared" si="14"/>
        <v>71771.58</v>
      </c>
      <c r="G118" s="143">
        <v>25</v>
      </c>
      <c r="H118" s="148">
        <f t="shared" si="15"/>
        <v>2870.8632000000002</v>
      </c>
    </row>
    <row r="119" spans="1:8">
      <c r="A119" s="123"/>
      <c r="B119" s="117" t="s">
        <v>160</v>
      </c>
      <c r="C119" s="148">
        <f>'Schedule 3A - 2025'!F119</f>
        <v>53710.58</v>
      </c>
      <c r="D119" s="148">
        <v>0</v>
      </c>
      <c r="E119" s="148"/>
      <c r="F119" s="148">
        <f t="shared" si="14"/>
        <v>53710.58</v>
      </c>
      <c r="G119" s="143">
        <v>25</v>
      </c>
      <c r="H119" s="148">
        <f t="shared" si="15"/>
        <v>2148.4232000000002</v>
      </c>
    </row>
    <row r="120" spans="1:8">
      <c r="A120" s="123"/>
      <c r="B120" s="117" t="s">
        <v>161</v>
      </c>
      <c r="C120" s="148">
        <f>'Schedule 3A - 2025'!F120</f>
        <v>5433154.2199999997</v>
      </c>
      <c r="D120" s="148">
        <v>860000</v>
      </c>
      <c r="E120" s="148"/>
      <c r="F120" s="148">
        <f t="shared" si="14"/>
        <v>6293154.2199999997</v>
      </c>
      <c r="G120" s="143">
        <v>9</v>
      </c>
      <c r="H120" s="148">
        <f t="shared" si="15"/>
        <v>651461.57999999996</v>
      </c>
    </row>
    <row r="121" spans="1:8">
      <c r="A121" s="123"/>
      <c r="B121" s="117" t="s">
        <v>162</v>
      </c>
      <c r="C121" s="148">
        <f>'Schedule 3A - 2025'!F121</f>
        <v>2666730.69</v>
      </c>
      <c r="D121" s="148">
        <v>0</v>
      </c>
      <c r="E121" s="148"/>
      <c r="F121" s="148">
        <f t="shared" si="14"/>
        <v>2666730.69</v>
      </c>
      <c r="G121" s="143">
        <v>20</v>
      </c>
      <c r="H121" s="148">
        <f t="shared" si="15"/>
        <v>133336.53450000001</v>
      </c>
    </row>
    <row r="122" spans="1:8">
      <c r="A122" s="123"/>
      <c r="B122" s="117" t="s">
        <v>300</v>
      </c>
      <c r="C122" s="148">
        <f>'Schedule 3A - 2025'!F122</f>
        <v>1003858.15</v>
      </c>
      <c r="D122" s="148">
        <v>0</v>
      </c>
      <c r="E122" s="148"/>
      <c r="F122" s="148">
        <f t="shared" si="14"/>
        <v>1003858.15</v>
      </c>
      <c r="G122" s="145">
        <v>20</v>
      </c>
      <c r="H122" s="148">
        <f t="shared" si="15"/>
        <v>50192.907500000001</v>
      </c>
    </row>
    <row r="123" spans="1:8">
      <c r="A123" s="123"/>
      <c r="B123" s="117" t="s">
        <v>313</v>
      </c>
      <c r="C123" s="149"/>
      <c r="D123" s="149"/>
      <c r="E123" s="149"/>
      <c r="F123" s="149"/>
      <c r="G123" s="146"/>
      <c r="H123" s="149">
        <v>19267.32</v>
      </c>
    </row>
    <row r="124" spans="1:8" s="121" customFormat="1" ht="18" customHeight="1">
      <c r="A124" s="112" t="s">
        <v>163</v>
      </c>
      <c r="B124" s="112"/>
      <c r="C124" s="150">
        <f>SUBTOTAL(9,C116:C123)</f>
        <v>9899320.75</v>
      </c>
      <c r="D124" s="150">
        <f>SUBTOTAL(9,D116:D123)</f>
        <v>910000</v>
      </c>
      <c r="E124" s="150">
        <f>SUBTOTAL(9,E116:E123)</f>
        <v>0</v>
      </c>
      <c r="F124" s="150">
        <f>SUBTOTAL(9,F116:F123)</f>
        <v>10809320.75</v>
      </c>
      <c r="G124" s="119"/>
      <c r="H124" s="150">
        <f>SUBTOTAL(9,H116:H123)</f>
        <v>938948.15419545455</v>
      </c>
    </row>
    <row r="125" spans="1:8">
      <c r="C125" s="152"/>
      <c r="D125" s="152"/>
      <c r="E125" s="152"/>
      <c r="F125" s="152"/>
      <c r="H125" s="152"/>
    </row>
    <row r="126" spans="1:8">
      <c r="A126" s="112" t="s">
        <v>301</v>
      </c>
      <c r="C126" s="151"/>
      <c r="D126" s="151"/>
      <c r="E126" s="151"/>
      <c r="F126" s="151"/>
      <c r="G126" s="122"/>
      <c r="H126" s="151"/>
    </row>
    <row r="127" spans="1:8">
      <c r="A127" s="123"/>
      <c r="B127" s="117" t="s">
        <v>301</v>
      </c>
      <c r="C127" s="149">
        <f>'Schedule 3A - 2025'!F127</f>
        <v>1165687.07</v>
      </c>
      <c r="D127" s="149">
        <v>1250000</v>
      </c>
      <c r="E127" s="149"/>
      <c r="F127" s="149">
        <f>C127+D127-E127</f>
        <v>2415687.0700000003</v>
      </c>
      <c r="G127" s="144">
        <v>0</v>
      </c>
      <c r="H127" s="149">
        <v>0</v>
      </c>
    </row>
    <row r="128" spans="1:8" s="121" customFormat="1" ht="18.75" customHeight="1">
      <c r="A128" s="112" t="s">
        <v>302</v>
      </c>
      <c r="B128" s="112"/>
      <c r="C128" s="150">
        <f>SUBTOTAL(9,C127)</f>
        <v>1165687.07</v>
      </c>
      <c r="D128" s="150">
        <f>SUBTOTAL(9,D127)</f>
        <v>1250000</v>
      </c>
      <c r="E128" s="150">
        <f>SUBTOTAL(9,E127)</f>
        <v>0</v>
      </c>
      <c r="F128" s="150">
        <f>SUBTOTAL(9,F127)</f>
        <v>2415687.0700000003</v>
      </c>
      <c r="G128" s="120"/>
      <c r="H128" s="150">
        <f>SUBTOTAL(9,H127)</f>
        <v>0</v>
      </c>
    </row>
    <row r="129" spans="1:8" s="121" customFormat="1" ht="18.75" customHeight="1">
      <c r="A129" s="112"/>
      <c r="B129" s="112"/>
      <c r="C129" s="150"/>
      <c r="D129" s="150"/>
      <c r="E129" s="150"/>
      <c r="F129" s="150"/>
      <c r="G129" s="120"/>
      <c r="H129" s="150"/>
    </row>
    <row r="130" spans="1:8">
      <c r="A130" s="112" t="s">
        <v>303</v>
      </c>
      <c r="C130" s="151"/>
      <c r="D130" s="151"/>
      <c r="E130" s="151"/>
      <c r="F130" s="151"/>
      <c r="G130" s="122"/>
      <c r="H130" s="151"/>
    </row>
    <row r="131" spans="1:8">
      <c r="A131" s="123"/>
      <c r="B131" s="117" t="s">
        <v>103</v>
      </c>
      <c r="C131" s="148">
        <f>'Schedule 3A - 2025'!F131</f>
        <v>6184735</v>
      </c>
      <c r="D131" s="148">
        <v>0</v>
      </c>
      <c r="E131" s="148"/>
      <c r="F131" s="148">
        <f t="shared" ref="F131:F137" si="16">C131+D131-E131</f>
        <v>6184735</v>
      </c>
      <c r="G131" s="143">
        <v>72</v>
      </c>
      <c r="H131" s="148">
        <f t="shared" ref="H131:H137" si="17">IFERROR(C131/G131+D131/G131/2,0)</f>
        <v>85899.097222222219</v>
      </c>
    </row>
    <row r="132" spans="1:8">
      <c r="A132" s="123"/>
      <c r="B132" s="117" t="s">
        <v>304</v>
      </c>
      <c r="C132" s="148">
        <f>'Schedule 3A - 2025'!F132</f>
        <v>13200669.02</v>
      </c>
      <c r="D132" s="148">
        <v>0</v>
      </c>
      <c r="E132" s="148"/>
      <c r="F132" s="148">
        <f t="shared" si="16"/>
        <v>13200669.02</v>
      </c>
      <c r="G132" s="143">
        <v>60</v>
      </c>
      <c r="H132" s="148">
        <f t="shared" si="17"/>
        <v>220011.15033333332</v>
      </c>
    </row>
    <row r="133" spans="1:8">
      <c r="A133" s="123"/>
      <c r="B133" s="117" t="s">
        <v>305</v>
      </c>
      <c r="C133" s="148">
        <f>'Schedule 3A - 2025'!F133</f>
        <v>20890968.260000002</v>
      </c>
      <c r="D133" s="148">
        <v>0</v>
      </c>
      <c r="E133" s="148"/>
      <c r="F133" s="148">
        <f t="shared" si="16"/>
        <v>20890968.260000002</v>
      </c>
      <c r="G133" s="143">
        <v>40</v>
      </c>
      <c r="H133" s="148">
        <f t="shared" si="17"/>
        <v>522274.20650000003</v>
      </c>
    </row>
    <row r="134" spans="1:8">
      <c r="A134" s="123"/>
      <c r="B134" s="117" t="s">
        <v>293</v>
      </c>
      <c r="C134" s="148">
        <f>'Schedule 3A - 2025'!F134</f>
        <v>3772382.34</v>
      </c>
      <c r="D134" s="148">
        <v>1520000</v>
      </c>
      <c r="E134" s="148"/>
      <c r="F134" s="148">
        <f t="shared" si="16"/>
        <v>5292382.34</v>
      </c>
      <c r="G134" s="143">
        <v>2</v>
      </c>
      <c r="H134" s="148">
        <f t="shared" si="17"/>
        <v>2266191.17</v>
      </c>
    </row>
    <row r="135" spans="1:8">
      <c r="A135" s="123"/>
      <c r="B135" s="117" t="s">
        <v>106</v>
      </c>
      <c r="C135" s="148">
        <f>'Schedule 3A - 2025'!F135</f>
        <v>3655939.21</v>
      </c>
      <c r="D135" s="148">
        <v>0</v>
      </c>
      <c r="E135" s="148"/>
      <c r="F135" s="148">
        <f t="shared" si="16"/>
        <v>3655939.21</v>
      </c>
      <c r="G135" s="143">
        <v>45</v>
      </c>
      <c r="H135" s="148">
        <f t="shared" si="17"/>
        <v>81243.093555555548</v>
      </c>
    </row>
    <row r="136" spans="1:8">
      <c r="A136" s="123"/>
      <c r="B136" s="117" t="s">
        <v>107</v>
      </c>
      <c r="C136" s="148">
        <f>'Schedule 3A - 2025'!F136</f>
        <v>2944021.28</v>
      </c>
      <c r="D136" s="148">
        <v>0</v>
      </c>
      <c r="E136" s="148"/>
      <c r="F136" s="148">
        <f t="shared" si="16"/>
        <v>2944021.28</v>
      </c>
      <c r="G136" s="143">
        <v>30</v>
      </c>
      <c r="H136" s="148">
        <f t="shared" si="17"/>
        <v>98134.042666666661</v>
      </c>
    </row>
    <row r="137" spans="1:8">
      <c r="A137" s="123"/>
      <c r="B137" s="113" t="s">
        <v>306</v>
      </c>
      <c r="C137" s="148">
        <f>'Schedule 3A - 2025'!F137</f>
        <v>779651</v>
      </c>
      <c r="D137" s="148">
        <v>0</v>
      </c>
      <c r="E137" s="148"/>
      <c r="F137" s="148">
        <f t="shared" si="16"/>
        <v>779651</v>
      </c>
      <c r="G137" s="143">
        <v>30</v>
      </c>
      <c r="H137" s="148">
        <f t="shared" si="17"/>
        <v>25988.366666666665</v>
      </c>
    </row>
    <row r="138" spans="1:8">
      <c r="A138" s="123"/>
      <c r="B138" s="117" t="s">
        <v>313</v>
      </c>
      <c r="C138" s="149"/>
      <c r="D138" s="149"/>
      <c r="E138" s="149"/>
      <c r="F138" s="149"/>
      <c r="G138" s="144"/>
      <c r="H138" s="149">
        <v>-13981.32</v>
      </c>
    </row>
    <row r="139" spans="1:8" s="121" customFormat="1" ht="18" customHeight="1">
      <c r="A139" s="112" t="s">
        <v>307</v>
      </c>
      <c r="B139" s="112"/>
      <c r="C139" s="150">
        <f>SUBTOTAL(9,C131:C138)</f>
        <v>51428366.110000007</v>
      </c>
      <c r="D139" s="150">
        <f>SUBTOTAL(9,D131:D138)</f>
        <v>1520000</v>
      </c>
      <c r="E139" s="150">
        <f>SUBTOTAL(9,E131:E138)</f>
        <v>0</v>
      </c>
      <c r="F139" s="150">
        <f>SUBTOTAL(9,F131:F138)</f>
        <v>52948366.110000007</v>
      </c>
      <c r="G139" s="127"/>
      <c r="H139" s="150">
        <f>SUBTOTAL(9,H131:H138)</f>
        <v>3285759.8069444448</v>
      </c>
    </row>
    <row r="140" spans="1:8">
      <c r="C140" s="152"/>
      <c r="D140" s="152"/>
      <c r="E140" s="152"/>
      <c r="F140" s="152"/>
      <c r="H140" s="152"/>
    </row>
    <row r="141" spans="1:8">
      <c r="A141" s="121" t="s">
        <v>462</v>
      </c>
      <c r="C141" s="152"/>
      <c r="D141" s="152"/>
      <c r="E141" s="152"/>
      <c r="F141" s="152"/>
      <c r="H141" s="152"/>
    </row>
    <row r="142" spans="1:8">
      <c r="B142" s="113" t="s">
        <v>462</v>
      </c>
      <c r="C142" s="149">
        <f>'Schedule 3A - 2025'!F142</f>
        <v>0</v>
      </c>
      <c r="D142" s="149">
        <v>34957900.009999998</v>
      </c>
      <c r="E142" s="149"/>
      <c r="F142" s="149">
        <f>C142+D142</f>
        <v>34957900.009999998</v>
      </c>
      <c r="G142" s="144">
        <v>20</v>
      </c>
      <c r="H142" s="149">
        <f>IFERROR(C142/G142+D142/G142/2,0)</f>
        <v>873947.50024999992</v>
      </c>
    </row>
    <row r="143" spans="1:8">
      <c r="A143" s="121" t="s">
        <v>463</v>
      </c>
      <c r="C143" s="150">
        <f>SUBTOTAL(9,C142)</f>
        <v>0</v>
      </c>
      <c r="D143" s="150">
        <f>SUBTOTAL(9,D142)</f>
        <v>34957900.009999998</v>
      </c>
      <c r="E143" s="150">
        <f>SUBTOTAL(9,E142)</f>
        <v>0</v>
      </c>
      <c r="F143" s="150">
        <f>SUBTOTAL(9,F142)</f>
        <v>34957900.009999998</v>
      </c>
      <c r="G143" s="156"/>
      <c r="H143" s="150">
        <f>SUBTOTAL(9,H142)</f>
        <v>873947.50024999992</v>
      </c>
    </row>
    <row r="144" spans="1:8">
      <c r="C144" s="152"/>
      <c r="D144" s="152"/>
      <c r="E144" s="152"/>
      <c r="F144" s="152"/>
      <c r="H144" s="152"/>
    </row>
    <row r="145" spans="1:24">
      <c r="C145" s="152"/>
      <c r="D145" s="152"/>
      <c r="E145" s="152"/>
      <c r="F145" s="152"/>
      <c r="H145" s="152"/>
    </row>
    <row r="146" spans="1:24">
      <c r="A146" s="121" t="s">
        <v>356</v>
      </c>
      <c r="C146" s="152"/>
      <c r="D146" s="152"/>
      <c r="E146" s="152"/>
      <c r="F146" s="152"/>
      <c r="H146" s="152"/>
    </row>
    <row r="147" spans="1:24">
      <c r="B147" s="113" t="s">
        <v>356</v>
      </c>
      <c r="C147" s="149">
        <f>'Schedule 3A - 2025'!F147</f>
        <v>1930990.1099999999</v>
      </c>
      <c r="D147" s="149">
        <v>0</v>
      </c>
      <c r="E147" s="149"/>
      <c r="F147" s="149">
        <f>C147+D147</f>
        <v>1930990.1099999999</v>
      </c>
      <c r="G147" s="144"/>
      <c r="H147" s="149">
        <v>225597.91</v>
      </c>
    </row>
    <row r="148" spans="1:24">
      <c r="A148" s="121" t="s">
        <v>357</v>
      </c>
      <c r="C148" s="150">
        <f>SUBTOTAL(9,C147)</f>
        <v>1930990.1099999999</v>
      </c>
      <c r="D148" s="150">
        <f>SUBTOTAL(9,D147)</f>
        <v>0</v>
      </c>
      <c r="E148" s="150">
        <f>SUBTOTAL(9,E147)</f>
        <v>0</v>
      </c>
      <c r="F148" s="150">
        <f>SUBTOTAL(9,F147)</f>
        <v>1930990.1099999999</v>
      </c>
      <c r="G148" s="156"/>
      <c r="H148" s="150">
        <f>SUBTOTAL(9,H147)</f>
        <v>225597.91</v>
      </c>
    </row>
    <row r="149" spans="1:24">
      <c r="C149" s="152"/>
      <c r="D149" s="152"/>
      <c r="E149" s="152"/>
      <c r="F149" s="152"/>
      <c r="H149" s="152"/>
    </row>
    <row r="150" spans="1:24" s="121" customFormat="1" ht="18" customHeight="1">
      <c r="A150" s="112" t="s">
        <v>28</v>
      </c>
      <c r="B150" s="112"/>
      <c r="C150" s="150">
        <f>SUBTOTAL(9,C9:C148)</f>
        <v>839566502.7179997</v>
      </c>
      <c r="D150" s="150">
        <f>SUBTOTAL(9,D9:D148)</f>
        <v>159033476.55000001</v>
      </c>
      <c r="E150" s="150">
        <f>SUBTOTAL(9,E9:E148)</f>
        <v>1537.3377600000001</v>
      </c>
      <c r="F150" s="150">
        <f>SUBTOTAL(9,F9:F148)</f>
        <v>998598441.93023968</v>
      </c>
      <c r="G150" s="127"/>
      <c r="H150" s="150">
        <f>SUBTOTAL(9,H9:H148)</f>
        <v>24529393.304898798</v>
      </c>
    </row>
    <row r="151" spans="1:24">
      <c r="C151" s="125"/>
      <c r="D151" s="125"/>
      <c r="E151" s="125"/>
      <c r="F151" s="125"/>
      <c r="H151" s="125"/>
    </row>
    <row r="152" spans="1:24"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3"/>
      <c r="X152" s="113"/>
    </row>
    <row r="153" spans="1:24"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</row>
    <row r="154" spans="1:24"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</row>
    <row r="155" spans="1:24"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</row>
    <row r="156" spans="1:24"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</row>
    <row r="157" spans="1:24"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</row>
    <row r="158" spans="1:24"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</row>
    <row r="159" spans="1:24"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</row>
    <row r="160" spans="1:24"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</row>
    <row r="161" spans="9:24"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</row>
    <row r="162" spans="9:24"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</row>
    <row r="163" spans="9:24"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13"/>
      <c r="X163" s="113"/>
    </row>
  </sheetData>
  <printOptions horizontalCentered="1"/>
  <pageMargins left="0.55118110236220474" right="0.31496062992125984" top="0.82677165354330717" bottom="0.9055118110236221" header="0.51181102362204722" footer="0.51181102362204722"/>
  <pageSetup scale="58" fitToHeight="2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4D0B5-C2E4-4956-AB62-2292670B6AF6}">
  <sheetPr>
    <tabColor theme="9" tint="0.39997558519241921"/>
    <pageSetUpPr fitToPage="1"/>
  </sheetPr>
  <dimension ref="A1:X151"/>
  <sheetViews>
    <sheetView view="pageBreakPreview" zoomScale="85" zoomScaleNormal="100" zoomScaleSheetLayoutView="85" workbookViewId="0">
      <pane ySplit="6" topLeftCell="A7" activePane="bottomLeft" state="frozen"/>
      <selection activeCell="I1" sqref="I1"/>
      <selection pane="bottomLeft" activeCell="A7" sqref="A7"/>
    </sheetView>
  </sheetViews>
  <sheetFormatPr defaultColWidth="9.1796875" defaultRowHeight="12.5"/>
  <cols>
    <col min="1" max="1" width="5.7265625" style="113" customWidth="1"/>
    <col min="2" max="2" width="31.1796875" style="113" customWidth="1"/>
    <col min="3" max="4" width="14.54296875" style="114" customWidth="1"/>
    <col min="5" max="5" width="12.54296875" style="114" bestFit="1" customWidth="1"/>
    <col min="6" max="6" width="14.54296875" style="114" customWidth="1"/>
    <col min="7" max="7" width="15.26953125" style="115" customWidth="1"/>
    <col min="8" max="8" width="17" style="114" customWidth="1"/>
    <col min="25" max="16384" width="9.1796875" style="113"/>
  </cols>
  <sheetData>
    <row r="1" spans="1:8" s="133" customFormat="1" ht="15.75" customHeight="1">
      <c r="A1" s="137" t="s">
        <v>0</v>
      </c>
      <c r="B1" s="134"/>
      <c r="C1" s="134"/>
      <c r="D1" s="134"/>
      <c r="E1" s="138"/>
      <c r="F1" s="134"/>
      <c r="H1" s="195" t="s">
        <v>470</v>
      </c>
    </row>
    <row r="2" spans="1:8" s="133" customFormat="1" ht="15.75" customHeight="1">
      <c r="A2" s="139" t="s">
        <v>471</v>
      </c>
      <c r="B2" s="134"/>
      <c r="C2" s="134"/>
      <c r="D2" s="134"/>
      <c r="E2" s="138"/>
      <c r="F2" s="134"/>
      <c r="H2" s="194" t="str">
        <f>'Schedule 1'!$M$2</f>
        <v>2025-27 GRA</v>
      </c>
    </row>
    <row r="3" spans="1:8" s="133" customFormat="1" ht="15.75" customHeight="1">
      <c r="A3" s="153" t="s">
        <v>332</v>
      </c>
      <c r="B3" s="134"/>
      <c r="C3" s="134"/>
      <c r="D3" s="134"/>
      <c r="E3" s="138"/>
      <c r="F3" s="134"/>
      <c r="G3" s="134"/>
      <c r="H3" s="134"/>
    </row>
    <row r="4" spans="1:8" s="133" customFormat="1" ht="15.75" customHeight="1">
      <c r="A4" s="135"/>
      <c r="B4" s="135"/>
      <c r="C4" s="135"/>
      <c r="D4" s="135"/>
      <c r="E4" s="135"/>
      <c r="F4" s="135"/>
      <c r="G4" s="135"/>
      <c r="H4" s="135"/>
    </row>
    <row r="5" spans="1:8" s="133" customFormat="1" ht="13" thickBot="1">
      <c r="A5" s="140"/>
      <c r="B5" s="140"/>
      <c r="C5" s="136"/>
      <c r="D5" s="136"/>
      <c r="E5" s="136"/>
      <c r="F5" s="136"/>
      <c r="G5" s="141"/>
      <c r="H5" s="136"/>
    </row>
    <row r="6" spans="1:8" s="142" customFormat="1" ht="50.5" thickBot="1">
      <c r="A6" s="140"/>
      <c r="B6" s="189" t="s">
        <v>9</v>
      </c>
      <c r="C6" s="190" t="s">
        <v>468</v>
      </c>
      <c r="D6" s="190" t="s">
        <v>472</v>
      </c>
      <c r="E6" s="191" t="s">
        <v>473</v>
      </c>
      <c r="F6" s="190" t="s">
        <v>474</v>
      </c>
      <c r="G6" s="192" t="s">
        <v>424</v>
      </c>
      <c r="H6" s="190" t="s">
        <v>475</v>
      </c>
    </row>
    <row r="7" spans="1:8" s="142" customFormat="1">
      <c r="A7" s="140"/>
      <c r="B7" s="199" t="s">
        <v>452</v>
      </c>
      <c r="C7" s="200" t="s">
        <v>453</v>
      </c>
      <c r="D7" s="200" t="s">
        <v>454</v>
      </c>
      <c r="E7" s="201" t="s">
        <v>455</v>
      </c>
      <c r="F7" s="200" t="s">
        <v>456</v>
      </c>
      <c r="G7" s="202" t="s">
        <v>457</v>
      </c>
      <c r="H7" s="200" t="s">
        <v>459</v>
      </c>
    </row>
    <row r="8" spans="1:8">
      <c r="A8" s="112" t="s">
        <v>95</v>
      </c>
    </row>
    <row r="9" spans="1:8">
      <c r="A9" s="116"/>
      <c r="B9" s="117" t="s">
        <v>96</v>
      </c>
      <c r="C9" s="148">
        <f>'Schedule 3A - 2026'!F9</f>
        <v>444911.51999999996</v>
      </c>
      <c r="D9" s="148">
        <v>0</v>
      </c>
      <c r="E9" s="148"/>
      <c r="F9" s="148">
        <f t="shared" ref="F9:F14" si="0">C9+D9-E9</f>
        <v>444911.51999999996</v>
      </c>
      <c r="G9" s="143">
        <v>0</v>
      </c>
      <c r="H9" s="148">
        <f t="shared" ref="H9:H14" si="1">IFERROR(C9/G9+D9/G9/2,0)</f>
        <v>0</v>
      </c>
    </row>
    <row r="10" spans="1:8">
      <c r="A10" s="116"/>
      <c r="B10" s="117" t="s">
        <v>97</v>
      </c>
      <c r="C10" s="148">
        <f>'Schedule 3A - 2026'!F10</f>
        <v>27680.47</v>
      </c>
      <c r="D10" s="148">
        <v>0</v>
      </c>
      <c r="E10" s="148"/>
      <c r="F10" s="148">
        <f t="shared" si="0"/>
        <v>27680.47</v>
      </c>
      <c r="G10" s="143">
        <v>0</v>
      </c>
      <c r="H10" s="148">
        <f t="shared" si="1"/>
        <v>0</v>
      </c>
    </row>
    <row r="11" spans="1:8">
      <c r="A11" s="116"/>
      <c r="B11" s="117" t="s">
        <v>98</v>
      </c>
      <c r="C11" s="148">
        <f>'Schedule 3A - 2026'!F11</f>
        <v>576862.49</v>
      </c>
      <c r="D11" s="148">
        <v>0</v>
      </c>
      <c r="E11" s="148"/>
      <c r="F11" s="148">
        <f t="shared" si="0"/>
        <v>576862.49</v>
      </c>
      <c r="G11" s="143">
        <v>0</v>
      </c>
      <c r="H11" s="148">
        <f t="shared" si="1"/>
        <v>0</v>
      </c>
    </row>
    <row r="12" spans="1:8">
      <c r="A12" s="116"/>
      <c r="B12" s="117" t="s">
        <v>132</v>
      </c>
      <c r="C12" s="148">
        <f>'Schedule 3A - 2026'!F12</f>
        <v>17775.009999999998</v>
      </c>
      <c r="D12" s="148">
        <v>0</v>
      </c>
      <c r="E12" s="148"/>
      <c r="F12" s="148">
        <f t="shared" si="0"/>
        <v>17775.009999999998</v>
      </c>
      <c r="G12" s="143">
        <v>0</v>
      </c>
      <c r="H12" s="148">
        <f t="shared" si="1"/>
        <v>0</v>
      </c>
    </row>
    <row r="13" spans="1:8">
      <c r="A13" s="116"/>
      <c r="B13" s="117" t="s">
        <v>99</v>
      </c>
      <c r="C13" s="148">
        <f>'Schedule 3A - 2026'!F13</f>
        <v>547992.46000000008</v>
      </c>
      <c r="D13" s="148">
        <v>0</v>
      </c>
      <c r="E13" s="148"/>
      <c r="F13" s="148">
        <f t="shared" si="0"/>
        <v>547992.46000000008</v>
      </c>
      <c r="G13" s="143">
        <v>0</v>
      </c>
      <c r="H13" s="148">
        <f t="shared" si="1"/>
        <v>0</v>
      </c>
    </row>
    <row r="14" spans="1:8">
      <c r="A14" s="116"/>
      <c r="B14" s="117" t="s">
        <v>100</v>
      </c>
      <c r="C14" s="148">
        <f>'Schedule 3A - 2026'!F14</f>
        <v>75329.550240000011</v>
      </c>
      <c r="D14" s="148">
        <v>0</v>
      </c>
      <c r="E14" s="148">
        <f>H14</f>
        <v>1506.5910048000003</v>
      </c>
      <c r="F14" s="148">
        <f t="shared" si="0"/>
        <v>73822.959235200018</v>
      </c>
      <c r="G14" s="143">
        <v>50</v>
      </c>
      <c r="H14" s="148">
        <f t="shared" si="1"/>
        <v>1506.5910048000003</v>
      </c>
    </row>
    <row r="15" spans="1:8">
      <c r="A15" s="116"/>
      <c r="B15" s="117" t="s">
        <v>313</v>
      </c>
      <c r="C15" s="149"/>
      <c r="D15" s="149"/>
      <c r="E15" s="149"/>
      <c r="F15" s="149"/>
      <c r="G15" s="118"/>
      <c r="H15" s="149">
        <v>-12.96</v>
      </c>
    </row>
    <row r="16" spans="1:8" s="121" customFormat="1" ht="18.75" customHeight="1">
      <c r="A16" s="112" t="s">
        <v>101</v>
      </c>
      <c r="B16" s="112"/>
      <c r="C16" s="150">
        <f>SUBTOTAL(9,C9:C15)</f>
        <v>1690551.5002400002</v>
      </c>
      <c r="D16" s="150">
        <f>SUBTOTAL(9,D9:D15)</f>
        <v>0</v>
      </c>
      <c r="E16" s="150">
        <f>SUBTOTAL(9,E9:E15)</f>
        <v>1506.5910048000003</v>
      </c>
      <c r="F16" s="150">
        <f>SUBTOTAL(9,F9:F15)</f>
        <v>1689044.9092352001</v>
      </c>
      <c r="G16" s="120"/>
      <c r="H16" s="150">
        <f>SUBTOTAL(9,H9:H15)</f>
        <v>1493.6310048000003</v>
      </c>
    </row>
    <row r="17" spans="1:8">
      <c r="C17" s="151"/>
      <c r="D17" s="151"/>
      <c r="E17" s="151"/>
      <c r="F17" s="151"/>
      <c r="G17" s="122"/>
      <c r="H17" s="151"/>
    </row>
    <row r="18" spans="1:8">
      <c r="A18" s="112" t="s">
        <v>102</v>
      </c>
      <c r="C18" s="151"/>
      <c r="D18" s="151"/>
      <c r="E18" s="151"/>
      <c r="F18" s="151"/>
      <c r="G18" s="122"/>
      <c r="H18" s="151"/>
    </row>
    <row r="19" spans="1:8">
      <c r="A19" s="123"/>
      <c r="B19" s="117" t="s">
        <v>103</v>
      </c>
      <c r="C19" s="148">
        <f>'Schedule 3A - 2026'!F19</f>
        <v>172552504.08000001</v>
      </c>
      <c r="D19" s="148">
        <v>75224056.579999998</v>
      </c>
      <c r="E19" s="148"/>
      <c r="F19" s="148">
        <f t="shared" ref="F19:F28" si="2">C19+D19-E19</f>
        <v>247776560.66000003</v>
      </c>
      <c r="G19" s="143">
        <v>72</v>
      </c>
      <c r="H19" s="148">
        <f t="shared" ref="H19:H28" si="3">IFERROR(C19/G19+D19/G19/2,0)</f>
        <v>2918951.838472222</v>
      </c>
    </row>
    <row r="20" spans="1:8">
      <c r="A20" s="123"/>
      <c r="B20" s="117" t="s">
        <v>110</v>
      </c>
      <c r="C20" s="148">
        <f>'Schedule 3A - 2026'!F20</f>
        <v>10278688.460000001</v>
      </c>
      <c r="D20" s="148">
        <v>400000</v>
      </c>
      <c r="E20" s="148"/>
      <c r="F20" s="148">
        <f t="shared" si="2"/>
        <v>10678688.460000001</v>
      </c>
      <c r="G20" s="143">
        <v>40</v>
      </c>
      <c r="H20" s="148">
        <f t="shared" si="3"/>
        <v>261967.21150000003</v>
      </c>
    </row>
    <row r="21" spans="1:8">
      <c r="A21" s="123"/>
      <c r="B21" s="117" t="s">
        <v>104</v>
      </c>
      <c r="C21" s="148">
        <f>'Schedule 3A - 2026'!F21</f>
        <v>168638804.67000002</v>
      </c>
      <c r="D21" s="148">
        <v>1100000</v>
      </c>
      <c r="E21" s="148"/>
      <c r="F21" s="148">
        <f t="shared" si="2"/>
        <v>169738804.67000002</v>
      </c>
      <c r="G21" s="143">
        <v>103</v>
      </c>
      <c r="H21" s="148">
        <f t="shared" si="3"/>
        <v>1642609.7540776702</v>
      </c>
    </row>
    <row r="22" spans="1:8">
      <c r="A22" s="123"/>
      <c r="B22" s="117" t="s">
        <v>353</v>
      </c>
      <c r="C22" s="148">
        <f>'Schedule 3A - 2026'!F22</f>
        <v>6711437.5</v>
      </c>
      <c r="D22" s="148">
        <v>0</v>
      </c>
      <c r="E22" s="148"/>
      <c r="F22" s="148">
        <f t="shared" si="2"/>
        <v>6711437.5</v>
      </c>
      <c r="G22" s="143">
        <v>103</v>
      </c>
      <c r="H22" s="148">
        <f t="shared" si="3"/>
        <v>65159.587378640776</v>
      </c>
    </row>
    <row r="23" spans="1:8">
      <c r="A23" s="123"/>
      <c r="B23" s="117" t="s">
        <v>293</v>
      </c>
      <c r="C23" s="148">
        <f>'Schedule 3A - 2026'!F23</f>
        <v>13677670.189999999</v>
      </c>
      <c r="D23" s="148">
        <v>2050000</v>
      </c>
      <c r="E23" s="148"/>
      <c r="F23" s="148">
        <f t="shared" si="2"/>
        <v>15727670.189999999</v>
      </c>
      <c r="G23" s="143">
        <v>10</v>
      </c>
      <c r="H23" s="148">
        <f t="shared" si="3"/>
        <v>1470267.0189999999</v>
      </c>
    </row>
    <row r="24" spans="1:8">
      <c r="A24" s="123"/>
      <c r="B24" s="117" t="s">
        <v>105</v>
      </c>
      <c r="C24" s="148">
        <f>'Schedule 3A - 2026'!F24</f>
        <v>28222837.399999995</v>
      </c>
      <c r="D24" s="148">
        <v>0</v>
      </c>
      <c r="E24" s="148"/>
      <c r="F24" s="148">
        <f t="shared" si="2"/>
        <v>28222837.399999995</v>
      </c>
      <c r="G24" s="143">
        <v>85</v>
      </c>
      <c r="H24" s="148">
        <f t="shared" si="3"/>
        <v>332033.38117647055</v>
      </c>
    </row>
    <row r="25" spans="1:8">
      <c r="A25" s="123"/>
      <c r="B25" s="117" t="s">
        <v>106</v>
      </c>
      <c r="C25" s="148">
        <f>'Schedule 3A - 2026'!F25</f>
        <v>27401092.300000001</v>
      </c>
      <c r="D25" s="148">
        <v>460000</v>
      </c>
      <c r="E25" s="148"/>
      <c r="F25" s="148">
        <f t="shared" si="2"/>
        <v>27861092.300000001</v>
      </c>
      <c r="G25" s="143">
        <v>40</v>
      </c>
      <c r="H25" s="148">
        <f t="shared" si="3"/>
        <v>690777.3075</v>
      </c>
    </row>
    <row r="26" spans="1:8">
      <c r="A26" s="123"/>
      <c r="B26" s="117" t="s">
        <v>311</v>
      </c>
      <c r="C26" s="148">
        <f>'Schedule 3A - 2026'!F26</f>
        <v>858680.05</v>
      </c>
      <c r="D26" s="148">
        <v>0</v>
      </c>
      <c r="E26" s="148"/>
      <c r="F26" s="148">
        <f t="shared" si="2"/>
        <v>858680.05</v>
      </c>
      <c r="G26" s="143">
        <v>20</v>
      </c>
      <c r="H26" s="148">
        <f t="shared" si="3"/>
        <v>42934.002500000002</v>
      </c>
    </row>
    <row r="27" spans="1:8">
      <c r="A27" s="123"/>
      <c r="B27" s="117" t="s">
        <v>107</v>
      </c>
      <c r="C27" s="148">
        <f>'Schedule 3A - 2026'!F27</f>
        <v>15193941.240000002</v>
      </c>
      <c r="D27" s="148">
        <v>350000</v>
      </c>
      <c r="E27" s="148"/>
      <c r="F27" s="148">
        <f t="shared" si="2"/>
        <v>15543941.240000002</v>
      </c>
      <c r="G27" s="143">
        <v>30</v>
      </c>
      <c r="H27" s="148">
        <f t="shared" si="3"/>
        <v>512298.04133333336</v>
      </c>
    </row>
    <row r="28" spans="1:8">
      <c r="A28" s="123"/>
      <c r="B28" s="117" t="s">
        <v>108</v>
      </c>
      <c r="C28" s="148">
        <f>'Schedule 3A - 2026'!F28</f>
        <v>107086</v>
      </c>
      <c r="D28" s="148">
        <v>0</v>
      </c>
      <c r="E28" s="148"/>
      <c r="F28" s="148">
        <f t="shared" si="2"/>
        <v>107086</v>
      </c>
      <c r="G28" s="143">
        <v>30</v>
      </c>
      <c r="H28" s="148">
        <f t="shared" si="3"/>
        <v>3569.5333333333333</v>
      </c>
    </row>
    <row r="29" spans="1:8">
      <c r="A29" s="123"/>
      <c r="B29" s="117" t="s">
        <v>313</v>
      </c>
      <c r="C29" s="149"/>
      <c r="D29" s="149"/>
      <c r="E29" s="149"/>
      <c r="F29" s="149"/>
      <c r="G29" s="144"/>
      <c r="H29" s="149">
        <v>-140295.96</v>
      </c>
    </row>
    <row r="30" spans="1:8" s="121" customFormat="1">
      <c r="A30" s="112" t="s">
        <v>109</v>
      </c>
      <c r="B30" s="112"/>
      <c r="C30" s="150">
        <f>SUBTOTAL(9,C19:C29)</f>
        <v>443642741.89000005</v>
      </c>
      <c r="D30" s="150">
        <f>SUBTOTAL(9,D19:D29)</f>
        <v>79584056.579999998</v>
      </c>
      <c r="E30" s="150">
        <f>SUBTOTAL(9,E19:E29)</f>
        <v>0</v>
      </c>
      <c r="F30" s="150">
        <f>SUBTOTAL(9,F19:F29)</f>
        <v>523226798.47000009</v>
      </c>
      <c r="G30" s="119"/>
      <c r="H30" s="150">
        <f>SUBTOTAL(9,H19:H29)</f>
        <v>7800271.7162716715</v>
      </c>
    </row>
    <row r="31" spans="1:8">
      <c r="C31" s="151"/>
      <c r="D31" s="151"/>
      <c r="E31" s="151"/>
      <c r="F31" s="151"/>
      <c r="G31" s="122"/>
      <c r="H31" s="151"/>
    </row>
    <row r="32" spans="1:8">
      <c r="A32" s="112" t="s">
        <v>97</v>
      </c>
      <c r="C32" s="151"/>
      <c r="D32" s="151"/>
      <c r="E32" s="151"/>
      <c r="F32" s="151"/>
      <c r="G32" s="122"/>
      <c r="H32" s="151"/>
    </row>
    <row r="33" spans="1:8">
      <c r="A33" s="123"/>
      <c r="B33" s="117" t="s">
        <v>103</v>
      </c>
      <c r="C33" s="148">
        <f>'Schedule 3A - 2026'!F33</f>
        <v>6848082.21</v>
      </c>
      <c r="D33" s="148">
        <v>0</v>
      </c>
      <c r="E33" s="148"/>
      <c r="F33" s="148">
        <f t="shared" ref="F33:F40" si="4">C33+D33-E33</f>
        <v>6848082.21</v>
      </c>
      <c r="G33" s="143">
        <v>72</v>
      </c>
      <c r="H33" s="148">
        <f t="shared" ref="H33:H40" si="5">IFERROR(C33/G33+D33/G33/2,0)</f>
        <v>95112.252916666665</v>
      </c>
    </row>
    <row r="34" spans="1:8">
      <c r="A34" s="123"/>
      <c r="B34" s="117" t="s">
        <v>110</v>
      </c>
      <c r="C34" s="148">
        <f>'Schedule 3A - 2026'!F34</f>
        <v>474668.13</v>
      </c>
      <c r="D34" s="148">
        <v>0</v>
      </c>
      <c r="E34" s="148"/>
      <c r="F34" s="148">
        <f t="shared" si="4"/>
        <v>474668.13</v>
      </c>
      <c r="G34" s="143">
        <v>55</v>
      </c>
      <c r="H34" s="148">
        <f t="shared" si="5"/>
        <v>8630.3296363636364</v>
      </c>
    </row>
    <row r="35" spans="1:8">
      <c r="A35" s="123"/>
      <c r="B35" s="117" t="s">
        <v>111</v>
      </c>
      <c r="C35" s="148">
        <f>'Schedule 3A - 2026'!F35</f>
        <v>2835507.95</v>
      </c>
      <c r="D35" s="148">
        <v>265000</v>
      </c>
      <c r="E35" s="148"/>
      <c r="F35" s="148">
        <f t="shared" si="4"/>
        <v>3100507.95</v>
      </c>
      <c r="G35" s="143">
        <v>40</v>
      </c>
      <c r="H35" s="148">
        <f t="shared" si="5"/>
        <v>74200.19875000001</v>
      </c>
    </row>
    <row r="36" spans="1:8">
      <c r="A36" s="123"/>
      <c r="B36" s="117" t="s">
        <v>112</v>
      </c>
      <c r="C36" s="148">
        <f>'Schedule 3A - 2026'!F36</f>
        <v>76035134.159999996</v>
      </c>
      <c r="D36" s="148">
        <v>0</v>
      </c>
      <c r="E36" s="148"/>
      <c r="F36" s="148">
        <f t="shared" si="4"/>
        <v>76035134.159999996</v>
      </c>
      <c r="G36" s="143">
        <v>40</v>
      </c>
      <c r="H36" s="148">
        <f t="shared" si="5"/>
        <v>1900878.3539999998</v>
      </c>
    </row>
    <row r="37" spans="1:8">
      <c r="A37" s="123"/>
      <c r="B37" s="117" t="s">
        <v>293</v>
      </c>
      <c r="C37" s="148">
        <f>'Schedule 3A - 2026'!F37</f>
        <v>3937780.46</v>
      </c>
      <c r="D37" s="148">
        <v>0</v>
      </c>
      <c r="E37" s="148"/>
      <c r="F37" s="148">
        <f t="shared" si="4"/>
        <v>3937780.46</v>
      </c>
      <c r="G37" s="143">
        <v>5</v>
      </c>
      <c r="H37" s="148">
        <f t="shared" si="5"/>
        <v>787556.09199999995</v>
      </c>
    </row>
    <row r="38" spans="1:8">
      <c r="A38" s="123"/>
      <c r="B38" s="117" t="s">
        <v>312</v>
      </c>
      <c r="C38" s="148">
        <f>'Schedule 3A - 2026'!F38</f>
        <v>243547.65000000002</v>
      </c>
      <c r="D38" s="148">
        <v>0</v>
      </c>
      <c r="E38" s="148"/>
      <c r="F38" s="148">
        <f t="shared" si="4"/>
        <v>243547.65000000002</v>
      </c>
      <c r="G38" s="143">
        <v>12</v>
      </c>
      <c r="H38" s="148">
        <f t="shared" si="5"/>
        <v>20295.637500000001</v>
      </c>
    </row>
    <row r="39" spans="1:8">
      <c r="A39" s="123"/>
      <c r="B39" s="117" t="s">
        <v>106</v>
      </c>
      <c r="C39" s="148">
        <f>'Schedule 3A - 2026'!F39</f>
        <v>9040987.5399999991</v>
      </c>
      <c r="D39" s="148">
        <v>0</v>
      </c>
      <c r="E39" s="148"/>
      <c r="F39" s="148">
        <f t="shared" si="4"/>
        <v>9040987.5399999991</v>
      </c>
      <c r="G39" s="143">
        <v>45</v>
      </c>
      <c r="H39" s="148">
        <f t="shared" si="5"/>
        <v>200910.83422222221</v>
      </c>
    </row>
    <row r="40" spans="1:8">
      <c r="A40" s="123"/>
      <c r="B40" s="117" t="s">
        <v>107</v>
      </c>
      <c r="C40" s="148">
        <f>'Schedule 3A - 2026'!F40</f>
        <v>1949382.7200000002</v>
      </c>
      <c r="D40" s="148">
        <v>0</v>
      </c>
      <c r="E40" s="148"/>
      <c r="F40" s="148">
        <f t="shared" si="4"/>
        <v>1949382.7200000002</v>
      </c>
      <c r="G40" s="143">
        <v>30</v>
      </c>
      <c r="H40" s="148">
        <f t="shared" si="5"/>
        <v>64979.424000000006</v>
      </c>
    </row>
    <row r="41" spans="1:8">
      <c r="A41" s="123"/>
      <c r="B41" s="117" t="s">
        <v>313</v>
      </c>
      <c r="C41" s="149"/>
      <c r="D41" s="149"/>
      <c r="E41" s="149"/>
      <c r="F41" s="149"/>
      <c r="G41" s="118"/>
      <c r="H41" s="149">
        <v>-66276.72</v>
      </c>
    </row>
    <row r="42" spans="1:8" s="121" customFormat="1" ht="18.75" customHeight="1">
      <c r="A42" s="112" t="s">
        <v>113</v>
      </c>
      <c r="B42" s="112"/>
      <c r="C42" s="150">
        <f>SUBTOTAL(9,C33:C41)</f>
        <v>101365090.81999999</v>
      </c>
      <c r="D42" s="150">
        <f>SUBTOTAL(9,D33:D41)</f>
        <v>265000</v>
      </c>
      <c r="E42" s="150">
        <f>SUBTOTAL(9,E33:E41)</f>
        <v>0</v>
      </c>
      <c r="F42" s="150">
        <f>SUBTOTAL(9,F33:F41)</f>
        <v>101630090.81999999</v>
      </c>
      <c r="G42" s="120"/>
      <c r="H42" s="150">
        <f>SUBTOTAL(9,H33:H41)</f>
        <v>3086286.4030252523</v>
      </c>
    </row>
    <row r="43" spans="1:8">
      <c r="C43" s="151"/>
      <c r="D43" s="151"/>
      <c r="E43" s="151"/>
      <c r="F43" s="151"/>
      <c r="G43" s="122"/>
      <c r="H43" s="151"/>
    </row>
    <row r="44" spans="1:8">
      <c r="A44" s="112" t="s">
        <v>114</v>
      </c>
      <c r="C44" s="151"/>
      <c r="D44" s="151"/>
      <c r="E44" s="151"/>
      <c r="F44" s="151"/>
      <c r="G44" s="122"/>
      <c r="H44" s="151"/>
    </row>
    <row r="45" spans="1:8">
      <c r="A45" s="123"/>
      <c r="B45" s="117" t="s">
        <v>114</v>
      </c>
      <c r="C45" s="149">
        <f>'Schedule 3A - 2026'!F45</f>
        <v>0</v>
      </c>
      <c r="D45" s="149">
        <v>0</v>
      </c>
      <c r="E45" s="149"/>
      <c r="F45" s="149">
        <f>C45+D45-E45</f>
        <v>0</v>
      </c>
      <c r="G45" s="144">
        <v>0</v>
      </c>
      <c r="H45" s="149">
        <v>0</v>
      </c>
    </row>
    <row r="46" spans="1:8" s="121" customFormat="1" ht="18.75" customHeight="1">
      <c r="A46" s="112" t="s">
        <v>115</v>
      </c>
      <c r="B46" s="112"/>
      <c r="C46" s="150">
        <f>C45</f>
        <v>0</v>
      </c>
      <c r="D46" s="150">
        <f>D45</f>
        <v>0</v>
      </c>
      <c r="E46" s="150">
        <f>E45</f>
        <v>0</v>
      </c>
      <c r="F46" s="150">
        <f>F45</f>
        <v>0</v>
      </c>
      <c r="G46" s="120"/>
      <c r="H46" s="150">
        <f>SUBTOTAL(9,H45)</f>
        <v>0</v>
      </c>
    </row>
    <row r="47" spans="1:8">
      <c r="C47" s="151"/>
      <c r="D47" s="151"/>
      <c r="E47" s="151"/>
      <c r="F47" s="151"/>
      <c r="G47" s="122"/>
      <c r="H47" s="151"/>
    </row>
    <row r="48" spans="1:8">
      <c r="A48" s="112" t="s">
        <v>98</v>
      </c>
      <c r="C48" s="151"/>
      <c r="D48" s="151"/>
      <c r="E48" s="151"/>
      <c r="F48" s="151"/>
      <c r="G48" s="122"/>
      <c r="H48" s="151"/>
    </row>
    <row r="49" spans="1:8">
      <c r="A49" s="123"/>
      <c r="B49" s="117" t="s">
        <v>116</v>
      </c>
      <c r="C49" s="148">
        <f>'Schedule 3A - 2026'!F49</f>
        <v>84708100.009999961</v>
      </c>
      <c r="D49" s="148">
        <v>6700143.5800000001</v>
      </c>
      <c r="E49" s="148"/>
      <c r="F49" s="148">
        <f t="shared" ref="F49:F59" si="6">C49+D49-E49</f>
        <v>91408243.589999959</v>
      </c>
      <c r="G49" s="143">
        <v>65</v>
      </c>
      <c r="H49" s="148">
        <f t="shared" ref="H49:H59" si="7">IFERROR(C49/G49+D49/G49/2,0)</f>
        <v>1354741.104615384</v>
      </c>
    </row>
    <row r="50" spans="1:8">
      <c r="A50" s="123"/>
      <c r="B50" s="117" t="s">
        <v>117</v>
      </c>
      <c r="C50" s="148">
        <f>'Schedule 3A - 2026'!F50</f>
        <v>16756318.379999999</v>
      </c>
      <c r="D50" s="148">
        <v>0</v>
      </c>
      <c r="E50" s="148"/>
      <c r="F50" s="148">
        <f t="shared" si="6"/>
        <v>16756318.379999999</v>
      </c>
      <c r="G50" s="143">
        <v>60</v>
      </c>
      <c r="H50" s="148">
        <f t="shared" si="7"/>
        <v>279271.973</v>
      </c>
    </row>
    <row r="51" spans="1:8">
      <c r="A51" s="123"/>
      <c r="B51" s="117" t="s">
        <v>118</v>
      </c>
      <c r="C51" s="148">
        <f>'Schedule 3A - 2026'!F51</f>
        <v>4397239.04</v>
      </c>
      <c r="D51" s="148">
        <v>100000</v>
      </c>
      <c r="E51" s="148"/>
      <c r="F51" s="148">
        <f t="shared" si="6"/>
        <v>4497239.04</v>
      </c>
      <c r="G51" s="143">
        <v>60</v>
      </c>
      <c r="H51" s="148">
        <f t="shared" si="7"/>
        <v>74120.650666666668</v>
      </c>
    </row>
    <row r="52" spans="1:8">
      <c r="A52" s="123"/>
      <c r="B52" s="117" t="s">
        <v>119</v>
      </c>
      <c r="C52" s="148">
        <f>'Schedule 3A - 2026'!F52</f>
        <v>22045657.629999995</v>
      </c>
      <c r="D52" s="148">
        <v>0</v>
      </c>
      <c r="E52" s="148"/>
      <c r="F52" s="148">
        <f t="shared" si="6"/>
        <v>22045657.629999995</v>
      </c>
      <c r="G52" s="143">
        <v>60</v>
      </c>
      <c r="H52" s="148">
        <f t="shared" si="7"/>
        <v>367427.62716666661</v>
      </c>
    </row>
    <row r="53" spans="1:8">
      <c r="A53" s="123"/>
      <c r="B53" s="117" t="s">
        <v>120</v>
      </c>
      <c r="C53" s="148">
        <f>'Schedule 3A - 2026'!F53</f>
        <v>277975</v>
      </c>
      <c r="D53" s="148">
        <v>0</v>
      </c>
      <c r="E53" s="148"/>
      <c r="F53" s="148">
        <f t="shared" si="6"/>
        <v>277975</v>
      </c>
      <c r="G53" s="143">
        <v>60</v>
      </c>
      <c r="H53" s="148">
        <f t="shared" si="7"/>
        <v>4632.916666666667</v>
      </c>
    </row>
    <row r="54" spans="1:8">
      <c r="A54" s="123"/>
      <c r="B54" s="117" t="s">
        <v>121</v>
      </c>
      <c r="C54" s="148">
        <f>'Schedule 3A - 2026'!F54</f>
        <v>78676847.119999975</v>
      </c>
      <c r="D54" s="148">
        <v>2200000</v>
      </c>
      <c r="E54" s="148"/>
      <c r="F54" s="148">
        <f t="shared" si="6"/>
        <v>80876847.119999975</v>
      </c>
      <c r="G54" s="143">
        <v>54</v>
      </c>
      <c r="H54" s="148">
        <f t="shared" si="7"/>
        <v>1477349.0207407402</v>
      </c>
    </row>
    <row r="55" spans="1:8">
      <c r="A55" s="123"/>
      <c r="B55" s="117" t="s">
        <v>330</v>
      </c>
      <c r="C55" s="148">
        <f>'Schedule 3A - 2026'!F55</f>
        <v>10688553.15</v>
      </c>
      <c r="D55" s="148">
        <v>0</v>
      </c>
      <c r="E55" s="148"/>
      <c r="F55" s="148">
        <f t="shared" si="6"/>
        <v>10688553.15</v>
      </c>
      <c r="G55" s="143">
        <v>10</v>
      </c>
      <c r="H55" s="148">
        <f t="shared" si="7"/>
        <v>1068855.3149999999</v>
      </c>
    </row>
    <row r="56" spans="1:8">
      <c r="A56" s="123"/>
      <c r="B56" s="117" t="s">
        <v>333</v>
      </c>
      <c r="C56" s="148">
        <f>'Schedule 3A - 2026'!F56</f>
        <v>13991451.050000001</v>
      </c>
      <c r="D56" s="148">
        <v>0</v>
      </c>
      <c r="E56" s="148"/>
      <c r="F56" s="148">
        <f t="shared" si="6"/>
        <v>13991451.050000001</v>
      </c>
      <c r="G56" s="143">
        <v>10</v>
      </c>
      <c r="H56" s="148">
        <f t="shared" si="7"/>
        <v>1399145.105</v>
      </c>
    </row>
    <row r="57" spans="1:8">
      <c r="A57" s="123"/>
      <c r="B57" s="117" t="s">
        <v>334</v>
      </c>
      <c r="C57" s="148">
        <f>'Schedule 3A - 2026'!F57</f>
        <v>848040.31</v>
      </c>
      <c r="D57" s="148">
        <v>0</v>
      </c>
      <c r="E57" s="148"/>
      <c r="F57" s="148">
        <f t="shared" si="6"/>
        <v>848040.31</v>
      </c>
      <c r="G57" s="143">
        <v>10</v>
      </c>
      <c r="H57" s="148">
        <f t="shared" si="7"/>
        <v>84804.031000000003</v>
      </c>
    </row>
    <row r="58" spans="1:8">
      <c r="A58" s="123"/>
      <c r="B58" s="117" t="s">
        <v>122</v>
      </c>
      <c r="C58" s="148">
        <f>'Schedule 3A - 2026'!F58</f>
        <v>8907593.5500000007</v>
      </c>
      <c r="D58" s="148">
        <v>0</v>
      </c>
      <c r="E58" s="148"/>
      <c r="F58" s="148">
        <f t="shared" si="6"/>
        <v>8907593.5500000007</v>
      </c>
      <c r="G58" s="143">
        <v>55</v>
      </c>
      <c r="H58" s="148">
        <f t="shared" si="7"/>
        <v>161956.24636363637</v>
      </c>
    </row>
    <row r="59" spans="1:8">
      <c r="A59" s="123"/>
      <c r="B59" s="117" t="s">
        <v>123</v>
      </c>
      <c r="C59" s="148">
        <f>'Schedule 3A - 2026'!F59</f>
        <v>274477.45</v>
      </c>
      <c r="D59" s="148">
        <v>0</v>
      </c>
      <c r="E59" s="148"/>
      <c r="F59" s="148">
        <f t="shared" si="6"/>
        <v>274477.45</v>
      </c>
      <c r="G59" s="143">
        <v>30</v>
      </c>
      <c r="H59" s="148">
        <f t="shared" si="7"/>
        <v>9149.248333333333</v>
      </c>
    </row>
    <row r="60" spans="1:8">
      <c r="A60" s="123"/>
      <c r="B60" s="117" t="s">
        <v>313</v>
      </c>
      <c r="C60" s="149"/>
      <c r="D60" s="149"/>
      <c r="E60" s="149"/>
      <c r="F60" s="149"/>
      <c r="G60" s="144"/>
      <c r="H60" s="149">
        <v>-79596.960000000006</v>
      </c>
    </row>
    <row r="61" spans="1:8" s="121" customFormat="1" ht="18" customHeight="1">
      <c r="A61" s="112" t="s">
        <v>124</v>
      </c>
      <c r="B61" s="112"/>
      <c r="C61" s="150">
        <f>SUBTOTAL(9,C49:C60)</f>
        <v>241572252.68999997</v>
      </c>
      <c r="D61" s="150">
        <f>SUBTOTAL(9,D49:D60)</f>
        <v>9000143.5800000001</v>
      </c>
      <c r="E61" s="150">
        <f>SUBTOTAL(9,E49:E60)</f>
        <v>0</v>
      </c>
      <c r="F61" s="150">
        <f>SUBTOTAL(9,F49:F60)</f>
        <v>250572396.26999995</v>
      </c>
      <c r="G61" s="120"/>
      <c r="H61" s="150">
        <f>SUBTOTAL(9,H49:H60)</f>
        <v>6201856.2785530947</v>
      </c>
    </row>
    <row r="62" spans="1:8">
      <c r="C62" s="151"/>
      <c r="D62" s="151"/>
      <c r="E62" s="151"/>
      <c r="F62" s="151"/>
      <c r="G62" s="122"/>
      <c r="H62" s="151"/>
    </row>
    <row r="63" spans="1:8">
      <c r="A63" s="112" t="s">
        <v>125</v>
      </c>
      <c r="C63" s="151"/>
      <c r="D63" s="151"/>
      <c r="E63" s="151"/>
      <c r="F63" s="151"/>
      <c r="G63" s="122"/>
      <c r="H63" s="151"/>
    </row>
    <row r="64" spans="1:8">
      <c r="A64" s="123"/>
      <c r="B64" s="117" t="s">
        <v>116</v>
      </c>
      <c r="C64" s="148">
        <f>'Schedule 3A - 2026'!F64</f>
        <v>4640086.0399999991</v>
      </c>
      <c r="D64" s="148">
        <v>0</v>
      </c>
      <c r="E64" s="148"/>
      <c r="F64" s="148">
        <f t="shared" ref="F64:F74" si="8">C64+D64-E64</f>
        <v>4640086.0399999991</v>
      </c>
      <c r="G64" s="143">
        <v>65</v>
      </c>
      <c r="H64" s="148">
        <f t="shared" ref="H64:H74" si="9">IFERROR(C64/G64+D64/G64/2,0)</f>
        <v>71385.939076923067</v>
      </c>
    </row>
    <row r="65" spans="1:8">
      <c r="A65" s="123"/>
      <c r="B65" s="117" t="s">
        <v>126</v>
      </c>
      <c r="C65" s="148">
        <f>'Schedule 3A - 2026'!F65</f>
        <v>2646131.54</v>
      </c>
      <c r="D65" s="148">
        <v>0</v>
      </c>
      <c r="E65" s="148"/>
      <c r="F65" s="148">
        <f t="shared" si="8"/>
        <v>2646131.54</v>
      </c>
      <c r="G65" s="143">
        <v>12</v>
      </c>
      <c r="H65" s="148">
        <f t="shared" si="9"/>
        <v>220510.96166666667</v>
      </c>
    </row>
    <row r="66" spans="1:8">
      <c r="A66" s="123"/>
      <c r="B66" s="117" t="s">
        <v>127</v>
      </c>
      <c r="C66" s="148">
        <f>'Schedule 3A - 2026'!F66</f>
        <v>41597.199999999997</v>
      </c>
      <c r="D66" s="148">
        <v>0</v>
      </c>
      <c r="E66" s="148"/>
      <c r="F66" s="148">
        <f t="shared" si="8"/>
        <v>41597.199999999997</v>
      </c>
      <c r="G66" s="143">
        <v>60</v>
      </c>
      <c r="H66" s="148">
        <f t="shared" si="9"/>
        <v>693.28666666666663</v>
      </c>
    </row>
    <row r="67" spans="1:8">
      <c r="A67" s="123"/>
      <c r="B67" s="117" t="s">
        <v>294</v>
      </c>
      <c r="C67" s="148">
        <f>'Schedule 3A - 2026'!F67</f>
        <v>432532.51</v>
      </c>
      <c r="D67" s="148">
        <v>0</v>
      </c>
      <c r="E67" s="148"/>
      <c r="F67" s="148">
        <f t="shared" si="8"/>
        <v>432532.51</v>
      </c>
      <c r="G67" s="143">
        <v>12</v>
      </c>
      <c r="H67" s="148">
        <f t="shared" si="9"/>
        <v>36044.375833333332</v>
      </c>
    </row>
    <row r="68" spans="1:8">
      <c r="A68" s="123"/>
      <c r="B68" s="117" t="s">
        <v>128</v>
      </c>
      <c r="C68" s="148">
        <f>'Schedule 3A - 2026'!F68</f>
        <v>0</v>
      </c>
      <c r="D68" s="148">
        <v>0</v>
      </c>
      <c r="E68" s="148"/>
      <c r="F68" s="148">
        <f t="shared" si="8"/>
        <v>0</v>
      </c>
      <c r="G68" s="143">
        <v>60</v>
      </c>
      <c r="H68" s="148">
        <f t="shared" si="9"/>
        <v>0</v>
      </c>
    </row>
    <row r="69" spans="1:8">
      <c r="A69" s="123"/>
      <c r="B69" s="117" t="s">
        <v>295</v>
      </c>
      <c r="C69" s="148">
        <f>'Schedule 3A - 2026'!F69</f>
        <v>95136.43</v>
      </c>
      <c r="D69" s="148">
        <v>0</v>
      </c>
      <c r="E69" s="148"/>
      <c r="F69" s="148">
        <f t="shared" si="8"/>
        <v>95136.43</v>
      </c>
      <c r="G69" s="143">
        <v>12</v>
      </c>
      <c r="H69" s="148">
        <f t="shared" si="9"/>
        <v>7928.0358333333324</v>
      </c>
    </row>
    <row r="70" spans="1:8">
      <c r="A70" s="123"/>
      <c r="B70" s="117" t="s">
        <v>129</v>
      </c>
      <c r="C70" s="148">
        <f>'Schedule 3A - 2026'!F70</f>
        <v>1837887.92</v>
      </c>
      <c r="D70" s="148">
        <v>0</v>
      </c>
      <c r="E70" s="148"/>
      <c r="F70" s="148">
        <f t="shared" si="8"/>
        <v>1837887.92</v>
      </c>
      <c r="G70" s="143">
        <v>60</v>
      </c>
      <c r="H70" s="148">
        <f t="shared" si="9"/>
        <v>30631.465333333334</v>
      </c>
    </row>
    <row r="71" spans="1:8">
      <c r="A71" s="123"/>
      <c r="B71" s="117" t="s">
        <v>130</v>
      </c>
      <c r="C71" s="148">
        <f>'Schedule 3A - 2026'!F71</f>
        <v>78813.429999999993</v>
      </c>
      <c r="D71" s="148">
        <v>0</v>
      </c>
      <c r="E71" s="148"/>
      <c r="F71" s="148">
        <f t="shared" si="8"/>
        <v>78813.429999999993</v>
      </c>
      <c r="G71" s="143">
        <v>45</v>
      </c>
      <c r="H71" s="148">
        <f t="shared" si="9"/>
        <v>1751.4095555555555</v>
      </c>
    </row>
    <row r="72" spans="1:8">
      <c r="A72" s="123"/>
      <c r="B72" s="117" t="s">
        <v>296</v>
      </c>
      <c r="C72" s="148">
        <f>'Schedule 3A - 2026'!F72</f>
        <v>920692.5</v>
      </c>
      <c r="D72" s="148">
        <v>0</v>
      </c>
      <c r="E72" s="148"/>
      <c r="F72" s="148">
        <f t="shared" si="8"/>
        <v>920692.5</v>
      </c>
      <c r="G72" s="143">
        <v>12</v>
      </c>
      <c r="H72" s="148">
        <f t="shared" si="9"/>
        <v>76724.375</v>
      </c>
    </row>
    <row r="73" spans="1:8">
      <c r="A73" s="123"/>
      <c r="B73" s="117" t="s">
        <v>297</v>
      </c>
      <c r="C73" s="148">
        <f>'Schedule 3A - 2026'!F73</f>
        <v>8480710.3499999996</v>
      </c>
      <c r="D73" s="148">
        <v>1080000</v>
      </c>
      <c r="E73" s="148"/>
      <c r="F73" s="148">
        <f t="shared" si="8"/>
        <v>9560710.3499999996</v>
      </c>
      <c r="G73" s="143">
        <v>54</v>
      </c>
      <c r="H73" s="148">
        <f t="shared" si="9"/>
        <v>167050.19166666665</v>
      </c>
    </row>
    <row r="74" spans="1:8">
      <c r="A74" s="123"/>
      <c r="B74" s="117" t="s">
        <v>298</v>
      </c>
      <c r="C74" s="148">
        <f>'Schedule 3A - 2026'!F74</f>
        <v>7111245.04</v>
      </c>
      <c r="D74" s="148">
        <v>0</v>
      </c>
      <c r="E74" s="148"/>
      <c r="F74" s="148">
        <f t="shared" si="8"/>
        <v>7111245.04</v>
      </c>
      <c r="G74" s="143">
        <v>12</v>
      </c>
      <c r="H74" s="148">
        <f t="shared" si="9"/>
        <v>592603.7533333333</v>
      </c>
    </row>
    <row r="75" spans="1:8">
      <c r="A75" s="123"/>
      <c r="B75" s="117" t="s">
        <v>313</v>
      </c>
      <c r="C75" s="149"/>
      <c r="D75" s="149"/>
      <c r="E75" s="149"/>
      <c r="F75" s="149"/>
      <c r="G75" s="144"/>
      <c r="H75" s="149">
        <v>-36367.199999999997</v>
      </c>
    </row>
    <row r="76" spans="1:8" s="121" customFormat="1">
      <c r="A76" s="112" t="s">
        <v>131</v>
      </c>
      <c r="B76" s="112"/>
      <c r="C76" s="150">
        <f>SUBTOTAL(9,C64:C75)</f>
        <v>26284832.959999997</v>
      </c>
      <c r="D76" s="150">
        <f>SUBTOTAL(9,D64:D75)</f>
        <v>1080000</v>
      </c>
      <c r="E76" s="150">
        <f>SUBTOTAL(9,E64:E75)</f>
        <v>0</v>
      </c>
      <c r="F76" s="150">
        <f>SUBTOTAL(9,F64:F75)</f>
        <v>27364832.959999997</v>
      </c>
      <c r="G76" s="120"/>
      <c r="H76" s="150">
        <f>SUBTOTAL(9,H64:H75)</f>
        <v>1168956.5939658119</v>
      </c>
    </row>
    <row r="77" spans="1:8">
      <c r="C77" s="151"/>
      <c r="D77" s="151"/>
      <c r="E77" s="151"/>
      <c r="F77" s="151"/>
      <c r="G77" s="122"/>
      <c r="H77" s="151"/>
    </row>
    <row r="78" spans="1:8">
      <c r="A78" s="112" t="s">
        <v>132</v>
      </c>
      <c r="C78" s="151"/>
      <c r="D78" s="151"/>
      <c r="E78" s="151"/>
      <c r="F78" s="151"/>
      <c r="G78" s="122"/>
      <c r="H78" s="151"/>
    </row>
    <row r="79" spans="1:8">
      <c r="A79" s="123"/>
      <c r="B79" s="117" t="s">
        <v>116</v>
      </c>
      <c r="C79" s="148">
        <f>'Schedule 3A - 2026'!F79</f>
        <v>24410879.299999997</v>
      </c>
      <c r="D79" s="148">
        <v>1974900</v>
      </c>
      <c r="E79" s="148"/>
      <c r="F79" s="148">
        <f t="shared" ref="F79:F94" si="10">C79+D79-E79</f>
        <v>26385779.299999997</v>
      </c>
      <c r="G79" s="143">
        <v>40</v>
      </c>
      <c r="H79" s="148">
        <f t="shared" ref="H79:H94" si="11">IFERROR(C79/G79+D79/G79/2,0)</f>
        <v>634958.23249999993</v>
      </c>
    </row>
    <row r="80" spans="1:8">
      <c r="A80" s="123"/>
      <c r="B80" s="117" t="s">
        <v>117</v>
      </c>
      <c r="C80" s="148">
        <f>'Schedule 3A - 2026'!F80</f>
        <v>44763.01</v>
      </c>
      <c r="D80" s="148">
        <v>0</v>
      </c>
      <c r="E80" s="148"/>
      <c r="F80" s="148">
        <f t="shared" si="10"/>
        <v>44763.01</v>
      </c>
      <c r="G80" s="143">
        <v>50</v>
      </c>
      <c r="H80" s="148">
        <f t="shared" si="11"/>
        <v>895.26020000000005</v>
      </c>
    </row>
    <row r="81" spans="1:8">
      <c r="A81" s="123"/>
      <c r="B81" s="117" t="s">
        <v>128</v>
      </c>
      <c r="C81" s="148">
        <f>'Schedule 3A - 2026'!F81</f>
        <v>662900.07999999984</v>
      </c>
      <c r="D81" s="148">
        <v>0</v>
      </c>
      <c r="E81" s="148"/>
      <c r="F81" s="148">
        <f t="shared" si="10"/>
        <v>662900.07999999984</v>
      </c>
      <c r="G81" s="143">
        <v>50</v>
      </c>
      <c r="H81" s="148">
        <f t="shared" si="11"/>
        <v>13258.001599999996</v>
      </c>
    </row>
    <row r="82" spans="1:8">
      <c r="A82" s="123"/>
      <c r="B82" s="117" t="s">
        <v>133</v>
      </c>
      <c r="C82" s="148">
        <f>'Schedule 3A - 2026'!F82</f>
        <v>6478414.0299999993</v>
      </c>
      <c r="D82" s="148">
        <v>0</v>
      </c>
      <c r="E82" s="148"/>
      <c r="F82" s="148">
        <f t="shared" si="10"/>
        <v>6478414.0299999993</v>
      </c>
      <c r="G82" s="143">
        <v>50</v>
      </c>
      <c r="H82" s="148">
        <f t="shared" si="11"/>
        <v>129568.28059999998</v>
      </c>
    </row>
    <row r="83" spans="1:8">
      <c r="A83" s="123"/>
      <c r="B83" s="117" t="s">
        <v>134</v>
      </c>
      <c r="C83" s="148">
        <f>'Schedule 3A - 2026'!F83</f>
        <v>2619726.4199999981</v>
      </c>
      <c r="D83" s="148">
        <v>0</v>
      </c>
      <c r="E83" s="148"/>
      <c r="F83" s="148">
        <f t="shared" si="10"/>
        <v>2619726.4199999981</v>
      </c>
      <c r="G83" s="143">
        <v>40</v>
      </c>
      <c r="H83" s="148">
        <f t="shared" si="11"/>
        <v>65493.160499999954</v>
      </c>
    </row>
    <row r="84" spans="1:8">
      <c r="A84" s="123"/>
      <c r="B84" s="117" t="s">
        <v>135</v>
      </c>
      <c r="C84" s="148">
        <f>'Schedule 3A - 2026'!F84</f>
        <v>385154.92</v>
      </c>
      <c r="D84" s="148">
        <v>0</v>
      </c>
      <c r="E84" s="148"/>
      <c r="F84" s="148">
        <f t="shared" si="10"/>
        <v>385154.92</v>
      </c>
      <c r="G84" s="143">
        <v>40</v>
      </c>
      <c r="H84" s="148">
        <f t="shared" si="11"/>
        <v>9628.8729999999996</v>
      </c>
    </row>
    <row r="85" spans="1:8">
      <c r="A85" s="123"/>
      <c r="B85" s="117" t="s">
        <v>310</v>
      </c>
      <c r="C85" s="148">
        <f>'Schedule 3A - 2026'!F85</f>
        <v>43376.77</v>
      </c>
      <c r="D85" s="148">
        <v>0</v>
      </c>
      <c r="E85" s="148"/>
      <c r="F85" s="148">
        <f t="shared" si="10"/>
        <v>43376.77</v>
      </c>
      <c r="G85" s="143">
        <v>40</v>
      </c>
      <c r="H85" s="148">
        <f t="shared" si="11"/>
        <v>1084.4192499999999</v>
      </c>
    </row>
    <row r="86" spans="1:8">
      <c r="A86" s="123"/>
      <c r="B86" s="117" t="s">
        <v>136</v>
      </c>
      <c r="C86" s="148">
        <f>'Schedule 3A - 2026'!F86</f>
        <v>0</v>
      </c>
      <c r="D86" s="148">
        <v>0</v>
      </c>
      <c r="E86" s="148"/>
      <c r="F86" s="148">
        <f t="shared" si="10"/>
        <v>0</v>
      </c>
      <c r="G86" s="143">
        <v>0</v>
      </c>
      <c r="H86" s="148">
        <f t="shared" si="11"/>
        <v>0</v>
      </c>
    </row>
    <row r="87" spans="1:8">
      <c r="A87" s="123"/>
      <c r="B87" s="117" t="s">
        <v>137</v>
      </c>
      <c r="C87" s="148">
        <f>'Schedule 3A - 2026'!F87</f>
        <v>312632.61</v>
      </c>
      <c r="D87" s="148">
        <v>0</v>
      </c>
      <c r="E87" s="148"/>
      <c r="F87" s="148">
        <f t="shared" si="10"/>
        <v>312632.61</v>
      </c>
      <c r="G87" s="143">
        <v>16</v>
      </c>
      <c r="H87" s="148">
        <f t="shared" si="11"/>
        <v>19539.538124999999</v>
      </c>
    </row>
    <row r="88" spans="1:8">
      <c r="A88" s="123"/>
      <c r="B88" s="117" t="s">
        <v>138</v>
      </c>
      <c r="C88" s="148">
        <f>'Schedule 3A - 2026'!F88</f>
        <v>288392.19</v>
      </c>
      <c r="D88" s="148">
        <v>700000</v>
      </c>
      <c r="E88" s="148"/>
      <c r="F88" s="148">
        <f t="shared" si="10"/>
        <v>988392.19</v>
      </c>
      <c r="G88" s="143">
        <v>16</v>
      </c>
      <c r="H88" s="148">
        <f t="shared" si="11"/>
        <v>39899.511874999997</v>
      </c>
    </row>
    <row r="89" spans="1:8">
      <c r="A89" s="123"/>
      <c r="B89" s="117" t="s">
        <v>121</v>
      </c>
      <c r="C89" s="148">
        <f>'Schedule 3A - 2026'!F89</f>
        <v>2202066.91</v>
      </c>
      <c r="D89" s="148">
        <v>0</v>
      </c>
      <c r="E89" s="148"/>
      <c r="F89" s="148">
        <f t="shared" si="10"/>
        <v>2202066.91</v>
      </c>
      <c r="G89" s="143">
        <v>40</v>
      </c>
      <c r="H89" s="148">
        <f t="shared" si="11"/>
        <v>55051.672750000005</v>
      </c>
    </row>
    <row r="90" spans="1:8">
      <c r="A90" s="123"/>
      <c r="B90" s="117" t="s">
        <v>122</v>
      </c>
      <c r="C90" s="148">
        <f>'Schedule 3A - 2026'!F90</f>
        <v>64798.340000000004</v>
      </c>
      <c r="D90" s="148">
        <v>0</v>
      </c>
      <c r="E90" s="148"/>
      <c r="F90" s="148">
        <f t="shared" si="10"/>
        <v>64798.340000000004</v>
      </c>
      <c r="G90" s="143">
        <v>55</v>
      </c>
      <c r="H90" s="148">
        <f t="shared" si="11"/>
        <v>1178.1516363636365</v>
      </c>
    </row>
    <row r="91" spans="1:8">
      <c r="A91" s="123"/>
      <c r="B91" s="117" t="s">
        <v>123</v>
      </c>
      <c r="C91" s="148">
        <f>'Schedule 3A - 2026'!F91</f>
        <v>100328.43</v>
      </c>
      <c r="D91" s="148">
        <v>0</v>
      </c>
      <c r="E91" s="148"/>
      <c r="F91" s="148">
        <f t="shared" si="10"/>
        <v>100328.43</v>
      </c>
      <c r="G91" s="143">
        <v>30</v>
      </c>
      <c r="H91" s="148">
        <f t="shared" si="11"/>
        <v>3344.2809999999999</v>
      </c>
    </row>
    <row r="92" spans="1:8">
      <c r="A92" s="123"/>
      <c r="B92" s="117" t="s">
        <v>139</v>
      </c>
      <c r="C92" s="148">
        <f>'Schedule 3A - 2026'!F92</f>
        <v>603366.85</v>
      </c>
      <c r="D92" s="148">
        <v>0</v>
      </c>
      <c r="E92" s="148"/>
      <c r="F92" s="148">
        <f t="shared" si="10"/>
        <v>603366.85</v>
      </c>
      <c r="G92" s="143">
        <v>40</v>
      </c>
      <c r="H92" s="148">
        <f t="shared" si="11"/>
        <v>15084.171249999999</v>
      </c>
    </row>
    <row r="93" spans="1:8">
      <c r="A93" s="123"/>
      <c r="B93" s="117" t="s">
        <v>140</v>
      </c>
      <c r="C93" s="148">
        <f>'Schedule 3A - 2026'!F93</f>
        <v>4042479.1899999995</v>
      </c>
      <c r="D93" s="148">
        <v>0</v>
      </c>
      <c r="E93" s="148"/>
      <c r="F93" s="148">
        <f t="shared" si="10"/>
        <v>4042479.1899999995</v>
      </c>
      <c r="G93" s="143">
        <v>35</v>
      </c>
      <c r="H93" s="148">
        <f t="shared" si="11"/>
        <v>115499.40542857141</v>
      </c>
    </row>
    <row r="94" spans="1:8">
      <c r="A94" s="123"/>
      <c r="B94" s="117" t="s">
        <v>141</v>
      </c>
      <c r="C94" s="148">
        <f>'Schedule 3A - 2026'!F94</f>
        <v>36442.910000000003</v>
      </c>
      <c r="D94" s="148">
        <v>0</v>
      </c>
      <c r="E94" s="148"/>
      <c r="F94" s="148">
        <f t="shared" si="10"/>
        <v>36442.910000000003</v>
      </c>
      <c r="G94" s="143">
        <v>30</v>
      </c>
      <c r="H94" s="148">
        <f t="shared" si="11"/>
        <v>1214.7636666666667</v>
      </c>
    </row>
    <row r="95" spans="1:8">
      <c r="A95" s="123"/>
      <c r="B95" s="117" t="s">
        <v>313</v>
      </c>
      <c r="C95" s="149"/>
      <c r="D95" s="149"/>
      <c r="E95" s="149"/>
      <c r="F95" s="149"/>
      <c r="G95" s="118"/>
      <c r="H95" s="149">
        <v>49978.92</v>
      </c>
    </row>
    <row r="96" spans="1:8" s="121" customFormat="1" ht="18" customHeight="1">
      <c r="A96" s="112" t="s">
        <v>142</v>
      </c>
      <c r="B96" s="112"/>
      <c r="C96" s="150">
        <f>SUBTOTAL(9,C79:C95)</f>
        <v>42295721.959999993</v>
      </c>
      <c r="D96" s="150">
        <f>SUBTOTAL(9,D79:D95)</f>
        <v>2674900</v>
      </c>
      <c r="E96" s="150">
        <f>SUBTOTAL(9,E79:E95)</f>
        <v>0</v>
      </c>
      <c r="F96" s="150">
        <f>SUBTOTAL(9,F79:F95)</f>
        <v>44970621.959999993</v>
      </c>
      <c r="G96" s="120"/>
      <c r="H96" s="150">
        <f>SUBTOTAL(9,H79:H95)</f>
        <v>1155676.6433816014</v>
      </c>
    </row>
    <row r="97" spans="1:8">
      <c r="C97" s="152"/>
      <c r="D97" s="152"/>
      <c r="E97" s="152"/>
      <c r="F97" s="152"/>
      <c r="G97" s="124"/>
      <c r="H97" s="152"/>
    </row>
    <row r="98" spans="1:8">
      <c r="A98" s="112" t="s">
        <v>143</v>
      </c>
      <c r="C98" s="151"/>
      <c r="D98" s="151"/>
      <c r="E98" s="151"/>
      <c r="F98" s="151"/>
      <c r="G98" s="122"/>
      <c r="H98" s="151"/>
    </row>
    <row r="99" spans="1:8">
      <c r="A99" s="123"/>
      <c r="B99" s="117" t="s">
        <v>144</v>
      </c>
      <c r="C99" s="148">
        <f>'Schedule 3A - 2026'!F99</f>
        <v>4320.91</v>
      </c>
      <c r="D99" s="148">
        <v>0</v>
      </c>
      <c r="E99" s="148"/>
      <c r="F99" s="148">
        <f t="shared" ref="F99:F111" si="12">C99+D99-E99</f>
        <v>4320.91</v>
      </c>
      <c r="G99" s="143">
        <v>50</v>
      </c>
      <c r="H99" s="148">
        <f t="shared" ref="H99:H111" si="13">IFERROR(C99/G99+D99/G99/2,0)</f>
        <v>86.418199999999999</v>
      </c>
    </row>
    <row r="100" spans="1:8">
      <c r="A100" s="123"/>
      <c r="B100" s="117" t="s">
        <v>145</v>
      </c>
      <c r="C100" s="148">
        <f>'Schedule 3A - 2026'!F100</f>
        <v>5938453.1499999994</v>
      </c>
      <c r="D100" s="148">
        <v>0</v>
      </c>
      <c r="E100" s="148"/>
      <c r="F100" s="148">
        <f t="shared" si="12"/>
        <v>5938453.1499999994</v>
      </c>
      <c r="G100" s="143">
        <v>50</v>
      </c>
      <c r="H100" s="148">
        <f t="shared" si="13"/>
        <v>118769.06299999999</v>
      </c>
    </row>
    <row r="101" spans="1:8">
      <c r="A101" s="123"/>
      <c r="B101" s="117" t="s">
        <v>146</v>
      </c>
      <c r="C101" s="148">
        <f>'Schedule 3A - 2026'!F101</f>
        <v>13516536.230000004</v>
      </c>
      <c r="D101" s="148">
        <v>440000</v>
      </c>
      <c r="E101" s="148"/>
      <c r="F101" s="148">
        <f t="shared" si="12"/>
        <v>13956536.230000004</v>
      </c>
      <c r="G101" s="143">
        <v>55</v>
      </c>
      <c r="H101" s="148">
        <f t="shared" si="13"/>
        <v>249755.20418181826</v>
      </c>
    </row>
    <row r="102" spans="1:8">
      <c r="A102" s="123"/>
      <c r="B102" s="117" t="s">
        <v>147</v>
      </c>
      <c r="C102" s="148">
        <f>'Schedule 3A - 2026'!F102</f>
        <v>2108554.5099999998</v>
      </c>
      <c r="D102" s="148">
        <v>40000</v>
      </c>
      <c r="E102" s="148"/>
      <c r="F102" s="148">
        <f t="shared" si="12"/>
        <v>2148554.5099999998</v>
      </c>
      <c r="G102" s="143">
        <v>20</v>
      </c>
      <c r="H102" s="148">
        <f t="shared" si="13"/>
        <v>106427.72549999999</v>
      </c>
    </row>
    <row r="103" spans="1:8">
      <c r="A103" s="123"/>
      <c r="B103" s="117" t="s">
        <v>148</v>
      </c>
      <c r="C103" s="148">
        <f>'Schedule 3A - 2026'!F103</f>
        <v>19296.990000000002</v>
      </c>
      <c r="D103" s="148">
        <v>0</v>
      </c>
      <c r="E103" s="148"/>
      <c r="F103" s="148">
        <f t="shared" si="12"/>
        <v>19296.990000000002</v>
      </c>
      <c r="G103" s="143">
        <v>40</v>
      </c>
      <c r="H103" s="148">
        <f t="shared" si="13"/>
        <v>482.42475000000002</v>
      </c>
    </row>
    <row r="104" spans="1:8">
      <c r="A104" s="123"/>
      <c r="B104" s="117" t="s">
        <v>149</v>
      </c>
      <c r="C104" s="148">
        <f>'Schedule 3A - 2026'!F104</f>
        <v>199953.86</v>
      </c>
      <c r="D104" s="148">
        <v>25000</v>
      </c>
      <c r="E104" s="148"/>
      <c r="F104" s="148">
        <f t="shared" si="12"/>
        <v>224953.86</v>
      </c>
      <c r="G104" s="143">
        <v>30</v>
      </c>
      <c r="H104" s="148">
        <f t="shared" si="13"/>
        <v>7081.7953333333335</v>
      </c>
    </row>
    <row r="105" spans="1:8">
      <c r="A105" s="123"/>
      <c r="B105" s="117" t="s">
        <v>150</v>
      </c>
      <c r="C105" s="148">
        <f>'Schedule 3A - 2026'!F105</f>
        <v>3196733.3100000005</v>
      </c>
      <c r="D105" s="148">
        <v>860000</v>
      </c>
      <c r="E105" s="148"/>
      <c r="F105" s="148">
        <f t="shared" si="12"/>
        <v>4056733.3100000005</v>
      </c>
      <c r="G105" s="143">
        <v>7</v>
      </c>
      <c r="H105" s="148">
        <f t="shared" si="13"/>
        <v>518104.75857142865</v>
      </c>
    </row>
    <row r="106" spans="1:8">
      <c r="A106" s="123"/>
      <c r="B106" s="117" t="s">
        <v>151</v>
      </c>
      <c r="C106" s="148">
        <f>'Schedule 3A - 2026'!F106</f>
        <v>0</v>
      </c>
      <c r="D106" s="148">
        <v>0</v>
      </c>
      <c r="E106" s="148"/>
      <c r="F106" s="148">
        <f t="shared" si="12"/>
        <v>0</v>
      </c>
      <c r="G106" s="143">
        <v>5</v>
      </c>
      <c r="H106" s="148">
        <f t="shared" si="13"/>
        <v>0</v>
      </c>
    </row>
    <row r="107" spans="1:8">
      <c r="A107" s="123"/>
      <c r="B107" s="117" t="s">
        <v>152</v>
      </c>
      <c r="C107" s="148">
        <f>'Schedule 3A - 2026'!F107</f>
        <v>5615924.3199999984</v>
      </c>
      <c r="D107" s="148">
        <v>695000</v>
      </c>
      <c r="E107" s="148"/>
      <c r="F107" s="148">
        <f t="shared" si="12"/>
        <v>6310924.3199999984</v>
      </c>
      <c r="G107" s="143">
        <v>20</v>
      </c>
      <c r="H107" s="148">
        <f t="shared" si="13"/>
        <v>298171.2159999999</v>
      </c>
    </row>
    <row r="108" spans="1:8">
      <c r="A108" s="123"/>
      <c r="B108" s="117" t="s">
        <v>136</v>
      </c>
      <c r="C108" s="148">
        <f>'Schedule 3A - 2026'!F108</f>
        <v>0</v>
      </c>
      <c r="D108" s="148">
        <v>0</v>
      </c>
      <c r="E108" s="148"/>
      <c r="F108" s="148">
        <f t="shared" si="12"/>
        <v>0</v>
      </c>
      <c r="G108" s="143">
        <v>15</v>
      </c>
      <c r="H108" s="148">
        <f t="shared" si="13"/>
        <v>0</v>
      </c>
    </row>
    <row r="109" spans="1:8">
      <c r="A109" s="123"/>
      <c r="B109" s="117" t="s">
        <v>153</v>
      </c>
      <c r="C109" s="148">
        <f>'Schedule 3A - 2026'!F109</f>
        <v>5873772.7699999977</v>
      </c>
      <c r="D109" s="148">
        <v>194568.73</v>
      </c>
      <c r="E109" s="148"/>
      <c r="F109" s="148">
        <f t="shared" si="12"/>
        <v>6068341.4999999981</v>
      </c>
      <c r="G109" s="143">
        <v>20</v>
      </c>
      <c r="H109" s="148">
        <f t="shared" si="13"/>
        <v>298552.85674999986</v>
      </c>
    </row>
    <row r="110" spans="1:8">
      <c r="A110" s="123"/>
      <c r="B110" s="117" t="s">
        <v>154</v>
      </c>
      <c r="C110" s="148">
        <f>'Schedule 3A - 2026'!F110</f>
        <v>59031.369999999995</v>
      </c>
      <c r="D110" s="148">
        <v>0</v>
      </c>
      <c r="E110" s="148"/>
      <c r="F110" s="148">
        <f t="shared" si="12"/>
        <v>59031.369999999995</v>
      </c>
      <c r="G110" s="143">
        <v>40</v>
      </c>
      <c r="H110" s="148">
        <f t="shared" si="13"/>
        <v>1475.7842499999999</v>
      </c>
    </row>
    <row r="111" spans="1:8">
      <c r="A111" s="123"/>
      <c r="B111" s="117" t="s">
        <v>155</v>
      </c>
      <c r="C111" s="148">
        <f>'Schedule 3A - 2026'!F111</f>
        <v>2152408.6399999997</v>
      </c>
      <c r="D111" s="148">
        <v>0</v>
      </c>
      <c r="E111" s="148"/>
      <c r="F111" s="148">
        <f t="shared" si="12"/>
        <v>2152408.6399999997</v>
      </c>
      <c r="G111" s="143">
        <v>40</v>
      </c>
      <c r="H111" s="148">
        <f t="shared" si="13"/>
        <v>53810.215999999993</v>
      </c>
    </row>
    <row r="112" spans="1:8">
      <c r="A112" s="123"/>
      <c r="B112" s="117" t="s">
        <v>313</v>
      </c>
      <c r="C112" s="149"/>
      <c r="D112" s="149"/>
      <c r="E112" s="149"/>
      <c r="F112" s="149"/>
      <c r="G112" s="144"/>
      <c r="H112" s="149">
        <v>-67343.759999999995</v>
      </c>
    </row>
    <row r="113" spans="1:8" s="121" customFormat="1" ht="18" customHeight="1">
      <c r="A113" s="112" t="s">
        <v>156</v>
      </c>
      <c r="B113" s="112"/>
      <c r="C113" s="150">
        <f>SUBTOTAL(9,C99:C112)</f>
        <v>38684986.059999995</v>
      </c>
      <c r="D113" s="150">
        <f>SUBTOTAL(9,D99:D112)</f>
        <v>2254568.73</v>
      </c>
      <c r="E113" s="150">
        <f>SUBTOTAL(9,E99:E112)</f>
        <v>0</v>
      </c>
      <c r="F113" s="150">
        <f>SUBTOTAL(9,F99:F112)</f>
        <v>40939554.789999999</v>
      </c>
      <c r="G113" s="120"/>
      <c r="H113" s="150">
        <f>SUBTOTAL(9,H99:H112)</f>
        <v>1585373.7025365799</v>
      </c>
    </row>
    <row r="114" spans="1:8">
      <c r="C114" s="152"/>
      <c r="D114" s="152"/>
      <c r="E114" s="152"/>
      <c r="F114" s="152"/>
      <c r="G114" s="126"/>
      <c r="H114" s="152"/>
    </row>
    <row r="115" spans="1:8">
      <c r="A115" s="112" t="s">
        <v>157</v>
      </c>
      <c r="C115" s="151"/>
      <c r="D115" s="151"/>
      <c r="E115" s="151"/>
      <c r="F115" s="151"/>
      <c r="G115" s="122"/>
      <c r="H115" s="151"/>
    </row>
    <row r="116" spans="1:8">
      <c r="A116" s="123"/>
      <c r="B116" s="117" t="s">
        <v>158</v>
      </c>
      <c r="C116" s="148">
        <f>'Schedule 3A - 2026'!F116</f>
        <v>508414.00999999995</v>
      </c>
      <c r="D116" s="148">
        <v>50000</v>
      </c>
      <c r="E116" s="148"/>
      <c r="F116" s="148">
        <f t="shared" ref="F116:F122" si="14">C116+D116-E116</f>
        <v>558414.01</v>
      </c>
      <c r="G116" s="143">
        <v>8</v>
      </c>
      <c r="H116" s="148">
        <f t="shared" ref="H116:H122" si="15">IFERROR(C116/G116+D116/G116/2,0)</f>
        <v>66676.751250000001</v>
      </c>
    </row>
    <row r="117" spans="1:8">
      <c r="A117" s="123"/>
      <c r="B117" s="117" t="s">
        <v>159</v>
      </c>
      <c r="C117" s="148">
        <f>'Schedule 3A - 2026'!F117</f>
        <v>211681.52</v>
      </c>
      <c r="D117" s="148">
        <v>0</v>
      </c>
      <c r="E117" s="148"/>
      <c r="F117" s="148">
        <f t="shared" si="14"/>
        <v>211681.52</v>
      </c>
      <c r="G117" s="143">
        <v>11</v>
      </c>
      <c r="H117" s="148">
        <f t="shared" si="15"/>
        <v>19243.774545454544</v>
      </c>
    </row>
    <row r="118" spans="1:8">
      <c r="A118" s="123"/>
      <c r="B118" s="117" t="s">
        <v>299</v>
      </c>
      <c r="C118" s="148">
        <f>'Schedule 3A - 2026'!F118</f>
        <v>71771.58</v>
      </c>
      <c r="D118" s="148">
        <v>0</v>
      </c>
      <c r="E118" s="148"/>
      <c r="F118" s="148">
        <f t="shared" si="14"/>
        <v>71771.58</v>
      </c>
      <c r="G118" s="143">
        <v>25</v>
      </c>
      <c r="H118" s="148">
        <f t="shared" si="15"/>
        <v>2870.8632000000002</v>
      </c>
    </row>
    <row r="119" spans="1:8">
      <c r="A119" s="123"/>
      <c r="B119" s="117" t="s">
        <v>160</v>
      </c>
      <c r="C119" s="148">
        <f>'Schedule 3A - 2026'!F119</f>
        <v>53710.58</v>
      </c>
      <c r="D119" s="148">
        <v>0</v>
      </c>
      <c r="E119" s="148"/>
      <c r="F119" s="148">
        <f t="shared" si="14"/>
        <v>53710.58</v>
      </c>
      <c r="G119" s="143">
        <v>25</v>
      </c>
      <c r="H119" s="148">
        <f t="shared" si="15"/>
        <v>2148.4232000000002</v>
      </c>
    </row>
    <row r="120" spans="1:8">
      <c r="A120" s="123"/>
      <c r="B120" s="117" t="s">
        <v>161</v>
      </c>
      <c r="C120" s="148">
        <f>'Schedule 3A - 2026'!F120</f>
        <v>6293154.2199999997</v>
      </c>
      <c r="D120" s="148">
        <v>600000</v>
      </c>
      <c r="E120" s="148"/>
      <c r="F120" s="148">
        <f t="shared" si="14"/>
        <v>6893154.2199999997</v>
      </c>
      <c r="G120" s="143">
        <v>9</v>
      </c>
      <c r="H120" s="148">
        <f t="shared" si="15"/>
        <v>732572.69111111108</v>
      </c>
    </row>
    <row r="121" spans="1:8">
      <c r="A121" s="123"/>
      <c r="B121" s="117" t="s">
        <v>162</v>
      </c>
      <c r="C121" s="148">
        <f>'Schedule 3A - 2026'!F121</f>
        <v>2666730.69</v>
      </c>
      <c r="D121" s="148">
        <v>0</v>
      </c>
      <c r="E121" s="148"/>
      <c r="F121" s="148">
        <f t="shared" si="14"/>
        <v>2666730.69</v>
      </c>
      <c r="G121" s="143">
        <v>20</v>
      </c>
      <c r="H121" s="148">
        <f t="shared" si="15"/>
        <v>133336.53450000001</v>
      </c>
    </row>
    <row r="122" spans="1:8">
      <c r="A122" s="123"/>
      <c r="B122" s="117" t="s">
        <v>300</v>
      </c>
      <c r="C122" s="148">
        <f>'Schedule 3A - 2026'!F122</f>
        <v>1003858.15</v>
      </c>
      <c r="D122" s="148">
        <v>0</v>
      </c>
      <c r="E122" s="148"/>
      <c r="F122" s="148">
        <f t="shared" si="14"/>
        <v>1003858.15</v>
      </c>
      <c r="G122" s="145">
        <v>20</v>
      </c>
      <c r="H122" s="148">
        <f t="shared" si="15"/>
        <v>50192.907500000001</v>
      </c>
    </row>
    <row r="123" spans="1:8">
      <c r="A123" s="123"/>
      <c r="B123" s="117" t="s">
        <v>313</v>
      </c>
      <c r="C123" s="149"/>
      <c r="D123" s="149"/>
      <c r="E123" s="149"/>
      <c r="F123" s="149"/>
      <c r="G123" s="146"/>
      <c r="H123" s="149">
        <v>19267.32</v>
      </c>
    </row>
    <row r="124" spans="1:8" s="121" customFormat="1" ht="18" customHeight="1">
      <c r="A124" s="112" t="s">
        <v>163</v>
      </c>
      <c r="B124" s="112"/>
      <c r="C124" s="150">
        <f>SUBTOTAL(9,C116:C123)</f>
        <v>10809320.75</v>
      </c>
      <c r="D124" s="150">
        <f>SUBTOTAL(9,D116:D123)</f>
        <v>650000</v>
      </c>
      <c r="E124" s="150">
        <f>SUBTOTAL(9,E116:E123)</f>
        <v>0</v>
      </c>
      <c r="F124" s="150">
        <f>SUBTOTAL(9,F116:F123)</f>
        <v>11459320.75</v>
      </c>
      <c r="G124" s="119"/>
      <c r="H124" s="150">
        <f>SUBTOTAL(9,H116:H123)</f>
        <v>1026309.2653065656</v>
      </c>
    </row>
    <row r="125" spans="1:8">
      <c r="C125" s="152"/>
      <c r="D125" s="152"/>
      <c r="E125" s="152"/>
      <c r="F125" s="152"/>
      <c r="H125" s="152"/>
    </row>
    <row r="126" spans="1:8">
      <c r="A126" s="112" t="s">
        <v>301</v>
      </c>
      <c r="C126" s="151"/>
      <c r="D126" s="151"/>
      <c r="E126" s="151"/>
      <c r="F126" s="151"/>
      <c r="G126" s="122"/>
      <c r="H126" s="151"/>
    </row>
    <row r="127" spans="1:8">
      <c r="A127" s="123"/>
      <c r="B127" s="117" t="s">
        <v>301</v>
      </c>
      <c r="C127" s="149">
        <f>'Schedule 3A - 2026'!F127</f>
        <v>2415687.0700000003</v>
      </c>
      <c r="D127" s="149">
        <v>3165000</v>
      </c>
      <c r="E127" s="149"/>
      <c r="F127" s="149">
        <f>C127+D127-E127</f>
        <v>5580687.0700000003</v>
      </c>
      <c r="G127" s="144">
        <v>0</v>
      </c>
      <c r="H127" s="149">
        <v>0</v>
      </c>
    </row>
    <row r="128" spans="1:8" s="121" customFormat="1" ht="18.75" customHeight="1">
      <c r="A128" s="112" t="s">
        <v>302</v>
      </c>
      <c r="B128" s="112"/>
      <c r="C128" s="150">
        <f>SUBTOTAL(9,C127)</f>
        <v>2415687.0700000003</v>
      </c>
      <c r="D128" s="150">
        <f>SUBTOTAL(9,D127)</f>
        <v>3165000</v>
      </c>
      <c r="E128" s="150">
        <f>SUBTOTAL(9,E127)</f>
        <v>0</v>
      </c>
      <c r="F128" s="150">
        <f>SUBTOTAL(9,F127)</f>
        <v>5580687.0700000003</v>
      </c>
      <c r="G128" s="120"/>
      <c r="H128" s="150">
        <f>SUBTOTAL(9,H127)</f>
        <v>0</v>
      </c>
    </row>
    <row r="129" spans="1:8" s="121" customFormat="1" ht="18.75" customHeight="1">
      <c r="A129" s="112"/>
      <c r="B129" s="112"/>
      <c r="C129" s="150"/>
      <c r="D129" s="150"/>
      <c r="E129" s="150"/>
      <c r="F129" s="150"/>
      <c r="G129" s="120"/>
      <c r="H129" s="150"/>
    </row>
    <row r="130" spans="1:8">
      <c r="A130" s="112" t="s">
        <v>303</v>
      </c>
      <c r="C130" s="151"/>
      <c r="D130" s="151"/>
      <c r="E130" s="151"/>
      <c r="F130" s="151"/>
      <c r="G130" s="122"/>
      <c r="H130" s="151"/>
    </row>
    <row r="131" spans="1:8">
      <c r="A131" s="123"/>
      <c r="B131" s="117" t="s">
        <v>103</v>
      </c>
      <c r="C131" s="148">
        <f>'Schedule 3A - 2026'!F131</f>
        <v>6184735</v>
      </c>
      <c r="D131" s="148">
        <v>0</v>
      </c>
      <c r="E131" s="148"/>
      <c r="F131" s="148">
        <f t="shared" ref="F131:F137" si="16">C131+D131-E131</f>
        <v>6184735</v>
      </c>
      <c r="G131" s="143">
        <v>72</v>
      </c>
      <c r="H131" s="148">
        <f t="shared" ref="H131:H137" si="17">IFERROR(C131/G131+D131/G131/2,0)</f>
        <v>85899.097222222219</v>
      </c>
    </row>
    <row r="132" spans="1:8">
      <c r="A132" s="123"/>
      <c r="B132" s="117" t="s">
        <v>304</v>
      </c>
      <c r="C132" s="148">
        <f>'Schedule 3A - 2026'!F132</f>
        <v>13200669.02</v>
      </c>
      <c r="D132" s="148">
        <v>0</v>
      </c>
      <c r="E132" s="148"/>
      <c r="F132" s="148">
        <f t="shared" si="16"/>
        <v>13200669.02</v>
      </c>
      <c r="G132" s="143">
        <v>60</v>
      </c>
      <c r="H132" s="148">
        <f t="shared" si="17"/>
        <v>220011.15033333332</v>
      </c>
    </row>
    <row r="133" spans="1:8">
      <c r="A133" s="123"/>
      <c r="B133" s="117" t="s">
        <v>305</v>
      </c>
      <c r="C133" s="148">
        <f>'Schedule 3A - 2026'!F133</f>
        <v>20890968.260000002</v>
      </c>
      <c r="D133" s="148">
        <v>0</v>
      </c>
      <c r="E133" s="148"/>
      <c r="F133" s="148">
        <f t="shared" si="16"/>
        <v>20890968.260000002</v>
      </c>
      <c r="G133" s="143">
        <v>40</v>
      </c>
      <c r="H133" s="148">
        <f t="shared" si="17"/>
        <v>522274.20650000003</v>
      </c>
    </row>
    <row r="134" spans="1:8">
      <c r="A134" s="123"/>
      <c r="B134" s="117" t="s">
        <v>293</v>
      </c>
      <c r="C134" s="148">
        <f>'Schedule 3A - 2026'!F134</f>
        <v>5292382.34</v>
      </c>
      <c r="D134" s="148">
        <v>0</v>
      </c>
      <c r="E134" s="148"/>
      <c r="F134" s="148">
        <f t="shared" si="16"/>
        <v>5292382.34</v>
      </c>
      <c r="G134" s="143">
        <v>2</v>
      </c>
      <c r="H134" s="148">
        <f t="shared" si="17"/>
        <v>2646191.17</v>
      </c>
    </row>
    <row r="135" spans="1:8">
      <c r="A135" s="123"/>
      <c r="B135" s="117" t="s">
        <v>106</v>
      </c>
      <c r="C135" s="148">
        <f>'Schedule 3A - 2026'!F135</f>
        <v>3655939.21</v>
      </c>
      <c r="D135" s="148">
        <v>0</v>
      </c>
      <c r="E135" s="148"/>
      <c r="F135" s="148">
        <f t="shared" si="16"/>
        <v>3655939.21</v>
      </c>
      <c r="G135" s="143">
        <v>45</v>
      </c>
      <c r="H135" s="148">
        <f t="shared" si="17"/>
        <v>81243.093555555548</v>
      </c>
    </row>
    <row r="136" spans="1:8">
      <c r="A136" s="123"/>
      <c r="B136" s="117" t="s">
        <v>107</v>
      </c>
      <c r="C136" s="148">
        <f>'Schedule 3A - 2026'!F136</f>
        <v>2944021.28</v>
      </c>
      <c r="D136" s="148">
        <v>275000</v>
      </c>
      <c r="E136" s="148"/>
      <c r="F136" s="148">
        <f t="shared" si="16"/>
        <v>3219021.28</v>
      </c>
      <c r="G136" s="143">
        <v>30</v>
      </c>
      <c r="H136" s="148">
        <f t="shared" si="17"/>
        <v>102717.37599999999</v>
      </c>
    </row>
    <row r="137" spans="1:8">
      <c r="A137" s="123"/>
      <c r="B137" s="113" t="s">
        <v>306</v>
      </c>
      <c r="C137" s="148">
        <f>'Schedule 3A - 2026'!F137</f>
        <v>779651</v>
      </c>
      <c r="D137" s="148">
        <v>0</v>
      </c>
      <c r="E137" s="148"/>
      <c r="F137" s="148">
        <f t="shared" si="16"/>
        <v>779651</v>
      </c>
      <c r="G137" s="143">
        <v>30</v>
      </c>
      <c r="H137" s="148">
        <f t="shared" si="17"/>
        <v>25988.366666666665</v>
      </c>
    </row>
    <row r="138" spans="1:8">
      <c r="A138" s="123"/>
      <c r="B138" s="117" t="s">
        <v>313</v>
      </c>
      <c r="C138" s="149"/>
      <c r="D138" s="149"/>
      <c r="E138" s="149"/>
      <c r="F138" s="149"/>
      <c r="G138" s="144"/>
      <c r="H138" s="149">
        <v>-13981.32</v>
      </c>
    </row>
    <row r="139" spans="1:8" s="121" customFormat="1" ht="18" customHeight="1">
      <c r="A139" s="112" t="s">
        <v>307</v>
      </c>
      <c r="B139" s="112"/>
      <c r="C139" s="150">
        <f>SUBTOTAL(9,C131:C138)</f>
        <v>52948366.110000007</v>
      </c>
      <c r="D139" s="150">
        <f>SUBTOTAL(9,D131:D138)</f>
        <v>275000</v>
      </c>
      <c r="E139" s="150">
        <f>SUBTOTAL(9,E131:E138)</f>
        <v>0</v>
      </c>
      <c r="F139" s="150">
        <f>SUBTOTAL(9,F131:F138)</f>
        <v>53223366.110000007</v>
      </c>
      <c r="G139" s="127"/>
      <c r="H139" s="150">
        <f>SUBTOTAL(9,H131:H138)</f>
        <v>3670343.1402777783</v>
      </c>
    </row>
    <row r="140" spans="1:8">
      <c r="C140" s="152"/>
      <c r="D140" s="152"/>
      <c r="E140" s="152"/>
      <c r="F140" s="152"/>
      <c r="H140" s="152"/>
    </row>
    <row r="141" spans="1:8">
      <c r="A141" s="121" t="s">
        <v>462</v>
      </c>
      <c r="C141" s="152"/>
      <c r="D141" s="152"/>
      <c r="E141" s="152"/>
      <c r="F141" s="152"/>
      <c r="H141" s="152"/>
    </row>
    <row r="142" spans="1:8">
      <c r="B142" s="113" t="s">
        <v>462</v>
      </c>
      <c r="C142" s="149">
        <f>'Schedule 3A - 2026'!F142</f>
        <v>34957900.009999998</v>
      </c>
      <c r="D142" s="149">
        <v>0</v>
      </c>
      <c r="E142" s="149"/>
      <c r="F142" s="149">
        <f>C142+D142</f>
        <v>34957900.009999998</v>
      </c>
      <c r="G142" s="144">
        <v>20</v>
      </c>
      <c r="H142" s="149">
        <f>IFERROR(C142/G142+D142/G142/2,0)</f>
        <v>1747895.0004999998</v>
      </c>
    </row>
    <row r="143" spans="1:8">
      <c r="A143" s="121" t="s">
        <v>463</v>
      </c>
      <c r="C143" s="150">
        <f>SUBTOTAL(9,C142)</f>
        <v>34957900.009999998</v>
      </c>
      <c r="D143" s="150">
        <f>SUBTOTAL(9,D142)</f>
        <v>0</v>
      </c>
      <c r="E143" s="150">
        <f>SUBTOTAL(9,E142)</f>
        <v>0</v>
      </c>
      <c r="F143" s="150">
        <f>SUBTOTAL(9,F142)</f>
        <v>34957900.009999998</v>
      </c>
      <c r="G143" s="156"/>
      <c r="H143" s="150">
        <f>SUBTOTAL(9,H142)</f>
        <v>1747895.0004999998</v>
      </c>
    </row>
    <row r="144" spans="1:8">
      <c r="C144" s="152"/>
      <c r="D144" s="152"/>
      <c r="E144" s="152"/>
      <c r="F144" s="152"/>
      <c r="H144" s="152"/>
    </row>
    <row r="145" spans="1:8">
      <c r="C145" s="152"/>
      <c r="D145" s="152"/>
      <c r="E145" s="152"/>
      <c r="F145" s="152"/>
      <c r="H145" s="152"/>
    </row>
    <row r="146" spans="1:8">
      <c r="A146" s="121" t="s">
        <v>356</v>
      </c>
      <c r="C146" s="152"/>
      <c r="D146" s="152"/>
      <c r="E146" s="152"/>
      <c r="F146" s="152"/>
      <c r="H146" s="152"/>
    </row>
    <row r="147" spans="1:8">
      <c r="B147" s="113" t="s">
        <v>356</v>
      </c>
      <c r="C147" s="149">
        <f>'Schedule 3A - 2026'!F147</f>
        <v>1930990.1099999999</v>
      </c>
      <c r="D147" s="149">
        <v>0</v>
      </c>
      <c r="E147" s="149"/>
      <c r="F147" s="149">
        <f>C147+D147</f>
        <v>1930990.1099999999</v>
      </c>
      <c r="G147" s="144"/>
      <c r="H147" s="149">
        <v>213790.88</v>
      </c>
    </row>
    <row r="148" spans="1:8">
      <c r="A148" s="121" t="s">
        <v>357</v>
      </c>
      <c r="C148" s="150">
        <f>SUBTOTAL(9,C147)</f>
        <v>1930990.1099999999</v>
      </c>
      <c r="D148" s="150">
        <f>SUBTOTAL(9,D147)</f>
        <v>0</v>
      </c>
      <c r="E148" s="150">
        <f>SUBTOTAL(9,E147)</f>
        <v>0</v>
      </c>
      <c r="F148" s="150">
        <f>SUBTOTAL(9,F147)</f>
        <v>1930990.1099999999</v>
      </c>
      <c r="G148" s="156"/>
      <c r="H148" s="150">
        <f>SUBTOTAL(9,H147)</f>
        <v>213790.88</v>
      </c>
    </row>
    <row r="149" spans="1:8">
      <c r="C149" s="152"/>
      <c r="D149" s="152"/>
      <c r="E149" s="152"/>
      <c r="F149" s="152"/>
      <c r="H149" s="152"/>
    </row>
    <row r="150" spans="1:8" s="121" customFormat="1" ht="18" customHeight="1">
      <c r="A150" s="112" t="s">
        <v>28</v>
      </c>
      <c r="B150" s="112"/>
      <c r="C150" s="150">
        <f>SUBTOTAL(9,C9:C148)</f>
        <v>998598441.93023968</v>
      </c>
      <c r="D150" s="150">
        <f>SUBTOTAL(9,D9:D148)</f>
        <v>98948668.890000001</v>
      </c>
      <c r="E150" s="150">
        <f>SUBTOTAL(9,E9:E148)</f>
        <v>1506.5910048000003</v>
      </c>
      <c r="F150" s="150">
        <f>SUBTOTAL(9,F9:F148)</f>
        <v>1097545604.2292347</v>
      </c>
      <c r="G150" s="127"/>
      <c r="H150" s="150">
        <f>SUBTOTAL(9,H9:H148)</f>
        <v>27658253.254823141</v>
      </c>
    </row>
    <row r="151" spans="1:8">
      <c r="C151" s="125"/>
      <c r="D151" s="125"/>
      <c r="E151" s="125"/>
      <c r="F151" s="125"/>
      <c r="H151" s="125"/>
    </row>
  </sheetData>
  <printOptions horizontalCentered="1"/>
  <pageMargins left="0.55118110236220474" right="0.31496062992125984" top="0.82677165354330717" bottom="0.9055118110236221" header="0.51181102362204722" footer="0.51181102362204722"/>
  <pageSetup scale="58" fitToHeight="2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BF9E4-4224-4688-8991-B5DDAEBF411B}">
  <sheetPr>
    <tabColor theme="9" tint="0.39997558519241921"/>
    <pageSetUpPr fitToPage="1"/>
  </sheetPr>
  <dimension ref="A1:W155"/>
  <sheetViews>
    <sheetView view="pageBreakPreview" zoomScaleSheetLayoutView="100" workbookViewId="0">
      <pane ySplit="7" topLeftCell="A8" activePane="bottomLeft" state="frozen"/>
      <selection activeCell="H18" sqref="H18"/>
      <selection pane="bottomLeft" activeCell="A11" sqref="A11"/>
    </sheetView>
  </sheetViews>
  <sheetFormatPr defaultColWidth="9.08984375" defaultRowHeight="12.5"/>
  <cols>
    <col min="1" max="1" width="45.453125" style="159" customWidth="1"/>
    <col min="2" max="5" width="10.08984375" style="159" customWidth="1"/>
    <col min="6" max="6" width="1.7265625" style="159" customWidth="1"/>
    <col min="7" max="7" width="10.08984375" style="159" customWidth="1"/>
    <col min="8" max="8" width="2.36328125" style="159" customWidth="1"/>
    <col min="9" max="9" width="11.453125" style="159" customWidth="1"/>
    <col min="10" max="10" width="12.6328125" style="159" customWidth="1"/>
    <col min="11" max="11" width="4.6328125" style="159" customWidth="1"/>
    <col min="19" max="22" width="9.08984375" style="159"/>
    <col min="23" max="23" width="10.36328125" style="159" bestFit="1" customWidth="1"/>
    <col min="24" max="16384" width="9.08984375" style="159"/>
  </cols>
  <sheetData>
    <row r="1" spans="1:11">
      <c r="A1" s="157" t="s">
        <v>358</v>
      </c>
      <c r="B1" s="157"/>
      <c r="C1" s="158"/>
      <c r="D1" s="158"/>
      <c r="E1" s="158"/>
      <c r="F1" s="158"/>
      <c r="G1" s="158"/>
      <c r="H1" s="158"/>
      <c r="I1" s="158"/>
      <c r="J1" s="195" t="s">
        <v>418</v>
      </c>
    </row>
    <row r="2" spans="1:11" ht="15" customHeight="1">
      <c r="A2" s="157" t="s">
        <v>480</v>
      </c>
      <c r="B2" s="157"/>
      <c r="C2" s="158"/>
      <c r="D2" s="158"/>
      <c r="E2" s="158"/>
      <c r="F2" s="158"/>
      <c r="G2" s="158"/>
      <c r="H2" s="158"/>
      <c r="I2" s="158"/>
      <c r="J2" s="194" t="str">
        <f>'Schedule 1'!$M$2</f>
        <v>2025-27 GRA</v>
      </c>
    </row>
    <row r="3" spans="1:11" ht="15.75" customHeight="1" thickBot="1">
      <c r="A3" s="160" t="s">
        <v>332</v>
      </c>
      <c r="B3" s="161"/>
      <c r="C3" s="162"/>
      <c r="D3" s="162"/>
      <c r="E3" s="162"/>
      <c r="F3" s="162"/>
      <c r="G3" s="162"/>
      <c r="H3" s="162"/>
      <c r="I3" s="162"/>
      <c r="J3" s="162"/>
    </row>
    <row r="4" spans="1:11" ht="13" thickBot="1">
      <c r="A4" s="163"/>
      <c r="B4" s="161"/>
      <c r="C4" s="162"/>
      <c r="D4" s="162"/>
      <c r="E4" s="162"/>
      <c r="F4" s="158"/>
      <c r="G4" s="158"/>
      <c r="H4" s="158"/>
      <c r="I4" s="158"/>
      <c r="J4" s="162"/>
    </row>
    <row r="5" spans="1:11" ht="13" thickBot="1">
      <c r="A5" s="163"/>
      <c r="B5" s="204" t="s">
        <v>359</v>
      </c>
      <c r="C5" s="205"/>
      <c r="D5" s="205"/>
      <c r="E5" s="205"/>
      <c r="F5" s="164"/>
      <c r="G5" s="187" t="s">
        <v>427</v>
      </c>
      <c r="H5" s="164"/>
      <c r="I5" s="158"/>
      <c r="J5" s="187"/>
    </row>
    <row r="6" spans="1:11" ht="18" customHeight="1">
      <c r="A6" s="163"/>
      <c r="B6" s="165" t="s">
        <v>360</v>
      </c>
      <c r="C6" s="166" t="s">
        <v>479</v>
      </c>
      <c r="D6" s="167"/>
      <c r="E6" s="165" t="s">
        <v>360</v>
      </c>
      <c r="F6" s="165"/>
      <c r="G6" s="165" t="s">
        <v>360</v>
      </c>
      <c r="H6" s="168"/>
      <c r="I6" s="206" t="s">
        <v>432</v>
      </c>
      <c r="J6" s="166" t="str">
        <f>C6</f>
        <v>2025 Forecast</v>
      </c>
    </row>
    <row r="7" spans="1:11" ht="31.5" customHeight="1" thickBot="1">
      <c r="A7" s="163"/>
      <c r="B7" s="169">
        <v>2024</v>
      </c>
      <c r="C7" s="170" t="s">
        <v>361</v>
      </c>
      <c r="D7" s="171" t="s">
        <v>362</v>
      </c>
      <c r="E7" s="172">
        <f>B7+1</f>
        <v>2025</v>
      </c>
      <c r="F7" s="172"/>
      <c r="G7" s="169">
        <v>2024</v>
      </c>
      <c r="H7" s="172"/>
      <c r="I7" s="207"/>
      <c r="J7" s="171" t="s">
        <v>363</v>
      </c>
    </row>
    <row r="8" spans="1:11">
      <c r="A8" s="173" t="s">
        <v>364</v>
      </c>
    </row>
    <row r="9" spans="1:11">
      <c r="A9" s="174" t="s">
        <v>365</v>
      </c>
      <c r="I9" s="175"/>
    </row>
    <row r="10" spans="1:11">
      <c r="A10" s="159" t="s">
        <v>367</v>
      </c>
      <c r="B10" s="176">
        <v>4521.2649199999996</v>
      </c>
      <c r="C10" s="176"/>
      <c r="D10" s="176"/>
      <c r="E10" s="176">
        <f>B10+C10+D10</f>
        <v>4521.2649199999996</v>
      </c>
      <c r="F10" s="176"/>
      <c r="G10" s="176">
        <v>904.25300000000004</v>
      </c>
      <c r="I10" s="95">
        <v>10</v>
      </c>
      <c r="J10" s="181">
        <f>MIN(B10/I10,G10)</f>
        <v>452.12649199999998</v>
      </c>
      <c r="K10" s="177"/>
    </row>
    <row r="11" spans="1:11">
      <c r="A11" s="159" t="s">
        <v>368</v>
      </c>
      <c r="B11" s="176">
        <v>667.05370999999991</v>
      </c>
      <c r="C11" s="176"/>
      <c r="D11" s="176"/>
      <c r="E11" s="176">
        <f>B11+C11+D11</f>
        <v>667.05370999999991</v>
      </c>
      <c r="F11" s="176"/>
      <c r="G11" s="176">
        <v>77.82297600000004</v>
      </c>
      <c r="I11" s="95">
        <v>5</v>
      </c>
      <c r="J11" s="181">
        <f>MIN(B11/I11,G11)</f>
        <v>77.82297600000004</v>
      </c>
      <c r="K11" s="177"/>
    </row>
    <row r="12" spans="1:11">
      <c r="A12" s="159" t="s">
        <v>405</v>
      </c>
      <c r="B12" s="176">
        <v>5.8006800000000007</v>
      </c>
      <c r="C12" s="176"/>
      <c r="D12" s="176"/>
      <c r="E12" s="176">
        <f>B12+C12+D12</f>
        <v>5.8006800000000007</v>
      </c>
      <c r="F12" s="176"/>
      <c r="G12" s="176">
        <v>1.1600879999999996</v>
      </c>
      <c r="I12" s="95">
        <v>5</v>
      </c>
      <c r="J12" s="181">
        <f>MIN(B12/I12,G12)</f>
        <v>1.1600879999999996</v>
      </c>
      <c r="K12" s="177"/>
    </row>
    <row r="13" spans="1:11">
      <c r="A13" s="159" t="s">
        <v>398</v>
      </c>
      <c r="B13" s="176">
        <v>24.55237</v>
      </c>
      <c r="C13" s="177"/>
      <c r="D13" s="176"/>
      <c r="E13" s="176">
        <f>B13+C13+D13</f>
        <v>24.55237</v>
      </c>
      <c r="F13" s="176"/>
      <c r="G13" s="176">
        <v>4.9103819999999994</v>
      </c>
      <c r="I13" s="95">
        <v>5</v>
      </c>
      <c r="J13" s="181">
        <f>MIN(B13/I13,G13)</f>
        <v>4.9103819999999994</v>
      </c>
      <c r="K13" s="177"/>
    </row>
    <row r="14" spans="1:11">
      <c r="A14" s="159" t="s">
        <v>399</v>
      </c>
      <c r="B14" s="176">
        <v>87.526200000000003</v>
      </c>
      <c r="C14" s="177"/>
      <c r="D14" s="176"/>
      <c r="E14" s="176">
        <f>B14+C14+D14</f>
        <v>87.526200000000003</v>
      </c>
      <c r="F14" s="176"/>
      <c r="G14" s="176">
        <v>17.505239999999993</v>
      </c>
      <c r="I14" s="95">
        <v>5</v>
      </c>
      <c r="J14" s="181">
        <f>MIN(B14/I14,G14)</f>
        <v>17.505239999999993</v>
      </c>
      <c r="K14" s="177"/>
    </row>
    <row r="15" spans="1:11">
      <c r="A15" s="159" t="s">
        <v>406</v>
      </c>
      <c r="B15" s="176">
        <v>744.28342000000009</v>
      </c>
      <c r="C15" s="176"/>
      <c r="D15" s="176"/>
      <c r="E15" s="176">
        <f>B15+C15+D15</f>
        <v>744.28342000000009</v>
      </c>
      <c r="F15" s="176"/>
      <c r="G15" s="176">
        <v>148.85677200000003</v>
      </c>
      <c r="I15" s="95">
        <v>5</v>
      </c>
      <c r="J15" s="181">
        <f>MIN(B15/I15,G15)</f>
        <v>148.85668400000003</v>
      </c>
      <c r="K15" s="177"/>
    </row>
    <row r="16" spans="1:11">
      <c r="A16" s="159" t="s">
        <v>400</v>
      </c>
      <c r="B16" s="176">
        <v>89.50752</v>
      </c>
      <c r="C16" s="176"/>
      <c r="D16" s="176"/>
      <c r="E16" s="176">
        <f>B16+C16+D16</f>
        <v>89.50752</v>
      </c>
      <c r="F16" s="176"/>
      <c r="G16" s="176">
        <v>25.360482000000008</v>
      </c>
      <c r="I16" s="95">
        <v>5</v>
      </c>
      <c r="J16" s="181">
        <f>MIN(B16/I16,G16)</f>
        <v>17.901503999999999</v>
      </c>
      <c r="K16" s="177"/>
    </row>
    <row r="17" spans="1:11">
      <c r="A17" s="159" t="s">
        <v>407</v>
      </c>
      <c r="B17" s="176">
        <v>73.277100000000004</v>
      </c>
      <c r="C17" s="176"/>
      <c r="D17" s="176"/>
      <c r="E17" s="176">
        <f>B17+C17+D17</f>
        <v>73.277100000000004</v>
      </c>
      <c r="F17" s="176"/>
      <c r="G17" s="176">
        <v>27.785010000000007</v>
      </c>
      <c r="I17" s="95">
        <v>5</v>
      </c>
      <c r="J17" s="181">
        <f>MIN(B17/I17,G17)</f>
        <v>14.655420000000001</v>
      </c>
      <c r="K17" s="177"/>
    </row>
    <row r="18" spans="1:11">
      <c r="A18" s="159" t="s">
        <v>408</v>
      </c>
      <c r="B18" s="176">
        <v>52.514710000000001</v>
      </c>
      <c r="C18" s="176"/>
      <c r="D18" s="176"/>
      <c r="E18" s="176">
        <f>B18+C18+D18</f>
        <v>52.514710000000001</v>
      </c>
      <c r="F18" s="176"/>
      <c r="G18" s="176">
        <v>21.005825999999999</v>
      </c>
      <c r="I18" s="95">
        <v>5</v>
      </c>
      <c r="J18" s="181">
        <f>MIN(B18/I18,G18)</f>
        <v>10.502942000000001</v>
      </c>
      <c r="K18" s="177"/>
    </row>
    <row r="19" spans="1:11">
      <c r="A19" s="159" t="s">
        <v>404</v>
      </c>
      <c r="B19" s="176">
        <v>59.194720000000004</v>
      </c>
      <c r="C19" s="176"/>
      <c r="D19" s="176"/>
      <c r="E19" s="176">
        <f>B19+C19+D19</f>
        <v>59.194720000000004</v>
      </c>
      <c r="F19" s="176"/>
      <c r="G19" s="176">
        <v>23.677872000000004</v>
      </c>
      <c r="I19" s="95">
        <v>5</v>
      </c>
      <c r="J19" s="181">
        <f>MIN(B19/I19,G19)</f>
        <v>11.838944000000001</v>
      </c>
      <c r="K19" s="177"/>
    </row>
    <row r="20" spans="1:11">
      <c r="A20" s="159" t="s">
        <v>369</v>
      </c>
      <c r="B20" s="176">
        <v>77.782899999999998</v>
      </c>
      <c r="C20" s="176"/>
      <c r="D20" s="176"/>
      <c r="E20" s="176">
        <f>B20+C20+D20</f>
        <v>77.782899999999998</v>
      </c>
      <c r="F20" s="176"/>
      <c r="G20" s="176">
        <v>27.149449999999984</v>
      </c>
      <c r="I20" s="95">
        <v>5</v>
      </c>
      <c r="J20" s="181">
        <f>MIN(B20/I20,G20)</f>
        <v>15.55658</v>
      </c>
      <c r="K20" s="177"/>
    </row>
    <row r="21" spans="1:11">
      <c r="A21" s="159" t="s">
        <v>409</v>
      </c>
      <c r="B21" s="176">
        <v>325.99815000000001</v>
      </c>
      <c r="C21" s="176"/>
      <c r="D21" s="176"/>
      <c r="E21" s="176">
        <f>B21+C21+D21</f>
        <v>325.99815000000001</v>
      </c>
      <c r="F21" s="176"/>
      <c r="G21" s="176">
        <v>130.399</v>
      </c>
      <c r="I21" s="95">
        <v>5</v>
      </c>
      <c r="J21" s="181">
        <f>MIN(B21/I21,G21)</f>
        <v>65.199629999999999</v>
      </c>
      <c r="K21" s="177"/>
    </row>
    <row r="22" spans="1:11">
      <c r="A22" s="159" t="s">
        <v>401</v>
      </c>
      <c r="B22" s="176">
        <v>115.23152999999999</v>
      </c>
      <c r="C22" s="176"/>
      <c r="D22" s="176"/>
      <c r="E22" s="176">
        <f>B22+C22+D22</f>
        <v>115.23152999999999</v>
      </c>
      <c r="F22" s="176"/>
      <c r="G22" s="176">
        <v>61.309488000000002</v>
      </c>
      <c r="I22" s="95">
        <v>5</v>
      </c>
      <c r="J22" s="181">
        <f>MIN(B22/I22,G22)</f>
        <v>23.046305999999998</v>
      </c>
      <c r="K22" s="177"/>
    </row>
    <row r="23" spans="1:11">
      <c r="A23" s="159" t="s">
        <v>366</v>
      </c>
      <c r="B23" s="176">
        <v>59.53539</v>
      </c>
      <c r="C23" s="176"/>
      <c r="D23" s="176"/>
      <c r="E23" s="176">
        <f>B23+C23+D23</f>
        <v>59.53539</v>
      </c>
      <c r="F23" s="176"/>
      <c r="G23" s="176">
        <v>35.721234000000003</v>
      </c>
      <c r="I23" s="95">
        <v>5</v>
      </c>
      <c r="J23" s="181">
        <f>MIN(B23/I23,G23)</f>
        <v>11.907078</v>
      </c>
      <c r="K23" s="177"/>
    </row>
    <row r="24" spans="1:11">
      <c r="A24" s="159" t="s">
        <v>402</v>
      </c>
      <c r="B24" s="176">
        <v>196.33029000000002</v>
      </c>
      <c r="C24" s="176"/>
      <c r="D24" s="176"/>
      <c r="E24" s="176">
        <f>B24+C24+D24</f>
        <v>196.33029000000002</v>
      </c>
      <c r="F24" s="176"/>
      <c r="G24" s="176">
        <v>117.798174</v>
      </c>
      <c r="I24" s="95">
        <v>5</v>
      </c>
      <c r="J24" s="181">
        <f>MIN(B24/I24,G24)</f>
        <v>39.266058000000001</v>
      </c>
      <c r="K24" s="177"/>
    </row>
    <row r="25" spans="1:11">
      <c r="A25" s="159" t="s">
        <v>403</v>
      </c>
      <c r="B25" s="176">
        <v>46.831489999999995</v>
      </c>
      <c r="C25" s="176"/>
      <c r="D25" s="176"/>
      <c r="E25" s="176">
        <f>B25+C25+D25</f>
        <v>46.831489999999995</v>
      </c>
      <c r="F25" s="176"/>
      <c r="G25" s="176">
        <v>27.277743999999998</v>
      </c>
      <c r="I25" s="95">
        <v>5</v>
      </c>
      <c r="J25" s="181">
        <f>MIN(B25/I25,G25)</f>
        <v>9.3662979999999987</v>
      </c>
      <c r="K25" s="177"/>
    </row>
    <row r="26" spans="1:11">
      <c r="A26" s="159" t="s">
        <v>413</v>
      </c>
      <c r="B26" s="176">
        <v>8784.170970000001</v>
      </c>
      <c r="C26" s="176"/>
      <c r="D26" s="176"/>
      <c r="E26" s="176">
        <f>B26+C26+D26</f>
        <v>8784.170970000001</v>
      </c>
      <c r="F26" s="176"/>
      <c r="G26" s="176">
        <v>6880.5328200000004</v>
      </c>
      <c r="I26" s="95">
        <v>10</v>
      </c>
      <c r="J26" s="181">
        <f>MIN(B26/I26,G26)</f>
        <v>878.41709700000013</v>
      </c>
      <c r="K26" s="177"/>
    </row>
    <row r="27" spans="1:11">
      <c r="A27" s="159" t="s">
        <v>481</v>
      </c>
      <c r="B27" s="176">
        <v>122.43858</v>
      </c>
      <c r="C27" s="176"/>
      <c r="D27" s="176"/>
      <c r="E27" s="176">
        <f>B27+C27+D27</f>
        <v>122.43858</v>
      </c>
      <c r="F27" s="176"/>
      <c r="G27" s="176">
        <v>73.46314000000001</v>
      </c>
      <c r="I27" s="95">
        <v>5</v>
      </c>
      <c r="J27" s="181">
        <f>MIN(B27/I27,G27)</f>
        <v>24.487715999999999</v>
      </c>
      <c r="K27" s="177"/>
    </row>
    <row r="28" spans="1:11">
      <c r="A28" s="159" t="s">
        <v>482</v>
      </c>
      <c r="B28" s="176">
        <v>36.075000000000003</v>
      </c>
      <c r="C28" s="176"/>
      <c r="D28" s="176"/>
      <c r="E28" s="176">
        <f>B28+C28+D28</f>
        <v>36.075000000000003</v>
      </c>
      <c r="F28" s="176"/>
      <c r="G28" s="176">
        <v>28.840229999999998</v>
      </c>
      <c r="I28" s="95">
        <v>5</v>
      </c>
      <c r="J28" s="181">
        <f>MIN(B28/I28,G28)</f>
        <v>7.2150000000000007</v>
      </c>
      <c r="K28" s="177"/>
    </row>
    <row r="29" spans="1:11">
      <c r="A29" s="159" t="s">
        <v>414</v>
      </c>
      <c r="B29" s="176">
        <v>172.99391</v>
      </c>
      <c r="C29" s="176"/>
      <c r="D29" s="176"/>
      <c r="E29" s="176">
        <f>B29+C29+D29</f>
        <v>172.99391</v>
      </c>
      <c r="F29" s="176"/>
      <c r="G29" s="176">
        <v>138.30034000000001</v>
      </c>
      <c r="I29" s="95">
        <v>5</v>
      </c>
      <c r="J29" s="181">
        <f>MIN(B29/I29,G29)</f>
        <v>34.598782</v>
      </c>
      <c r="K29" s="177"/>
    </row>
    <row r="30" spans="1:11">
      <c r="A30" s="159" t="s">
        <v>483</v>
      </c>
      <c r="B30" s="176">
        <v>11.190100000000001</v>
      </c>
      <c r="C30" s="176"/>
      <c r="D30" s="176"/>
      <c r="E30" s="176">
        <f>B30+C30+D30</f>
        <v>11.190100000000001</v>
      </c>
      <c r="F30" s="176"/>
      <c r="G30" s="176">
        <v>8.9459499999999998</v>
      </c>
      <c r="I30" s="95">
        <v>5</v>
      </c>
      <c r="J30" s="181">
        <f>MIN(B30/I30,G30)</f>
        <v>2.2380200000000001</v>
      </c>
      <c r="K30" s="177"/>
    </row>
    <row r="31" spans="1:11">
      <c r="A31" s="159" t="s">
        <v>484</v>
      </c>
      <c r="B31" s="176">
        <v>136.59076999999999</v>
      </c>
      <c r="C31" s="176"/>
      <c r="D31" s="176"/>
      <c r="E31" s="176">
        <f>B31+C31+D31</f>
        <v>136.59076999999999</v>
      </c>
      <c r="F31" s="176"/>
      <c r="G31" s="176">
        <v>109.19777999999998</v>
      </c>
      <c r="I31" s="95">
        <v>5</v>
      </c>
      <c r="J31" s="181">
        <f>MIN(B31/I31,G31)</f>
        <v>27.318154</v>
      </c>
      <c r="K31" s="177"/>
    </row>
    <row r="32" spans="1:11">
      <c r="A32" s="159" t="s">
        <v>485</v>
      </c>
      <c r="B32" s="176">
        <v>24.57694</v>
      </c>
      <c r="C32" s="176"/>
      <c r="D32" s="176"/>
      <c r="E32" s="176">
        <f>B32+C32+D32</f>
        <v>24.57694</v>
      </c>
      <c r="F32" s="176"/>
      <c r="G32" s="176">
        <v>19.661549999999998</v>
      </c>
      <c r="I32" s="95">
        <v>5</v>
      </c>
      <c r="J32" s="181">
        <f>MIN(B32/I32,G32)</f>
        <v>4.9153880000000001</v>
      </c>
      <c r="K32" s="177"/>
    </row>
    <row r="33" spans="1:11">
      <c r="A33" s="159" t="s">
        <v>486</v>
      </c>
      <c r="B33" s="176">
        <v>67.997410000000002</v>
      </c>
      <c r="C33" s="176"/>
      <c r="D33" s="176"/>
      <c r="E33" s="176">
        <f>B33+C33+D33</f>
        <v>67.997410000000002</v>
      </c>
      <c r="F33" s="176"/>
      <c r="G33" s="176">
        <v>54.397930000000002</v>
      </c>
      <c r="I33" s="95">
        <v>5</v>
      </c>
      <c r="J33" s="181">
        <f>MIN(B33/I33,G33)</f>
        <v>13.599482</v>
      </c>
      <c r="K33" s="177"/>
    </row>
    <row r="34" spans="1:11">
      <c r="A34" s="159" t="s">
        <v>487</v>
      </c>
      <c r="B34" s="176">
        <v>65.897589999999994</v>
      </c>
      <c r="C34" s="176"/>
      <c r="D34" s="176"/>
      <c r="E34" s="176">
        <f>B34+C34+D34</f>
        <v>65.897589999999994</v>
      </c>
      <c r="F34" s="176"/>
      <c r="G34" s="176">
        <v>52.71806999999999</v>
      </c>
      <c r="I34" s="95">
        <v>5</v>
      </c>
      <c r="J34" s="181">
        <f>MIN(B34/I34,G34)</f>
        <v>13.179517999999998</v>
      </c>
      <c r="K34" s="177"/>
    </row>
    <row r="35" spans="1:11">
      <c r="A35" s="159" t="s">
        <v>488</v>
      </c>
      <c r="B35" s="176">
        <v>13.239000000000001</v>
      </c>
      <c r="C35" s="176"/>
      <c r="D35" s="176"/>
      <c r="E35" s="176">
        <f>B35+C35+D35</f>
        <v>13.239000000000001</v>
      </c>
      <c r="F35" s="176"/>
      <c r="G35" s="176">
        <v>10.591199999999999</v>
      </c>
      <c r="I35" s="95">
        <v>5</v>
      </c>
      <c r="J35" s="181">
        <f>MIN(B35/I35,G35)</f>
        <v>2.6478000000000002</v>
      </c>
      <c r="K35" s="177"/>
    </row>
    <row r="36" spans="1:11">
      <c r="A36" s="159" t="s">
        <v>489</v>
      </c>
      <c r="B36" s="176">
        <v>43.927510000000005</v>
      </c>
      <c r="C36" s="176"/>
      <c r="D36" s="176"/>
      <c r="E36" s="176">
        <f>B36+C36+D36</f>
        <v>43.927510000000005</v>
      </c>
      <c r="F36" s="176"/>
      <c r="G36" s="176">
        <v>42.607279999999996</v>
      </c>
      <c r="I36" s="95">
        <v>5</v>
      </c>
      <c r="J36" s="181">
        <f>MIN(B36/I36,G36)</f>
        <v>8.785502000000001</v>
      </c>
      <c r="K36" s="177"/>
    </row>
    <row r="37" spans="1:11">
      <c r="A37" s="159" t="s">
        <v>490</v>
      </c>
      <c r="B37" s="176">
        <v>868.95561999999995</v>
      </c>
      <c r="C37" s="176"/>
      <c r="D37" s="176"/>
      <c r="E37" s="176">
        <f>B37+C37+D37</f>
        <v>868.95561999999995</v>
      </c>
      <c r="F37" s="176"/>
      <c r="G37" s="176">
        <v>695.16449999999998</v>
      </c>
      <c r="I37" s="95">
        <v>5</v>
      </c>
      <c r="J37" s="181">
        <f>MIN(B37/I37,G37)</f>
        <v>173.791124</v>
      </c>
      <c r="K37" s="177"/>
    </row>
    <row r="38" spans="1:11">
      <c r="A38" s="159" t="s">
        <v>491</v>
      </c>
      <c r="B38" s="176">
        <v>118.23144000000001</v>
      </c>
      <c r="C38" s="176"/>
      <c r="D38" s="176"/>
      <c r="E38" s="176">
        <f>B38+C38+D38</f>
        <v>118.23144000000001</v>
      </c>
      <c r="F38" s="176"/>
      <c r="G38" s="176">
        <v>94.585149999999999</v>
      </c>
      <c r="I38" s="95">
        <v>5</v>
      </c>
      <c r="J38" s="181">
        <f>MIN(B38/I38,G38)</f>
        <v>23.646288000000002</v>
      </c>
      <c r="K38" s="177"/>
    </row>
    <row r="39" spans="1:11">
      <c r="A39" s="159" t="s">
        <v>492</v>
      </c>
      <c r="B39" s="176">
        <v>100.19461</v>
      </c>
      <c r="C39" s="176"/>
      <c r="D39" s="176"/>
      <c r="E39" s="176">
        <f>B39+C39+D39</f>
        <v>100.19461</v>
      </c>
      <c r="F39" s="176"/>
      <c r="G39" s="176">
        <v>100.19461</v>
      </c>
      <c r="I39" s="95">
        <v>5</v>
      </c>
      <c r="J39" s="181">
        <f>MIN(B39/I39,G39)</f>
        <v>20.038921999999999</v>
      </c>
      <c r="K39" s="177"/>
    </row>
    <row r="40" spans="1:11">
      <c r="A40" s="159" t="s">
        <v>493</v>
      </c>
      <c r="B40" s="176">
        <v>158.78622000000001</v>
      </c>
      <c r="C40" s="176"/>
      <c r="D40" s="176"/>
      <c r="E40" s="176">
        <f>B40+C40+D40</f>
        <v>158.78622000000001</v>
      </c>
      <c r="F40" s="176"/>
      <c r="G40" s="176">
        <v>158.78622000000001</v>
      </c>
      <c r="I40" s="95">
        <v>5</v>
      </c>
      <c r="J40" s="181">
        <f>MIN(B40/I40,G40)</f>
        <v>31.757244000000004</v>
      </c>
      <c r="K40" s="177"/>
    </row>
    <row r="41" spans="1:11">
      <c r="A41" s="159" t="s">
        <v>494</v>
      </c>
      <c r="B41" s="176">
        <v>28.539580000000001</v>
      </c>
      <c r="C41" s="176"/>
      <c r="D41" s="176"/>
      <c r="E41" s="176">
        <f>B41+C41+D41</f>
        <v>28.539580000000001</v>
      </c>
      <c r="F41" s="176"/>
      <c r="G41" s="176">
        <v>28.539580000000001</v>
      </c>
      <c r="I41" s="95">
        <v>5</v>
      </c>
      <c r="J41" s="181">
        <f>MIN(B41/I41,G41)</f>
        <v>5.707916</v>
      </c>
      <c r="K41" s="177"/>
    </row>
    <row r="42" spans="1:11">
      <c r="A42" s="159" t="s">
        <v>495</v>
      </c>
      <c r="B42" s="176">
        <v>200.69633999999999</v>
      </c>
      <c r="C42" s="176"/>
      <c r="D42" s="176"/>
      <c r="E42" s="176">
        <f>B42+C42+D42</f>
        <v>200.69633999999999</v>
      </c>
      <c r="F42" s="176"/>
      <c r="G42" s="176">
        <v>200.69633999999999</v>
      </c>
      <c r="I42" s="95">
        <v>5</v>
      </c>
      <c r="J42" s="181">
        <f>MIN(B42/I42,G42)</f>
        <v>40.139268000000001</v>
      </c>
      <c r="K42" s="177"/>
    </row>
    <row r="43" spans="1:11">
      <c r="A43" s="159" t="s">
        <v>496</v>
      </c>
      <c r="B43" s="176">
        <v>121.99618</v>
      </c>
      <c r="C43" s="176"/>
      <c r="D43" s="176"/>
      <c r="E43" s="176">
        <f>B43+C43+D43</f>
        <v>121.99618</v>
      </c>
      <c r="F43" s="176"/>
      <c r="G43" s="176">
        <v>121.99618</v>
      </c>
      <c r="I43" s="95">
        <v>5</v>
      </c>
      <c r="J43" s="181">
        <f>MIN(B43/I43,G43)</f>
        <v>24.399235999999998</v>
      </c>
      <c r="K43" s="177"/>
    </row>
    <row r="44" spans="1:11">
      <c r="A44" s="159" t="s">
        <v>509</v>
      </c>
      <c r="B44" s="176">
        <v>19.97803</v>
      </c>
      <c r="C44" s="176"/>
      <c r="D44" s="176"/>
      <c r="E44" s="176">
        <f>B44+C44+D44</f>
        <v>19.97803</v>
      </c>
      <c r="F44" s="176"/>
      <c r="G44" s="176">
        <v>19.97803</v>
      </c>
      <c r="I44" s="95">
        <v>5</v>
      </c>
      <c r="J44" s="181">
        <f>MIN(B44/I44,G44)</f>
        <v>3.995606</v>
      </c>
      <c r="K44" s="177"/>
    </row>
    <row r="45" spans="1:11">
      <c r="A45" s="159" t="s">
        <v>497</v>
      </c>
      <c r="B45" s="176">
        <v>157.5137</v>
      </c>
      <c r="C45" s="176"/>
      <c r="D45" s="176"/>
      <c r="E45" s="176">
        <f>B45+C45+D45</f>
        <v>157.5137</v>
      </c>
      <c r="F45" s="176"/>
      <c r="G45" s="176">
        <v>157.5137</v>
      </c>
      <c r="I45" s="95">
        <v>5</v>
      </c>
      <c r="J45" s="181">
        <f>MIN(B45/I45,G45)</f>
        <v>31.502739999999999</v>
      </c>
      <c r="K45" s="177"/>
    </row>
    <row r="46" spans="1:11">
      <c r="A46" s="159" t="s">
        <v>498</v>
      </c>
      <c r="B46" s="176">
        <v>8.5541200000000011</v>
      </c>
      <c r="C46" s="176"/>
      <c r="D46" s="176"/>
      <c r="E46" s="176">
        <f>B46+C46+D46</f>
        <v>8.5541200000000011</v>
      </c>
      <c r="F46" s="176"/>
      <c r="G46" s="176">
        <v>8.5541200000000011</v>
      </c>
      <c r="I46" s="95">
        <v>5</v>
      </c>
      <c r="J46" s="181">
        <f>MIN(B46/I46,G46)</f>
        <v>1.7108240000000001</v>
      </c>
      <c r="K46" s="177"/>
    </row>
    <row r="47" spans="1:11">
      <c r="A47" s="159" t="s">
        <v>499</v>
      </c>
      <c r="B47" s="176">
        <v>66.370519999999999</v>
      </c>
      <c r="C47" s="176"/>
      <c r="D47" s="176"/>
      <c r="E47" s="176">
        <f>B47+C47+D47</f>
        <v>66.370519999999999</v>
      </c>
      <c r="F47" s="176"/>
      <c r="G47" s="176">
        <v>66.370519999999999</v>
      </c>
      <c r="I47" s="95">
        <v>5</v>
      </c>
      <c r="J47" s="181">
        <f>MIN(B47/I47,G47)</f>
        <v>13.274103999999999</v>
      </c>
      <c r="K47" s="177"/>
    </row>
    <row r="48" spans="1:11">
      <c r="A48" s="159" t="s">
        <v>500</v>
      </c>
      <c r="B48" s="176">
        <v>13.75</v>
      </c>
      <c r="C48" s="176"/>
      <c r="D48" s="176"/>
      <c r="E48" s="176">
        <f>B48+C48+D48</f>
        <v>13.75</v>
      </c>
      <c r="F48" s="176"/>
      <c r="G48" s="176">
        <v>13.75</v>
      </c>
      <c r="I48" s="95">
        <v>5</v>
      </c>
      <c r="J48" s="181">
        <f>MIN(B48/I48,G48)</f>
        <v>2.75</v>
      </c>
      <c r="K48" s="177"/>
    </row>
    <row r="49" spans="1:11">
      <c r="A49" s="159" t="s">
        <v>501</v>
      </c>
      <c r="B49" s="176">
        <v>18.615479999999998</v>
      </c>
      <c r="C49" s="176"/>
      <c r="D49" s="176"/>
      <c r="E49" s="176">
        <f>B49+C49+D49</f>
        <v>18.615479999999998</v>
      </c>
      <c r="F49" s="176"/>
      <c r="G49" s="176">
        <v>18.615479999999998</v>
      </c>
      <c r="I49" s="95">
        <v>5</v>
      </c>
      <c r="J49" s="181">
        <f>MIN(B49/I49,G49)</f>
        <v>3.7230959999999995</v>
      </c>
      <c r="K49" s="177"/>
    </row>
    <row r="50" spans="1:11">
      <c r="A50" s="159" t="s">
        <v>519</v>
      </c>
      <c r="B50" s="176">
        <v>28.83548</v>
      </c>
      <c r="C50" s="176"/>
      <c r="D50" s="176"/>
      <c r="E50" s="176">
        <f>B50+C50+D50</f>
        <v>28.83548</v>
      </c>
      <c r="F50" s="176"/>
      <c r="G50" s="176">
        <v>28.83548</v>
      </c>
      <c r="I50" s="95">
        <v>5</v>
      </c>
      <c r="J50" s="181">
        <f>B50/I50</f>
        <v>5.7670960000000004</v>
      </c>
      <c r="K50" s="177"/>
    </row>
    <row r="51" spans="1:11">
      <c r="A51" s="159" t="s">
        <v>520</v>
      </c>
      <c r="B51" s="176"/>
      <c r="C51" s="176">
        <v>244.51179999999999</v>
      </c>
      <c r="D51" s="176"/>
      <c r="E51" s="176">
        <f>B51+C51+D51</f>
        <v>244.51179999999999</v>
      </c>
      <c r="F51" s="176"/>
      <c r="G51" s="176">
        <v>0</v>
      </c>
      <c r="I51" s="95">
        <v>5</v>
      </c>
      <c r="J51" s="181">
        <f>MIN(B51/I51,G51)+C51/2/I51</f>
        <v>24.451180000000001</v>
      </c>
      <c r="K51" s="177"/>
    </row>
    <row r="52" spans="1:11">
      <c r="A52" s="159" t="s">
        <v>521</v>
      </c>
      <c r="B52" s="176"/>
      <c r="C52" s="176">
        <v>151.68020000000001</v>
      </c>
      <c r="D52" s="176"/>
      <c r="E52" s="176">
        <f>B52+C52+D52</f>
        <v>151.68020000000001</v>
      </c>
      <c r="F52" s="176"/>
      <c r="G52" s="176">
        <v>0</v>
      </c>
      <c r="I52" s="95">
        <v>5</v>
      </c>
      <c r="J52" s="181">
        <f>MIN(B52/I52,G52)+C52/2/I52</f>
        <v>15.168020000000002</v>
      </c>
      <c r="K52" s="177"/>
    </row>
    <row r="53" spans="1:11">
      <c r="A53" s="159" t="s">
        <v>522</v>
      </c>
      <c r="B53" s="176"/>
      <c r="C53" s="176">
        <v>1.81847</v>
      </c>
      <c r="D53" s="176"/>
      <c r="E53" s="176">
        <f>B53+C53+D53</f>
        <v>1.81847</v>
      </c>
      <c r="F53" s="176"/>
      <c r="G53" s="176">
        <v>0</v>
      </c>
      <c r="I53" s="95">
        <v>5</v>
      </c>
      <c r="J53" s="181">
        <f>MIN(B53/I53,G53)+C53/2/I53</f>
        <v>0.18184700000000001</v>
      </c>
      <c r="K53" s="177"/>
    </row>
    <row r="54" spans="1:11">
      <c r="A54" s="159" t="s">
        <v>523</v>
      </c>
      <c r="B54" s="176"/>
      <c r="C54" s="176">
        <v>3.1366100000000001</v>
      </c>
      <c r="D54" s="176"/>
      <c r="E54" s="176">
        <f>B54+C54+D54</f>
        <v>3.1366100000000001</v>
      </c>
      <c r="F54" s="176"/>
      <c r="G54" s="176">
        <v>0</v>
      </c>
      <c r="I54" s="95">
        <v>5</v>
      </c>
      <c r="J54" s="181">
        <f>MIN(B54/I54,G54)+C54/2/I54</f>
        <v>0.31366100000000002</v>
      </c>
      <c r="K54" s="177"/>
    </row>
    <row r="55" spans="1:11">
      <c r="A55" s="159" t="s">
        <v>524</v>
      </c>
      <c r="B55" s="176"/>
      <c r="C55" s="176">
        <v>123.48519</v>
      </c>
      <c r="D55" s="176"/>
      <c r="E55" s="176">
        <f>B55+C55+D55</f>
        <v>123.48519</v>
      </c>
      <c r="F55" s="176"/>
      <c r="G55" s="176">
        <v>0</v>
      </c>
      <c r="I55" s="95">
        <v>5</v>
      </c>
      <c r="J55" s="181">
        <f>MIN(B55/I55,G55)+C55/2/I55</f>
        <v>12.348519</v>
      </c>
      <c r="K55" s="177"/>
    </row>
    <row r="56" spans="1:11">
      <c r="A56" s="159" t="s">
        <v>525</v>
      </c>
      <c r="B56" s="176"/>
      <c r="C56" s="176">
        <v>164.31387000000001</v>
      </c>
      <c r="D56" s="176"/>
      <c r="E56" s="176">
        <f>B56+C56+D56</f>
        <v>164.31387000000001</v>
      </c>
      <c r="F56" s="176"/>
      <c r="G56" s="176">
        <v>0</v>
      </c>
      <c r="I56" s="95">
        <v>5</v>
      </c>
      <c r="J56" s="181">
        <f>MIN(B56/I56,G56)+C56/2/I56</f>
        <v>16.431387000000001</v>
      </c>
      <c r="K56" s="177"/>
    </row>
    <row r="57" spans="1:11">
      <c r="A57" s="159" t="s">
        <v>526</v>
      </c>
      <c r="B57" s="176"/>
      <c r="C57" s="176">
        <v>100.95914999999999</v>
      </c>
      <c r="D57" s="176"/>
      <c r="E57" s="176">
        <f>B57+C57+D57</f>
        <v>100.95914999999999</v>
      </c>
      <c r="F57" s="176"/>
      <c r="G57" s="176">
        <v>0</v>
      </c>
      <c r="I57" s="95">
        <v>5</v>
      </c>
      <c r="J57" s="181">
        <f>MIN(B57/I57,G57)+C57/2/I57</f>
        <v>10.095915</v>
      </c>
      <c r="K57" s="177"/>
    </row>
    <row r="58" spans="1:11">
      <c r="A58" s="159" t="s">
        <v>527</v>
      </c>
      <c r="B58" s="176"/>
      <c r="C58" s="176">
        <v>68.948940000000007</v>
      </c>
      <c r="D58" s="176"/>
      <c r="E58" s="176">
        <f>B58+C58+D58</f>
        <v>68.948940000000007</v>
      </c>
      <c r="F58" s="176"/>
      <c r="G58" s="176">
        <v>0</v>
      </c>
      <c r="I58" s="95">
        <v>5</v>
      </c>
      <c r="J58" s="181">
        <f>MIN(B58/I58,G58)+C58/2/I58</f>
        <v>6.8948940000000007</v>
      </c>
      <c r="K58" s="177"/>
    </row>
    <row r="59" spans="1:11">
      <c r="A59" s="159" t="s">
        <v>528</v>
      </c>
      <c r="B59" s="176"/>
      <c r="C59" s="176">
        <v>18.49399</v>
      </c>
      <c r="D59" s="176"/>
      <c r="E59" s="176">
        <f>B59+C59+D59</f>
        <v>18.49399</v>
      </c>
      <c r="F59" s="176"/>
      <c r="G59" s="176">
        <v>0</v>
      </c>
      <c r="I59" s="95">
        <v>5</v>
      </c>
      <c r="J59" s="181">
        <f>MIN(B59/I59,G59)+C59/2/I59</f>
        <v>1.849399</v>
      </c>
      <c r="K59" s="177"/>
    </row>
    <row r="60" spans="1:11">
      <c r="A60" s="159" t="s">
        <v>529</v>
      </c>
      <c r="B60" s="176"/>
      <c r="C60" s="176">
        <v>307.20589000000001</v>
      </c>
      <c r="D60" s="176"/>
      <c r="E60" s="176">
        <f>B60+C60+D60</f>
        <v>307.20589000000001</v>
      </c>
      <c r="F60" s="176"/>
      <c r="G60" s="176">
        <v>0</v>
      </c>
      <c r="I60" s="95">
        <v>5</v>
      </c>
      <c r="J60" s="181">
        <f>MIN(B60/I60,G60)+C60/2/I60</f>
        <v>30.720589</v>
      </c>
      <c r="K60" s="177"/>
    </row>
    <row r="61" spans="1:11">
      <c r="A61" s="159" t="s">
        <v>530</v>
      </c>
      <c r="B61" s="176"/>
      <c r="C61" s="176">
        <v>48.358760000000004</v>
      </c>
      <c r="D61" s="176"/>
      <c r="E61" s="176">
        <f>B61+C61+D61</f>
        <v>48.358760000000004</v>
      </c>
      <c r="F61" s="176"/>
      <c r="G61" s="176">
        <v>0</v>
      </c>
      <c r="I61" s="95">
        <v>5</v>
      </c>
      <c r="J61" s="181">
        <f>MIN(B61/I61,G61)+C61/2/I61</f>
        <v>4.8358760000000007</v>
      </c>
      <c r="K61" s="177"/>
    </row>
    <row r="62" spans="1:11">
      <c r="A62" s="159" t="s">
        <v>531</v>
      </c>
      <c r="B62" s="176"/>
      <c r="C62" s="176">
        <v>12.618969999999999</v>
      </c>
      <c r="D62" s="176"/>
      <c r="E62" s="176">
        <f>B62+C62+D62</f>
        <v>12.618969999999999</v>
      </c>
      <c r="F62" s="176"/>
      <c r="G62" s="176">
        <v>0</v>
      </c>
      <c r="I62" s="95">
        <v>5</v>
      </c>
      <c r="J62" s="181">
        <f>MIN(B62/I62,G62)+C62/2/I62</f>
        <v>1.2618969999999998</v>
      </c>
      <c r="K62" s="177"/>
    </row>
    <row r="63" spans="1:11">
      <c r="A63" s="159" t="s">
        <v>532</v>
      </c>
      <c r="B63" s="176"/>
      <c r="C63" s="176">
        <v>104.82865</v>
      </c>
      <c r="D63" s="176"/>
      <c r="E63" s="176">
        <f>B63+C63+D63</f>
        <v>104.82865</v>
      </c>
      <c r="F63" s="176"/>
      <c r="G63" s="176">
        <v>0</v>
      </c>
      <c r="I63" s="95">
        <v>5</v>
      </c>
      <c r="J63" s="181">
        <f>MIN(B63/I63,G63)+C63/2/I63</f>
        <v>10.482865</v>
      </c>
      <c r="K63" s="177"/>
    </row>
    <row r="64" spans="1:11">
      <c r="A64" s="159" t="s">
        <v>533</v>
      </c>
      <c r="B64" s="176"/>
      <c r="C64" s="176">
        <v>3.9265599999999998</v>
      </c>
      <c r="D64" s="176"/>
      <c r="E64" s="176">
        <f>B64+C64+D64</f>
        <v>3.9265599999999998</v>
      </c>
      <c r="F64" s="176"/>
      <c r="G64" s="176">
        <v>0</v>
      </c>
      <c r="I64" s="95">
        <v>5</v>
      </c>
      <c r="J64" s="181">
        <f>MIN(B64/I64,G64)+C64/2/I64</f>
        <v>0.39265600000000001</v>
      </c>
      <c r="K64" s="177"/>
    </row>
    <row r="65" spans="1:11">
      <c r="A65" s="159" t="s">
        <v>534</v>
      </c>
      <c r="B65" s="176"/>
      <c r="C65" s="176">
        <v>146.37052</v>
      </c>
      <c r="D65" s="176"/>
      <c r="E65" s="176">
        <f>B65+C65+D65</f>
        <v>146.37052</v>
      </c>
      <c r="F65" s="176"/>
      <c r="G65" s="176">
        <v>0</v>
      </c>
      <c r="I65" s="95">
        <v>5</v>
      </c>
      <c r="J65" s="181">
        <f>MIN(B65/I65,G65)+C65/2/I65</f>
        <v>14.637052000000001</v>
      </c>
      <c r="K65" s="177"/>
    </row>
    <row r="66" spans="1:11">
      <c r="A66" s="159" t="s">
        <v>535</v>
      </c>
      <c r="B66" s="176"/>
      <c r="C66" s="176">
        <v>350.81653999999997</v>
      </c>
      <c r="D66" s="176"/>
      <c r="E66" s="176">
        <f>B66+C66+D66</f>
        <v>350.81653999999997</v>
      </c>
      <c r="F66" s="176"/>
      <c r="G66" s="176">
        <v>0</v>
      </c>
      <c r="I66" s="95">
        <v>5</v>
      </c>
      <c r="J66" s="181">
        <f>MIN(B66/I66,G66)+C66/2/I66</f>
        <v>35.081654</v>
      </c>
      <c r="K66" s="177"/>
    </row>
    <row r="67" spans="1:11">
      <c r="A67" s="159" t="s">
        <v>536</v>
      </c>
      <c r="B67" s="176"/>
      <c r="C67" s="176">
        <v>5.2911299999999999</v>
      </c>
      <c r="D67" s="176"/>
      <c r="E67" s="176">
        <f>B67+C67+D67</f>
        <v>5.2911299999999999</v>
      </c>
      <c r="F67" s="176"/>
      <c r="G67" s="176">
        <v>0</v>
      </c>
      <c r="I67" s="95">
        <v>5</v>
      </c>
      <c r="J67" s="181">
        <f>MIN(B67/I67,G67)+C67/2/I67</f>
        <v>0.52911299999999994</v>
      </c>
      <c r="K67" s="177"/>
    </row>
    <row r="68" spans="1:11">
      <c r="A68" s="159" t="s">
        <v>537</v>
      </c>
      <c r="B68" s="176"/>
      <c r="C68" s="176">
        <v>-62.5</v>
      </c>
      <c r="D68" s="176"/>
      <c r="E68" s="176">
        <f>B68+C68+D68</f>
        <v>-62.5</v>
      </c>
      <c r="F68" s="176"/>
      <c r="G68" s="176">
        <v>0</v>
      </c>
      <c r="I68" s="95">
        <v>5</v>
      </c>
      <c r="J68" s="176">
        <f>MIN(B68/I68,G68)+C68/2/I68</f>
        <v>-6.25</v>
      </c>
      <c r="K68" s="177"/>
    </row>
    <row r="69" spans="1:11">
      <c r="B69" s="176"/>
      <c r="C69" s="176"/>
      <c r="D69" s="176"/>
      <c r="E69" s="176"/>
      <c r="F69" s="176"/>
      <c r="G69" s="176"/>
      <c r="I69" s="95"/>
      <c r="J69" s="181"/>
      <c r="K69" s="177"/>
    </row>
    <row r="70" spans="1:11">
      <c r="A70" s="173" t="s">
        <v>370</v>
      </c>
      <c r="B70" s="177">
        <f>SUM(B10:B69)</f>
        <v>18536.800200000001</v>
      </c>
      <c r="C70" s="177">
        <f>SUM(C10:C69)</f>
        <v>1794.2652400000002</v>
      </c>
      <c r="D70" s="177">
        <f>SUM(D10:D69)</f>
        <v>0</v>
      </c>
      <c r="E70" s="177">
        <f>SUM(E10:E69)</f>
        <v>20331.065439999998</v>
      </c>
      <c r="F70" s="177"/>
      <c r="G70" s="177">
        <f>SUM(G10:G69)</f>
        <v>10784.828938000006</v>
      </c>
      <c r="I70" s="175"/>
      <c r="J70" s="177">
        <f>SUM(J10:J69)</f>
        <v>2500.6550690000004</v>
      </c>
    </row>
    <row r="71" spans="1:11">
      <c r="I71" s="175"/>
    </row>
    <row r="72" spans="1:11">
      <c r="A72" s="173" t="s">
        <v>371</v>
      </c>
      <c r="B72" s="177"/>
      <c r="C72" s="177"/>
      <c r="D72" s="177"/>
      <c r="E72" s="177"/>
      <c r="F72" s="177"/>
      <c r="G72" s="177"/>
      <c r="J72" s="177"/>
    </row>
    <row r="73" spans="1:11">
      <c r="A73" s="179" t="s">
        <v>365</v>
      </c>
      <c r="E73" s="177"/>
      <c r="F73" s="177"/>
      <c r="G73" s="177"/>
    </row>
    <row r="74" spans="1:11">
      <c r="A74" s="180" t="s">
        <v>314</v>
      </c>
      <c r="B74" s="176">
        <v>5768.4672900000005</v>
      </c>
      <c r="C74" s="176">
        <v>747</v>
      </c>
      <c r="D74" s="176">
        <v>0</v>
      </c>
      <c r="E74" s="177">
        <f>B74+C74+D74</f>
        <v>6515.4672900000005</v>
      </c>
      <c r="F74" s="177"/>
      <c r="G74" s="176">
        <v>3838.9869100000005</v>
      </c>
      <c r="H74" s="177"/>
      <c r="I74" s="95">
        <v>10</v>
      </c>
      <c r="J74" s="176">
        <v>614.196729</v>
      </c>
      <c r="K74" s="177"/>
    </row>
    <row r="75" spans="1:11">
      <c r="A75" s="180" t="s">
        <v>410</v>
      </c>
      <c r="B75" s="176">
        <v>-2923.6238599999997</v>
      </c>
      <c r="C75" s="177"/>
      <c r="D75" s="177"/>
      <c r="E75" s="177">
        <f>B75+C75+D75</f>
        <v>-2923.6238599999997</v>
      </c>
      <c r="F75" s="177"/>
      <c r="G75" s="176">
        <v>-1905.8757599999999</v>
      </c>
      <c r="H75" s="177"/>
      <c r="I75" s="95">
        <v>10</v>
      </c>
      <c r="J75" s="176">
        <v>-292.36238600000001</v>
      </c>
      <c r="K75" s="177"/>
    </row>
    <row r="76" spans="1:11">
      <c r="A76" s="180" t="s">
        <v>373</v>
      </c>
      <c r="B76" s="176">
        <v>185.01089000000002</v>
      </c>
      <c r="C76" s="177"/>
      <c r="D76" s="177"/>
      <c r="E76" s="177">
        <f>B76+C76+D76</f>
        <v>185.01089000000002</v>
      </c>
      <c r="F76" s="177"/>
      <c r="G76" s="176">
        <v>115.04695377777777</v>
      </c>
      <c r="H76" s="177"/>
      <c r="I76" s="95">
        <v>45</v>
      </c>
      <c r="J76" s="181">
        <f>MIN(B76/I76,G76)</f>
        <v>4.1113531111111117</v>
      </c>
      <c r="K76" s="177"/>
    </row>
    <row r="77" spans="1:11">
      <c r="A77" s="180" t="s">
        <v>372</v>
      </c>
      <c r="B77" s="176">
        <v>633.98004000000003</v>
      </c>
      <c r="C77" s="177"/>
      <c r="D77" s="177"/>
      <c r="E77" s="177">
        <f>B77+C77+D77</f>
        <v>633.98004000000003</v>
      </c>
      <c r="F77" s="177"/>
      <c r="G77" s="176">
        <v>126.79610400000001</v>
      </c>
      <c r="H77" s="177"/>
      <c r="I77" s="95">
        <v>5</v>
      </c>
      <c r="J77" s="181">
        <f>MIN(B77/I77,G77)</f>
        <v>126.796008</v>
      </c>
      <c r="K77" s="177"/>
    </row>
    <row r="78" spans="1:11">
      <c r="A78" s="180" t="s">
        <v>502</v>
      </c>
      <c r="B78" s="176">
        <v>5532.5789699999996</v>
      </c>
      <c r="C78" s="177"/>
      <c r="D78" s="177"/>
      <c r="E78" s="177">
        <f>B78+C78+D78</f>
        <v>5532.5789699999996</v>
      </c>
      <c r="F78" s="177"/>
      <c r="G78" s="176">
        <v>4979.32107</v>
      </c>
      <c r="H78" s="177"/>
      <c r="I78" s="95">
        <v>10</v>
      </c>
      <c r="J78" s="181">
        <f>MIN(B78/I78,G78)</f>
        <v>553.25789699999996</v>
      </c>
      <c r="K78" s="177"/>
    </row>
    <row r="79" spans="1:11">
      <c r="A79" s="180" t="s">
        <v>538</v>
      </c>
      <c r="B79" s="176"/>
      <c r="C79" s="177">
        <v>207.40913</v>
      </c>
      <c r="D79" s="177"/>
      <c r="E79" s="177">
        <f>B79+C79+D79</f>
        <v>207.40913</v>
      </c>
      <c r="F79" s="177"/>
      <c r="G79" s="176">
        <v>0</v>
      </c>
      <c r="H79" s="177"/>
      <c r="I79" s="95">
        <v>5</v>
      </c>
      <c r="J79" s="181">
        <f>MIN(B79/I79,G79)+C79/2/I79</f>
        <v>20.740912999999999</v>
      </c>
      <c r="K79" s="177"/>
    </row>
    <row r="80" spans="1:11">
      <c r="A80" s="180"/>
      <c r="B80" s="177"/>
      <c r="C80" s="177"/>
      <c r="D80" s="177"/>
      <c r="E80" s="177"/>
      <c r="F80" s="177"/>
      <c r="G80" s="177"/>
      <c r="H80" s="177"/>
      <c r="I80" s="175"/>
      <c r="J80" s="176"/>
      <c r="K80" s="177"/>
    </row>
    <row r="81" spans="1:11">
      <c r="A81" s="173" t="s">
        <v>374</v>
      </c>
      <c r="B81" s="177">
        <f>SUM(B74,B75,B76,B77,B78,B79)</f>
        <v>9196.4133299999994</v>
      </c>
      <c r="C81" s="177">
        <f>SUM(C74,C75,C76,C77,C78,C79)</f>
        <v>954.40913</v>
      </c>
      <c r="D81" s="177">
        <f>SUM(D74,D75,D76,D77,D78,D79)</f>
        <v>0</v>
      </c>
      <c r="E81" s="177">
        <f>SUM(E74,E75,E76,E77,E78,E79)</f>
        <v>10150.822459999999</v>
      </c>
      <c r="F81" s="177"/>
      <c r="G81" s="177">
        <f>SUM(G74,G75,G76,G77,G78,G79)</f>
        <v>7154.2752777777787</v>
      </c>
      <c r="H81" s="177"/>
      <c r="I81" s="177"/>
      <c r="J81" s="177">
        <f>SUM(J74,J75,J76,J77,J78,J79)</f>
        <v>1026.740514111111</v>
      </c>
      <c r="K81" s="177"/>
    </row>
    <row r="82" spans="1:11">
      <c r="A82" s="180"/>
      <c r="B82" s="177"/>
      <c r="C82" s="177"/>
      <c r="D82" s="177"/>
      <c r="E82" s="177"/>
      <c r="F82" s="177"/>
      <c r="G82" s="177"/>
      <c r="H82" s="177"/>
      <c r="I82" s="175"/>
      <c r="J82" s="177"/>
      <c r="K82" s="177"/>
    </row>
    <row r="84" spans="1:11">
      <c r="A84" s="173" t="s">
        <v>90</v>
      </c>
      <c r="B84" s="177"/>
      <c r="C84" s="177"/>
      <c r="D84" s="177"/>
      <c r="E84" s="177"/>
      <c r="F84" s="177"/>
      <c r="G84" s="177"/>
      <c r="H84" s="177"/>
      <c r="I84" s="177"/>
      <c r="J84" s="177"/>
    </row>
    <row r="85" spans="1:11">
      <c r="A85" s="179" t="s">
        <v>365</v>
      </c>
      <c r="B85" s="177"/>
      <c r="C85" s="177"/>
      <c r="D85" s="177"/>
      <c r="E85" s="177"/>
      <c r="F85" s="177"/>
      <c r="G85" s="177"/>
      <c r="H85" s="177"/>
      <c r="I85" s="177"/>
      <c r="J85" s="177"/>
    </row>
    <row r="86" spans="1:11">
      <c r="A86" s="159" t="s">
        <v>411</v>
      </c>
      <c r="B86" s="176">
        <f>3903.42952</f>
        <v>3903.4295200000001</v>
      </c>
      <c r="C86" s="176">
        <v>714.22807</v>
      </c>
      <c r="D86" s="177"/>
      <c r="E86" s="177">
        <f t="shared" ref="E86:E96" si="0">B86+C86+D86</f>
        <v>4617.6575899999998</v>
      </c>
      <c r="F86" s="177"/>
      <c r="G86" s="176">
        <v>2342.0577119999998</v>
      </c>
      <c r="H86" s="177"/>
      <c r="I86" s="95">
        <v>5</v>
      </c>
      <c r="J86" s="181">
        <f>MIN(B86/I86,G86)+C86/2/I86</f>
        <v>852.10871100000008</v>
      </c>
      <c r="K86" s="177"/>
    </row>
    <row r="87" spans="1:11">
      <c r="A87" s="159" t="s">
        <v>375</v>
      </c>
      <c r="B87" s="176">
        <v>39.986849999999997</v>
      </c>
      <c r="C87" s="176"/>
      <c r="D87" s="177"/>
      <c r="E87" s="177">
        <f t="shared" si="0"/>
        <v>39.986849999999997</v>
      </c>
      <c r="F87" s="177"/>
      <c r="G87" s="176">
        <v>31.183173999999994</v>
      </c>
      <c r="H87" s="177"/>
      <c r="I87" s="95">
        <v>25</v>
      </c>
      <c r="J87" s="181">
        <f>MIN(B87/I87,G87)</f>
        <v>1.5994739999999998</v>
      </c>
      <c r="K87" s="177"/>
    </row>
    <row r="88" spans="1:11">
      <c r="A88" s="159" t="s">
        <v>376</v>
      </c>
      <c r="B88" s="176">
        <v>131.81734</v>
      </c>
      <c r="C88" s="176"/>
      <c r="D88" s="177"/>
      <c r="E88" s="177">
        <f t="shared" si="0"/>
        <v>131.81734</v>
      </c>
      <c r="F88" s="177"/>
      <c r="G88" s="176">
        <v>6.3363399999999999</v>
      </c>
      <c r="H88" s="177"/>
      <c r="I88" s="175" t="s">
        <v>412</v>
      </c>
      <c r="J88" s="177">
        <f>G88</f>
        <v>6.3363399999999999</v>
      </c>
      <c r="K88" s="177" t="s">
        <v>426</v>
      </c>
    </row>
    <row r="89" spans="1:11">
      <c r="A89" s="159" t="s">
        <v>376</v>
      </c>
      <c r="B89" s="176"/>
      <c r="C89" s="176">
        <v>10607.89925</v>
      </c>
      <c r="D89" s="177"/>
      <c r="E89" s="177">
        <f t="shared" si="0"/>
        <v>10607.89925</v>
      </c>
      <c r="F89" s="177"/>
      <c r="G89" s="176">
        <v>0</v>
      </c>
      <c r="H89" s="177"/>
      <c r="I89" s="95">
        <v>25</v>
      </c>
      <c r="J89" s="181">
        <f>MIN(B89/I89,G89)+C89/2/I89</f>
        <v>212.157985</v>
      </c>
      <c r="K89" s="177"/>
    </row>
    <row r="90" spans="1:11">
      <c r="A90" s="159" t="s">
        <v>377</v>
      </c>
      <c r="B90" s="176">
        <v>128.80160000000001</v>
      </c>
      <c r="C90" s="176"/>
      <c r="D90" s="177"/>
      <c r="E90" s="177">
        <f t="shared" si="0"/>
        <v>128.80160000000001</v>
      </c>
      <c r="F90" s="177"/>
      <c r="G90" s="176">
        <v>11.25353</v>
      </c>
      <c r="H90" s="177"/>
      <c r="I90" s="175" t="s">
        <v>412</v>
      </c>
      <c r="J90" s="177">
        <f>10938.3658333333/1000</f>
        <v>10.9383658333333</v>
      </c>
      <c r="K90" s="177" t="s">
        <v>426</v>
      </c>
    </row>
    <row r="91" spans="1:11">
      <c r="A91" s="159" t="s">
        <v>377</v>
      </c>
      <c r="B91" s="176"/>
      <c r="C91" s="176">
        <v>7294.8461900000002</v>
      </c>
      <c r="D91" s="177"/>
      <c r="E91" s="177">
        <f t="shared" si="0"/>
        <v>7294.8461900000002</v>
      </c>
      <c r="F91" s="177"/>
      <c r="G91" s="176">
        <v>0</v>
      </c>
      <c r="H91" s="177"/>
      <c r="I91" s="95">
        <v>25</v>
      </c>
      <c r="J91" s="181">
        <f>MIN(B91/I91,G91)+C91/2/I91</f>
        <v>145.8969238</v>
      </c>
      <c r="K91" s="177"/>
    </row>
    <row r="92" spans="1:11">
      <c r="A92" s="159" t="s">
        <v>504</v>
      </c>
      <c r="B92" s="176">
        <v>216.3638</v>
      </c>
      <c r="C92" s="176"/>
      <c r="D92" s="177"/>
      <c r="E92" s="177">
        <f t="shared" si="0"/>
        <v>216.3638</v>
      </c>
      <c r="F92" s="177"/>
      <c r="G92" s="176">
        <v>216.3638</v>
      </c>
      <c r="H92" s="177"/>
      <c r="I92" s="95">
        <v>25</v>
      </c>
      <c r="J92" s="181">
        <f>MIN(B92/I92,G92)</f>
        <v>8.6545520000000007</v>
      </c>
    </row>
    <row r="93" spans="1:11">
      <c r="A93" s="159" t="s">
        <v>506</v>
      </c>
      <c r="B93" s="176"/>
      <c r="C93" s="176">
        <v>13.88059</v>
      </c>
      <c r="D93" s="177"/>
      <c r="E93" s="177">
        <f t="shared" si="0"/>
        <v>13.88059</v>
      </c>
      <c r="F93" s="177"/>
      <c r="G93" s="176">
        <v>0</v>
      </c>
      <c r="H93" s="177"/>
      <c r="I93" s="95">
        <v>25</v>
      </c>
      <c r="J93" s="181">
        <f>MIN(B93/I93,G93)+C93/2/I93</f>
        <v>0.27761180000000002</v>
      </c>
      <c r="K93" s="177"/>
    </row>
    <row r="94" spans="1:11">
      <c r="A94" s="159" t="s">
        <v>507</v>
      </c>
      <c r="B94" s="176"/>
      <c r="C94" s="176">
        <v>9.7247700000000012</v>
      </c>
      <c r="D94" s="177"/>
      <c r="E94" s="177">
        <f t="shared" si="0"/>
        <v>9.7247700000000012</v>
      </c>
      <c r="F94" s="177"/>
      <c r="G94" s="176">
        <v>0</v>
      </c>
      <c r="H94" s="177"/>
      <c r="I94" s="95">
        <v>25</v>
      </c>
      <c r="J94" s="181">
        <f>MIN(B94/I94,G94)+C94/2/I94</f>
        <v>0.19449540000000001</v>
      </c>
      <c r="K94" s="177"/>
    </row>
    <row r="95" spans="1:11">
      <c r="A95" s="159" t="s">
        <v>508</v>
      </c>
      <c r="B95" s="176"/>
      <c r="C95" s="176">
        <v>50</v>
      </c>
      <c r="D95" s="177"/>
      <c r="E95" s="177">
        <f t="shared" si="0"/>
        <v>50</v>
      </c>
      <c r="F95" s="177"/>
      <c r="G95" s="176">
        <v>0</v>
      </c>
      <c r="H95" s="177"/>
      <c r="I95" s="95">
        <v>25</v>
      </c>
      <c r="J95" s="181">
        <f>MIN(B95/I95,G95)+C95/2/I95</f>
        <v>1</v>
      </c>
      <c r="K95" s="177"/>
    </row>
    <row r="96" spans="1:11">
      <c r="A96" s="159" t="s">
        <v>505</v>
      </c>
      <c r="B96" s="176">
        <v>2267.2020200000002</v>
      </c>
      <c r="C96" s="176"/>
      <c r="D96" s="177"/>
      <c r="E96" s="177">
        <f t="shared" si="0"/>
        <v>2267.2020200000002</v>
      </c>
      <c r="F96" s="177"/>
      <c r="G96" s="176">
        <v>2267.2020200000002</v>
      </c>
      <c r="H96" s="177"/>
      <c r="I96" s="95">
        <v>10</v>
      </c>
      <c r="J96" s="181">
        <f>MIN(B96/I96,G96)</f>
        <v>226.72020200000003</v>
      </c>
    </row>
    <row r="97" spans="1:23">
      <c r="B97" s="177"/>
      <c r="C97" s="177"/>
      <c r="D97" s="177"/>
      <c r="E97" s="177"/>
      <c r="F97" s="177"/>
      <c r="G97" s="177"/>
      <c r="H97" s="177"/>
      <c r="I97" s="177"/>
      <c r="J97" s="177"/>
      <c r="K97" s="177"/>
    </row>
    <row r="98" spans="1:23">
      <c r="A98" s="173" t="s">
        <v>378</v>
      </c>
      <c r="B98" s="177">
        <f>SUM(B85:B97)</f>
        <v>6687.6011300000009</v>
      </c>
      <c r="C98" s="177">
        <f>SUM(C85:C97)</f>
        <v>18690.578870000001</v>
      </c>
      <c r="D98" s="177">
        <f>SUM(D85:D97)</f>
        <v>0</v>
      </c>
      <c r="E98" s="177">
        <f>SUM(E85:E97)</f>
        <v>25378.180000000004</v>
      </c>
      <c r="F98" s="177"/>
      <c r="G98" s="177">
        <f>SUM(G85:G97)</f>
        <v>4874.3965759999992</v>
      </c>
      <c r="H98" s="177"/>
      <c r="I98" s="177"/>
      <c r="J98" s="177">
        <f>SUM(J85:J97)</f>
        <v>1465.8846608333333</v>
      </c>
    </row>
    <row r="99" spans="1:23">
      <c r="B99" s="177"/>
      <c r="C99" s="177"/>
      <c r="D99" s="177"/>
      <c r="E99" s="177"/>
      <c r="F99" s="177"/>
      <c r="G99" s="177"/>
      <c r="H99" s="177"/>
      <c r="I99" s="177"/>
      <c r="J99" s="177"/>
    </row>
    <row r="100" spans="1:23">
      <c r="A100" s="173" t="s">
        <v>379</v>
      </c>
      <c r="B100" s="177"/>
      <c r="C100" s="177"/>
      <c r="D100" s="177"/>
      <c r="E100" s="177"/>
      <c r="F100" s="177"/>
      <c r="G100" s="177"/>
      <c r="H100" s="177"/>
      <c r="I100" s="177"/>
      <c r="J100" s="177"/>
    </row>
    <row r="101" spans="1:23">
      <c r="A101" s="174" t="s">
        <v>380</v>
      </c>
      <c r="B101" s="176">
        <v>254.48933</v>
      </c>
      <c r="C101" s="177">
        <v>194.77539000000002</v>
      </c>
      <c r="D101" s="177"/>
      <c r="E101" s="177">
        <f>SUM(B101:D101)</f>
        <v>449.26472000000001</v>
      </c>
      <c r="F101" s="177"/>
      <c r="G101" s="176">
        <v>75.998169999999988</v>
      </c>
      <c r="H101" s="177"/>
      <c r="I101" s="95">
        <v>5</v>
      </c>
      <c r="J101" s="181">
        <f>MIN(B101/I101,G101)+C101/2/I101</f>
        <v>70.375405000000001</v>
      </c>
    </row>
    <row r="102" spans="1:23">
      <c r="A102" s="174"/>
      <c r="B102" s="176"/>
      <c r="C102" s="177"/>
      <c r="D102" s="177"/>
      <c r="E102" s="177"/>
      <c r="F102" s="177"/>
      <c r="G102" s="176"/>
      <c r="H102" s="177"/>
      <c r="I102" s="95"/>
      <c r="J102" s="181"/>
    </row>
    <row r="103" spans="1:23">
      <c r="A103" s="173" t="s">
        <v>517</v>
      </c>
      <c r="B103" s="176"/>
      <c r="C103" s="177"/>
      <c r="D103" s="177"/>
      <c r="E103" s="177"/>
      <c r="F103" s="177"/>
      <c r="G103" s="176"/>
      <c r="H103" s="177"/>
      <c r="I103" s="95"/>
      <c r="J103" s="181">
        <v>221.53100000000001</v>
      </c>
    </row>
    <row r="104" spans="1:23">
      <c r="A104" s="182"/>
      <c r="B104" s="178"/>
      <c r="C104" s="178"/>
      <c r="D104" s="178"/>
      <c r="E104" s="178"/>
      <c r="F104" s="177"/>
      <c r="G104" s="177"/>
      <c r="H104" s="183"/>
      <c r="I104" s="184"/>
      <c r="J104" s="178"/>
      <c r="K104" s="177"/>
    </row>
    <row r="105" spans="1:23">
      <c r="A105" s="188" t="s">
        <v>381</v>
      </c>
      <c r="B105" s="185">
        <f>SUM(B70,B81,B98,B101)</f>
        <v>34675.30399</v>
      </c>
      <c r="C105" s="185">
        <f>SUM(C70,C81,C98,C101)</f>
        <v>21634.028630000001</v>
      </c>
      <c r="D105" s="185">
        <f>SUM(D70,D81,D98,D101)</f>
        <v>0</v>
      </c>
      <c r="E105" s="185">
        <f>SUM(E70,E81,E98,E101)</f>
        <v>56309.332620000001</v>
      </c>
      <c r="F105" s="198"/>
      <c r="G105" s="185">
        <f>SUM(G70,G81,G98,G101)</f>
        <v>22889.498961777783</v>
      </c>
      <c r="H105" s="183"/>
      <c r="I105" s="184"/>
      <c r="J105" s="185">
        <f>SUM(J70,J81,J98,J101,J103)</f>
        <v>5285.1866489444446</v>
      </c>
      <c r="W105" s="177"/>
    </row>
    <row r="106" spans="1:23">
      <c r="A106" s="163"/>
      <c r="B106" s="186"/>
      <c r="C106" s="186"/>
      <c r="D106" s="186"/>
      <c r="E106" s="186"/>
      <c r="F106" s="186"/>
      <c r="G106" s="186"/>
      <c r="H106" s="183"/>
      <c r="I106" s="184"/>
      <c r="J106" s="183"/>
      <c r="W106" s="177"/>
    </row>
    <row r="107" spans="1:23">
      <c r="A107" s="173" t="s">
        <v>92</v>
      </c>
      <c r="B107" s="177"/>
      <c r="C107" s="177"/>
      <c r="D107" s="177"/>
      <c r="E107" s="177"/>
      <c r="F107" s="177"/>
      <c r="G107" s="177"/>
      <c r="H107" s="177"/>
      <c r="I107" s="177"/>
      <c r="J107" s="177"/>
      <c r="W107" s="177"/>
    </row>
    <row r="108" spans="1:23">
      <c r="A108" s="179" t="s">
        <v>365</v>
      </c>
      <c r="B108" s="177"/>
      <c r="C108" s="177"/>
      <c r="D108" s="177"/>
      <c r="E108" s="177"/>
      <c r="F108" s="177"/>
      <c r="G108" s="177"/>
      <c r="H108" s="177"/>
      <c r="I108" s="177"/>
      <c r="J108" s="177"/>
      <c r="W108" s="177"/>
    </row>
    <row r="109" spans="1:23">
      <c r="A109" s="159" t="s">
        <v>415</v>
      </c>
      <c r="B109" s="176">
        <f>7386.33258-B111</f>
        <v>2836.4792600000001</v>
      </c>
      <c r="C109" s="177"/>
      <c r="D109" s="177"/>
      <c r="E109" s="177">
        <f>B109+C109+D109</f>
        <v>2836.4792600000001</v>
      </c>
      <c r="F109" s="177"/>
      <c r="G109" s="176">
        <v>108.69500799999969</v>
      </c>
      <c r="H109" s="177"/>
      <c r="I109" s="95">
        <v>10</v>
      </c>
      <c r="J109" s="177">
        <v>-1.9999999949504854E-6</v>
      </c>
      <c r="K109" s="177" t="s">
        <v>429</v>
      </c>
      <c r="W109" s="177"/>
    </row>
    <row r="110" spans="1:23">
      <c r="A110" s="159" t="s">
        <v>503</v>
      </c>
      <c r="B110" s="176">
        <f>1492.25239+585.087</f>
        <v>2077.3393900000001</v>
      </c>
      <c r="C110" s="177">
        <v>2030.7006200000001</v>
      </c>
      <c r="D110" s="177"/>
      <c r="E110" s="177">
        <f>B110+C110+D110</f>
        <v>4108.0400100000006</v>
      </c>
      <c r="F110" s="177"/>
      <c r="G110" s="176">
        <v>1312.4159999999999</v>
      </c>
      <c r="H110" s="177"/>
      <c r="I110" s="95"/>
      <c r="J110" s="177">
        <v>377.86877000000004</v>
      </c>
      <c r="K110" s="177" t="s">
        <v>429</v>
      </c>
      <c r="W110" s="177"/>
    </row>
    <row r="111" spans="1:23">
      <c r="A111" s="159" t="s">
        <v>430</v>
      </c>
      <c r="B111" s="176">
        <v>4549.8533200000002</v>
      </c>
      <c r="C111" s="177"/>
      <c r="D111" s="177"/>
      <c r="E111" s="177">
        <f>B111+C111+D111</f>
        <v>4549.8533200000002</v>
      </c>
      <c r="F111" s="177"/>
      <c r="G111" s="176">
        <v>2729.9119920000003</v>
      </c>
      <c r="H111" s="177"/>
      <c r="I111" s="95">
        <v>10</v>
      </c>
      <c r="J111" s="181">
        <f>MIN(B111/I111,G111)</f>
        <v>454.98533200000003</v>
      </c>
      <c r="K111" s="177"/>
      <c r="W111" s="177"/>
    </row>
    <row r="112" spans="1:23">
      <c r="B112" s="177"/>
      <c r="C112" s="177"/>
      <c r="D112" s="177"/>
      <c r="E112" s="177"/>
      <c r="F112" s="177"/>
      <c r="G112" s="177"/>
      <c r="H112" s="177"/>
      <c r="I112" s="177"/>
      <c r="J112" s="177"/>
      <c r="W112" s="177"/>
    </row>
    <row r="113" spans="1:23">
      <c r="A113" s="173" t="s">
        <v>416</v>
      </c>
      <c r="B113" s="177">
        <f>SUM(B108:B112)</f>
        <v>9463.6719699999994</v>
      </c>
      <c r="C113" s="177">
        <f>SUM(C108:C112)</f>
        <v>2030.7006200000001</v>
      </c>
      <c r="D113" s="177">
        <f>SUM(D108:D112)</f>
        <v>0</v>
      </c>
      <c r="E113" s="177">
        <f>SUM(E108:E112)</f>
        <v>11494.372590000001</v>
      </c>
      <c r="F113" s="177"/>
      <c r="G113" s="177">
        <f>SUM(G108:G112)</f>
        <v>4151.0230000000001</v>
      </c>
      <c r="H113" s="177"/>
      <c r="I113" s="177"/>
      <c r="J113" s="177">
        <f>SUM(J108:J112)</f>
        <v>832.85410000000002</v>
      </c>
      <c r="K113" s="177"/>
      <c r="W113" s="177"/>
    </row>
    <row r="114" spans="1:23">
      <c r="A114" s="163"/>
      <c r="B114" s="186"/>
      <c r="C114" s="186"/>
      <c r="D114" s="186"/>
      <c r="E114" s="186"/>
      <c r="F114" s="186"/>
      <c r="G114" s="186"/>
      <c r="H114" s="183"/>
      <c r="I114" s="184"/>
      <c r="J114" s="183"/>
      <c r="W114" s="177"/>
    </row>
    <row r="115" spans="1:23" ht="9" customHeight="1">
      <c r="A115" s="163"/>
      <c r="B115" s="186"/>
      <c r="C115" s="186"/>
      <c r="D115" s="186"/>
      <c r="E115" s="186"/>
      <c r="F115" s="186"/>
      <c r="G115" s="186"/>
      <c r="H115" s="183"/>
      <c r="I115" s="184"/>
      <c r="J115" s="183"/>
      <c r="W115" s="177"/>
    </row>
    <row r="116" spans="1:23">
      <c r="A116" s="188" t="s">
        <v>417</v>
      </c>
      <c r="B116" s="185">
        <f>B105+B113</f>
        <v>44138.975959999996</v>
      </c>
      <c r="C116" s="185">
        <f>C105+C113</f>
        <v>23664.72925</v>
      </c>
      <c r="D116" s="185">
        <f>D105+D113</f>
        <v>0</v>
      </c>
      <c r="E116" s="185">
        <f>E105+E113</f>
        <v>67803.70521</v>
      </c>
      <c r="F116" s="198"/>
      <c r="G116" s="185">
        <f>G105+G113</f>
        <v>27040.521961777784</v>
      </c>
      <c r="H116" s="183"/>
      <c r="I116" s="184"/>
      <c r="J116" s="185">
        <f>J105+J113</f>
        <v>6118.0407489444442</v>
      </c>
      <c r="W116" s="177"/>
    </row>
    <row r="117" spans="1:23" ht="6.5" customHeight="1">
      <c r="A117" s="163"/>
      <c r="B117" s="186"/>
      <c r="C117" s="186"/>
      <c r="D117" s="186"/>
      <c r="E117" s="186"/>
      <c r="F117" s="186"/>
      <c r="G117" s="186"/>
      <c r="H117" s="183"/>
      <c r="I117" s="184"/>
      <c r="J117" s="183"/>
      <c r="W117" s="177"/>
    </row>
    <row r="118" spans="1:23" ht="5.5" customHeight="1"/>
    <row r="119" spans="1:23">
      <c r="A119" s="163" t="s">
        <v>382</v>
      </c>
      <c r="B119" s="186"/>
      <c r="C119" s="186"/>
      <c r="D119" s="186"/>
      <c r="E119" s="186"/>
      <c r="F119" s="186"/>
      <c r="G119" s="186"/>
      <c r="H119" s="183"/>
      <c r="I119" s="184"/>
      <c r="J119" s="183"/>
    </row>
    <row r="120" spans="1:23" ht="12.75" customHeight="1">
      <c r="A120" s="163" t="s">
        <v>383</v>
      </c>
      <c r="B120" s="186"/>
      <c r="C120" s="186"/>
      <c r="D120" s="186"/>
      <c r="E120" s="186"/>
      <c r="F120" s="186"/>
      <c r="G120" s="186"/>
      <c r="H120" s="183"/>
      <c r="I120" s="184"/>
      <c r="J120" s="183"/>
    </row>
    <row r="121" spans="1:23">
      <c r="A121" s="163"/>
    </row>
    <row r="122" spans="1:23" ht="28.5" customHeight="1">
      <c r="A122" s="208" t="s">
        <v>428</v>
      </c>
      <c r="B122" s="208"/>
      <c r="C122" s="208"/>
      <c r="D122" s="208"/>
      <c r="E122" s="208"/>
      <c r="F122" s="208"/>
      <c r="G122" s="208"/>
      <c r="H122" s="208"/>
      <c r="I122" s="208"/>
    </row>
    <row r="123" spans="1:23">
      <c r="A123" s="208" t="s">
        <v>431</v>
      </c>
      <c r="B123" s="208"/>
      <c r="C123" s="208"/>
      <c r="D123" s="208"/>
      <c r="E123" s="208"/>
      <c r="F123" s="208"/>
      <c r="G123" s="208"/>
      <c r="H123" s="208"/>
      <c r="I123" s="208"/>
    </row>
    <row r="125" spans="1:23">
      <c r="C125" s="177"/>
      <c r="J125" s="177"/>
    </row>
    <row r="126" spans="1:23">
      <c r="C126" s="177"/>
      <c r="D126" s="181"/>
      <c r="J126" s="177"/>
    </row>
    <row r="127" spans="1:23">
      <c r="L127" s="159"/>
      <c r="M127" s="159"/>
      <c r="N127" s="159"/>
      <c r="O127" s="159"/>
      <c r="P127" s="159"/>
      <c r="Q127" s="159"/>
      <c r="R127" s="159"/>
    </row>
    <row r="128" spans="1:23">
      <c r="L128" s="159"/>
      <c r="M128" s="159"/>
      <c r="N128" s="159"/>
      <c r="O128" s="159"/>
      <c r="P128" s="159"/>
      <c r="Q128" s="159"/>
      <c r="R128" s="159"/>
    </row>
    <row r="129" s="159" customFormat="1"/>
    <row r="130" s="159" customFormat="1"/>
    <row r="131" s="159" customFormat="1"/>
    <row r="132" s="159" customFormat="1"/>
    <row r="133" s="159" customFormat="1"/>
    <row r="134" s="159" customFormat="1"/>
    <row r="135" s="159" customFormat="1"/>
    <row r="136" s="159" customFormat="1"/>
    <row r="137" s="159" customFormat="1"/>
    <row r="138" s="159" customFormat="1"/>
    <row r="139" s="159" customFormat="1"/>
    <row r="140" s="159" customFormat="1"/>
    <row r="141" s="159" customFormat="1"/>
    <row r="142" s="159" customFormat="1"/>
    <row r="143" s="159" customFormat="1"/>
    <row r="144" s="159" customFormat="1"/>
    <row r="145" s="159" customFormat="1"/>
    <row r="146" s="159" customFormat="1"/>
    <row r="147" s="159" customFormat="1"/>
    <row r="148" s="159" customFormat="1"/>
    <row r="149" s="159" customFormat="1"/>
    <row r="150" s="159" customFormat="1"/>
    <row r="151" s="159" customFormat="1"/>
    <row r="152" s="159" customFormat="1"/>
    <row r="153" s="159" customFormat="1"/>
    <row r="154" s="159" customFormat="1"/>
    <row r="155" s="159" customFormat="1"/>
  </sheetData>
  <mergeCells count="4">
    <mergeCell ref="B5:E5"/>
    <mergeCell ref="I6:I7"/>
    <mergeCell ref="A122:I122"/>
    <mergeCell ref="A123:I123"/>
  </mergeCells>
  <conditionalFormatting sqref="A74:A80">
    <cfRule type="expression" dxfId="17" priority="1" stopIfTrue="1">
      <formula>AND(MONTH(#REF!)-MONTH(#REF!)=1,YEAR(#REF!)=YEAR(#REF!),#REF!&gt;0)</formula>
    </cfRule>
    <cfRule type="expression" dxfId="16" priority="2" stopIfTrue="1">
      <formula>AND(MONTH(#REF!)-MONTH(#REF!)=0,YEAR(#REF!)=YEAR(#REF!),#REF!&gt;0)</formula>
    </cfRule>
    <cfRule type="expression" dxfId="15" priority="3" stopIfTrue="1">
      <formula>AND(MONTH(#REF!)-MONTH(#REF!)&lt;0,YEAR(#REF!)=YEAR(#REF!),#REF!&gt;0)</formula>
    </cfRule>
  </conditionalFormatting>
  <conditionalFormatting sqref="A82">
    <cfRule type="expression" dxfId="14" priority="4" stopIfTrue="1">
      <formula>AND(MONTH($E82)-MONTH($B$1)=1,YEAR($E82)=YEAR($B$1),$X82&gt;0)</formula>
    </cfRule>
    <cfRule type="expression" dxfId="13" priority="5" stopIfTrue="1">
      <formula>AND(MONTH($E82)-MONTH($B$1)=0,YEAR($E82)=YEAR($B$1),$X82&gt;0)</formula>
    </cfRule>
    <cfRule type="expression" dxfId="12" priority="6" stopIfTrue="1">
      <formula>AND(MONTH($E82)-MONTH($B$1)&lt;0,YEAR($E82)=YEAR($B$1),$X82&gt;0)</formula>
    </cfRule>
  </conditionalFormatting>
  <printOptions horizontalCentered="1"/>
  <pageMargins left="0.55118110236220474" right="0.31496062992125984" top="0.82677165354330717" bottom="0.9055118110236221" header="0.51181102362204722" footer="0.51181102362204722"/>
  <pageSetup scale="38" orientation="portrait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5B613C9505E64298006A558FB3F52A" ma:contentTypeVersion="6" ma:contentTypeDescription="Create a new document." ma:contentTypeScope="" ma:versionID="12d0ead611c43adc7adf86061ff7ad38">
  <xsd:schema xmlns:xsd="http://www.w3.org/2001/XMLSchema" xmlns:xs="http://www.w3.org/2001/XMLSchema" xmlns:p="http://schemas.microsoft.com/office/2006/metadata/properties" xmlns:ns1="http://schemas.microsoft.com/sharepoint/v3" xmlns:ns2="ce19ce13-5fcc-45f5-a723-c36f2ab614e9" targetNamespace="http://schemas.microsoft.com/office/2006/metadata/properties" ma:root="true" ma:fieldsID="1bf833829de332f644f65413fe15efc8" ns1:_="" ns2:_="">
    <xsd:import namespace="http://schemas.microsoft.com/sharepoint/v3"/>
    <xsd:import namespace="ce19ce13-5fcc-45f5-a723-c36f2ab614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9ce13-5fcc-45f5-a723-c36f2ab614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82BD136-4286-492C-94D8-6BBED6C4E1E0}"/>
</file>

<file path=customXml/itemProps2.xml><?xml version="1.0" encoding="utf-8"?>
<ds:datastoreItem xmlns:ds="http://schemas.openxmlformats.org/officeDocument/2006/customXml" ds:itemID="{1F41C6AB-6060-4F44-B1D7-A1C9B7F62C04}"/>
</file>

<file path=customXml/itemProps3.xml><?xml version="1.0" encoding="utf-8"?>
<ds:datastoreItem xmlns:ds="http://schemas.openxmlformats.org/officeDocument/2006/customXml" ds:itemID="{5D4D15FB-434C-4481-861E-45CE5BFC6B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28</vt:i4>
      </vt:variant>
    </vt:vector>
  </HeadingPairs>
  <TitlesOfParts>
    <vt:vector size="48" baseType="lpstr">
      <vt:lpstr>Index</vt:lpstr>
      <vt:lpstr>Schedule 1</vt:lpstr>
      <vt:lpstr>Schedule 2</vt:lpstr>
      <vt:lpstr>Schedule 2A</vt:lpstr>
      <vt:lpstr>Schedule 3</vt:lpstr>
      <vt:lpstr>Schedule 3A - 2025</vt:lpstr>
      <vt:lpstr>Schedule 3A - 2026</vt:lpstr>
      <vt:lpstr>Schedule 3A - 2027</vt:lpstr>
      <vt:lpstr>Schedule 3B - 2025</vt:lpstr>
      <vt:lpstr>Schedule 3B - 2026</vt:lpstr>
      <vt:lpstr>Schedule 3B - 2027</vt:lpstr>
      <vt:lpstr>Schedule 4</vt:lpstr>
      <vt:lpstr>Schedule 5</vt:lpstr>
      <vt:lpstr>Schedule 6</vt:lpstr>
      <vt:lpstr>Schedule 7</vt:lpstr>
      <vt:lpstr>Schedule 8</vt:lpstr>
      <vt:lpstr>Schedule 9</vt:lpstr>
      <vt:lpstr>Schedule 10</vt:lpstr>
      <vt:lpstr>Schedule 10A</vt:lpstr>
      <vt:lpstr>Schedule 11</vt:lpstr>
      <vt:lpstr>Index!Print_Area</vt:lpstr>
      <vt:lpstr>'Schedule 1'!Print_Area</vt:lpstr>
      <vt:lpstr>'Schedule 10'!Print_Area</vt:lpstr>
      <vt:lpstr>'Schedule 10A'!Print_Area</vt:lpstr>
      <vt:lpstr>'Schedule 11'!Print_Area</vt:lpstr>
      <vt:lpstr>'Schedule 2'!Print_Area</vt:lpstr>
      <vt:lpstr>'Schedule 2A'!Print_Area</vt:lpstr>
      <vt:lpstr>'Schedule 3'!Print_Area</vt:lpstr>
      <vt:lpstr>'Schedule 3A - 2025'!Print_Area</vt:lpstr>
      <vt:lpstr>'Schedule 3A - 2026'!Print_Area</vt:lpstr>
      <vt:lpstr>'Schedule 3A - 2027'!Print_Area</vt:lpstr>
      <vt:lpstr>'Schedule 3B - 2025'!Print_Area</vt:lpstr>
      <vt:lpstr>'Schedule 3B - 2026'!Print_Area</vt:lpstr>
      <vt:lpstr>'Schedule 3B - 2027'!Print_Area</vt:lpstr>
      <vt:lpstr>'Schedule 4'!Print_Area</vt:lpstr>
      <vt:lpstr>'Schedule 5'!Print_Area</vt:lpstr>
      <vt:lpstr>'Schedule 6'!Print_Area</vt:lpstr>
      <vt:lpstr>'Schedule 7'!Print_Area</vt:lpstr>
      <vt:lpstr>'Schedule 8'!Print_Area</vt:lpstr>
      <vt:lpstr>'Schedule 9'!Print_Area</vt:lpstr>
      <vt:lpstr>'Schedule 1'!Print_Titles</vt:lpstr>
      <vt:lpstr>'Schedule 3'!Print_Titles</vt:lpstr>
      <vt:lpstr>'Schedule 3A - 2025'!Print_Titles</vt:lpstr>
      <vt:lpstr>'Schedule 3A - 2026'!Print_Titles</vt:lpstr>
      <vt:lpstr>'Schedule 3A - 2027'!Print_Titles</vt:lpstr>
      <vt:lpstr>'Schedule 3B - 2025'!Print_Titles</vt:lpstr>
      <vt:lpstr>'Schedule 3B - 2026'!Print_Titles</vt:lpstr>
      <vt:lpstr>'Schedule 3B - 2027'!Print_Titles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2025-04-17T15:21:48Z</dcterms:created>
  <dcterms:modified xsi:type="dcterms:W3CDTF">2025-04-17T15:27:20Z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0x0101002F5B613C9505E64298006A558FB3F52A</vt:lpwstr>
  </property>
</Properties>
</file>