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updateLinks="never" codeName="ThisWorkbook" defaultThemeVersion="124226"/>
  <xr:revisionPtr revIDLastSave="635" documentId="8_{CD6C04B2-4431-4E07-827E-744BC3D07D33}" xr6:coauthVersionLast="47" xr6:coauthVersionMax="47" xr10:uidLastSave="{3CD1FD10-6EA0-44E4-87B5-13B63DFC2A6B}"/>
  <bookViews>
    <workbookView xWindow="19090" yWindow="-230" windowWidth="19420" windowHeight="10420" tabRatio="728" activeTab="1" xr2:uid="{00000000-000D-0000-FFFF-FFFF00000000}"/>
  </bookViews>
  <sheets>
    <sheet name="Index" sheetId="31" r:id="rId1"/>
    <sheet name="Schedule 1" sheetId="14" r:id="rId2"/>
    <sheet name="Schedule 2" sheetId="11" r:id="rId3"/>
    <sheet name="Schedule 2A" sheetId="12" r:id="rId4"/>
    <sheet name="Schedule 3" sheetId="13" r:id="rId5"/>
    <sheet name="Schedule 3A - 2025" sheetId="42" r:id="rId6"/>
    <sheet name="Schedule 3A - 2026" sheetId="51" r:id="rId7"/>
    <sheet name="Schedule 3A - 2027" sheetId="52" r:id="rId8"/>
    <sheet name="Schedule 3B - 2025" sheetId="50" r:id="rId9"/>
    <sheet name="Schedule 3B - 2026" sheetId="53" r:id="rId10"/>
    <sheet name="Schedule 3B - 2027" sheetId="54" r:id="rId11"/>
    <sheet name="Schedule 3C" sheetId="55" r:id="rId12"/>
    <sheet name="Schedule 4" sheetId="29" r:id="rId13"/>
    <sheet name="Schedule 5" sheetId="18" r:id="rId14"/>
    <sheet name="Schedule 6" sheetId="19" r:id="rId15"/>
    <sheet name="Schedule 7" sheetId="20" r:id="rId16"/>
    <sheet name="Schedule 8" sheetId="23" r:id="rId17"/>
    <sheet name="Schedule 9" sheetId="25" r:id="rId18"/>
    <sheet name="Schedule 10" sheetId="27" r:id="rId19"/>
    <sheet name="Schedule 10A" sheetId="38" r:id="rId20"/>
    <sheet name="Schedule 11" sheetId="36" r:id="rId21"/>
  </sheets>
  <definedNames>
    <definedName name="\A">#REF!</definedName>
    <definedName name="\B">#REF!</definedName>
    <definedName name="\c" localSheetId="11">#N/A</definedName>
    <definedName name="\c">#N/A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Z">#REF!</definedName>
    <definedName name="___AIF1">#N/A</definedName>
    <definedName name="___AIF2">#N/A</definedName>
    <definedName name="___CTS1">#N/A</definedName>
    <definedName name="___CTS2">#N/A</definedName>
    <definedName name="___CTS4">#N/A</definedName>
    <definedName name="___CTS5">#N/A</definedName>
    <definedName name="___CTS6">#N/A</definedName>
    <definedName name="___ECO1">#N/A</definedName>
    <definedName name="___ECO2">#N/A</definedName>
    <definedName name="___ECO3">#N/A</definedName>
    <definedName name="___ECO4">#N/A</definedName>
    <definedName name="___ECO5">#N/A</definedName>
    <definedName name="___ECO6">#N/A</definedName>
    <definedName name="___FIN1">#N/A</definedName>
    <definedName name="___FIN2">#N/A</definedName>
    <definedName name="___FIN4">#N/A</definedName>
    <definedName name="___FIN5">#N/A</definedName>
    <definedName name="___FIN6">#N/A</definedName>
    <definedName name="___FOT1">#N/A</definedName>
    <definedName name="___FOT2">#N/A</definedName>
    <definedName name="___GIL1">#N/A</definedName>
    <definedName name="___GIL2">#N/A</definedName>
    <definedName name="___HHR1">#N/A</definedName>
    <definedName name="___HHR2">#N/A</definedName>
    <definedName name="___HHR4">#N/A</definedName>
    <definedName name="___HHR5">#N/A</definedName>
    <definedName name="___HHR6">#N/A</definedName>
    <definedName name="___HTL1">#N/A</definedName>
    <definedName name="___HTL2">#N/A</definedName>
    <definedName name="___INDEX_SHEET___ASAP_Utilities" localSheetId="8">#REF!</definedName>
    <definedName name="___INDEX_SHEET___ASAP_Utilities" localSheetId="9">#REF!</definedName>
    <definedName name="___INDEX_SHEET___ASAP_Utilities" localSheetId="10">#REF!</definedName>
    <definedName name="___INDEX_SHEET___ASAP_Utilities">#REF!</definedName>
    <definedName name="___IPT1">#N/A</definedName>
    <definedName name="___IPT2">#N/A</definedName>
    <definedName name="___JUS1">#N/A</definedName>
    <definedName name="___JUS2">#N/A</definedName>
    <definedName name="___JUS4">#N/A</definedName>
    <definedName name="___JUS5">#N/A</definedName>
    <definedName name="___JUS6">#N/A</definedName>
    <definedName name="___PSC1">#N/A</definedName>
    <definedName name="___PSC2">#N/A</definedName>
    <definedName name="___PSC4">#N/A</definedName>
    <definedName name="___PSC5">#N/A</definedName>
    <definedName name="___PSC6">#N/A</definedName>
    <definedName name="___PYA1">#N/A</definedName>
    <definedName name="___PYA2">#N/A</definedName>
    <definedName name="___RD1">#N/A</definedName>
    <definedName name="___RD2">#N/A</definedName>
    <definedName name="___REV1">#REF!</definedName>
    <definedName name="___REV2">#REF!</definedName>
    <definedName name="___RR4">#N/A</definedName>
    <definedName name="___RR5">#N/A</definedName>
    <definedName name="___RR6">#N/A</definedName>
    <definedName name="___SPT1">#N/A</definedName>
    <definedName name="___SPT2">#N/A</definedName>
    <definedName name="___ST1">#N/A</definedName>
    <definedName name="___ST2">#N/A</definedName>
    <definedName name="___TAB1">#N/A</definedName>
    <definedName name="___TAB2">#N/A</definedName>
    <definedName name="___TIP1">#N/A</definedName>
    <definedName name="___TIP2">#N/A</definedName>
    <definedName name="___WD2">#N/A</definedName>
    <definedName name="___WD4">#N/A</definedName>
    <definedName name="___WD5">#N/A</definedName>
    <definedName name="___WD6">#N/A</definedName>
    <definedName name="__AIF1">#N/A</definedName>
    <definedName name="__AIF2">#N/A</definedName>
    <definedName name="__CTS1">#N/A</definedName>
    <definedName name="__CTS2">#N/A</definedName>
    <definedName name="__CTS4">#N/A</definedName>
    <definedName name="__CTS5">#N/A</definedName>
    <definedName name="__CTS6">#N/A</definedName>
    <definedName name="__ECO1">#N/A</definedName>
    <definedName name="__ECO2">#N/A</definedName>
    <definedName name="__ECO3">#N/A</definedName>
    <definedName name="__ECO4">#N/A</definedName>
    <definedName name="__ECO5">#N/A</definedName>
    <definedName name="__ECO6">#N/A</definedName>
    <definedName name="__FIN1">#N/A</definedName>
    <definedName name="__FIN2">#N/A</definedName>
    <definedName name="__FIN4">#N/A</definedName>
    <definedName name="__FIN5">#N/A</definedName>
    <definedName name="__FIN6">#N/A</definedName>
    <definedName name="__FOT1">#N/A</definedName>
    <definedName name="__FOT2">#N/A</definedName>
    <definedName name="__GIL1">#N/A</definedName>
    <definedName name="__GIL2">#N/A</definedName>
    <definedName name="__HHR1">#N/A</definedName>
    <definedName name="__HHR2">#N/A</definedName>
    <definedName name="__HHR4">#N/A</definedName>
    <definedName name="__HHR5">#N/A</definedName>
    <definedName name="__HHR6">#N/A</definedName>
    <definedName name="__HTL1">#N/A</definedName>
    <definedName name="__HTL2">#N/A</definedName>
    <definedName name="__IPT1">#N/A</definedName>
    <definedName name="__IPT2">#N/A</definedName>
    <definedName name="__JUS1">#N/A</definedName>
    <definedName name="__JUS2">#N/A</definedName>
    <definedName name="__JUS4">#N/A</definedName>
    <definedName name="__JUS5">#N/A</definedName>
    <definedName name="__JUS6">#N/A</definedName>
    <definedName name="__PSC1">#N/A</definedName>
    <definedName name="__PSC2">#N/A</definedName>
    <definedName name="__PSC4">#N/A</definedName>
    <definedName name="__PSC5">#N/A</definedName>
    <definedName name="__PSC6">#N/A</definedName>
    <definedName name="__PYA1">#N/A</definedName>
    <definedName name="__PYA2">#N/A</definedName>
    <definedName name="__RD1">#N/A</definedName>
    <definedName name="__RD2">#N/A</definedName>
    <definedName name="__REV1">#REF!</definedName>
    <definedName name="__REV2">#REF!</definedName>
    <definedName name="__RR4">#N/A</definedName>
    <definedName name="__RR5">#N/A</definedName>
    <definedName name="__RR6">#N/A</definedName>
    <definedName name="__SPT1">#N/A</definedName>
    <definedName name="__SPT2">#N/A</definedName>
    <definedName name="__ST1">#N/A</definedName>
    <definedName name="__ST2">#N/A</definedName>
    <definedName name="__TAB1">#N/A</definedName>
    <definedName name="__TAB2">#N/A</definedName>
    <definedName name="__TIP1">#N/A</definedName>
    <definedName name="__TIP2">#N/A</definedName>
    <definedName name="__WD2">#N/A</definedName>
    <definedName name="__WD4">#N/A</definedName>
    <definedName name="__WD5">#N/A</definedName>
    <definedName name="__WD6">#N/A</definedName>
    <definedName name="_AIF1">#N/A</definedName>
    <definedName name="_AIF2">#N/A</definedName>
    <definedName name="_CTS1">#N/A</definedName>
    <definedName name="_CTS2">#N/A</definedName>
    <definedName name="_CTS4">#N/A</definedName>
    <definedName name="_CTS5">#N/A</definedName>
    <definedName name="_CTS6">#N/A</definedName>
    <definedName name="_ECO1">#N/A</definedName>
    <definedName name="_ECO2">#N/A</definedName>
    <definedName name="_ECO3">#N/A</definedName>
    <definedName name="_ECO4">#N/A</definedName>
    <definedName name="_ECO5">#N/A</definedName>
    <definedName name="_ECO6">#N/A</definedName>
    <definedName name="_F_">#REF!</definedName>
    <definedName name="_FIN1">#N/A</definedName>
    <definedName name="_FIN2">#N/A</definedName>
    <definedName name="_FIN4">#N/A</definedName>
    <definedName name="_FIN5">#N/A</definedName>
    <definedName name="_FIN6">#N/A</definedName>
    <definedName name="_FOT1">#N/A</definedName>
    <definedName name="_FOT2">#N/A</definedName>
    <definedName name="_GIL1">#N/A</definedName>
    <definedName name="_GIL2">#N/A</definedName>
    <definedName name="_H_">#REF!</definedName>
    <definedName name="_HHR1">#N/A</definedName>
    <definedName name="_HHR2">#N/A</definedName>
    <definedName name="_HHR4">#N/A</definedName>
    <definedName name="_HHR5">#N/A</definedName>
    <definedName name="_HHR6">#N/A</definedName>
    <definedName name="_HTL1">#N/A</definedName>
    <definedName name="_HTL2">#N/A</definedName>
    <definedName name="_IPT1">#N/A</definedName>
    <definedName name="_IPT2">#N/A</definedName>
    <definedName name="_JUS1">#N/A</definedName>
    <definedName name="_JUS2">#N/A</definedName>
    <definedName name="_JUS4">#N/A</definedName>
    <definedName name="_JUS5">#N/A</definedName>
    <definedName name="_JUS6">#N/A</definedName>
    <definedName name="_Key1" hidden="1">#REF!</definedName>
    <definedName name="_L_">#REF!</definedName>
    <definedName name="_O_">#REF!</definedName>
    <definedName name="_Order1" hidden="1">255</definedName>
    <definedName name="_P_">#REF!</definedName>
    <definedName name="_PSC1">#N/A</definedName>
    <definedName name="_PSC2">#N/A</definedName>
    <definedName name="_PSC4">#N/A</definedName>
    <definedName name="_PSC5">#N/A</definedName>
    <definedName name="_PSC6">#N/A</definedName>
    <definedName name="_PYA1">#N/A</definedName>
    <definedName name="_PYA2">#N/A</definedName>
    <definedName name="_RD1">#N/A</definedName>
    <definedName name="_RD2">#N/A</definedName>
    <definedName name="_REV1">#REF!</definedName>
    <definedName name="_REV2">#REF!</definedName>
    <definedName name="_RM_">#REF!</definedName>
    <definedName name="_RR4">#N/A</definedName>
    <definedName name="_RR5">#N/A</definedName>
    <definedName name="_RR6">#N/A</definedName>
    <definedName name="_Sort" hidden="1">#REF!</definedName>
    <definedName name="_SPT1">#N/A</definedName>
    <definedName name="_SPT2">#N/A</definedName>
    <definedName name="_SS_">#REF!</definedName>
    <definedName name="_ST1">#N/A</definedName>
    <definedName name="_ST2">#N/A</definedName>
    <definedName name="_TAB1">#N/A</definedName>
    <definedName name="_TAB2">#N/A</definedName>
    <definedName name="_TIP1">#N/A</definedName>
    <definedName name="_TIP2">#N/A</definedName>
    <definedName name="_TL_">#REF!</definedName>
    <definedName name="_V_">#REF!</definedName>
    <definedName name="_WD2">#N/A</definedName>
    <definedName name="_WD4">#N/A</definedName>
    <definedName name="_WD5">#N/A</definedName>
    <definedName name="_WD6">#N/A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>#REF!</definedName>
    <definedName name="aaaa">#REF!</definedName>
    <definedName name="aaaaaa">#REF!</definedName>
    <definedName name="AFUDC" localSheetId="11">#REF!</definedName>
    <definedName name="AFUDC">#REF!</definedName>
    <definedName name="all">#REF!</definedName>
    <definedName name="ALLOT">#N/A</definedName>
    <definedName name="ALTA">#N/A</definedName>
    <definedName name="ALTB">#N/A</definedName>
    <definedName name="ALTC">#N/A</definedName>
    <definedName name="ALTD">#N/A</definedName>
    <definedName name="ALTE1">#N/A</definedName>
    <definedName name="ALTE2">#N/A</definedName>
    <definedName name="AMMORTIZATION">#N/A</definedName>
    <definedName name="aprmax">#REF!</definedName>
    <definedName name="asd" localSheetId="8">#REF!</definedName>
    <definedName name="asd" localSheetId="9">#REF!</definedName>
    <definedName name="asd" localSheetId="10">#REF!</definedName>
    <definedName name="asd">#REF!</definedName>
    <definedName name="augmax">#REF!</definedName>
    <definedName name="Ba">#REF!</definedName>
    <definedName name="BEAVER_">#REF!</definedName>
    <definedName name="BEAVERKWHR">#REF!</definedName>
    <definedName name="BEAVERLITRES">#REF!</definedName>
    <definedName name="BP_Query_for_Planning" localSheetId="8">#REF!</definedName>
    <definedName name="BP_Query_for_Planning" localSheetId="9">#REF!</definedName>
    <definedName name="BP_Query_for_Planning" localSheetId="10">#REF!</definedName>
    <definedName name="BP_Query_for_Planning">#REF!</definedName>
    <definedName name="BP_with_Future_Year" localSheetId="8">#REF!</definedName>
    <definedName name="BP_with_Future_Year" localSheetId="9">#REF!</definedName>
    <definedName name="BP_with_Future_Year" localSheetId="10">#REF!</definedName>
    <definedName name="BP_with_Future_Year">#REF!</definedName>
    <definedName name="BP_YEC" localSheetId="8">#REF!</definedName>
    <definedName name="BP_YEC" localSheetId="9">#REF!</definedName>
    <definedName name="BP_YEC" localSheetId="10">#REF!</definedName>
    <definedName name="BP_YEC">#REF!</definedName>
    <definedName name="C_">#REF!</definedName>
    <definedName name="Call_Centre_cost">#REF!</definedName>
    <definedName name="Call_Centre_num">#REF!</definedName>
    <definedName name="CAPEXP">#N/A</definedName>
    <definedName name="CAPEXPEND">#N/A</definedName>
    <definedName name="CAPIN">#N/A</definedName>
    <definedName name="CAPITAL">#N/A</definedName>
    <definedName name="CAPITALE">#N/A</definedName>
    <definedName name="CAPITALF">#N/A</definedName>
    <definedName name="CAPOLD">#N/A</definedName>
    <definedName name="CAPOLDC">#N/A</definedName>
    <definedName name="CAPOLDR">#N/A</definedName>
    <definedName name="CAPPER1">#N/A</definedName>
    <definedName name="CAPPERSONS">#N/A</definedName>
    <definedName name="CAPPY">#N/A</definedName>
    <definedName name="CAPPYBREAK">#N/A</definedName>
    <definedName name="CAPREC">#N/A</definedName>
    <definedName name="CAPREC1">#N/A</definedName>
    <definedName name="CAPREC2">#N/A</definedName>
    <definedName name="CAPRECE">#N/A</definedName>
    <definedName name="CAPRECF">#N/A</definedName>
    <definedName name="CAPRECOV">#N/A</definedName>
    <definedName name="CAPRECOVER">#N/A</definedName>
    <definedName name="CAPSPENDING">#N/A</definedName>
    <definedName name="CAPTERMPY">#N/A</definedName>
    <definedName name="CAPTRANSFER">#N/A</definedName>
    <definedName name="CARMACKS_">#REF!</definedName>
    <definedName name="CARMACKSKWHR">#REF!</definedName>
    <definedName name="CASH1" localSheetId="8">#REF!</definedName>
    <definedName name="CASH1" localSheetId="9">#REF!</definedName>
    <definedName name="CASH1" localSheetId="10">#REF!</definedName>
    <definedName name="CASH1">#REF!</definedName>
    <definedName name="CASH2" localSheetId="8">#REF!</definedName>
    <definedName name="CASH2" localSheetId="9">#REF!</definedName>
    <definedName name="CASH2" localSheetId="10">#REF!</definedName>
    <definedName name="CASH2">#REF!</definedName>
    <definedName name="CHOICE">#N/A</definedName>
    <definedName name="CLOAN">#N/A</definedName>
    <definedName name="Community">#REF!</definedName>
    <definedName name="COPY1">#N/A</definedName>
    <definedName name="COPY2">#N/A</definedName>
    <definedName name="COTHER">#N/A</definedName>
    <definedName name="CREC1">#N/A</definedName>
    <definedName name="CREC2">#N/A</definedName>
    <definedName name="CTRANSFER">#N/A</definedName>
    <definedName name="CTS2F">#N/A</definedName>
    <definedName name="CTS3O">#N/A</definedName>
    <definedName name="CTS3P">#N/A</definedName>
    <definedName name="CTS3T">#N/A</definedName>
    <definedName name="CTS5I">#N/A</definedName>
    <definedName name="CTS5T">#N/A</definedName>
    <definedName name="CTSCAPFIN">#N/A</definedName>
    <definedName name="CTSCAPIN">#N/A</definedName>
    <definedName name="CTSIND">#N/A</definedName>
    <definedName name="CTSOLDOM">#N/A</definedName>
    <definedName name="CTSOLDOMR">#N/A</definedName>
    <definedName name="CTSPE">#N/A</definedName>
    <definedName name="CTSPF">#N/A</definedName>
    <definedName name="CTSREV1">#N/A</definedName>
    <definedName name="CTSREV2">#N/A</definedName>
    <definedName name="CTSTERM">#N/A</definedName>
    <definedName name="_xlnm.Database">#REF!</definedName>
    <definedName name="decmax">#REF!</definedName>
    <definedName name="DEST_">#REF!</definedName>
    <definedName name="DESTKWHR">#REF!</definedName>
    <definedName name="DESTLITRES">#REF!</definedName>
    <definedName name="DONE">#N/A</definedName>
    <definedName name="ECO2F">#N/A</definedName>
    <definedName name="ECO3O">#N/A</definedName>
    <definedName name="ECO3P">#N/A</definedName>
    <definedName name="ECO3T">#N/A</definedName>
    <definedName name="ECO5I">#N/A</definedName>
    <definedName name="ECO5T">#N/A</definedName>
    <definedName name="ECON1">#N/A</definedName>
    <definedName name="ECON3O">#N/A</definedName>
    <definedName name="ECON3P">#N/A</definedName>
    <definedName name="ECON3T">#N/A</definedName>
    <definedName name="ECON4">#N/A</definedName>
    <definedName name="ECON5">#N/A</definedName>
    <definedName name="ECON5I">#N/A</definedName>
    <definedName name="ECON5T">#N/A</definedName>
    <definedName name="ECON6">#N/A</definedName>
    <definedName name="ECONCAPFIN">#N/A</definedName>
    <definedName name="ECONCAPIN">#N/A</definedName>
    <definedName name="ECONFR">#N/A</definedName>
    <definedName name="ECONIND">#N/A</definedName>
    <definedName name="ECONOLDCR">#N/A</definedName>
    <definedName name="ECONOLDOM">#N/A</definedName>
    <definedName name="ECONPE">#N/A</definedName>
    <definedName name="ECONPF">#N/A</definedName>
    <definedName name="ECONR">#N/A</definedName>
    <definedName name="ECONTERM">#N/A</definedName>
    <definedName name="ECOOLDOM">#N/A</definedName>
    <definedName name="ECOOLDOMR">#N/A</definedName>
    <definedName name="EDUC1">#N/A</definedName>
    <definedName name="EDUC2">#N/A</definedName>
    <definedName name="EDUC2F">#N/A</definedName>
    <definedName name="EDUC3O">#N/A</definedName>
    <definedName name="EDUC3P">#N/A</definedName>
    <definedName name="EDUC3T">#N/A</definedName>
    <definedName name="EDUC4">#N/A</definedName>
    <definedName name="EDUC5">#N/A</definedName>
    <definedName name="EDUC5I">#N/A</definedName>
    <definedName name="EDUC5T">#N/A</definedName>
    <definedName name="EDUC6">#N/A</definedName>
    <definedName name="EDUCIND">#N/A</definedName>
    <definedName name="EDUCOLDOM">#N/A</definedName>
    <definedName name="EDUCOLDOMR">#N/A</definedName>
    <definedName name="EDUCPE">#N/A</definedName>
    <definedName name="EDUCPF">#N/A</definedName>
    <definedName name="EDUCTERM">#N/A</definedName>
    <definedName name="ENTIRE">#N/A</definedName>
    <definedName name="EQ1_">#N/A</definedName>
    <definedName name="EQ2_">#N/A</definedName>
    <definedName name="EQPT1">#N/A</definedName>
    <definedName name="EQPT2">#N/A</definedName>
    <definedName name="Estimated_Voice___South">#REF!</definedName>
    <definedName name="febmax">#REF!</definedName>
    <definedName name="ff">#REF!</definedName>
    <definedName name="FIN2F">#N/A</definedName>
    <definedName name="FIN3O">#N/A</definedName>
    <definedName name="FIN3P">#N/A</definedName>
    <definedName name="FIN3T">#N/A</definedName>
    <definedName name="FIN5I">#N/A</definedName>
    <definedName name="FIN5T">#N/A</definedName>
    <definedName name="FINES1">#N/A</definedName>
    <definedName name="FINES2">#N/A</definedName>
    <definedName name="FINOLDOM">#N/A</definedName>
    <definedName name="FINOLDOMR">#N/A</definedName>
    <definedName name="FINSUMMARY">#N/A</definedName>
    <definedName name="FTN_CALCULATION_AND_PMT_AMOUNTS" localSheetId="8">#REF!</definedName>
    <definedName name="FTN_CALCULATION_AND_PMT_AMOUNTS" localSheetId="9">#REF!</definedName>
    <definedName name="FTN_CALCULATION_AND_PMT_AMOUNTS" localSheetId="10">#REF!</definedName>
    <definedName name="FTN_CALCULATION_AND_PMT_AMOUNTS">#REF!</definedName>
    <definedName name="FTN_SALES_ANALYSIS" localSheetId="8">#REF!</definedName>
    <definedName name="FTN_SALES_ANALYSIS" localSheetId="9">#REF!</definedName>
    <definedName name="FTN_SALES_ANALYSIS" localSheetId="10">#REF!</definedName>
    <definedName name="FTN_SALES_ANALYSIS">#REF!</definedName>
    <definedName name="ftnpaymentamounts" localSheetId="8">#REF!</definedName>
    <definedName name="ftnpaymentamounts" localSheetId="9">#REF!</definedName>
    <definedName name="ftnpaymentamounts" localSheetId="10">#REF!</definedName>
    <definedName name="ftnpaymentamounts">#REF!</definedName>
    <definedName name="FTNSales_for_year" localSheetId="8">#REF!</definedName>
    <definedName name="FTNSales_for_year" localSheetId="9">#REF!</definedName>
    <definedName name="FTNSales_for_year" localSheetId="10">#REF!</definedName>
    <definedName name="FTNSales_for_year">#REF!</definedName>
    <definedName name="GOVT1">#N/A</definedName>
    <definedName name="GOVT2">#N/A</definedName>
    <definedName name="GOVT2F">#N/A</definedName>
    <definedName name="GOVT3O">#N/A</definedName>
    <definedName name="GOVT3P">#N/A</definedName>
    <definedName name="GOVT3T">#N/A</definedName>
    <definedName name="GOVT4">#N/A</definedName>
    <definedName name="GOVT5I">#N/A</definedName>
    <definedName name="GOVT5T">#N/A</definedName>
    <definedName name="GOVT6">#N/A</definedName>
    <definedName name="GOVTIND">#N/A</definedName>
    <definedName name="GOVTOLDOM">#N/A</definedName>
    <definedName name="GOVTOLDOMR">#N/A</definedName>
    <definedName name="GOVTPE">#N/A</definedName>
    <definedName name="GOVTPF">#N/A</definedName>
    <definedName name="GOVTTERM">#N/A</definedName>
    <definedName name="GSCAPFIN">#N/A</definedName>
    <definedName name="GSCAPIN">#N/A</definedName>
    <definedName name="HAINES_">#REF!</definedName>
    <definedName name="HAINESKWHR">#REF!</definedName>
    <definedName name="hcredit">#REF!</definedName>
    <definedName name="hh">#REF!</definedName>
    <definedName name="HHR2F">#N/A</definedName>
    <definedName name="HHR3O">#N/A</definedName>
    <definedName name="HHR3P">#N/A</definedName>
    <definedName name="HHR3T">#N/A</definedName>
    <definedName name="HHR5I">#N/A</definedName>
    <definedName name="HHR5T">#N/A</definedName>
    <definedName name="HHRFR">#N/A</definedName>
    <definedName name="HHRIND">#N/A</definedName>
    <definedName name="HHROLDCR">#N/A</definedName>
    <definedName name="HHROLDOM">#N/A</definedName>
    <definedName name="HHROLDOMR">#N/A</definedName>
    <definedName name="HHRPE">#N/A</definedName>
    <definedName name="HHRPF">#N/A</definedName>
    <definedName name="HHRR">#N/A</definedName>
    <definedName name="HHRTERM">#N/A</definedName>
    <definedName name="HPSET">#REF!</definedName>
    <definedName name="hpset1">#REF!</definedName>
    <definedName name="HPSETMACRO">#REF!</definedName>
    <definedName name="hpsetmacro2">#REF!</definedName>
    <definedName name="INDET">#N/A</definedName>
    <definedName name="index">#REF!</definedName>
    <definedName name="INDPY1">#N/A</definedName>
    <definedName name="INDPY2">#N/A</definedName>
    <definedName name="INDTERMPY">#N/A</definedName>
    <definedName name="input">#REF!</definedName>
    <definedName name="Insurance" localSheetId="8">#REF!</definedName>
    <definedName name="Insurance" localSheetId="9">#REF!</definedName>
    <definedName name="Insurance" localSheetId="10">#REF!</definedName>
    <definedName name="Insurance">#REF!</definedName>
    <definedName name="INTAX1">#N/A</definedName>
    <definedName name="INTAX2">#N/A</definedName>
    <definedName name="INVEST1">#N/A</definedName>
    <definedName name="INVEST2">#N/A</definedName>
    <definedName name="janmax">#REF!</definedName>
    <definedName name="jj">#REF!</definedName>
    <definedName name="julmax">#REF!</definedName>
    <definedName name="junmax">#REF!</definedName>
    <definedName name="JUS2F">#N/A</definedName>
    <definedName name="JUS3O">#N/A</definedName>
    <definedName name="JUS3P">#N/A</definedName>
    <definedName name="JUS3T">#N/A</definedName>
    <definedName name="JUS5I">#N/A</definedName>
    <definedName name="JUS5T">#N/A</definedName>
    <definedName name="JUSOLDOM">#N/A</definedName>
    <definedName name="JUSOLDOMR">#N/A</definedName>
    <definedName name="KAPITALPY">#N/A</definedName>
    <definedName name="KENO_">#REF!</definedName>
    <definedName name="KENOKWHR">#REF!</definedName>
    <definedName name="kk">#REF!</definedName>
    <definedName name="Laptops_cost">#REF!</definedName>
    <definedName name="Laptops_num">#REF!</definedName>
    <definedName name="LESS__Hardware___Voice_Costs_to_be_capitalized">#REF!</definedName>
    <definedName name="LFRP1">#N/A</definedName>
    <definedName name="LFRP2">#N/A</definedName>
    <definedName name="LIQTAX1">#N/A</definedName>
    <definedName name="LIQTAX2">#N/A</definedName>
    <definedName name="LIQUOR1">#N/A</definedName>
    <definedName name="LIQUOR2">#N/A</definedName>
    <definedName name="LNG_CARRIER">#REF!</definedName>
    <definedName name="LNG_SOURCE">#REF!</definedName>
    <definedName name="LOAN">#N/A</definedName>
    <definedName name="LOANCE1">#N/A</definedName>
    <definedName name="LOANCE2">#N/A</definedName>
    <definedName name="LOANCR1">#N/A</definedName>
    <definedName name="LOANCR2">#N/A</definedName>
    <definedName name="LOANIE1">#N/A</definedName>
    <definedName name="LOANIE2">#N/A</definedName>
    <definedName name="LOANIR1">#N/A</definedName>
    <definedName name="LOANIR2">#N/A</definedName>
    <definedName name="LOANP">#N/A</definedName>
    <definedName name="LOANPE1">#N/A</definedName>
    <definedName name="LOANPE2">#N/A</definedName>
    <definedName name="LOANPR1">#N/A</definedName>
    <definedName name="LOANPR2">#N/A</definedName>
    <definedName name="LOSSES">#REF!</definedName>
    <definedName name="MACRO">#N/A</definedName>
    <definedName name="marmax">#REF!</definedName>
    <definedName name="maxmar">#REF!</definedName>
    <definedName name="maymax">#REF!</definedName>
    <definedName name="MENU">#N/A</definedName>
    <definedName name="MENU2">#N/A</definedName>
    <definedName name="MISC">#N/A</definedName>
    <definedName name="MISC1">#N/A</definedName>
    <definedName name="MISC2">#N/A</definedName>
    <definedName name="no">#REF!</definedName>
    <definedName name="none">#REF!</definedName>
    <definedName name="novmax">#REF!</definedName>
    <definedName name="Number" localSheetId="8">#REF!</definedName>
    <definedName name="Number" localSheetId="9">#REF!</definedName>
    <definedName name="Number" localSheetId="10">#REF!</definedName>
    <definedName name="Number">#REF!</definedName>
    <definedName name="Number_of_staff">#REF!</definedName>
    <definedName name="NvsASD">"V1999-06-30"</definedName>
    <definedName name="NvsAutoDrillOk">"VN"</definedName>
    <definedName name="NvsElapsedTime">0.000781365735747386</definedName>
    <definedName name="NvsEndTime">36349.6769064815</definedName>
    <definedName name="NvsInstSpec">"%"</definedName>
    <definedName name="NvsLayoutType">"M3"</definedName>
    <definedName name="NvsPanelEffdt">"V1997-01-01"</definedName>
    <definedName name="NvsPanelSetid">"VYEC"</definedName>
    <definedName name="NvsReqBU">"VYEC"</definedName>
    <definedName name="NvsReqBUOnly">"VY"</definedName>
    <definedName name="NvsTransLed">"VN"</definedName>
    <definedName name="NvsTreeASD">"V1999-06-30"</definedName>
    <definedName name="octmax">#REF!</definedName>
    <definedName name="OLDC">#N/A</definedName>
    <definedName name="OLDCROW_">#REF!</definedName>
    <definedName name="OLDCROWKWHR">#REF!</definedName>
    <definedName name="OLDCROWKWR">#REF!</definedName>
    <definedName name="OLDCROWLITRES">#REF!</definedName>
    <definedName name="OLDOM">#N/A</definedName>
    <definedName name="OLDOMHSG">#N/A</definedName>
    <definedName name="OLDOMR">#N/A</definedName>
    <definedName name="OLDR">#N/A</definedName>
    <definedName name="OMALLOT">#N/A</definedName>
    <definedName name="OMALLOTMENT">#N/A</definedName>
    <definedName name="OMCOMPPY">#N/A</definedName>
    <definedName name="OMEXP">#N/A</definedName>
    <definedName name="OMEXPEND">#N/A</definedName>
    <definedName name="OMEXPENHSG">#N/A</definedName>
    <definedName name="OMEXPENSE">#N/A</definedName>
    <definedName name="OMINDPY1">#N/A</definedName>
    <definedName name="OMINDPY2">#N/A</definedName>
    <definedName name="OMPERSONS">#N/A</definedName>
    <definedName name="OMPY">#N/A</definedName>
    <definedName name="OMPYBREAK">#N/A</definedName>
    <definedName name="OMREC">#N/A</definedName>
    <definedName name="OMRECOVER">#N/A</definedName>
    <definedName name="OMRECOVERY">#N/A</definedName>
    <definedName name="OMSPENDING">#N/A</definedName>
    <definedName name="OMSPLITPY">#N/A</definedName>
    <definedName name="OMTERMPY">#N/A</definedName>
    <definedName name="OMTERMPY1">#N/A</definedName>
    <definedName name="OMTERMPY2">#N/A</definedName>
    <definedName name="OMTRANSFER">#N/A</definedName>
    <definedName name="optha">#REF!</definedName>
    <definedName name="opthd">#REF!</definedName>
    <definedName name="OREV">#N/A</definedName>
    <definedName name="Other" localSheetId="8">#REF!</definedName>
    <definedName name="Other" localSheetId="9">#REF!</definedName>
    <definedName name="Other" localSheetId="10">#REF!</definedName>
    <definedName name="Other">#REF!</definedName>
    <definedName name="pafe2">#REF!</definedName>
    <definedName name="page1">#REF!</definedName>
    <definedName name="page2" localSheetId="8">#REF!</definedName>
    <definedName name="page2" localSheetId="9">#REF!</definedName>
    <definedName name="page2" localSheetId="10">#REF!</definedName>
    <definedName name="page2">#REF!</definedName>
    <definedName name="page3" localSheetId="8">#REF!</definedName>
    <definedName name="page3" localSheetId="9">#REF!</definedName>
    <definedName name="page3" localSheetId="10">#REF!</definedName>
    <definedName name="page3">#REF!</definedName>
    <definedName name="PAGE6" localSheetId="8">#REF!</definedName>
    <definedName name="PAGE6" localSheetId="9">#REF!</definedName>
    <definedName name="PAGE6" localSheetId="10">#REF!</definedName>
    <definedName name="PAGE6">#REF!</definedName>
    <definedName name="page6_7" localSheetId="8">#REF!,#REF!</definedName>
    <definedName name="page6_7" localSheetId="9">#REF!,#REF!</definedName>
    <definedName name="page6_7" localSheetId="10">#REF!,#REF!</definedName>
    <definedName name="page6_7">#REF!,#REF!</definedName>
    <definedName name="PAGE7" localSheetId="8">#REF!</definedName>
    <definedName name="PAGE7" localSheetId="9">#REF!</definedName>
    <definedName name="PAGE7" localSheetId="10">#REF!</definedName>
    <definedName name="PAGE7">#REF!</definedName>
    <definedName name="PAGE9" localSheetId="8">#REF!</definedName>
    <definedName name="PAGE9" localSheetId="9">#REF!</definedName>
    <definedName name="PAGE9" localSheetId="10">#REF!</definedName>
    <definedName name="PAGE9">#REF!</definedName>
    <definedName name="part1">#REF!</definedName>
    <definedName name="part2">#REF!</definedName>
    <definedName name="PCs_cost">#REF!</definedName>
    <definedName name="PCs_num">#REF!</definedName>
    <definedName name="PELLY_">#REF!</definedName>
    <definedName name="PELLYKWHR">#REF!</definedName>
    <definedName name="PELLYLITRES">#REF!</definedName>
    <definedName name="PERSON">#N/A</definedName>
    <definedName name="PHOT1">#N/A</definedName>
    <definedName name="PHOT2">#N/A</definedName>
    <definedName name="PRINT">#N/A</definedName>
    <definedName name="_xlnm.Print_Area" localSheetId="0">Index!$B$1:$J$36</definedName>
    <definedName name="_xlnm.Print_Area" localSheetId="1">'Schedule 1'!$A$1:$M$51</definedName>
    <definedName name="_xlnm.Print_Area" localSheetId="18">'Schedule 10'!$A$1:$M$36</definedName>
    <definedName name="_xlnm.Print_Area" localSheetId="19">'Schedule 10A'!$A$1:$M$23</definedName>
    <definedName name="_xlnm.Print_Area" localSheetId="20">'Schedule 11'!$A$1:$M$65</definedName>
    <definedName name="_xlnm.Print_Area" localSheetId="2">'Schedule 2'!$A$1:$M$22</definedName>
    <definedName name="_xlnm.Print_Area" localSheetId="3">'Schedule 2A'!$A$1:$M$30</definedName>
    <definedName name="_xlnm.Print_Area" localSheetId="4">'Schedule 3'!$A$1:$M$117</definedName>
    <definedName name="_xlnm.Print_Area" localSheetId="5">'Schedule 3A - 2025'!$A$1:$H$151</definedName>
    <definedName name="_xlnm.Print_Area" localSheetId="6">'Schedule 3A - 2026'!$A$1:$H$151</definedName>
    <definedName name="_xlnm.Print_Area" localSheetId="7">'Schedule 3A - 2027'!$A$1:$H$151</definedName>
    <definedName name="_xlnm.Print_Area" localSheetId="8">'Schedule 3B - 2025'!$A$1:$K$119</definedName>
    <definedName name="_xlnm.Print_Area" localSheetId="9">'Schedule 3B - 2026'!$A$1:$K$111</definedName>
    <definedName name="_xlnm.Print_Area" localSheetId="10">'Schedule 3B - 2027'!$A$1:$K$104</definedName>
    <definedName name="_xlnm.Print_Area" localSheetId="11">'Schedule 3C'!$A$1:$H$58</definedName>
    <definedName name="_xlnm.Print_Area" localSheetId="12">'Schedule 4'!$A$1:$R$60</definedName>
    <definedName name="_xlnm.Print_Area" localSheetId="13">'Schedule 5'!$A$1:$M$29</definedName>
    <definedName name="_xlnm.Print_Area" localSheetId="14">'Schedule 6'!$A$1:$M$35</definedName>
    <definedName name="_xlnm.Print_Area" localSheetId="15">'Schedule 7'!$A$1:$M$30</definedName>
    <definedName name="_xlnm.Print_Area" localSheetId="16">'Schedule 8'!$A$1:$M$24</definedName>
    <definedName name="_xlnm.Print_Area" localSheetId="17">'Schedule 9'!$A$1:$K$63</definedName>
    <definedName name="Print_Area_MI">#REF!</definedName>
    <definedName name="_xlnm.Print_Titles" localSheetId="1">'Schedule 1'!$1:$7</definedName>
    <definedName name="_xlnm.Print_Titles" localSheetId="4">'Schedule 3'!$7:$8</definedName>
    <definedName name="_xlnm.Print_Titles" localSheetId="5">'Schedule 3A - 2025'!$1:$6</definedName>
    <definedName name="_xlnm.Print_Titles" localSheetId="6">'Schedule 3A - 2026'!$1:$6</definedName>
    <definedName name="_xlnm.Print_Titles" localSheetId="7">'Schedule 3A - 2027'!$1:$6</definedName>
    <definedName name="_xlnm.Print_Titles" localSheetId="8">'Schedule 3B - 2025'!$1:$7</definedName>
    <definedName name="_xlnm.Print_Titles" localSheetId="9">'Schedule 3B - 2026'!$1:$7</definedName>
    <definedName name="_xlnm.Print_Titles" localSheetId="10">'Schedule 3B - 2027'!$1:$7</definedName>
    <definedName name="_xlnm.Print_Titles" localSheetId="11">'Schedule 3C'!$1:$6</definedName>
    <definedName name="PRINTALLOT">#N/A</definedName>
    <definedName name="PRINTCAPPY1">#N/A</definedName>
    <definedName name="PRINTCAPPY2">#N/A</definedName>
    <definedName name="Printer___High_cost">#REF!</definedName>
    <definedName name="Printer___High_num">#REF!</definedName>
    <definedName name="Printer___Low_cost">#REF!</definedName>
    <definedName name="Printer___Low_num">#REF!</definedName>
    <definedName name="Printer___Standard_cost">#REF!</definedName>
    <definedName name="Printer___Standard_num">#REF!</definedName>
    <definedName name="PRINTFINANCIAL">#N/A</definedName>
    <definedName name="PRINTO_M">#N/A</definedName>
    <definedName name="PRINTO_MPY1">#N/A</definedName>
    <definedName name="PRINTO_MPY2">#N/A</definedName>
    <definedName name="PRINTREVENUE">#N/A</definedName>
    <definedName name="PRINTSUMPY">#N/A</definedName>
    <definedName name="PRINTTOTAL">#N/A</definedName>
    <definedName name="Proj55156">#REF!</definedName>
    <definedName name="Proj55156.">#REF!</definedName>
    <definedName name="PSC2F">#N/A</definedName>
    <definedName name="PSC3O">#N/A</definedName>
    <definedName name="PSC3P">#N/A</definedName>
    <definedName name="PSC3T">#N/A</definedName>
    <definedName name="PSC5I">#N/A</definedName>
    <definedName name="PSC5T">#N/A</definedName>
    <definedName name="PSCOLDOM">#N/A</definedName>
    <definedName name="PSCOLDOMR">#N/A</definedName>
    <definedName name="PUTT1">#N/A</definedName>
    <definedName name="PUTT2">#N/A</definedName>
    <definedName name="PYTOTALS">#N/A</definedName>
    <definedName name="Rate_Table">#REF!</definedName>
    <definedName name="REV">#N/A</definedName>
    <definedName name="REVENUE">#N/A</definedName>
    <definedName name="REVENUES">#N/A</definedName>
    <definedName name="ridera2">#REF!</definedName>
    <definedName name="RiderJForecast" localSheetId="8">#REF!</definedName>
    <definedName name="RiderJForecast" localSheetId="9">#REF!</definedName>
    <definedName name="RiderJForecast" localSheetId="10">#REF!</definedName>
    <definedName name="RiderJForecast">#REF!</definedName>
    <definedName name="RidersGST2008">#REF!</definedName>
    <definedName name="RNEW1">#N/A</definedName>
    <definedName name="RNEW2">#N/A</definedName>
    <definedName name="RNEW2F">#N/A</definedName>
    <definedName name="RNEWIND">#N/A</definedName>
    <definedName name="RNEWOLDOM">#N/A</definedName>
    <definedName name="RNEWOLDOMR">#N/A</definedName>
    <definedName name="RNEWPE">#N/A</definedName>
    <definedName name="RNEWPF">#N/A</definedName>
    <definedName name="RNEWTERM">#N/A</definedName>
    <definedName name="rolling">#REF!</definedName>
    <definedName name="ROSS_">#REF!</definedName>
    <definedName name="ROSSKWHR">#REF!</definedName>
    <definedName name="rp930je">#REF!</definedName>
    <definedName name="RR3O">#N/A</definedName>
    <definedName name="RR3P">#N/A</definedName>
    <definedName name="RR3T">#N/A</definedName>
    <definedName name="RR5I">#N/A</definedName>
    <definedName name="RR5T">#N/A</definedName>
    <definedName name="rt11dc1">#REF!</definedName>
    <definedName name="rt11de1">#REF!</definedName>
    <definedName name="rt11ge1">#REF!</definedName>
    <definedName name="rt11sc1">#REF!</definedName>
    <definedName name="rt11te1">#REF!</definedName>
    <definedName name="rt21dc1">#REF!</definedName>
    <definedName name="rt21dd1">#REF!</definedName>
    <definedName name="rt21de1">#REF!</definedName>
    <definedName name="rt21de2">#REF!</definedName>
    <definedName name="rt21ge1">#REF!</definedName>
    <definedName name="rt21ge2">#REF!</definedName>
    <definedName name="rt21sc1">#REF!</definedName>
    <definedName name="rt21sd1">#REF!</definedName>
    <definedName name="rt21tc1">#REF!</definedName>
    <definedName name="rt21td1">#REF!</definedName>
    <definedName name="rt21te1">#REF!</definedName>
    <definedName name="rt21te2">#REF!</definedName>
    <definedName name="rt22dc1">#REF!</definedName>
    <definedName name="rt22dd1">#REF!</definedName>
    <definedName name="rt22de1">#REF!</definedName>
    <definedName name="rt22de2">#REF!</definedName>
    <definedName name="rt22ge1">#REF!</definedName>
    <definedName name="rt22ge2">#REF!</definedName>
    <definedName name="rt22sc1">#REF!</definedName>
    <definedName name="rt22sd1">#REF!</definedName>
    <definedName name="rt22tc1">#REF!</definedName>
    <definedName name="rt22td1">#REF!</definedName>
    <definedName name="rt22te1">#REF!</definedName>
    <definedName name="rt22te2">#REF!</definedName>
    <definedName name="rt25dc1">#REF!</definedName>
    <definedName name="rt25dd1">#REF!</definedName>
    <definedName name="rt25de1">#REF!</definedName>
    <definedName name="rt25de2">#REF!</definedName>
    <definedName name="rt25ge1">#REF!</definedName>
    <definedName name="rt25ge2">#REF!</definedName>
    <definedName name="rt25tc1">#REF!</definedName>
    <definedName name="rt25td1">#REF!</definedName>
    <definedName name="rt25te1">#REF!</definedName>
    <definedName name="rt25te2">#REF!</definedName>
    <definedName name="rt26dc1">#REF!</definedName>
    <definedName name="rt26dd1">#REF!</definedName>
    <definedName name="rt31ddd1">#REF!</definedName>
    <definedName name="rt31ddd2">#REF!</definedName>
    <definedName name="rt31dde1">#REF!</definedName>
    <definedName name="rt31dde2">#REF!</definedName>
    <definedName name="rt31dge1">#REF!</definedName>
    <definedName name="rt31dge2">#REF!</definedName>
    <definedName name="rt31dsd1">#REF!</definedName>
    <definedName name="rt31dsd2">#REF!</definedName>
    <definedName name="rt31dtd1">#REF!</definedName>
    <definedName name="rt31dtd2">#REF!</definedName>
    <definedName name="rt31dte1">#REF!</definedName>
    <definedName name="rt31dte2">#REF!</definedName>
    <definedName name="rt31tdd1">#REF!</definedName>
    <definedName name="rt31tdd2">#REF!</definedName>
    <definedName name="rt31tde1">#REF!</definedName>
    <definedName name="rt31tde2">#REF!</definedName>
    <definedName name="rt31tge1">#REF!</definedName>
    <definedName name="rt31tge2">#REF!</definedName>
    <definedName name="rt31tsd1">#REF!</definedName>
    <definedName name="rt31tsd2">#REF!</definedName>
    <definedName name="rt31ttd1">#REF!</definedName>
    <definedName name="rt31ttd2">#REF!</definedName>
    <definedName name="rt31tte1">#REF!</definedName>
    <definedName name="rt31tte2">#REF!</definedName>
    <definedName name="rt32dd1">#REF!</definedName>
    <definedName name="rt32dd2">#REF!</definedName>
    <definedName name="rt32de1">#REF!</definedName>
    <definedName name="rt32de2">#REF!</definedName>
    <definedName name="rt32ge1">#REF!</definedName>
    <definedName name="rt32ge2">#REF!</definedName>
    <definedName name="rt32sd1">#REF!</definedName>
    <definedName name="rt32sd2">#REF!</definedName>
    <definedName name="rt32td1">#REF!</definedName>
    <definedName name="rt32td2">#REF!</definedName>
    <definedName name="rt32te1">#REF!</definedName>
    <definedName name="rt32te2">#REF!</definedName>
    <definedName name="rt33ge1">#REF!</definedName>
    <definedName name="rt33ge2">#REF!</definedName>
    <definedName name="rt33sc1">#REF!</definedName>
    <definedName name="rt33se1">#REF!</definedName>
    <definedName name="rt33se2">#REF!</definedName>
    <definedName name="rt33tc1">#REF!</definedName>
    <definedName name="rt33te1">#REF!</definedName>
    <definedName name="rt33te2">#REF!</definedName>
    <definedName name="rt38ge1">#REF!</definedName>
    <definedName name="rt38ge2">#REF!</definedName>
    <definedName name="rt41dc1">#REF!</definedName>
    <definedName name="rt41dd1">#REF!</definedName>
    <definedName name="rt41de1">#REF!</definedName>
    <definedName name="rt41de2">#REF!</definedName>
    <definedName name="rt41ge1">#REF!</definedName>
    <definedName name="rt41ge2">#REF!</definedName>
    <definedName name="rt41sc1">#REF!</definedName>
    <definedName name="rt41sd1">#REF!</definedName>
    <definedName name="rt41tc1">#REF!</definedName>
    <definedName name="rt41td1">#REF!</definedName>
    <definedName name="rt41te1">#REF!</definedName>
    <definedName name="rt41te2">#REF!</definedName>
    <definedName name="rt51dc1">#REF!</definedName>
    <definedName name="rt51dd1">#REF!</definedName>
    <definedName name="rt51de1">#REF!</definedName>
    <definedName name="rt51de2">#REF!</definedName>
    <definedName name="rt51ge1">#REF!</definedName>
    <definedName name="rt51ge2">#REF!</definedName>
    <definedName name="rt51sc1">#REF!</definedName>
    <definedName name="rt51sd1">#REF!</definedName>
    <definedName name="rt51tc1">#REF!</definedName>
    <definedName name="rt51td1">#REF!</definedName>
    <definedName name="rt51te1">#REF!</definedName>
    <definedName name="rt51te2">#REF!</definedName>
    <definedName name="rt56dc1">#REF!</definedName>
    <definedName name="rt56dd1">#REF!</definedName>
    <definedName name="rt56de1">#REF!</definedName>
    <definedName name="rt56de2">#REF!</definedName>
    <definedName name="rt56ge1">#REF!</definedName>
    <definedName name="rt56ge2">#REF!</definedName>
    <definedName name="rt56sc1">#REF!</definedName>
    <definedName name="rt56sd1">#REF!</definedName>
    <definedName name="rt56tc1">#REF!</definedName>
    <definedName name="rt56td1">#REF!</definedName>
    <definedName name="rt56te1">#REF!</definedName>
    <definedName name="rt56te2">#REF!</definedName>
    <definedName name="rt61dabcd1">#REF!</definedName>
    <definedName name="rt61gd1">#REF!</definedName>
    <definedName name="rt61td1">#REF!</definedName>
    <definedName name="rt63dabced1">#REF!</definedName>
    <definedName name="rt63gd1">#REF!</definedName>
    <definedName name="rt63td1">#REF!</definedName>
    <definedName name="Sales2008">#REF!</definedName>
    <definedName name="Salesforecastdollars" localSheetId="8">#REF!</definedName>
    <definedName name="Salesforecastdollars" localSheetId="9">#REF!</definedName>
    <definedName name="Salesforecastdollars" localSheetId="10">#REF!</definedName>
    <definedName name="Salesforecastdollars">#REF!</definedName>
    <definedName name="SalesforecastKWh" localSheetId="8">#REF!</definedName>
    <definedName name="SalesforecastKWh" localSheetId="9">#REF!</definedName>
    <definedName name="SalesforecastKWh" localSheetId="10">#REF!</definedName>
    <definedName name="SalesforecastKWh">#REF!</definedName>
    <definedName name="Sch2OMDetail" localSheetId="8">#REF!</definedName>
    <definedName name="Sch2OMDetail" localSheetId="9">#REF!</definedName>
    <definedName name="Sch2OMDetail" localSheetId="10">#REF!</definedName>
    <definedName name="Sch2OMDetail">#REF!</definedName>
    <definedName name="Schedule10B5">#REF!</definedName>
    <definedName name="Schedule11B4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#REF!</definedName>
    <definedName name="Schedule19B2">#REF!</definedName>
    <definedName name="Schedule20B5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#REF!</definedName>
    <definedName name="Schedule6B3">#REF!</definedName>
    <definedName name="Schedule6B4">#REF!</definedName>
    <definedName name="Schedule6B5">#REF!</definedName>
    <definedName name="Schedule7B4">#REF!</definedName>
    <definedName name="Schedule9B2">#REF!</definedName>
    <definedName name="sencount" hidden="1">2</definedName>
    <definedName name="sepmax">#REF!</definedName>
    <definedName name="Specialized_Hardware">#REF!</definedName>
    <definedName name="START">#N/A</definedName>
    <definedName name="STEWART_">#REF!</definedName>
    <definedName name="STEWARTKWHR">#REF!</definedName>
    <definedName name="STEWARTLITRES">#REF!</definedName>
    <definedName name="SUMMARY" localSheetId="11">#N/A</definedName>
    <definedName name="SUMMARY">#N/A</definedName>
    <definedName name="SWIFT_">#REF!</definedName>
    <definedName name="SWIFTKWHR">#REF!</definedName>
    <definedName name="SWIFTLITRES">#REF!</definedName>
    <definedName name="TABLE" localSheetId="11">#N/A</definedName>
    <definedName name="TABLE">#N/A</definedName>
    <definedName name="taxes" localSheetId="8">#REF!</definedName>
    <definedName name="taxes" localSheetId="9">#REF!</definedName>
    <definedName name="taxes" localSheetId="10">#REF!</definedName>
    <definedName name="taxes">#REF!</definedName>
    <definedName name="TERM">#N/A</definedName>
    <definedName name="Terminals_cost">#REF!</definedName>
    <definedName name="Terminals_num">#REF!</definedName>
    <definedName name="TERPY1">#N/A</definedName>
    <definedName name="TERPY2">#N/A</definedName>
    <definedName name="TEST" localSheetId="11">#N/A</definedName>
    <definedName name="TEST">#N/A</definedName>
    <definedName name="Total_Distributed">#REF!</definedName>
    <definedName name="Total_Hardware">#REF!</definedName>
    <definedName name="Total_Mainframe_Costs">#REF!</definedName>
    <definedName name="TOTAL_O_M">#REF!</definedName>
    <definedName name="Total_Standard_Hardware">#REF!</definedName>
    <definedName name="TOTALS">#N/A</definedName>
    <definedName name="TOUR1">#N/A</definedName>
    <definedName name="TOUR2">#N/A</definedName>
    <definedName name="TOUR2F">#N/A</definedName>
    <definedName name="TOUR3O">#N/A</definedName>
    <definedName name="TOUR3P">#N/A</definedName>
    <definedName name="TOUR3T">#N/A</definedName>
    <definedName name="TOUR4">#N/A</definedName>
    <definedName name="TOUR5">#N/A</definedName>
    <definedName name="TOUR5I">#N/A</definedName>
    <definedName name="TOUR5T">#N/A</definedName>
    <definedName name="TOUR6">#N/A</definedName>
    <definedName name="TOURCAPFIN">#N/A</definedName>
    <definedName name="TOURCAPIN">#N/A</definedName>
    <definedName name="TOURIND">#N/A</definedName>
    <definedName name="TOUROLDOM">#N/A</definedName>
    <definedName name="TOUROLDOMR">#N/A</definedName>
    <definedName name="TOURPE">#N/A</definedName>
    <definedName name="TOURPF">#N/A</definedName>
    <definedName name="TOURTERM">#N/A</definedName>
    <definedName name="Training_Cost">#REF!</definedName>
    <definedName name="TRANSFER">#N/A</definedName>
    <definedName name="TREV">#N/A</definedName>
    <definedName name="ttlannualdiesel" localSheetId="8">#REF!</definedName>
    <definedName name="ttlannualdiesel" localSheetId="9">#REF!</definedName>
    <definedName name="ttlannualdiesel" localSheetId="10">#REF!</definedName>
    <definedName name="ttlannualdiesel">#REF!</definedName>
    <definedName name="ttlannualeso" localSheetId="8">#REF!</definedName>
    <definedName name="ttlannualeso" localSheetId="9">#REF!</definedName>
    <definedName name="ttlannualeso" localSheetId="10">#REF!</definedName>
    <definedName name="ttlannualeso">#REF!</definedName>
    <definedName name="ttlannualsales" localSheetId="8">#REF!</definedName>
    <definedName name="ttlannualsales" localSheetId="9">#REF!</definedName>
    <definedName name="ttlannualsales" localSheetId="10">#REF!</definedName>
    <definedName name="ttlannualsales">#REF!</definedName>
    <definedName name="ttlretailsales9899" localSheetId="8">#REF!</definedName>
    <definedName name="ttlretailsales9899" localSheetId="9">#REF!</definedName>
    <definedName name="ttlretailsales9899" localSheetId="10">#REF!</definedName>
    <definedName name="ttlretailsales9899">#REF!</definedName>
    <definedName name="ttlyecdiesel9899" localSheetId="8">#REF!</definedName>
    <definedName name="ttlyecdiesel9899" localSheetId="9">#REF!</definedName>
    <definedName name="ttlyecdiesel9899" localSheetId="10">#REF!</definedName>
    <definedName name="ttlyecdiesel9899">#REF!</definedName>
    <definedName name="ttlyeceso9899" localSheetId="8">#REF!</definedName>
    <definedName name="ttlyeceso9899" localSheetId="9">#REF!</definedName>
    <definedName name="ttlyeceso9899" localSheetId="10">#REF!</definedName>
    <definedName name="ttlyeceso9899">#REF!</definedName>
    <definedName name="ValueDate" localSheetId="8">#REF!</definedName>
    <definedName name="ValueDate" localSheetId="9">#REF!</definedName>
    <definedName name="ValueDate" localSheetId="10">#REF!</definedName>
    <definedName name="ValueDate">#REF!</definedName>
    <definedName name="variance">#REF!</definedName>
    <definedName name="Voice___Long_Distance">#REF!</definedName>
    <definedName name="Voice_Lines_cost">#REF!</definedName>
    <definedName name="Voice_Lines_num">#REF!</definedName>
    <definedName name="Voice_Mail_cost">#REF!</definedName>
    <definedName name="Voice_Mail_num">#REF!</definedName>
    <definedName name="Voice_Sets_cost">#REF!</definedName>
    <definedName name="Voice_Sets_num">#REF!</definedName>
    <definedName name="vvvv">#REF!</definedName>
    <definedName name="w3aje">#REF!</definedName>
    <definedName name="WAN">#REF!</definedName>
    <definedName name="WATSON_">#REF!</definedName>
    <definedName name="WATSONKWHR">#REF!</definedName>
    <definedName name="WATSONLITRES">#REF!</definedName>
    <definedName name="WD2F">#N/A</definedName>
    <definedName name="WD3O">#N/A</definedName>
    <definedName name="WD3P">#N/A</definedName>
    <definedName name="WD3T">#N/A</definedName>
    <definedName name="WD5I">#N/A</definedName>
    <definedName name="WD5T">#N/A</definedName>
    <definedName name="WDIR1">#N/A</definedName>
    <definedName name="WDIR2">#N/A</definedName>
    <definedName name="WDIR2F">#N/A</definedName>
    <definedName name="WDIROLDOM">#N/A</definedName>
    <definedName name="WDIROLDOMR">#N/A</definedName>
    <definedName name="WHSE_">#REF!</definedName>
    <definedName name="WHSEKWHR">#REF!</definedName>
    <definedName name="WIP" localSheetId="8">#REF!</definedName>
    <definedName name="WIP" localSheetId="9">#REF!</definedName>
    <definedName name="WIP" localSheetId="10">#REF!</definedName>
    <definedName name="WIP">#REF!</definedName>
    <definedName name="YDC1">#N/A</definedName>
    <definedName name="YDC2">#N/A</definedName>
    <definedName name="YDC2F">#N/A</definedName>
    <definedName name="YDC3O">#N/A</definedName>
    <definedName name="YDC3P">#N/A</definedName>
    <definedName name="YDC3T">#N/A</definedName>
    <definedName name="YDC4">#N/A</definedName>
    <definedName name="YDC5">#N/A</definedName>
    <definedName name="YDC5I">#N/A</definedName>
    <definedName name="YDC5T">#N/A</definedName>
    <definedName name="YEAR">#REF!</definedName>
    <definedName name="YEARS">#REF!</definedName>
    <definedName name="YEC_7__Flex_Note" localSheetId="8">#REF!</definedName>
    <definedName name="YEC_7__Flex_Note" localSheetId="9">#REF!</definedName>
    <definedName name="YEC_7__Flex_Note" localSheetId="10">#REF!</definedName>
    <definedName name="YEC_7__Flex_Note">#REF!</definedName>
    <definedName name="yes">#REF!</definedName>
    <definedName name="YHC1">#N/A</definedName>
    <definedName name="YHC2">#N/A</definedName>
    <definedName name="YHC2F">#N/A</definedName>
    <definedName name="YHC3O">#N/A</definedName>
    <definedName name="YHC3P">#N/A</definedName>
    <definedName name="YHC3T">#N/A</definedName>
    <definedName name="YHC4">#N/A</definedName>
    <definedName name="YHC5">#N/A</definedName>
    <definedName name="YHC5I">#N/A</definedName>
    <definedName name="YHC5T">#N/A</definedName>
    <definedName name="YHCC">#REF!</definedName>
    <definedName name="YHCFC">#REF!</definedName>
    <definedName name="YHCFR">#REF!</definedName>
    <definedName name="YHCOLDC">#REF!</definedName>
    <definedName name="YHCOLDCR">#REF!</definedName>
    <definedName name="YHCOLDOM">#N/A</definedName>
    <definedName name="YHCOLDOMR">#N/A</definedName>
    <definedName name="YHCR">#REF!</definedName>
    <definedName name="YLA1">#N/A</definedName>
    <definedName name="YLA2">#N/A</definedName>
    <definedName name="YLA2F">#N/A</definedName>
    <definedName name="YLA3O">#N/A</definedName>
    <definedName name="YLA3P">#N/A</definedName>
    <definedName name="YLA3T">#N/A</definedName>
    <definedName name="YLA4">#N/A</definedName>
    <definedName name="YLA5">#N/A</definedName>
    <definedName name="YLA5I">#N/A</definedName>
    <definedName name="YLA5T">#N/A</definedName>
    <definedName name="YLA6">#N/A</definedName>
    <definedName name="YLAOLDOM">#N/A</definedName>
    <definedName name="YLC1">#N/A</definedName>
    <definedName name="YLC2">#N/A</definedName>
    <definedName name="YLC2F">#N/A</definedName>
    <definedName name="YLC3O">#N/A</definedName>
    <definedName name="YLC3P">#N/A</definedName>
    <definedName name="YLC3T">#N/A</definedName>
    <definedName name="YLC4">#N/A</definedName>
    <definedName name="YLC5">#N/A</definedName>
    <definedName name="YLC5I">#N/A</definedName>
    <definedName name="YLC5T">#N/A</definedName>
    <definedName name="YUKONHYDRO">#REF!</definedName>
    <definedName name="Z_2E51B7C0_6CEE_11D3_AD1A_A5A650036065_.wvu.Cols" localSheetId="8" hidden="1">#REF!</definedName>
    <definedName name="Z_2E51B7C0_6CEE_11D3_AD1A_A5A650036065_.wvu.Cols" localSheetId="9" hidden="1">#REF!</definedName>
    <definedName name="Z_2E51B7C0_6CEE_11D3_AD1A_A5A650036065_.wvu.Cols" localSheetId="10" hidden="1">#REF!</definedName>
    <definedName name="Z_2E51B7C0_6CEE_11D3_AD1A_A5A650036065_.wvu.Cols" hidden="1">#REF!</definedName>
    <definedName name="Z_418DF6FE_13EF_11D2_8C37_00A0C92A9A63_.wvu.PrintArea" localSheetId="8" hidden="1">#REF!</definedName>
    <definedName name="Z_418DF6FE_13EF_11D2_8C37_00A0C92A9A63_.wvu.PrintArea" localSheetId="9" hidden="1">#REF!</definedName>
    <definedName name="Z_418DF6FE_13EF_11D2_8C37_00A0C92A9A63_.wvu.PrintArea" localSheetId="10" hidden="1">#REF!</definedName>
    <definedName name="Z_418DF6FE_13EF_11D2_8C37_00A0C92A9A63_.wvu.PrintArea" hidden="1">#REF!</definedName>
    <definedName name="Z_418DF6FE_13EF_11D2_8C37_00A0C92A9A63_.wvu.PrintTitles" localSheetId="8" hidden="1">#REF!</definedName>
    <definedName name="Z_418DF6FE_13EF_11D2_8C37_00A0C92A9A63_.wvu.PrintTitles" localSheetId="9" hidden="1">#REF!</definedName>
    <definedName name="Z_418DF6FE_13EF_11D2_8C37_00A0C92A9A63_.wvu.PrintTitles" localSheetId="10" hidden="1">#REF!</definedName>
    <definedName name="Z_418DF6FE_13EF_11D2_8C37_00A0C92A9A63_.wvu.PrintTitles" hidden="1">#REF!</definedName>
    <definedName name="Z_418DF6FE_13EF_11D2_8C37_00A0C92A9A63_.wvu.Rows" localSheetId="8" hidden="1">#REF!,#REF!,#REF!,#REF!,#REF!,#REF!,#REF!</definedName>
    <definedName name="Z_418DF6FE_13EF_11D2_8C37_00A0C92A9A63_.wvu.Rows" localSheetId="9" hidden="1">#REF!,#REF!,#REF!,#REF!,#REF!,#REF!,#REF!</definedName>
    <definedName name="Z_418DF6FE_13EF_11D2_8C37_00A0C92A9A63_.wvu.Rows" localSheetId="10" hidden="1">#REF!,#REF!,#REF!,#REF!,#REF!,#REF!,#REF!</definedName>
    <definedName name="Z_418DF6FE_13EF_11D2_8C37_00A0C92A9A63_.wvu.Rows" localSheetId="11" hidden="1">#REF!,#REF!,#REF!,#REF!,#REF!,#REF!,#REF!</definedName>
    <definedName name="Z_418DF6FE_13EF_11D2_8C37_00A0C92A9A63_.wvu.Rows" hidden="1">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55" l="1"/>
  <c r="H34" i="55"/>
  <c r="H17" i="55"/>
  <c r="B57" i="54"/>
  <c r="B58" i="54"/>
  <c r="B65" i="53"/>
  <c r="B64" i="53"/>
  <c r="B105" i="50"/>
  <c r="C45" i="50" l="1"/>
  <c r="A40" i="53" l="1"/>
  <c r="A33" i="54" s="1"/>
  <c r="A39" i="53"/>
  <c r="A32" i="54" s="1"/>
  <c r="A38" i="53"/>
  <c r="A31" i="54" s="1"/>
  <c r="A37" i="53"/>
  <c r="A30" i="54" s="1"/>
  <c r="A36" i="53"/>
  <c r="A29" i="54" s="1"/>
  <c r="A35" i="53"/>
  <c r="A28" i="54" s="1"/>
  <c r="A34" i="53"/>
  <c r="A27" i="54" s="1"/>
  <c r="A33" i="53"/>
  <c r="A26" i="54" s="1"/>
  <c r="A32" i="53"/>
  <c r="A25" i="54" s="1"/>
  <c r="A31" i="53"/>
  <c r="A24" i="54" s="1"/>
  <c r="A30" i="53"/>
  <c r="A23" i="54" s="1"/>
  <c r="A29" i="53"/>
  <c r="A22" i="54" s="1"/>
  <c r="A28" i="53"/>
  <c r="A21" i="54" s="1"/>
  <c r="A27" i="53"/>
  <c r="A20" i="54" s="1"/>
  <c r="A26" i="53"/>
  <c r="A19" i="54" s="1"/>
  <c r="A25" i="53"/>
  <c r="A18" i="54" s="1"/>
  <c r="A24" i="53"/>
  <c r="A17" i="54" s="1"/>
  <c r="A23" i="53"/>
  <c r="A16" i="54" s="1"/>
  <c r="A22" i="53"/>
  <c r="A15" i="54" s="1"/>
  <c r="A21" i="53"/>
  <c r="A14" i="54" s="1"/>
  <c r="A20" i="53"/>
  <c r="A13" i="54" s="1"/>
  <c r="A19" i="53"/>
  <c r="A12" i="54" s="1"/>
  <c r="A18" i="53"/>
  <c r="A11" i="54" s="1"/>
  <c r="A17" i="53"/>
  <c r="A10" i="54" s="1"/>
  <c r="A16" i="53"/>
  <c r="A15" i="53"/>
  <c r="A14" i="53"/>
  <c r="A13" i="53"/>
  <c r="A12" i="53"/>
  <c r="A11" i="53"/>
  <c r="A10" i="53"/>
  <c r="J45" i="50" l="1"/>
  <c r="E45" i="50"/>
  <c r="H2" i="55" l="1"/>
  <c r="E49" i="55"/>
  <c r="E32" i="55"/>
  <c r="E15" i="55"/>
  <c r="H13" i="55"/>
  <c r="F13" i="55"/>
  <c r="C30" i="55" s="1"/>
  <c r="C15" i="55"/>
  <c r="H30" i="55" l="1"/>
  <c r="F30" i="55"/>
  <c r="C47" i="55" s="1"/>
  <c r="H11" i="55"/>
  <c r="F11" i="55"/>
  <c r="C28" i="55" s="1"/>
  <c r="F17" i="55"/>
  <c r="C34" i="55" s="1"/>
  <c r="F34" i="55" s="1"/>
  <c r="C51" i="55" s="1"/>
  <c r="F51" i="55" s="1"/>
  <c r="D15" i="55"/>
  <c r="H12" i="55"/>
  <c r="F10" i="55"/>
  <c r="C27" i="55" s="1"/>
  <c r="F27" i="55" l="1"/>
  <c r="C44" i="55" s="1"/>
  <c r="H27" i="55"/>
  <c r="F9" i="55"/>
  <c r="H28" i="55"/>
  <c r="F28" i="55"/>
  <c r="C45" i="55" s="1"/>
  <c r="H47" i="55"/>
  <c r="F47" i="55"/>
  <c r="F12" i="55"/>
  <c r="C29" i="55" s="1"/>
  <c r="H10" i="55"/>
  <c r="H15" i="55" s="1"/>
  <c r="H19" i="55" s="1"/>
  <c r="F45" i="55" l="1"/>
  <c r="H44" i="55"/>
  <c r="F15" i="55"/>
  <c r="C26" i="55"/>
  <c r="F29" i="55"/>
  <c r="C46" i="55" s="1"/>
  <c r="H29" i="55"/>
  <c r="H32" i="55" s="1"/>
  <c r="H36" i="55" s="1"/>
  <c r="H46" i="55" l="1"/>
  <c r="H45" i="55"/>
  <c r="H49" i="55" s="1"/>
  <c r="H53" i="55" s="1"/>
  <c r="D32" i="55"/>
  <c r="C32" i="55"/>
  <c r="F44" i="55"/>
  <c r="F46" i="55" l="1"/>
  <c r="F26" i="55"/>
  <c r="F32" i="55" l="1"/>
  <c r="C43" i="55"/>
  <c r="C49" i="55" l="1"/>
  <c r="D49" i="55"/>
  <c r="F43" i="55" l="1"/>
  <c r="F49" i="55" s="1"/>
  <c r="A58" i="53" l="1"/>
  <c r="A51" i="54" s="1"/>
  <c r="A57" i="53"/>
  <c r="A50" i="54" s="1"/>
  <c r="A56" i="53"/>
  <c r="A49" i="54" s="1"/>
  <c r="A55" i="53"/>
  <c r="A48" i="54" s="1"/>
  <c r="A54" i="53"/>
  <c r="A47" i="54" s="1"/>
  <c r="A53" i="53"/>
  <c r="A46" i="54" s="1"/>
  <c r="A52" i="53"/>
  <c r="A45" i="54" s="1"/>
  <c r="A51" i="53"/>
  <c r="A44" i="54" s="1"/>
  <c r="A50" i="53"/>
  <c r="A43" i="54" s="1"/>
  <c r="A49" i="53"/>
  <c r="A42" i="54" s="1"/>
  <c r="A48" i="53"/>
  <c r="A41" i="54" s="1"/>
  <c r="A47" i="53"/>
  <c r="A40" i="54" s="1"/>
  <c r="A46" i="53"/>
  <c r="A39" i="54" s="1"/>
  <c r="A45" i="53"/>
  <c r="A38" i="54" s="1"/>
  <c r="A44" i="53"/>
  <c r="A37" i="54" s="1"/>
  <c r="A43" i="53"/>
  <c r="A36" i="54" s="1"/>
  <c r="A42" i="53"/>
  <c r="A35" i="54" s="1"/>
  <c r="A41" i="53"/>
  <c r="A34" i="54" s="1"/>
  <c r="K60" i="29" l="1"/>
  <c r="K58" i="29"/>
  <c r="K49" i="29"/>
  <c r="K51" i="29" s="1"/>
  <c r="K40" i="29"/>
  <c r="K42" i="29" s="1"/>
  <c r="K13" i="29"/>
  <c r="K15" i="29" s="1"/>
  <c r="I13" i="29" l="1"/>
  <c r="G85" i="13" l="1"/>
  <c r="G105" i="13"/>
  <c r="J62" i="50" l="1"/>
  <c r="D17" i="31" l="1"/>
  <c r="D16" i="31"/>
  <c r="D94" i="54"/>
  <c r="D80" i="54"/>
  <c r="D64" i="54"/>
  <c r="D53" i="54"/>
  <c r="E7" i="54"/>
  <c r="J6" i="54"/>
  <c r="J2" i="54"/>
  <c r="D101" i="53"/>
  <c r="D86" i="53"/>
  <c r="D71" i="53"/>
  <c r="D60" i="53"/>
  <c r="E7" i="53"/>
  <c r="J6" i="53"/>
  <c r="J2" i="53"/>
  <c r="D76" i="50"/>
  <c r="J49" i="50"/>
  <c r="J48" i="50"/>
  <c r="D86" i="54" l="1"/>
  <c r="D97" i="54" s="1"/>
  <c r="D93" i="53"/>
  <c r="D104" i="53" s="1"/>
  <c r="C86" i="53"/>
  <c r="B76" i="50" l="1"/>
  <c r="J73" i="50"/>
  <c r="E73" i="50"/>
  <c r="B67" i="53" s="1"/>
  <c r="J43" i="50"/>
  <c r="J42" i="50"/>
  <c r="J38" i="50"/>
  <c r="J37" i="50"/>
  <c r="J34" i="50"/>
  <c r="B40" i="53"/>
  <c r="E44" i="50"/>
  <c r="B39" i="53" s="1"/>
  <c r="E43" i="50"/>
  <c r="B38" i="53" s="1"/>
  <c r="E42" i="50"/>
  <c r="B37" i="53" s="1"/>
  <c r="E37" i="53" s="1"/>
  <c r="B30" i="54" s="1"/>
  <c r="E41" i="50"/>
  <c r="B36" i="53" s="1"/>
  <c r="J39" i="50"/>
  <c r="E35" i="50"/>
  <c r="B30" i="53" s="1"/>
  <c r="E40" i="50"/>
  <c r="B35" i="53" s="1"/>
  <c r="E39" i="50"/>
  <c r="B34" i="53" s="1"/>
  <c r="E38" i="50"/>
  <c r="B33" i="53" s="1"/>
  <c r="E37" i="50"/>
  <c r="B32" i="53" s="1"/>
  <c r="E32" i="53" s="1"/>
  <c r="B25" i="54" s="1"/>
  <c r="E25" i="54" s="1"/>
  <c r="E36" i="50"/>
  <c r="B31" i="53" s="1"/>
  <c r="E34" i="50"/>
  <c r="B29" i="53" s="1"/>
  <c r="E29" i="53" s="1"/>
  <c r="B22" i="54" s="1"/>
  <c r="J33" i="50"/>
  <c r="J32" i="50"/>
  <c r="J31" i="50"/>
  <c r="J30" i="50"/>
  <c r="J28" i="50"/>
  <c r="J27" i="50"/>
  <c r="E33" i="50"/>
  <c r="B28" i="53" s="1"/>
  <c r="E32" i="50"/>
  <c r="B27" i="53" s="1"/>
  <c r="E31" i="50"/>
  <c r="B26" i="53" s="1"/>
  <c r="E30" i="50"/>
  <c r="B25" i="53" s="1"/>
  <c r="E29" i="50"/>
  <c r="B24" i="53" s="1"/>
  <c r="E28" i="50"/>
  <c r="B23" i="53" s="1"/>
  <c r="E23" i="53" s="1"/>
  <c r="B16" i="54" s="1"/>
  <c r="E27" i="50"/>
  <c r="B22" i="53" s="1"/>
  <c r="E7" i="50"/>
  <c r="E28" i="53" l="1"/>
  <c r="B21" i="54" s="1"/>
  <c r="E21" i="54" s="1"/>
  <c r="E40" i="53"/>
  <c r="B33" i="54" s="1"/>
  <c r="E33" i="54" s="1"/>
  <c r="J40" i="53"/>
  <c r="E27" i="53"/>
  <c r="B20" i="54" s="1"/>
  <c r="E20" i="54" s="1"/>
  <c r="E30" i="53"/>
  <c r="B23" i="54" s="1"/>
  <c r="E23" i="54" s="1"/>
  <c r="E67" i="53"/>
  <c r="B60" i="54" s="1"/>
  <c r="E26" i="53"/>
  <c r="B19" i="54" s="1"/>
  <c r="E19" i="54" s="1"/>
  <c r="E30" i="54"/>
  <c r="E22" i="53"/>
  <c r="B15" i="54" s="1"/>
  <c r="E15" i="54" s="1"/>
  <c r="E65" i="53"/>
  <c r="E16" i="54"/>
  <c r="E24" i="53"/>
  <c r="B17" i="54" s="1"/>
  <c r="E17" i="54" s="1"/>
  <c r="E22" i="54"/>
  <c r="E25" i="53"/>
  <c r="B18" i="54" s="1"/>
  <c r="E18" i="54" s="1"/>
  <c r="E31" i="53"/>
  <c r="B24" i="54" s="1"/>
  <c r="E24" i="54" s="1"/>
  <c r="E33" i="53"/>
  <c r="B26" i="54" s="1"/>
  <c r="E26" i="54" s="1"/>
  <c r="E36" i="53"/>
  <c r="B29" i="54" s="1"/>
  <c r="E29" i="54" s="1"/>
  <c r="E34" i="53"/>
  <c r="B27" i="54" s="1"/>
  <c r="E27" i="54" s="1"/>
  <c r="E38" i="53"/>
  <c r="B31" i="54" s="1"/>
  <c r="E31" i="54" s="1"/>
  <c r="E35" i="53"/>
  <c r="B28" i="54" s="1"/>
  <c r="E28" i="54" s="1"/>
  <c r="E39" i="53"/>
  <c r="B32" i="54" s="1"/>
  <c r="E32" i="54" s="1"/>
  <c r="J44" i="50"/>
  <c r="J41" i="50"/>
  <c r="J35" i="50"/>
  <c r="J38" i="53"/>
  <c r="J40" i="50"/>
  <c r="J36" i="50"/>
  <c r="J37" i="53" l="1"/>
  <c r="J67" i="53"/>
  <c r="J28" i="53"/>
  <c r="J25" i="53"/>
  <c r="J23" i="53"/>
  <c r="E60" i="54"/>
  <c r="E58" i="54"/>
  <c r="G104" i="13"/>
  <c r="G87" i="13"/>
  <c r="G83" i="13"/>
  <c r="G103" i="13" s="1"/>
  <c r="J27" i="53" l="1"/>
  <c r="J32" i="53"/>
  <c r="J34" i="53"/>
  <c r="J26" i="53"/>
  <c r="J30" i="53"/>
  <c r="J33" i="53"/>
  <c r="J21" i="54"/>
  <c r="J29" i="53"/>
  <c r="J36" i="53"/>
  <c r="J22" i="53"/>
  <c r="J35" i="53"/>
  <c r="J31" i="54" l="1"/>
  <c r="J60" i="54"/>
  <c r="J16" i="54"/>
  <c r="J33" i="54"/>
  <c r="J19" i="54"/>
  <c r="J31" i="53"/>
  <c r="J39" i="53"/>
  <c r="J27" i="54"/>
  <c r="J22" i="54"/>
  <c r="J26" i="54"/>
  <c r="J20" i="54"/>
  <c r="J30" i="54" l="1"/>
  <c r="J25" i="54"/>
  <c r="J28" i="54"/>
  <c r="J18" i="54"/>
  <c r="J24" i="54"/>
  <c r="J29" i="54" l="1"/>
  <c r="J15" i="54"/>
  <c r="J23" i="54"/>
  <c r="J32" i="54" l="1"/>
  <c r="D14" i="31" l="1"/>
  <c r="D13" i="31"/>
  <c r="E148" i="52" l="1"/>
  <c r="E143" i="52"/>
  <c r="E139" i="52"/>
  <c r="H128" i="52"/>
  <c r="E128" i="52"/>
  <c r="E124" i="52"/>
  <c r="E113" i="52"/>
  <c r="E96" i="52"/>
  <c r="E76" i="52"/>
  <c r="E61" i="52"/>
  <c r="H46" i="52"/>
  <c r="E46" i="52"/>
  <c r="D46" i="52"/>
  <c r="E42" i="52"/>
  <c r="E30" i="52"/>
  <c r="H2" i="52"/>
  <c r="E148" i="51"/>
  <c r="E143" i="51"/>
  <c r="E139" i="51"/>
  <c r="H128" i="51"/>
  <c r="E128" i="51"/>
  <c r="E124" i="51"/>
  <c r="E113" i="51"/>
  <c r="E96" i="51"/>
  <c r="E76" i="51"/>
  <c r="E61" i="51"/>
  <c r="H46" i="51"/>
  <c r="E46" i="51"/>
  <c r="D46" i="51"/>
  <c r="E42" i="51"/>
  <c r="E30" i="51"/>
  <c r="H2" i="51"/>
  <c r="E143" i="42"/>
  <c r="C143" i="42"/>
  <c r="D148" i="52"/>
  <c r="D148" i="51"/>
  <c r="A20" i="29" l="1"/>
  <c r="A22" i="29" s="1"/>
  <c r="A24" i="29" s="1"/>
  <c r="A29" i="29" s="1"/>
  <c r="A31" i="29" s="1"/>
  <c r="A33" i="29" s="1"/>
  <c r="A38" i="29" s="1"/>
  <c r="A40" i="29" s="1"/>
  <c r="A42" i="29" s="1"/>
  <c r="A47" i="29" s="1"/>
  <c r="A49" i="29" s="1"/>
  <c r="A51" i="29" s="1"/>
  <c r="A56" i="29" s="1"/>
  <c r="A58" i="29" s="1"/>
  <c r="A60" i="29" s="1"/>
  <c r="L7" i="36" l="1"/>
  <c r="L7" i="38"/>
  <c r="L7" i="27"/>
  <c r="J7" i="25"/>
  <c r="L19" i="23"/>
  <c r="L7" i="23"/>
  <c r="L7" i="20"/>
  <c r="L7" i="19"/>
  <c r="L20" i="23"/>
  <c r="L7" i="18"/>
  <c r="L7" i="13"/>
  <c r="L7" i="12"/>
  <c r="L7" i="11"/>
  <c r="E106" i="50"/>
  <c r="B99" i="53" s="1"/>
  <c r="E99" i="53" s="1"/>
  <c r="B92" i="54" s="1"/>
  <c r="E92" i="54" s="1"/>
  <c r="J106" i="50" l="1"/>
  <c r="J99" i="53" l="1"/>
  <c r="J92" i="54" l="1"/>
  <c r="M2" i="36"/>
  <c r="M2" i="38"/>
  <c r="M2" i="27"/>
  <c r="K2" i="25"/>
  <c r="M2" i="23"/>
  <c r="M2" i="20"/>
  <c r="M2" i="19"/>
  <c r="M2" i="18"/>
  <c r="Q2" i="29"/>
  <c r="J2" i="50"/>
  <c r="H2" i="42" l="1"/>
  <c r="M2" i="13"/>
  <c r="M2" i="12"/>
  <c r="M2" i="11"/>
  <c r="A56" i="25" l="1"/>
  <c r="D15" i="31"/>
  <c r="D108" i="50"/>
  <c r="D93" i="50"/>
  <c r="J85" i="50"/>
  <c r="D65" i="50"/>
  <c r="J6" i="50"/>
  <c r="G76" i="50" l="1"/>
  <c r="J71" i="50"/>
  <c r="E72" i="50"/>
  <c r="J72" i="50"/>
  <c r="E19" i="50"/>
  <c r="B14" i="53" s="1"/>
  <c r="J19" i="50"/>
  <c r="E25" i="50"/>
  <c r="B20" i="53" s="1"/>
  <c r="J25" i="50"/>
  <c r="D100" i="50"/>
  <c r="D111" i="50" s="1"/>
  <c r="E71" i="50"/>
  <c r="B66" i="53" s="1"/>
  <c r="E66" i="53" l="1"/>
  <c r="E14" i="53"/>
  <c r="E20" i="53"/>
  <c r="B13" i="54" s="1"/>
  <c r="E13" i="54" s="1"/>
  <c r="J83" i="50"/>
  <c r="J14" i="53" l="1"/>
  <c r="B59" i="54"/>
  <c r="J66" i="53"/>
  <c r="J20" i="53" l="1"/>
  <c r="E59" i="54"/>
  <c r="E85" i="50" l="1"/>
  <c r="E83" i="50"/>
  <c r="J16" i="50"/>
  <c r="J23" i="50"/>
  <c r="J22" i="50"/>
  <c r="J20" i="50"/>
  <c r="J17" i="50"/>
  <c r="J14" i="50"/>
  <c r="J11" i="50"/>
  <c r="E22" i="50" l="1"/>
  <c r="B17" i="53" s="1"/>
  <c r="E17" i="53" s="1"/>
  <c r="B10" i="54" s="1"/>
  <c r="E23" i="50"/>
  <c r="B18" i="53" s="1"/>
  <c r="E18" i="53" s="1"/>
  <c r="B11" i="54" s="1"/>
  <c r="E11" i="54" s="1"/>
  <c r="E16" i="50"/>
  <c r="B11" i="53" s="1"/>
  <c r="E11" i="53" s="1"/>
  <c r="E11" i="50"/>
  <c r="E82" i="50"/>
  <c r="B77" i="53" s="1"/>
  <c r="E14" i="50"/>
  <c r="E10" i="50"/>
  <c r="B10" i="53" s="1"/>
  <c r="E17" i="50"/>
  <c r="B12" i="53" s="1"/>
  <c r="E20" i="50"/>
  <c r="B15" i="53" s="1"/>
  <c r="J18" i="50"/>
  <c r="J12" i="50"/>
  <c r="J15" i="50"/>
  <c r="J24" i="50"/>
  <c r="J13" i="50"/>
  <c r="J13" i="54" l="1"/>
  <c r="J17" i="53"/>
  <c r="J11" i="53"/>
  <c r="J18" i="53"/>
  <c r="E77" i="53"/>
  <c r="E15" i="53"/>
  <c r="J15" i="53"/>
  <c r="E10" i="54"/>
  <c r="E12" i="53"/>
  <c r="J12" i="53"/>
  <c r="E10" i="53"/>
  <c r="J59" i="54"/>
  <c r="E24" i="50"/>
  <c r="B19" i="53" s="1"/>
  <c r="E12" i="50"/>
  <c r="E15" i="50"/>
  <c r="E13" i="50"/>
  <c r="E18" i="50"/>
  <c r="B13" i="53" s="1"/>
  <c r="E13" i="53" l="1"/>
  <c r="J13" i="53"/>
  <c r="E19" i="53"/>
  <c r="B12" i="54" s="1"/>
  <c r="E12" i="54" s="1"/>
  <c r="J19" i="53"/>
  <c r="B70" i="54"/>
  <c r="J82" i="50"/>
  <c r="E70" i="54" l="1"/>
  <c r="J10" i="50"/>
  <c r="J12" i="54" l="1"/>
  <c r="J11" i="54"/>
  <c r="J10" i="54"/>
  <c r="J77" i="53" l="1"/>
  <c r="J10" i="53"/>
  <c r="H56" i="42" l="1"/>
  <c r="H57" i="42"/>
  <c r="E148" i="42" l="1"/>
  <c r="J70" i="54" l="1"/>
  <c r="F56" i="42"/>
  <c r="C56" i="51" s="1"/>
  <c r="F57" i="42"/>
  <c r="C57" i="51" s="1"/>
  <c r="H57" i="51" l="1"/>
  <c r="F57" i="51"/>
  <c r="C57" i="52" s="1"/>
  <c r="F56" i="51"/>
  <c r="C56" i="52" s="1"/>
  <c r="H56" i="51"/>
  <c r="H55" i="42"/>
  <c r="H85" i="42"/>
  <c r="F22" i="42"/>
  <c r="H22" i="42"/>
  <c r="F85" i="42"/>
  <c r="C85" i="51" s="1"/>
  <c r="F55" i="42"/>
  <c r="C55" i="51" s="1"/>
  <c r="F55" i="51" l="1"/>
  <c r="C55" i="52" s="1"/>
  <c r="H55" i="51"/>
  <c r="F56" i="52"/>
  <c r="H56" i="52"/>
  <c r="H85" i="51"/>
  <c r="F85" i="51"/>
  <c r="C85" i="52" s="1"/>
  <c r="F57" i="52"/>
  <c r="H57" i="52"/>
  <c r="C22" i="51"/>
  <c r="H22" i="51" l="1"/>
  <c r="F22" i="51"/>
  <c r="C22" i="52" s="1"/>
  <c r="H55" i="52"/>
  <c r="F55" i="52"/>
  <c r="H85" i="52"/>
  <c r="F85" i="52"/>
  <c r="H22" i="52" l="1"/>
  <c r="F22" i="52"/>
  <c r="E48" i="25" l="1"/>
  <c r="E40" i="25"/>
  <c r="E35" i="25"/>
  <c r="E34" i="25"/>
  <c r="E42" i="25" s="1"/>
  <c r="E50" i="25" s="1"/>
  <c r="E33" i="25"/>
  <c r="E31" i="25"/>
  <c r="E27" i="25"/>
  <c r="E23" i="25"/>
  <c r="E19" i="25"/>
  <c r="E17" i="25"/>
  <c r="E13" i="25"/>
  <c r="E11" i="25"/>
  <c r="G17" i="27"/>
  <c r="G15" i="27"/>
  <c r="E36" i="25" l="1"/>
  <c r="E43" i="25"/>
  <c r="E51" i="25" l="1"/>
  <c r="E52" i="25" s="1"/>
  <c r="E44" i="25"/>
  <c r="G7" i="38" l="1"/>
  <c r="G33" i="36"/>
  <c r="M7" i="36" l="1"/>
  <c r="M7" i="27"/>
  <c r="I7" i="25"/>
  <c r="K7" i="25"/>
  <c r="M7" i="20"/>
  <c r="M7" i="19"/>
  <c r="M7" i="13"/>
  <c r="M7" i="12"/>
  <c r="M7" i="11"/>
  <c r="D12" i="31" l="1"/>
  <c r="E139" i="42"/>
  <c r="E128" i="42"/>
  <c r="E124" i="42"/>
  <c r="E113" i="42"/>
  <c r="E96" i="42"/>
  <c r="E76" i="42"/>
  <c r="E61" i="42"/>
  <c r="E46" i="42"/>
  <c r="H46" i="42"/>
  <c r="D46" i="42" l="1"/>
  <c r="H128" i="42"/>
  <c r="J19" i="23" l="1"/>
  <c r="J7" i="36"/>
  <c r="M7" i="38"/>
  <c r="K7" i="38"/>
  <c r="J7" i="38"/>
  <c r="I7" i="38"/>
  <c r="J7" i="27"/>
  <c r="H7" i="25"/>
  <c r="J7" i="23"/>
  <c r="J7" i="20"/>
  <c r="J7" i="19"/>
  <c r="J7" i="18"/>
  <c r="J7" i="13"/>
  <c r="J7" i="12"/>
  <c r="J7" i="11"/>
  <c r="J20" i="23"/>
  <c r="D32" i="31"/>
  <c r="A11" i="38" l="1"/>
  <c r="A12" i="38" s="1"/>
  <c r="A13" i="38" s="1"/>
  <c r="A16" i="38" s="1"/>
  <c r="G22" i="14" l="1"/>
  <c r="A10" i="14" l="1"/>
  <c r="A13" i="14" s="1"/>
  <c r="A15" i="14" s="1"/>
  <c r="A16" i="14" s="1"/>
  <c r="A17" i="14" s="1"/>
  <c r="A18" i="14" s="1"/>
  <c r="A21" i="14" s="1"/>
  <c r="A22" i="14" s="1"/>
  <c r="A23" i="14" s="1"/>
  <c r="A26" i="14" s="1"/>
  <c r="A27" i="14" s="1"/>
  <c r="A29" i="14" s="1"/>
  <c r="A31" i="14" l="1"/>
  <c r="A34" i="14" s="1"/>
  <c r="A38" i="14" s="1"/>
  <c r="A39" i="14" s="1"/>
  <c r="A40" i="14" s="1"/>
  <c r="A41" i="14" s="1"/>
  <c r="A42" i="14" s="1"/>
  <c r="A44" i="14" s="1"/>
  <c r="G13" i="13"/>
  <c r="A11" i="13"/>
  <c r="A12" i="13" s="1"/>
  <c r="A13" i="13" s="1"/>
  <c r="A16" i="13" s="1"/>
  <c r="A17" i="13" s="1"/>
  <c r="A18" i="13" s="1"/>
  <c r="A19" i="13" s="1"/>
  <c r="A22" i="13" s="1"/>
  <c r="A23" i="13" s="1"/>
  <c r="A24" i="13" s="1"/>
  <c r="A26" i="13" s="1"/>
  <c r="A29" i="13" s="1"/>
  <c r="A30" i="13" s="1"/>
  <c r="A17" i="38"/>
  <c r="A18" i="38" s="1"/>
  <c r="A19" i="38" s="1"/>
  <c r="A20" i="38" s="1"/>
  <c r="A22" i="38" s="1"/>
  <c r="A12" i="36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K20" i="23"/>
  <c r="C46" i="36"/>
  <c r="G63" i="36"/>
  <c r="G31" i="27"/>
  <c r="G21" i="18"/>
  <c r="D31" i="31"/>
  <c r="K7" i="36"/>
  <c r="I7" i="36"/>
  <c r="G7" i="36"/>
  <c r="K7" i="27"/>
  <c r="I7" i="27"/>
  <c r="G7" i="27"/>
  <c r="E7" i="25"/>
  <c r="G7" i="25"/>
  <c r="M7" i="23"/>
  <c r="K7" i="23"/>
  <c r="I7" i="23"/>
  <c r="G7" i="23"/>
  <c r="K7" i="20"/>
  <c r="I7" i="20"/>
  <c r="G7" i="20"/>
  <c r="K7" i="19"/>
  <c r="I7" i="19"/>
  <c r="G7" i="19"/>
  <c r="M7" i="18"/>
  <c r="K7" i="18"/>
  <c r="I7" i="18"/>
  <c r="G7" i="18"/>
  <c r="K7" i="13"/>
  <c r="I7" i="13"/>
  <c r="G7" i="13"/>
  <c r="K7" i="12"/>
  <c r="I7" i="12"/>
  <c r="G7" i="12"/>
  <c r="K7" i="11"/>
  <c r="I7" i="11"/>
  <c r="G7" i="11"/>
  <c r="M19" i="23"/>
  <c r="I19" i="23"/>
  <c r="C40" i="36"/>
  <c r="C41" i="36"/>
  <c r="C60" i="36"/>
  <c r="C43" i="36"/>
  <c r="C42" i="36"/>
  <c r="C44" i="36"/>
  <c r="C45" i="36"/>
  <c r="G19" i="18"/>
  <c r="G19" i="23"/>
  <c r="G12" i="23"/>
  <c r="G20" i="23"/>
  <c r="G40" i="14"/>
  <c r="G42" i="14" s="1"/>
  <c r="A21" i="19"/>
  <c r="A23" i="19" s="1"/>
  <c r="A24" i="19" s="1"/>
  <c r="A25" i="19" s="1"/>
  <c r="A26" i="19" s="1"/>
  <c r="A28" i="19" s="1"/>
  <c r="A29" i="19" s="1"/>
  <c r="A30" i="19" s="1"/>
  <c r="A32" i="19" s="1"/>
  <c r="B31" i="31"/>
  <c r="B34" i="31" s="1"/>
  <c r="D29" i="31"/>
  <c r="D27" i="31"/>
  <c r="A23" i="20"/>
  <c r="A24" i="20" s="1"/>
  <c r="A25" i="20" s="1"/>
  <c r="A58" i="25"/>
  <c r="A60" i="25" s="1"/>
  <c r="A62" i="25" s="1"/>
  <c r="K19" i="23"/>
  <c r="D6" i="31"/>
  <c r="D8" i="31"/>
  <c r="D9" i="31"/>
  <c r="D11" i="31"/>
  <c r="D21" i="31"/>
  <c r="D23" i="31"/>
  <c r="D25" i="31"/>
  <c r="D34" i="31"/>
  <c r="A28" i="36" l="1"/>
  <c r="A29" i="36" s="1"/>
  <c r="A30" i="36" s="1"/>
  <c r="A31" i="36" s="1"/>
  <c r="A33" i="36" s="1"/>
  <c r="A34" i="36" s="1"/>
  <c r="A35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31" i="13"/>
  <c r="A32" i="13" s="1"/>
  <c r="A34" i="13" s="1"/>
  <c r="A36" i="13" s="1"/>
  <c r="A39" i="13" s="1"/>
  <c r="A40" i="13" s="1"/>
  <c r="A41" i="13" s="1"/>
  <c r="A42" i="13" s="1"/>
  <c r="A43" i="13" s="1"/>
  <c r="A44" i="13" s="1"/>
  <c r="G46" i="14"/>
  <c r="G10" i="14"/>
  <c r="G18" i="18"/>
  <c r="A46" i="14"/>
  <c r="A48" i="14" s="1"/>
  <c r="A57" i="36" l="1"/>
  <c r="A58" i="36" s="1"/>
  <c r="A59" i="36" s="1"/>
  <c r="A60" i="36" s="1"/>
  <c r="A61" i="36" s="1"/>
  <c r="A63" i="36" s="1"/>
  <c r="A65" i="36" s="1"/>
  <c r="A45" i="13"/>
  <c r="A47" i="13" s="1"/>
  <c r="A48" i="13" s="1"/>
  <c r="A49" i="13" s="1"/>
  <c r="A50" i="13" s="1"/>
  <c r="A51" i="13" s="1"/>
  <c r="A52" i="13" s="1"/>
  <c r="A54" i="13" s="1"/>
  <c r="A55" i="13" s="1"/>
  <c r="A56" i="13" s="1"/>
  <c r="A57" i="13" s="1"/>
  <c r="A58" i="13" s="1"/>
  <c r="A59" i="13" s="1"/>
  <c r="A61" i="13" s="1"/>
  <c r="A62" i="13" s="1"/>
  <c r="A63" i="13" s="1"/>
  <c r="A64" i="13" s="1"/>
  <c r="A65" i="13" s="1"/>
  <c r="A66" i="13" s="1"/>
  <c r="A68" i="13" s="1"/>
  <c r="A69" i="13" s="1"/>
  <c r="A70" i="13" s="1"/>
  <c r="A71" i="13" s="1"/>
  <c r="A72" i="13" s="1"/>
  <c r="A73" i="13" s="1"/>
  <c r="A75" i="13" s="1"/>
  <c r="A76" i="13" s="1"/>
  <c r="A77" i="13" s="1"/>
  <c r="A78" i="13" s="1"/>
  <c r="A79" i="13" s="1"/>
  <c r="A80" i="13" s="1"/>
  <c r="A82" i="13" l="1"/>
  <c r="A83" i="13" s="1"/>
  <c r="A84" i="13" s="1"/>
  <c r="A85" i="13" s="1"/>
  <c r="C46" i="42"/>
  <c r="F45" i="42"/>
  <c r="A87" i="13" l="1"/>
  <c r="A88" i="13" s="1"/>
  <c r="A90" i="13" s="1"/>
  <c r="A91" i="13" s="1"/>
  <c r="A92" i="13" s="1"/>
  <c r="A93" i="13" s="1"/>
  <c r="A94" i="13" s="1"/>
  <c r="A96" i="13" s="1"/>
  <c r="A97" i="13" s="1"/>
  <c r="A98" i="13" s="1"/>
  <c r="A99" i="13" s="1"/>
  <c r="A100" i="13" s="1"/>
  <c r="A102" i="13" s="1"/>
  <c r="A103" i="13" s="1"/>
  <c r="A104" i="13" s="1"/>
  <c r="A105" i="13" s="1"/>
  <c r="A106" i="13" s="1"/>
  <c r="C45" i="51"/>
  <c r="F46" i="42"/>
  <c r="F45" i="51" l="1"/>
  <c r="C46" i="51"/>
  <c r="G15" i="14"/>
  <c r="G24" i="13"/>
  <c r="F46" i="51" l="1"/>
  <c r="C45" i="52"/>
  <c r="G16" i="14"/>
  <c r="C46" i="52" l="1"/>
  <c r="F45" i="52"/>
  <c r="F46" i="52" s="1"/>
  <c r="G20" i="18"/>
  <c r="G19" i="13"/>
  <c r="G13" i="14" l="1"/>
  <c r="I20" i="23" l="1"/>
  <c r="G106" i="13" l="1"/>
  <c r="G110" i="13" s="1"/>
  <c r="G21" i="14" l="1"/>
  <c r="G23" i="14" s="1"/>
  <c r="A108" i="13" l="1"/>
  <c r="A110" i="13" s="1"/>
  <c r="A112" i="13" s="1"/>
  <c r="E58" i="25" l="1"/>
  <c r="E62" i="25" s="1"/>
  <c r="G35" i="36" l="1"/>
  <c r="G11" i="29" l="1"/>
  <c r="G65" i="36"/>
  <c r="O11" i="29" s="1"/>
  <c r="O15" i="29" s="1"/>
  <c r="G17" i="18" l="1"/>
  <c r="G10" i="11" s="1"/>
  <c r="G32" i="27"/>
  <c r="G18" i="23" l="1"/>
  <c r="G19" i="27" l="1"/>
  <c r="G33" i="27"/>
  <c r="G32" i="13" l="1"/>
  <c r="G34" i="13" l="1"/>
  <c r="G36" i="13" s="1"/>
  <c r="G112" i="13" s="1"/>
  <c r="G17" i="14"/>
  <c r="G18" i="14" s="1"/>
  <c r="G26" i="14" l="1"/>
  <c r="G29" i="14" s="1"/>
  <c r="G24" i="12"/>
  <c r="G28" i="12" s="1"/>
  <c r="G16" i="18" l="1"/>
  <c r="G19" i="19"/>
  <c r="G13" i="12"/>
  <c r="G17" i="12" s="1"/>
  <c r="G30" i="12" s="1"/>
  <c r="G19" i="11" s="1"/>
  <c r="G9" i="11" l="1"/>
  <c r="G13" i="11" s="1"/>
  <c r="G15" i="11" s="1"/>
  <c r="G21" i="11" s="1"/>
  <c r="G25" i="18"/>
  <c r="G31" i="14" l="1"/>
  <c r="G34" i="14" l="1"/>
  <c r="G48" i="14" s="1"/>
  <c r="G26" i="19"/>
  <c r="G13" i="23"/>
  <c r="G9" i="18" l="1"/>
  <c r="M15" i="29"/>
  <c r="G17" i="23"/>
  <c r="G21" i="23" s="1"/>
  <c r="G30" i="19"/>
  <c r="M11" i="29" l="1"/>
  <c r="M13" i="29"/>
  <c r="G15" i="29"/>
  <c r="I15" i="29" l="1"/>
  <c r="Q11" i="29"/>
  <c r="Q13" i="29" l="1"/>
  <c r="Q15" i="29" s="1"/>
  <c r="G13" i="18" s="1"/>
  <c r="G27" i="18" l="1"/>
  <c r="G9" i="19" s="1"/>
  <c r="G21" i="19" s="1"/>
  <c r="G32" i="19" s="1"/>
  <c r="G9" i="23"/>
  <c r="G14" i="23" s="1"/>
  <c r="G23" i="23" s="1"/>
  <c r="G11" i="18"/>
  <c r="G12" i="20" l="1"/>
  <c r="G14" i="20" s="1"/>
  <c r="G19" i="20" s="1"/>
  <c r="G24" i="20" s="1"/>
  <c r="G25" i="20" s="1"/>
  <c r="G26" i="27" l="1"/>
  <c r="G22" i="38"/>
  <c r="G12" i="38" s="1"/>
  <c r="G11" i="38" s="1"/>
  <c r="G28" i="27" l="1"/>
  <c r="G22" i="27"/>
  <c r="G35" i="27" s="1"/>
  <c r="I24" i="13" l="1"/>
  <c r="I16" i="14" s="1"/>
  <c r="J24" i="13" l="1"/>
  <c r="J16" i="14" l="1"/>
  <c r="E70" i="50" l="1"/>
  <c r="J29" i="50" l="1"/>
  <c r="J21" i="50" l="1"/>
  <c r="E21" i="50"/>
  <c r="B16" i="53" s="1"/>
  <c r="E16" i="53" l="1"/>
  <c r="J24" i="53" l="1"/>
  <c r="J16" i="53" l="1"/>
  <c r="E26" i="50" l="1"/>
  <c r="J17" i="54" l="1"/>
  <c r="B21" i="53"/>
  <c r="J26" i="50"/>
  <c r="E21" i="53" l="1"/>
  <c r="B14" i="54" l="1"/>
  <c r="E14" i="54" l="1"/>
  <c r="J21" i="53"/>
  <c r="J14" i="54" l="1"/>
  <c r="B108" i="50" l="1"/>
  <c r="M20" i="23" l="1"/>
  <c r="E87" i="50" l="1"/>
  <c r="B80" i="53" l="1"/>
  <c r="E80" i="53" s="1"/>
  <c r="B73" i="54" l="1"/>
  <c r="E73" i="54" l="1"/>
  <c r="J87" i="50"/>
  <c r="J80" i="53" l="1"/>
  <c r="D148" i="42" l="1"/>
  <c r="J73" i="54" l="1"/>
  <c r="G108" i="50" l="1"/>
  <c r="K24" i="13" l="1"/>
  <c r="K16" i="14" s="1"/>
  <c r="L24" i="13" l="1"/>
  <c r="L16" i="14" s="1"/>
  <c r="M24" i="13" l="1"/>
  <c r="M16" i="14" s="1"/>
  <c r="I21" i="18" l="1"/>
  <c r="I20" i="18" l="1"/>
  <c r="I31" i="27" l="1"/>
  <c r="I19" i="18"/>
  <c r="I12" i="23"/>
  <c r="I18" i="18" l="1"/>
  <c r="J63" i="50" l="1"/>
  <c r="E63" i="50"/>
  <c r="B58" i="53" s="1"/>
  <c r="E58" i="53" l="1"/>
  <c r="B51" i="54" s="1"/>
  <c r="J58" i="53" l="1"/>
  <c r="E51" i="54"/>
  <c r="J51" i="54" l="1"/>
  <c r="E90" i="50" l="1"/>
  <c r="B83" i="53" s="1"/>
  <c r="E83" i="53" s="1"/>
  <c r="B76" i="54" s="1"/>
  <c r="J90" i="50"/>
  <c r="E76" i="54" l="1"/>
  <c r="E61" i="50" l="1"/>
  <c r="B56" i="53" s="1"/>
  <c r="E56" i="53" s="1"/>
  <c r="B49" i="54" s="1"/>
  <c r="J61" i="50"/>
  <c r="J83" i="53" l="1"/>
  <c r="E49" i="54"/>
  <c r="J56" i="53" l="1"/>
  <c r="E60" i="50"/>
  <c r="B55" i="53" s="1"/>
  <c r="E55" i="53" s="1"/>
  <c r="B48" i="54" s="1"/>
  <c r="J60" i="50"/>
  <c r="E48" i="54" l="1"/>
  <c r="J76" i="54" l="1"/>
  <c r="E57" i="50"/>
  <c r="B52" i="53" s="1"/>
  <c r="E52" i="53" s="1"/>
  <c r="B45" i="54" s="1"/>
  <c r="J57" i="50"/>
  <c r="J49" i="54" l="1"/>
  <c r="J55" i="53"/>
  <c r="E56" i="50"/>
  <c r="B51" i="53" s="1"/>
  <c r="J56" i="50"/>
  <c r="E55" i="50"/>
  <c r="B50" i="53" s="1"/>
  <c r="E50" i="53" s="1"/>
  <c r="B43" i="54" s="1"/>
  <c r="J55" i="50"/>
  <c r="E45" i="54"/>
  <c r="E43" i="54" l="1"/>
  <c r="E51" i="53"/>
  <c r="B44" i="54" s="1"/>
  <c r="J52" i="53" l="1"/>
  <c r="E44" i="54"/>
  <c r="J48" i="54" l="1"/>
  <c r="J45" i="54"/>
  <c r="J51" i="53"/>
  <c r="J50" i="53"/>
  <c r="E53" i="50"/>
  <c r="B48" i="53" s="1"/>
  <c r="E48" i="53" s="1"/>
  <c r="B41" i="54" s="1"/>
  <c r="J53" i="50"/>
  <c r="J44" i="54" l="1"/>
  <c r="E41" i="54"/>
  <c r="J58" i="50" l="1"/>
  <c r="E58" i="50"/>
  <c r="B53" i="53" s="1"/>
  <c r="J59" i="50"/>
  <c r="E59" i="50"/>
  <c r="B54" i="53" s="1"/>
  <c r="J43" i="54" l="1"/>
  <c r="J48" i="53"/>
  <c r="E54" i="53"/>
  <c r="B47" i="54" s="1"/>
  <c r="E47" i="54" s="1"/>
  <c r="E53" i="53"/>
  <c r="B46" i="54" s="1"/>
  <c r="E46" i="54" s="1"/>
  <c r="J53" i="53" l="1"/>
  <c r="J54" i="53"/>
  <c r="J46" i="50" l="1"/>
  <c r="B65" i="50"/>
  <c r="E46" i="50"/>
  <c r="J41" i="54" l="1"/>
  <c r="J54" i="50"/>
  <c r="E54" i="50"/>
  <c r="B49" i="53" s="1"/>
  <c r="B41" i="53"/>
  <c r="J47" i="54" l="1"/>
  <c r="J46" i="54"/>
  <c r="J74" i="50"/>
  <c r="E74" i="50"/>
  <c r="B68" i="53" s="1"/>
  <c r="J88" i="50"/>
  <c r="E88" i="50"/>
  <c r="B81" i="53" s="1"/>
  <c r="J41" i="53"/>
  <c r="E41" i="53"/>
  <c r="E49" i="53"/>
  <c r="B42" i="54" s="1"/>
  <c r="B34" i="54" l="1"/>
  <c r="E81" i="53"/>
  <c r="B74" i="54" s="1"/>
  <c r="E68" i="53"/>
  <c r="B61" i="54" s="1"/>
  <c r="J89" i="50"/>
  <c r="E89" i="50"/>
  <c r="B82" i="53" s="1"/>
  <c r="E42" i="54"/>
  <c r="J68" i="53" l="1"/>
  <c r="J49" i="53"/>
  <c r="J81" i="53"/>
  <c r="E82" i="53"/>
  <c r="B75" i="54" s="1"/>
  <c r="E61" i="54"/>
  <c r="E74" i="54"/>
  <c r="E34" i="54"/>
  <c r="J34" i="54"/>
  <c r="J82" i="53" l="1"/>
  <c r="J61" i="54"/>
  <c r="E75" i="54"/>
  <c r="J74" i="54" l="1"/>
  <c r="E52" i="50"/>
  <c r="B47" i="53" s="1"/>
  <c r="E47" i="53" s="1"/>
  <c r="B40" i="54" s="1"/>
  <c r="J52" i="50"/>
  <c r="J42" i="54" l="1"/>
  <c r="E40" i="54"/>
  <c r="J75" i="54" l="1"/>
  <c r="J50" i="50"/>
  <c r="E50" i="50"/>
  <c r="B45" i="53" s="1"/>
  <c r="J47" i="53" l="1"/>
  <c r="E45" i="53"/>
  <c r="B38" i="54" s="1"/>
  <c r="E38" i="54" s="1"/>
  <c r="J45" i="53" l="1"/>
  <c r="E69" i="53"/>
  <c r="B62" i="54" s="1"/>
  <c r="J69" i="53"/>
  <c r="J40" i="54" l="1"/>
  <c r="E62" i="54"/>
  <c r="E49" i="50" l="1"/>
  <c r="B44" i="53" s="1"/>
  <c r="E44" i="53" s="1"/>
  <c r="B37" i="54" s="1"/>
  <c r="J62" i="54" l="1"/>
  <c r="J38" i="54"/>
  <c r="J44" i="53"/>
  <c r="E37" i="54"/>
  <c r="J37" i="54" l="1"/>
  <c r="C60" i="53" l="1"/>
  <c r="J51" i="50" l="1"/>
  <c r="E51" i="50"/>
  <c r="B46" i="53" s="1"/>
  <c r="E46" i="53" l="1"/>
  <c r="B39" i="54" s="1"/>
  <c r="E39" i="54" s="1"/>
  <c r="E62" i="50" l="1"/>
  <c r="B57" i="53" s="1"/>
  <c r="E57" i="53" s="1"/>
  <c r="B50" i="54" s="1"/>
  <c r="E48" i="50"/>
  <c r="B43" i="53" s="1"/>
  <c r="J46" i="53" l="1"/>
  <c r="J57" i="53"/>
  <c r="E43" i="53"/>
  <c r="B36" i="54" s="1"/>
  <c r="J43" i="53"/>
  <c r="E50" i="54"/>
  <c r="E36" i="54" l="1"/>
  <c r="J36" i="54" l="1"/>
  <c r="C64" i="54"/>
  <c r="C71" i="53"/>
  <c r="J39" i="54" l="1"/>
  <c r="J50" i="54"/>
  <c r="C76" i="50"/>
  <c r="E69" i="50" l="1"/>
  <c r="E76" i="50" s="1"/>
  <c r="J76" i="50"/>
  <c r="B71" i="53"/>
  <c r="B64" i="54" l="1"/>
  <c r="E64" i="53"/>
  <c r="E71" i="53" s="1"/>
  <c r="E57" i="54" l="1"/>
  <c r="E64" i="54" s="1"/>
  <c r="G71" i="53" l="1"/>
  <c r="J71" i="53" l="1"/>
  <c r="G64" i="54" l="1"/>
  <c r="J64" i="54" l="1"/>
  <c r="E47" i="50" l="1"/>
  <c r="C65" i="50"/>
  <c r="J47" i="50"/>
  <c r="B42" i="53" l="1"/>
  <c r="E65" i="50"/>
  <c r="E42" i="53" l="1"/>
  <c r="B60" i="53"/>
  <c r="B35" i="54" l="1"/>
  <c r="E60" i="53"/>
  <c r="E35" i="54" l="1"/>
  <c r="B53" i="54"/>
  <c r="J42" i="53"/>
  <c r="J35" i="54" l="1"/>
  <c r="C101" i="53" l="1"/>
  <c r="C94" i="54" l="1"/>
  <c r="C53" i="54" l="1"/>
  <c r="E53" i="54"/>
  <c r="E105" i="50" l="1"/>
  <c r="C108" i="50"/>
  <c r="E108" i="50" l="1"/>
  <c r="B98" i="53"/>
  <c r="E98" i="53" l="1"/>
  <c r="B101" i="53"/>
  <c r="B91" i="54" l="1"/>
  <c r="E101" i="53"/>
  <c r="E91" i="54" l="1"/>
  <c r="E94" i="54" s="1"/>
  <c r="B94" i="54"/>
  <c r="J84" i="50" l="1"/>
  <c r="E84" i="50"/>
  <c r="B78" i="53" s="1"/>
  <c r="E78" i="53" l="1"/>
  <c r="B71" i="54" s="1"/>
  <c r="E71" i="54" s="1"/>
  <c r="J78" i="53" l="1"/>
  <c r="E42" i="42"/>
  <c r="E30" i="42"/>
  <c r="E91" i="50" l="1"/>
  <c r="B93" i="50"/>
  <c r="B100" i="50" s="1"/>
  <c r="B111" i="50" s="1"/>
  <c r="B84" i="53" l="1"/>
  <c r="J71" i="54" l="1"/>
  <c r="E84" i="53"/>
  <c r="G93" i="50" l="1"/>
  <c r="J91" i="50"/>
  <c r="B77" i="54"/>
  <c r="E77" i="54" l="1"/>
  <c r="J84" i="53" l="1"/>
  <c r="J77" i="54" l="1"/>
  <c r="E86" i="50" l="1"/>
  <c r="J86" i="50"/>
  <c r="B79" i="53" l="1"/>
  <c r="E79" i="53" l="1"/>
  <c r="B72" i="54" l="1"/>
  <c r="E72" i="54" l="1"/>
  <c r="J79" i="53"/>
  <c r="J72" i="54" l="1"/>
  <c r="C93" i="53" l="1"/>
  <c r="C104" i="53" s="1"/>
  <c r="J91" i="53" l="1"/>
  <c r="J76" i="13" l="1"/>
  <c r="J77" i="13" s="1"/>
  <c r="I77" i="13"/>
  <c r="K76" i="13"/>
  <c r="I100" i="13" l="1"/>
  <c r="J97" i="13" s="1"/>
  <c r="J100" i="13" s="1"/>
  <c r="K97" i="13" s="1"/>
  <c r="K100" i="13" s="1"/>
  <c r="L97" i="13" s="1"/>
  <c r="L100" i="13" s="1"/>
  <c r="M97" i="13" s="1"/>
  <c r="M100" i="13" s="1"/>
  <c r="D16" i="52" l="1"/>
  <c r="D128" i="52" l="1"/>
  <c r="D143" i="52" l="1"/>
  <c r="J78" i="54" l="1"/>
  <c r="C80" i="54"/>
  <c r="C86" i="54" s="1"/>
  <c r="C97" i="54" s="1"/>
  <c r="E78" i="54"/>
  <c r="C148" i="42" l="1"/>
  <c r="F147" i="42"/>
  <c r="C147" i="51" l="1"/>
  <c r="F148" i="42"/>
  <c r="C148" i="51" l="1"/>
  <c r="F147" i="51"/>
  <c r="F148" i="51" l="1"/>
  <c r="C147" i="52"/>
  <c r="F147" i="52" l="1"/>
  <c r="F148" i="52" s="1"/>
  <c r="C148" i="52"/>
  <c r="D128" i="51" l="1"/>
  <c r="F131" i="42" l="1"/>
  <c r="H131" i="42"/>
  <c r="F80" i="42"/>
  <c r="C80" i="51" s="1"/>
  <c r="H80" i="42"/>
  <c r="F50" i="42"/>
  <c r="C50" i="51" s="1"/>
  <c r="H50" i="42"/>
  <c r="H72" i="42"/>
  <c r="F72" i="42"/>
  <c r="C72" i="51" s="1"/>
  <c r="F132" i="42"/>
  <c r="C132" i="51" s="1"/>
  <c r="H132" i="42"/>
  <c r="H38" i="42"/>
  <c r="F38" i="42"/>
  <c r="C38" i="51" s="1"/>
  <c r="F81" i="42"/>
  <c r="C81" i="51" s="1"/>
  <c r="H81" i="42"/>
  <c r="F52" i="42"/>
  <c r="C52" i="51" s="1"/>
  <c r="H52" i="42"/>
  <c r="H74" i="42"/>
  <c r="F74" i="42"/>
  <c r="C74" i="51" s="1"/>
  <c r="F135" i="42"/>
  <c r="C135" i="51" s="1"/>
  <c r="H135" i="42"/>
  <c r="F83" i="42"/>
  <c r="C83" i="51" s="1"/>
  <c r="H83" i="42"/>
  <c r="F53" i="42"/>
  <c r="C53" i="51" s="1"/>
  <c r="H53" i="42"/>
  <c r="F99" i="42"/>
  <c r="H99" i="42"/>
  <c r="H137" i="42"/>
  <c r="F137" i="42"/>
  <c r="C137" i="51" s="1"/>
  <c r="H10" i="42"/>
  <c r="F10" i="42"/>
  <c r="C10" i="51" s="1"/>
  <c r="H84" i="42"/>
  <c r="F84" i="42"/>
  <c r="C84" i="51" s="1"/>
  <c r="F58" i="42"/>
  <c r="C58" i="51" s="1"/>
  <c r="H58" i="42"/>
  <c r="F103" i="42"/>
  <c r="C103" i="51" s="1"/>
  <c r="H103" i="42"/>
  <c r="D16" i="42"/>
  <c r="D16" i="51"/>
  <c r="H94" i="42"/>
  <c r="F94" i="42"/>
  <c r="C94" i="51" s="1"/>
  <c r="F11" i="42"/>
  <c r="C11" i="51" s="1"/>
  <c r="H11" i="42"/>
  <c r="F86" i="42"/>
  <c r="C86" i="51" s="1"/>
  <c r="H86" i="42"/>
  <c r="H59" i="42"/>
  <c r="F59" i="42"/>
  <c r="C59" i="51" s="1"/>
  <c r="F106" i="42"/>
  <c r="C106" i="51" s="1"/>
  <c r="H106" i="42"/>
  <c r="F12" i="42"/>
  <c r="C12" i="51" s="1"/>
  <c r="H12" i="42"/>
  <c r="F87" i="42"/>
  <c r="C87" i="51" s="1"/>
  <c r="H87" i="42"/>
  <c r="H65" i="42"/>
  <c r="F65" i="42"/>
  <c r="C65" i="51" s="1"/>
  <c r="F108" i="42"/>
  <c r="C108" i="51" s="1"/>
  <c r="H108" i="42"/>
  <c r="F71" i="42"/>
  <c r="C71" i="51" s="1"/>
  <c r="H71" i="42"/>
  <c r="H13" i="42"/>
  <c r="F13" i="42"/>
  <c r="C13" i="51" s="1"/>
  <c r="H88" i="42"/>
  <c r="F88" i="42"/>
  <c r="C88" i="51" s="1"/>
  <c r="H66" i="42"/>
  <c r="F66" i="42"/>
  <c r="C66" i="51" s="1"/>
  <c r="H110" i="42"/>
  <c r="F110" i="42"/>
  <c r="C110" i="51" s="1"/>
  <c r="H14" i="42"/>
  <c r="H90" i="42"/>
  <c r="F90" i="42"/>
  <c r="C90" i="51" s="1"/>
  <c r="F68" i="42"/>
  <c r="C68" i="51" s="1"/>
  <c r="H68" i="42"/>
  <c r="H117" i="42"/>
  <c r="F117" i="42"/>
  <c r="C117" i="51" s="1"/>
  <c r="H67" i="42"/>
  <c r="F67" i="42"/>
  <c r="C67" i="51" s="1"/>
  <c r="H28" i="42"/>
  <c r="F28" i="42"/>
  <c r="C28" i="51" s="1"/>
  <c r="H92" i="42"/>
  <c r="F92" i="42"/>
  <c r="C92" i="51" s="1"/>
  <c r="H69" i="42"/>
  <c r="F69" i="42"/>
  <c r="C69" i="51" s="1"/>
  <c r="F122" i="42"/>
  <c r="C122" i="51" s="1"/>
  <c r="H122" i="42"/>
  <c r="F91" i="42"/>
  <c r="C91" i="51" s="1"/>
  <c r="H91" i="42"/>
  <c r="F119" i="42"/>
  <c r="C119" i="51" s="1"/>
  <c r="H119" i="42"/>
  <c r="H33" i="42"/>
  <c r="F33" i="42"/>
  <c r="H93" i="42"/>
  <c r="F93" i="42"/>
  <c r="C93" i="51" s="1"/>
  <c r="F70" i="42"/>
  <c r="C70" i="51" s="1"/>
  <c r="H70" i="42"/>
  <c r="C128" i="42"/>
  <c r="F91" i="51" l="1"/>
  <c r="C91" i="52" s="1"/>
  <c r="H91" i="51"/>
  <c r="H106" i="51"/>
  <c r="F106" i="51"/>
  <c r="C106" i="52" s="1"/>
  <c r="E14" i="42"/>
  <c r="H12" i="51"/>
  <c r="F12" i="51"/>
  <c r="C12" i="52" s="1"/>
  <c r="F10" i="51"/>
  <c r="C10" i="52" s="1"/>
  <c r="H10" i="51"/>
  <c r="H110" i="51"/>
  <c r="F110" i="51"/>
  <c r="C110" i="52" s="1"/>
  <c r="F137" i="51"/>
  <c r="C137" i="52" s="1"/>
  <c r="H137" i="51"/>
  <c r="H135" i="51"/>
  <c r="F135" i="51"/>
  <c r="C135" i="52" s="1"/>
  <c r="H80" i="51"/>
  <c r="F80" i="51"/>
  <c r="C80" i="52" s="1"/>
  <c r="H108" i="51"/>
  <c r="F108" i="51"/>
  <c r="C108" i="52" s="1"/>
  <c r="H59" i="51"/>
  <c r="F59" i="51"/>
  <c r="C59" i="52" s="1"/>
  <c r="H92" i="51"/>
  <c r="F92" i="51"/>
  <c r="C92" i="52" s="1"/>
  <c r="F103" i="51"/>
  <c r="C103" i="52" s="1"/>
  <c r="H103" i="51"/>
  <c r="C16" i="42"/>
  <c r="F9" i="42"/>
  <c r="H9" i="42"/>
  <c r="F74" i="51"/>
  <c r="C74" i="52" s="1"/>
  <c r="H74" i="51"/>
  <c r="H117" i="51"/>
  <c r="F117" i="51"/>
  <c r="C117" i="52" s="1"/>
  <c r="H66" i="51"/>
  <c r="F66" i="51"/>
  <c r="C66" i="52" s="1"/>
  <c r="H65" i="51"/>
  <c r="F65" i="51"/>
  <c r="C65" i="52" s="1"/>
  <c r="F132" i="51"/>
  <c r="C132" i="52" s="1"/>
  <c r="H132" i="51"/>
  <c r="C33" i="51"/>
  <c r="F83" i="51"/>
  <c r="C83" i="52" s="1"/>
  <c r="H83" i="51"/>
  <c r="F68" i="51"/>
  <c r="C68" i="52" s="1"/>
  <c r="H68" i="51"/>
  <c r="H71" i="51"/>
  <c r="F71" i="51"/>
  <c r="C71" i="52" s="1"/>
  <c r="C99" i="51"/>
  <c r="F28" i="51"/>
  <c r="C28" i="52" s="1"/>
  <c r="H28" i="51"/>
  <c r="H86" i="51"/>
  <c r="F86" i="51"/>
  <c r="C86" i="52" s="1"/>
  <c r="F58" i="51"/>
  <c r="C58" i="52" s="1"/>
  <c r="H58" i="51"/>
  <c r="F38" i="51"/>
  <c r="C38" i="52" s="1"/>
  <c r="H38" i="51"/>
  <c r="H72" i="51"/>
  <c r="F72" i="51"/>
  <c r="C72" i="52" s="1"/>
  <c r="H52" i="51"/>
  <c r="F52" i="51"/>
  <c r="C52" i="52" s="1"/>
  <c r="H87" i="51"/>
  <c r="F87" i="51"/>
  <c r="C87" i="52" s="1"/>
  <c r="F11" i="51"/>
  <c r="C11" i="52" s="1"/>
  <c r="H11" i="51"/>
  <c r="F84" i="51"/>
  <c r="C84" i="52" s="1"/>
  <c r="H84" i="51"/>
  <c r="C131" i="51"/>
  <c r="F69" i="51"/>
  <c r="C69" i="52" s="1"/>
  <c r="H69" i="51"/>
  <c r="H88" i="51"/>
  <c r="F88" i="51"/>
  <c r="C88" i="52" s="1"/>
  <c r="H93" i="51"/>
  <c r="F93" i="51"/>
  <c r="C93" i="52" s="1"/>
  <c r="H119" i="51"/>
  <c r="F119" i="51"/>
  <c r="C119" i="52" s="1"/>
  <c r="F67" i="51"/>
  <c r="C67" i="52" s="1"/>
  <c r="H67" i="51"/>
  <c r="F94" i="51"/>
  <c r="C94" i="52" s="1"/>
  <c r="H94" i="51"/>
  <c r="H53" i="51"/>
  <c r="F53" i="51"/>
  <c r="C53" i="52" s="1"/>
  <c r="F70" i="51"/>
  <c r="C70" i="52" s="1"/>
  <c r="H70" i="51"/>
  <c r="H90" i="51"/>
  <c r="F90" i="51"/>
  <c r="C90" i="52" s="1"/>
  <c r="F122" i="51"/>
  <c r="C122" i="52" s="1"/>
  <c r="H122" i="51"/>
  <c r="F13" i="51"/>
  <c r="C13" i="52" s="1"/>
  <c r="H13" i="51"/>
  <c r="F81" i="51"/>
  <c r="C81" i="52" s="1"/>
  <c r="H81" i="51"/>
  <c r="H50" i="51"/>
  <c r="F50" i="51"/>
  <c r="C50" i="52" s="1"/>
  <c r="F132" i="52" l="1"/>
  <c r="H132" i="52"/>
  <c r="F67" i="52"/>
  <c r="H67" i="52"/>
  <c r="F88" i="52"/>
  <c r="H88" i="52"/>
  <c r="H69" i="52"/>
  <c r="F69" i="52"/>
  <c r="H71" i="52"/>
  <c r="F71" i="52"/>
  <c r="F80" i="52"/>
  <c r="H80" i="52"/>
  <c r="H59" i="52"/>
  <c r="F59" i="52"/>
  <c r="F135" i="52"/>
  <c r="H135" i="52"/>
  <c r="H106" i="52"/>
  <c r="F106" i="52"/>
  <c r="H119" i="52"/>
  <c r="F119" i="52"/>
  <c r="F81" i="52"/>
  <c r="H81" i="52"/>
  <c r="H53" i="52"/>
  <c r="F53" i="52"/>
  <c r="H93" i="52"/>
  <c r="F93" i="52"/>
  <c r="H84" i="52"/>
  <c r="F84" i="52"/>
  <c r="F92" i="52"/>
  <c r="H92" i="52"/>
  <c r="H52" i="52"/>
  <c r="F52" i="52"/>
  <c r="F86" i="52"/>
  <c r="H86" i="52"/>
  <c r="F68" i="52"/>
  <c r="H68" i="52"/>
  <c r="H65" i="52"/>
  <c r="F65" i="52"/>
  <c r="F131" i="51"/>
  <c r="H131" i="51"/>
  <c r="F108" i="52"/>
  <c r="H108" i="52"/>
  <c r="H10" i="52"/>
  <c r="F10" i="52"/>
  <c r="F74" i="52"/>
  <c r="H74" i="52"/>
  <c r="F90" i="52"/>
  <c r="H90" i="52"/>
  <c r="F94" i="52"/>
  <c r="H94" i="52"/>
  <c r="H12" i="52"/>
  <c r="F12" i="52"/>
  <c r="F91" i="52"/>
  <c r="H91" i="52"/>
  <c r="H58" i="52"/>
  <c r="F58" i="52"/>
  <c r="F11" i="52"/>
  <c r="H11" i="52"/>
  <c r="H137" i="52"/>
  <c r="F137" i="52"/>
  <c r="F28" i="52"/>
  <c r="H28" i="52"/>
  <c r="H66" i="52"/>
  <c r="F66" i="52"/>
  <c r="H110" i="52"/>
  <c r="F110" i="52"/>
  <c r="H38" i="52"/>
  <c r="F38" i="52"/>
  <c r="F103" i="52"/>
  <c r="H103" i="52"/>
  <c r="H72" i="52"/>
  <c r="F72" i="52"/>
  <c r="F83" i="52"/>
  <c r="H83" i="52"/>
  <c r="H122" i="52"/>
  <c r="F122" i="52"/>
  <c r="F70" i="52"/>
  <c r="H70" i="52"/>
  <c r="C9" i="51"/>
  <c r="E16" i="42"/>
  <c r="E150" i="42" s="1"/>
  <c r="F14" i="42"/>
  <c r="C14" i="51" s="1"/>
  <c r="F117" i="52"/>
  <c r="H117" i="52"/>
  <c r="F99" i="51"/>
  <c r="H99" i="51"/>
  <c r="F13" i="52"/>
  <c r="H13" i="52"/>
  <c r="H50" i="52"/>
  <c r="F50" i="52"/>
  <c r="H87" i="52"/>
  <c r="F87" i="52"/>
  <c r="H33" i="51"/>
  <c r="F33" i="51"/>
  <c r="F16" i="42" l="1"/>
  <c r="H14" i="51"/>
  <c r="C33" i="52"/>
  <c r="C131" i="52"/>
  <c r="H9" i="51"/>
  <c r="C16" i="51"/>
  <c r="F9" i="51"/>
  <c r="C99" i="52"/>
  <c r="F99" i="52" l="1"/>
  <c r="H99" i="52"/>
  <c r="H33" i="52"/>
  <c r="F33" i="52"/>
  <c r="E14" i="51"/>
  <c r="C9" i="52"/>
  <c r="F131" i="52"/>
  <c r="H131" i="52"/>
  <c r="H9" i="52" l="1"/>
  <c r="F9" i="52"/>
  <c r="E16" i="51"/>
  <c r="E150" i="51" s="1"/>
  <c r="F14" i="51"/>
  <c r="C14" i="52" l="1"/>
  <c r="F16" i="51"/>
  <c r="H14" i="52" l="1"/>
  <c r="C16" i="52"/>
  <c r="E14" i="52" l="1"/>
  <c r="E16" i="52" l="1"/>
  <c r="E150" i="52" s="1"/>
  <c r="F14" i="52"/>
  <c r="F16" i="52" s="1"/>
  <c r="H16" i="51" l="1"/>
  <c r="H16" i="42"/>
  <c r="H16" i="52"/>
  <c r="D76" i="52" l="1"/>
  <c r="D128" i="42" l="1"/>
  <c r="F127" i="42"/>
  <c r="D143" i="42"/>
  <c r="H142" i="42"/>
  <c r="H143" i="42" s="1"/>
  <c r="F142" i="42"/>
  <c r="J96" i="50"/>
  <c r="E96" i="50"/>
  <c r="B89" i="53" s="1"/>
  <c r="E89" i="53" s="1"/>
  <c r="B84" i="54" s="1"/>
  <c r="E84" i="54" s="1"/>
  <c r="D76" i="51"/>
  <c r="D139" i="51"/>
  <c r="D124" i="51"/>
  <c r="C142" i="51" l="1"/>
  <c r="F143" i="42"/>
  <c r="D124" i="52"/>
  <c r="F128" i="42"/>
  <c r="C127" i="51"/>
  <c r="D139" i="52"/>
  <c r="F127" i="51" l="1"/>
  <c r="C128" i="51"/>
  <c r="C143" i="51"/>
  <c r="C127" i="52" l="1"/>
  <c r="F128" i="51"/>
  <c r="F127" i="52" l="1"/>
  <c r="F128" i="52" s="1"/>
  <c r="C128" i="52"/>
  <c r="H20" i="42" l="1"/>
  <c r="F20" i="42"/>
  <c r="C20" i="51" s="1"/>
  <c r="F20" i="51" l="1"/>
  <c r="C20" i="52" s="1"/>
  <c r="H20" i="51"/>
  <c r="F20" i="52" l="1"/>
  <c r="H20" i="52"/>
  <c r="H26" i="42" l="1"/>
  <c r="F26" i="42"/>
  <c r="C26" i="51" s="1"/>
  <c r="F111" i="42" l="1"/>
  <c r="C111" i="51" s="1"/>
  <c r="H111" i="42"/>
  <c r="F26" i="51"/>
  <c r="C26" i="52" s="1"/>
  <c r="H26" i="51"/>
  <c r="H26" i="52" l="1"/>
  <c r="F26" i="52"/>
  <c r="F104" i="42"/>
  <c r="C104" i="51" s="1"/>
  <c r="F104" i="51" l="1"/>
  <c r="C104" i="52" s="1"/>
  <c r="H104" i="51"/>
  <c r="H104" i="42"/>
  <c r="D42" i="42"/>
  <c r="F104" i="52" l="1"/>
  <c r="H104" i="52"/>
  <c r="H40" i="42" l="1"/>
  <c r="F40" i="42"/>
  <c r="C40" i="51" s="1"/>
  <c r="F40" i="51" l="1"/>
  <c r="C40" i="52" s="1"/>
  <c r="H40" i="51"/>
  <c r="F111" i="51"/>
  <c r="C111" i="52" s="1"/>
  <c r="H111" i="51"/>
  <c r="F111" i="52" l="1"/>
  <c r="H111" i="52"/>
  <c r="H40" i="52"/>
  <c r="F40" i="52"/>
  <c r="H121" i="42" l="1"/>
  <c r="F121" i="42"/>
  <c r="C121" i="51" s="1"/>
  <c r="F121" i="51" l="1"/>
  <c r="C121" i="52" s="1"/>
  <c r="H121" i="51"/>
  <c r="H121" i="52" l="1"/>
  <c r="F121" i="52"/>
  <c r="D76" i="42" l="1"/>
  <c r="F136" i="42" l="1"/>
  <c r="C136" i="51" s="1"/>
  <c r="H136" i="42"/>
  <c r="F34" i="42"/>
  <c r="H34" i="42"/>
  <c r="H133" i="42"/>
  <c r="F133" i="42"/>
  <c r="F64" i="42" l="1"/>
  <c r="H64" i="42"/>
  <c r="H39" i="42"/>
  <c r="F39" i="42"/>
  <c r="C39" i="51" s="1"/>
  <c r="H25" i="42"/>
  <c r="F25" i="42"/>
  <c r="C25" i="51" s="1"/>
  <c r="C34" i="51"/>
  <c r="F136" i="51"/>
  <c r="C136" i="52" s="1"/>
  <c r="H136" i="51"/>
  <c r="F118" i="42"/>
  <c r="C118" i="51" s="1"/>
  <c r="H118" i="42"/>
  <c r="C133" i="51"/>
  <c r="H35" i="42"/>
  <c r="F35" i="42"/>
  <c r="C35" i="51" s="1"/>
  <c r="F73" i="42" l="1"/>
  <c r="C73" i="51" s="1"/>
  <c r="H73" i="42"/>
  <c r="H34" i="51"/>
  <c r="F34" i="51"/>
  <c r="H39" i="51"/>
  <c r="F39" i="51"/>
  <c r="C39" i="52" s="1"/>
  <c r="F133" i="51"/>
  <c r="H133" i="51"/>
  <c r="F25" i="51"/>
  <c r="C25" i="52" s="1"/>
  <c r="H25" i="51"/>
  <c r="H118" i="51"/>
  <c r="F118" i="51"/>
  <c r="C118" i="52" s="1"/>
  <c r="C64" i="51"/>
  <c r="C76" i="42"/>
  <c r="F35" i="51"/>
  <c r="C35" i="52" s="1"/>
  <c r="H35" i="51"/>
  <c r="H136" i="52"/>
  <c r="F136" i="52"/>
  <c r="H76" i="42" l="1"/>
  <c r="F76" i="42"/>
  <c r="H39" i="52"/>
  <c r="F39" i="52"/>
  <c r="H35" i="52"/>
  <c r="F35" i="52"/>
  <c r="F64" i="51"/>
  <c r="H64" i="51"/>
  <c r="C76" i="51"/>
  <c r="F25" i="52"/>
  <c r="H25" i="52"/>
  <c r="C34" i="52"/>
  <c r="F73" i="51"/>
  <c r="C73" i="52" s="1"/>
  <c r="H73" i="51"/>
  <c r="F118" i="52"/>
  <c r="H118" i="52"/>
  <c r="C133" i="52"/>
  <c r="H76" i="51" l="1"/>
  <c r="C64" i="52"/>
  <c r="F76" i="51"/>
  <c r="F24" i="42"/>
  <c r="C24" i="51" s="1"/>
  <c r="H24" i="42"/>
  <c r="H73" i="52"/>
  <c r="F73" i="52"/>
  <c r="H34" i="52"/>
  <c r="F34" i="52"/>
  <c r="F133" i="52"/>
  <c r="H133" i="52"/>
  <c r="D42" i="52"/>
  <c r="D42" i="51"/>
  <c r="H24" i="51" l="1"/>
  <c r="F24" i="51"/>
  <c r="C24" i="52" s="1"/>
  <c r="F64" i="52"/>
  <c r="F76" i="52" s="1"/>
  <c r="H64" i="52"/>
  <c r="C76" i="52"/>
  <c r="H24" i="52" l="1"/>
  <c r="F24" i="52"/>
  <c r="H76" i="52"/>
  <c r="D139" i="42" l="1"/>
  <c r="D113" i="51" l="1"/>
  <c r="D113" i="52" l="1"/>
  <c r="H27" i="42" l="1"/>
  <c r="F27" i="42"/>
  <c r="C27" i="51" s="1"/>
  <c r="H27" i="51" l="1"/>
  <c r="F27" i="51"/>
  <c r="C27" i="52" s="1"/>
  <c r="F27" i="52" l="1"/>
  <c r="H27" i="52"/>
  <c r="H82" i="42" l="1"/>
  <c r="F82" i="42"/>
  <c r="C82" i="51" s="1"/>
  <c r="D61" i="52"/>
  <c r="F82" i="51" l="1"/>
  <c r="C82" i="52" s="1"/>
  <c r="H82" i="51"/>
  <c r="H82" i="52" l="1"/>
  <c r="F82" i="52"/>
  <c r="J55" i="13" l="1"/>
  <c r="I56" i="13"/>
  <c r="J56" i="13" l="1"/>
  <c r="K55" i="13"/>
  <c r="F89" i="42" l="1"/>
  <c r="C89" i="51" s="1"/>
  <c r="H89" i="42"/>
  <c r="H89" i="51" l="1"/>
  <c r="F89" i="51"/>
  <c r="C89" i="52" s="1"/>
  <c r="H89" i="52" l="1"/>
  <c r="F89" i="52"/>
  <c r="F134" i="42" l="1"/>
  <c r="H134" i="42"/>
  <c r="C139" i="42"/>
  <c r="H139" i="42" l="1"/>
  <c r="C134" i="51"/>
  <c r="F139" i="42"/>
  <c r="H134" i="51" l="1"/>
  <c r="F134" i="51"/>
  <c r="C139" i="51"/>
  <c r="C134" i="52" l="1"/>
  <c r="F139" i="51"/>
  <c r="H139" i="51"/>
  <c r="F134" i="52" l="1"/>
  <c r="F139" i="52" s="1"/>
  <c r="H134" i="52"/>
  <c r="C139" i="52"/>
  <c r="H139" i="52" l="1"/>
  <c r="F51" i="42" l="1"/>
  <c r="C51" i="51" s="1"/>
  <c r="H51" i="42"/>
  <c r="D124" i="42" l="1"/>
  <c r="C124" i="42"/>
  <c r="H116" i="42"/>
  <c r="F116" i="42"/>
  <c r="F120" i="42"/>
  <c r="C120" i="51" s="1"/>
  <c r="H120" i="42"/>
  <c r="H105" i="42"/>
  <c r="F105" i="42"/>
  <c r="C105" i="51" s="1"/>
  <c r="F102" i="42"/>
  <c r="C102" i="51" s="1"/>
  <c r="H102" i="42"/>
  <c r="F51" i="51"/>
  <c r="C51" i="52" s="1"/>
  <c r="H51" i="51"/>
  <c r="H109" i="42"/>
  <c r="H101" i="42"/>
  <c r="F101" i="42" l="1"/>
  <c r="C101" i="51" s="1"/>
  <c r="H51" i="52"/>
  <c r="F51" i="52"/>
  <c r="H107" i="42"/>
  <c r="F107" i="42"/>
  <c r="C107" i="51" s="1"/>
  <c r="H102" i="51"/>
  <c r="F102" i="51"/>
  <c r="C102" i="52" s="1"/>
  <c r="F120" i="51"/>
  <c r="C120" i="52" s="1"/>
  <c r="H120" i="51"/>
  <c r="H105" i="51"/>
  <c r="F105" i="51"/>
  <c r="C105" i="52" s="1"/>
  <c r="C116" i="51"/>
  <c r="F124" i="42"/>
  <c r="H124" i="42"/>
  <c r="F109" i="42"/>
  <c r="C109" i="51" s="1"/>
  <c r="C113" i="42"/>
  <c r="D61" i="42"/>
  <c r="F101" i="51" l="1"/>
  <c r="C101" i="52" s="1"/>
  <c r="H101" i="51"/>
  <c r="F105" i="52"/>
  <c r="H105" i="52"/>
  <c r="F107" i="51"/>
  <c r="C107" i="52" s="1"/>
  <c r="H107" i="51"/>
  <c r="F109" i="51"/>
  <c r="C109" i="52" s="1"/>
  <c r="H109" i="51"/>
  <c r="H120" i="52"/>
  <c r="F120" i="52"/>
  <c r="H102" i="52"/>
  <c r="F102" i="52"/>
  <c r="C124" i="51"/>
  <c r="H116" i="51"/>
  <c r="F116" i="51"/>
  <c r="H49" i="42"/>
  <c r="F49" i="42"/>
  <c r="D61" i="51"/>
  <c r="F101" i="52" l="1"/>
  <c r="H101" i="52"/>
  <c r="H124" i="51"/>
  <c r="H109" i="52"/>
  <c r="F109" i="52"/>
  <c r="F107" i="52"/>
  <c r="H107" i="52"/>
  <c r="C49" i="51"/>
  <c r="F124" i="51"/>
  <c r="C116" i="52"/>
  <c r="C124" i="52" l="1"/>
  <c r="F116" i="52"/>
  <c r="F124" i="52" s="1"/>
  <c r="H116" i="52"/>
  <c r="H49" i="51"/>
  <c r="F49" i="51"/>
  <c r="H124" i="52" l="1"/>
  <c r="C49" i="52"/>
  <c r="F49" i="52" l="1"/>
  <c r="H49" i="52"/>
  <c r="H21" i="42" l="1"/>
  <c r="F21" i="42"/>
  <c r="C21" i="51" s="1"/>
  <c r="I40" i="14" l="1"/>
  <c r="H23" i="42" l="1"/>
  <c r="F23" i="42"/>
  <c r="C23" i="51" s="1"/>
  <c r="C30" i="42"/>
  <c r="H23" i="51" l="1"/>
  <c r="F23" i="51"/>
  <c r="C23" i="52" s="1"/>
  <c r="F23" i="52" l="1"/>
  <c r="H23" i="52"/>
  <c r="F36" i="42" l="1"/>
  <c r="H36" i="42"/>
  <c r="C36" i="51" l="1"/>
  <c r="F36" i="51" l="1"/>
  <c r="H36" i="51"/>
  <c r="C36" i="52" l="1"/>
  <c r="F36" i="52" l="1"/>
  <c r="H36" i="52"/>
  <c r="F37" i="42"/>
  <c r="H37" i="42"/>
  <c r="C42" i="42"/>
  <c r="D143" i="51" l="1"/>
  <c r="H142" i="51"/>
  <c r="F142" i="51"/>
  <c r="C37" i="51"/>
  <c r="F42" i="42"/>
  <c r="F37" i="51" l="1"/>
  <c r="H37" i="51"/>
  <c r="C42" i="51"/>
  <c r="D113" i="42"/>
  <c r="H100" i="42"/>
  <c r="F100" i="42"/>
  <c r="F143" i="51"/>
  <c r="C142" i="52"/>
  <c r="H143" i="51"/>
  <c r="E81" i="50"/>
  <c r="J81" i="50"/>
  <c r="C93" i="50"/>
  <c r="C100" i="50" s="1"/>
  <c r="C111" i="50" s="1"/>
  <c r="D96" i="51"/>
  <c r="J93" i="50" l="1"/>
  <c r="B76" i="53"/>
  <c r="E93" i="50"/>
  <c r="E100" i="50" s="1"/>
  <c r="E111" i="50" s="1"/>
  <c r="C37" i="52"/>
  <c r="F42" i="51"/>
  <c r="F142" i="52"/>
  <c r="F143" i="52" s="1"/>
  <c r="C143" i="52"/>
  <c r="H142" i="52"/>
  <c r="J108" i="13"/>
  <c r="D30" i="42"/>
  <c r="F19" i="42"/>
  <c r="H19" i="42"/>
  <c r="C96" i="42"/>
  <c r="C100" i="51"/>
  <c r="F113" i="42"/>
  <c r="H113" i="42"/>
  <c r="I108" i="13" l="1"/>
  <c r="H100" i="51"/>
  <c r="F100" i="51"/>
  <c r="C113" i="51"/>
  <c r="E76" i="53"/>
  <c r="B86" i="53"/>
  <c r="B93" i="53" s="1"/>
  <c r="B104" i="53" s="1"/>
  <c r="H143" i="52"/>
  <c r="H30" i="42"/>
  <c r="C19" i="51"/>
  <c r="F30" i="42"/>
  <c r="H37" i="52"/>
  <c r="F37" i="52"/>
  <c r="F42" i="52" s="1"/>
  <c r="C42" i="52"/>
  <c r="J22" i="14"/>
  <c r="F54" i="42"/>
  <c r="H54" i="42"/>
  <c r="C61" i="42"/>
  <c r="D96" i="52"/>
  <c r="K108" i="13"/>
  <c r="I22" i="14" l="1"/>
  <c r="C54" i="51"/>
  <c r="F61" i="42"/>
  <c r="K22" i="14"/>
  <c r="C100" i="52"/>
  <c r="F113" i="51"/>
  <c r="H113" i="51"/>
  <c r="C150" i="42"/>
  <c r="H61" i="42"/>
  <c r="F19" i="51"/>
  <c r="C30" i="51"/>
  <c r="H19" i="51"/>
  <c r="D96" i="42"/>
  <c r="D150" i="42" s="1"/>
  <c r="F79" i="42"/>
  <c r="H79" i="42"/>
  <c r="B69" i="54"/>
  <c r="E86" i="53"/>
  <c r="E93" i="53" s="1"/>
  <c r="E104" i="53" s="1"/>
  <c r="D30" i="51" l="1"/>
  <c r="D150" i="51" s="1"/>
  <c r="F21" i="51"/>
  <c r="C21" i="52" s="1"/>
  <c r="H21" i="51"/>
  <c r="G86" i="53"/>
  <c r="J76" i="53"/>
  <c r="D30" i="52"/>
  <c r="D150" i="52" s="1"/>
  <c r="H100" i="52"/>
  <c r="F100" i="52"/>
  <c r="F113" i="52" s="1"/>
  <c r="C113" i="52"/>
  <c r="H96" i="42"/>
  <c r="F96" i="42"/>
  <c r="C79" i="51"/>
  <c r="E69" i="54"/>
  <c r="E80" i="54" s="1"/>
  <c r="E86" i="54" s="1"/>
  <c r="E97" i="54" s="1"/>
  <c r="B80" i="54"/>
  <c r="B86" i="54" s="1"/>
  <c r="B97" i="54" s="1"/>
  <c r="C19" i="52"/>
  <c r="H54" i="51"/>
  <c r="F54" i="51"/>
  <c r="C61" i="51"/>
  <c r="M108" i="13"/>
  <c r="F30" i="51" l="1"/>
  <c r="C54" i="52"/>
  <c r="F61" i="51"/>
  <c r="H61" i="51"/>
  <c r="H113" i="52"/>
  <c r="J86" i="53"/>
  <c r="H21" i="52"/>
  <c r="F21" i="52"/>
  <c r="M22" i="14"/>
  <c r="H19" i="52"/>
  <c r="C30" i="52"/>
  <c r="F19" i="52"/>
  <c r="H30" i="51"/>
  <c r="H79" i="51"/>
  <c r="C96" i="51"/>
  <c r="C150" i="51" s="1"/>
  <c r="F79" i="51"/>
  <c r="F150" i="42"/>
  <c r="F30" i="52" l="1"/>
  <c r="F96" i="51"/>
  <c r="C79" i="52"/>
  <c r="H30" i="52"/>
  <c r="H54" i="52"/>
  <c r="F54" i="52"/>
  <c r="F61" i="52" s="1"/>
  <c r="C61" i="52"/>
  <c r="H96" i="51"/>
  <c r="H61" i="52" l="1"/>
  <c r="H79" i="52"/>
  <c r="F79" i="52"/>
  <c r="F96" i="52" s="1"/>
  <c r="C96" i="52"/>
  <c r="C150" i="52" s="1"/>
  <c r="F150" i="51"/>
  <c r="G80" i="54" l="1"/>
  <c r="J69" i="54"/>
  <c r="F150" i="52"/>
  <c r="H96" i="52"/>
  <c r="J80" i="54" l="1"/>
  <c r="J40" i="14" l="1"/>
  <c r="J69" i="13" l="1"/>
  <c r="I70" i="13"/>
  <c r="K40" i="14" l="1"/>
  <c r="L40" i="14"/>
  <c r="I42" i="14"/>
  <c r="J44" i="14" l="1"/>
  <c r="M40" i="14"/>
  <c r="J42" i="14"/>
  <c r="J46" i="14" l="1"/>
  <c r="K44" i="14"/>
  <c r="I49" i="13" l="1"/>
  <c r="J48" i="13"/>
  <c r="I42" i="13"/>
  <c r="J41" i="13"/>
  <c r="K48" i="13" l="1"/>
  <c r="J49" i="13"/>
  <c r="K41" i="13"/>
  <c r="J42" i="13"/>
  <c r="I87" i="13" l="1"/>
  <c r="J87" i="13" l="1"/>
  <c r="K69" i="13" l="1"/>
  <c r="J70" i="13"/>
  <c r="L69" i="13"/>
  <c r="I104" i="13" l="1"/>
  <c r="J104" i="13" l="1"/>
  <c r="I94" i="13" l="1"/>
  <c r="J91" i="13" s="1"/>
  <c r="J94" i="13" l="1"/>
  <c r="K91" i="13" s="1"/>
  <c r="K94" i="13" l="1"/>
  <c r="L91" i="13" s="1"/>
  <c r="L94" i="13" l="1"/>
  <c r="M91" i="13" s="1"/>
  <c r="M94" i="13" s="1"/>
  <c r="H42" i="51" l="1"/>
  <c r="H42" i="52"/>
  <c r="H42" i="42"/>
  <c r="L108" i="13" l="1"/>
  <c r="L22" i="14" l="1"/>
  <c r="J15" i="14" l="1"/>
  <c r="I15" i="14"/>
  <c r="K15" i="14" l="1"/>
  <c r="L15" i="14" l="1"/>
  <c r="M15" i="14" l="1"/>
  <c r="J19" i="25" l="1"/>
  <c r="G17" i="25"/>
  <c r="I33" i="25"/>
  <c r="J40" i="25" l="1"/>
  <c r="K23" i="25"/>
  <c r="G40" i="25"/>
  <c r="I19" i="25"/>
  <c r="H23" i="25"/>
  <c r="J33" i="25"/>
  <c r="K27" i="25"/>
  <c r="G27" i="25"/>
  <c r="K17" i="25"/>
  <c r="H40" i="25"/>
  <c r="J48" i="25"/>
  <c r="G31" i="25"/>
  <c r="I40" i="25"/>
  <c r="K48" i="25"/>
  <c r="K19" i="25"/>
  <c r="H31" i="25"/>
  <c r="G23" i="25"/>
  <c r="I31" i="25"/>
  <c r="K40" i="25"/>
  <c r="J31" i="25"/>
  <c r="I23" i="25"/>
  <c r="G33" i="25"/>
  <c r="K31" i="25"/>
  <c r="H33" i="25"/>
  <c r="J23" i="25"/>
  <c r="K33" i="25"/>
  <c r="H27" i="25"/>
  <c r="G48" i="25"/>
  <c r="G19" i="25"/>
  <c r="I27" i="25"/>
  <c r="H48" i="25"/>
  <c r="H17" i="25"/>
  <c r="I17" i="25"/>
  <c r="J17" i="25"/>
  <c r="H19" i="25"/>
  <c r="J27" i="25"/>
  <c r="I48" i="25"/>
  <c r="G34" i="25"/>
  <c r="G42" i="25" s="1"/>
  <c r="G50" i="25" s="1"/>
  <c r="G11" i="25"/>
  <c r="H11" i="25"/>
  <c r="H34" i="25"/>
  <c r="I11" i="25"/>
  <c r="I34" i="25"/>
  <c r="I42" i="25" s="1"/>
  <c r="I50" i="25" s="1"/>
  <c r="J11" i="25"/>
  <c r="J34" i="25"/>
  <c r="J42" i="25" s="1"/>
  <c r="J50" i="25" s="1"/>
  <c r="K11" i="25"/>
  <c r="K34" i="25"/>
  <c r="K42" i="25" s="1"/>
  <c r="K50" i="25" s="1"/>
  <c r="G35" i="25"/>
  <c r="G13" i="25"/>
  <c r="H35" i="25"/>
  <c r="H43" i="25" s="1"/>
  <c r="H13" i="25"/>
  <c r="I13" i="25"/>
  <c r="I35" i="25"/>
  <c r="J13" i="25"/>
  <c r="J35" i="25"/>
  <c r="K13" i="25"/>
  <c r="K35" i="25"/>
  <c r="K36" i="25" l="1"/>
  <c r="K43" i="25"/>
  <c r="J36" i="25"/>
  <c r="J43" i="25"/>
  <c r="I36" i="25"/>
  <c r="I43" i="25"/>
  <c r="H51" i="25"/>
  <c r="G36" i="25"/>
  <c r="G43" i="25"/>
  <c r="H36" i="25"/>
  <c r="H42" i="25"/>
  <c r="H50" i="25" s="1"/>
  <c r="H44" i="25" l="1"/>
  <c r="H52" i="25"/>
  <c r="H58" i="25"/>
  <c r="G44" i="25"/>
  <c r="G51" i="25"/>
  <c r="I44" i="25"/>
  <c r="I51" i="25"/>
  <c r="J51" i="25"/>
  <c r="J44" i="25"/>
  <c r="K51" i="25"/>
  <c r="K44" i="25"/>
  <c r="J52" i="25" l="1"/>
  <c r="I52" i="25"/>
  <c r="G52" i="25"/>
  <c r="G58" i="25"/>
  <c r="K52" i="25"/>
  <c r="I22" i="38" l="1"/>
  <c r="I12" i="38" l="1"/>
  <c r="I11" i="38" s="1"/>
  <c r="J22" i="38" l="1"/>
  <c r="J12" i="38" l="1"/>
  <c r="J11" i="38" s="1"/>
  <c r="M12" i="23" l="1"/>
  <c r="M18" i="18" l="1"/>
  <c r="M20" i="18"/>
  <c r="M31" i="27"/>
  <c r="M19" i="18"/>
  <c r="M21" i="18"/>
  <c r="L12" i="23" l="1"/>
  <c r="K12" i="23"/>
  <c r="K19" i="18" l="1"/>
  <c r="K31" i="27"/>
  <c r="L19" i="18"/>
  <c r="L31" i="27"/>
  <c r="K21" i="18"/>
  <c r="K20" i="18"/>
  <c r="L20" i="18"/>
  <c r="K18" i="18"/>
  <c r="L18" i="18"/>
  <c r="L21" i="18"/>
  <c r="J21" i="18" l="1"/>
  <c r="J12" i="23" l="1"/>
  <c r="J20" i="18"/>
  <c r="J31" i="27"/>
  <c r="J19" i="18"/>
  <c r="J18" i="18" l="1"/>
  <c r="I26" i="19" l="1"/>
  <c r="I13" i="23" l="1"/>
  <c r="J11" i="11"/>
  <c r="J18" i="23"/>
  <c r="J17" i="27"/>
  <c r="I18" i="23"/>
  <c r="I17" i="27"/>
  <c r="I11" i="11"/>
  <c r="L17" i="18"/>
  <c r="L10" i="11" s="1"/>
  <c r="L32" i="27"/>
  <c r="I17" i="18"/>
  <c r="I10" i="11" s="1"/>
  <c r="I32" i="27"/>
  <c r="M17" i="18"/>
  <c r="M10" i="11" s="1"/>
  <c r="M32" i="27"/>
  <c r="J32" i="27"/>
  <c r="J17" i="18"/>
  <c r="J10" i="11" s="1"/>
  <c r="K17" i="18"/>
  <c r="K10" i="11" s="1"/>
  <c r="K32" i="27"/>
  <c r="I19" i="27" l="1"/>
  <c r="I33" i="27"/>
  <c r="J19" i="27"/>
  <c r="J33" i="27"/>
  <c r="G62" i="25" l="1"/>
  <c r="H62" i="25" l="1"/>
  <c r="I33" i="36" l="1"/>
  <c r="J34" i="36" s="1"/>
  <c r="I35" i="36" l="1"/>
  <c r="G20" i="29"/>
  <c r="J58" i="25" l="1"/>
  <c r="K58" i="25" l="1"/>
  <c r="I58" i="25" l="1"/>
  <c r="I63" i="36" l="1"/>
  <c r="I65" i="36" s="1"/>
  <c r="K11" i="11" l="1"/>
  <c r="K18" i="23"/>
  <c r="K17" i="27"/>
  <c r="M18" i="23" l="1"/>
  <c r="M11" i="11"/>
  <c r="M17" i="27"/>
  <c r="K33" i="27"/>
  <c r="K19" i="27"/>
  <c r="L11" i="11"/>
  <c r="L17" i="27"/>
  <c r="L18" i="23"/>
  <c r="L33" i="27" l="1"/>
  <c r="L19" i="27"/>
  <c r="M33" i="27"/>
  <c r="M19" i="27"/>
  <c r="I24" i="12" l="1"/>
  <c r="I28" i="12" s="1"/>
  <c r="J24" i="12" l="1"/>
  <c r="J28" i="12" s="1"/>
  <c r="I30" i="19" l="1"/>
  <c r="I17" i="23"/>
  <c r="I21" i="23" s="1"/>
  <c r="I103" i="13" l="1"/>
  <c r="I105" i="13" l="1"/>
  <c r="I106" i="13" s="1"/>
  <c r="I65" i="13"/>
  <c r="J62" i="13" s="1"/>
  <c r="J105" i="13"/>
  <c r="J65" i="13" l="1"/>
  <c r="K62" i="13" s="1"/>
  <c r="J103" i="13"/>
  <c r="J106" i="13" s="1"/>
  <c r="I21" i="14"/>
  <c r="I23" i="14" s="1"/>
  <c r="I110" i="13"/>
  <c r="J110" i="13" l="1"/>
  <c r="J21" i="14"/>
  <c r="J23" i="14" s="1"/>
  <c r="K65" i="13"/>
  <c r="L62" i="13" s="1"/>
  <c r="K103" i="13"/>
  <c r="L65" i="13" l="1"/>
  <c r="M62" i="13" s="1"/>
  <c r="M65" i="13" s="1"/>
  <c r="I13" i="13" l="1"/>
  <c r="J10" i="13" l="1"/>
  <c r="I10" i="14"/>
  <c r="I19" i="13"/>
  <c r="I13" i="14" l="1"/>
  <c r="J16" i="13"/>
  <c r="J13" i="13" l="1"/>
  <c r="J10" i="14" l="1"/>
  <c r="K10" i="13"/>
  <c r="K13" i="13" l="1"/>
  <c r="K10" i="14" l="1"/>
  <c r="L10" i="13"/>
  <c r="L13" i="13" s="1"/>
  <c r="M10" i="13" l="1"/>
  <c r="M13" i="13" s="1"/>
  <c r="L10" i="14"/>
  <c r="M10" i="14" l="1"/>
  <c r="J19" i="13" l="1"/>
  <c r="J13" i="14" l="1"/>
  <c r="K16" i="13"/>
  <c r="K19" i="13" l="1"/>
  <c r="L16" i="13" l="1"/>
  <c r="K13" i="14"/>
  <c r="L19" i="13" l="1"/>
  <c r="M16" i="13" l="1"/>
  <c r="L13" i="14"/>
  <c r="M19" i="13"/>
  <c r="M13" i="14" s="1"/>
  <c r="K77" i="13" l="1"/>
  <c r="L76" i="13"/>
  <c r="L77" i="13" l="1"/>
  <c r="M76" i="13"/>
  <c r="M77" i="13" l="1"/>
  <c r="I32" i="13" l="1"/>
  <c r="I17" i="14" l="1"/>
  <c r="I18" i="14" s="1"/>
  <c r="I26" i="14" s="1"/>
  <c r="J27" i="14" s="1"/>
  <c r="I34" i="13"/>
  <c r="I36" i="13" s="1"/>
  <c r="I112" i="13" s="1"/>
  <c r="I46" i="14" l="1"/>
  <c r="J63" i="36" l="1"/>
  <c r="J33" i="36" l="1"/>
  <c r="K34" i="36" l="1"/>
  <c r="J35" i="36"/>
  <c r="G29" i="29" l="1"/>
  <c r="J65" i="36"/>
  <c r="I62" i="25" l="1"/>
  <c r="J62" i="25" l="1"/>
  <c r="K62" i="25" l="1"/>
  <c r="J32" i="13"/>
  <c r="J17" i="14" l="1"/>
  <c r="J18" i="14" s="1"/>
  <c r="J26" i="14" s="1"/>
  <c r="J34" i="13"/>
  <c r="J36" i="13" s="1"/>
  <c r="J112" i="13" s="1"/>
  <c r="K27" i="14" l="1"/>
  <c r="J29" i="14"/>
  <c r="K32" i="13" l="1"/>
  <c r="K17" i="14" l="1"/>
  <c r="K34" i="13"/>
  <c r="K36" i="13" s="1"/>
  <c r="K18" i="14" l="1"/>
  <c r="I29" i="14" l="1"/>
  <c r="L24" i="12" l="1"/>
  <c r="L28" i="12" s="1"/>
  <c r="M24" i="12" l="1"/>
  <c r="M28" i="12" s="1"/>
  <c r="K24" i="12" l="1"/>
  <c r="K28" i="12" s="1"/>
  <c r="I13" i="12" l="1"/>
  <c r="I17" i="12" s="1"/>
  <c r="I30" i="12" s="1"/>
  <c r="I19" i="11" s="1"/>
  <c r="J13" i="12" l="1"/>
  <c r="J17" i="12" s="1"/>
  <c r="J30" i="12" s="1"/>
  <c r="J19" i="11" s="1"/>
  <c r="K13" i="12" l="1"/>
  <c r="K17" i="12" s="1"/>
  <c r="K30" i="12" s="1"/>
  <c r="K19" i="11" s="1"/>
  <c r="L13" i="12" l="1"/>
  <c r="L17" i="12" s="1"/>
  <c r="L30" i="12" s="1"/>
  <c r="L19" i="11" s="1"/>
  <c r="M13" i="12" l="1"/>
  <c r="M17" i="12" s="1"/>
  <c r="M30" i="12" s="1"/>
  <c r="M19" i="11" s="1"/>
  <c r="J13" i="23" l="1"/>
  <c r="J26" i="19"/>
  <c r="J30" i="19" l="1"/>
  <c r="J17" i="23"/>
  <c r="J21" i="23" s="1"/>
  <c r="I22" i="29" l="1"/>
  <c r="G24" i="29"/>
  <c r="I20" i="29"/>
  <c r="I24" i="29" l="1"/>
  <c r="G33" i="29" l="1"/>
  <c r="I31" i="29"/>
  <c r="I29" i="29"/>
  <c r="O24" i="29" l="1"/>
  <c r="Q24" i="29"/>
  <c r="I13" i="18" s="1"/>
  <c r="I33" i="29"/>
  <c r="I9" i="23" l="1"/>
  <c r="I14" i="23" s="1"/>
  <c r="I23" i="23" s="1"/>
  <c r="L32" i="13" l="1"/>
  <c r="L17" i="14" l="1"/>
  <c r="L34" i="13"/>
  <c r="L36" i="13" s="1"/>
  <c r="L18" i="14" l="1"/>
  <c r="M32" i="13" l="1"/>
  <c r="M17" i="14" l="1"/>
  <c r="M34" i="13"/>
  <c r="M36" i="13" s="1"/>
  <c r="M18" i="14" l="1"/>
  <c r="K33" i="36" l="1"/>
  <c r="K35" i="36" l="1"/>
  <c r="L34" i="36"/>
  <c r="G38" i="29" l="1"/>
  <c r="K63" i="36" l="1"/>
  <c r="K65" i="36" s="1"/>
  <c r="O38" i="29" s="1"/>
  <c r="O33" i="29"/>
  <c r="Q33" i="29" l="1"/>
  <c r="J13" i="18" s="1"/>
  <c r="L33" i="36"/>
  <c r="M34" i="36" l="1"/>
  <c r="L35" i="36"/>
  <c r="J9" i="23"/>
  <c r="J14" i="23" s="1"/>
  <c r="J23" i="23" s="1"/>
  <c r="G47" i="29" l="1"/>
  <c r="M33" i="36" l="1"/>
  <c r="M35" i="36" s="1"/>
  <c r="L63" i="36" l="1"/>
  <c r="L65" i="36" s="1"/>
  <c r="O47" i="29" s="1"/>
  <c r="G56" i="29"/>
  <c r="M63" i="36" l="1"/>
  <c r="M65" i="36" s="1"/>
  <c r="O56" i="29" s="1"/>
  <c r="H148" i="52" l="1"/>
  <c r="H150" i="52"/>
  <c r="H148" i="42"/>
  <c r="H150" i="42"/>
  <c r="H148" i="51"/>
  <c r="H150" i="51"/>
  <c r="K56" i="13" l="1"/>
  <c r="L55" i="13"/>
  <c r="M55" i="13" l="1"/>
  <c r="L56" i="13"/>
  <c r="M56" i="13" l="1"/>
  <c r="J94" i="54" l="1"/>
  <c r="J101" i="53" l="1"/>
  <c r="J108" i="50" l="1"/>
  <c r="G101" i="53" l="1"/>
  <c r="G94" i="54" l="1"/>
  <c r="L105" i="13" l="1"/>
  <c r="K105" i="13"/>
  <c r="M105" i="13" l="1"/>
  <c r="K70" i="13" l="1"/>
  <c r="M69" i="13"/>
  <c r="K42" i="14"/>
  <c r="L44" i="14" l="1"/>
  <c r="K46" i="14"/>
  <c r="L70" i="13"/>
  <c r="M70" i="13"/>
  <c r="L42" i="14"/>
  <c r="M44" i="14" l="1"/>
  <c r="L46" i="14"/>
  <c r="M42" i="14"/>
  <c r="M46" i="14" s="1"/>
  <c r="K42" i="13" l="1"/>
  <c r="L41" i="13"/>
  <c r="K49" i="13" l="1"/>
  <c r="L48" i="13"/>
  <c r="L49" i="13" s="1"/>
  <c r="M48" i="13"/>
  <c r="M41" i="13" l="1"/>
  <c r="L42" i="13"/>
  <c r="M42" i="13"/>
  <c r="M49" i="13"/>
  <c r="L103" i="13" l="1"/>
  <c r="K87" i="13" l="1"/>
  <c r="K104" i="13"/>
  <c r="K106" i="13" s="1"/>
  <c r="K21" i="14" l="1"/>
  <c r="K110" i="13"/>
  <c r="K112" i="13" s="1"/>
  <c r="K23" i="14" l="1"/>
  <c r="K26" i="14" s="1"/>
  <c r="L27" i="14" s="1"/>
  <c r="K29" i="14" l="1"/>
  <c r="L87" i="13" l="1"/>
  <c r="L104" i="13"/>
  <c r="L106" i="13" s="1"/>
  <c r="M104" i="13"/>
  <c r="M87" i="13" l="1"/>
  <c r="M103" i="13"/>
  <c r="M106" i="13" s="1"/>
  <c r="L21" i="14"/>
  <c r="L110" i="13"/>
  <c r="L112" i="13" s="1"/>
  <c r="L23" i="14" l="1"/>
  <c r="L26" i="14" s="1"/>
  <c r="L29" i="14" s="1"/>
  <c r="M110" i="13"/>
  <c r="M112" i="13" s="1"/>
  <c r="M21" i="14"/>
  <c r="M27" i="14" l="1"/>
  <c r="M23" i="14"/>
  <c r="M26" i="14" l="1"/>
  <c r="M29" i="14" s="1"/>
  <c r="K13" i="23" l="1"/>
  <c r="K26" i="19"/>
  <c r="K30" i="19" l="1"/>
  <c r="K17" i="23"/>
  <c r="K21" i="23" s="1"/>
  <c r="G65" i="50" l="1"/>
  <c r="J65" i="50"/>
  <c r="G100" i="50" l="1"/>
  <c r="G111" i="50" s="1"/>
  <c r="J100" i="50"/>
  <c r="J111" i="50" s="1"/>
  <c r="I40" i="29" l="1"/>
  <c r="I38" i="29"/>
  <c r="G42" i="29"/>
  <c r="I42" i="29" l="1"/>
  <c r="O42" i="29"/>
  <c r="G60" i="53"/>
  <c r="G93" i="53" l="1"/>
  <c r="G104" i="53" s="1"/>
  <c r="J60" i="53"/>
  <c r="J93" i="53" l="1"/>
  <c r="J104" i="53" s="1"/>
  <c r="G53" i="54" l="1"/>
  <c r="J53" i="54" l="1"/>
  <c r="G86" i="54"/>
  <c r="G97" i="54" s="1"/>
  <c r="J86" i="54" l="1"/>
  <c r="J97" i="54" s="1"/>
  <c r="L26" i="19" l="1"/>
  <c r="L13" i="23"/>
  <c r="L17" i="23" l="1"/>
  <c r="L21" i="23" s="1"/>
  <c r="L30" i="19"/>
  <c r="G51" i="29" l="1"/>
  <c r="I47" i="29"/>
  <c r="I49" i="29"/>
  <c r="I51" i="29" l="1"/>
  <c r="O51" i="29" l="1"/>
  <c r="M26" i="19" l="1"/>
  <c r="M13" i="23"/>
  <c r="M17" i="23" l="1"/>
  <c r="M21" i="23" s="1"/>
  <c r="M30" i="19"/>
  <c r="I58" i="29" l="1"/>
  <c r="I56" i="29"/>
  <c r="G60" i="29"/>
  <c r="I60" i="29" l="1"/>
  <c r="O60" i="29" l="1"/>
  <c r="L22" i="38" l="1"/>
  <c r="L12" i="38" s="1"/>
  <c r="L11" i="38" s="1"/>
  <c r="K22" i="38" l="1"/>
  <c r="K12" i="38" s="1"/>
  <c r="K11" i="38" s="1"/>
  <c r="M22" i="38" l="1"/>
  <c r="M12" i="38" s="1"/>
  <c r="M11" i="38" s="1"/>
  <c r="J15" i="27" l="1"/>
  <c r="J22" i="27" s="1"/>
  <c r="J35" i="27" s="1"/>
  <c r="I15" i="27"/>
  <c r="I22" i="27" s="1"/>
  <c r="I35" i="27" s="1"/>
  <c r="K15" i="27" l="1"/>
  <c r="K22" i="27" s="1"/>
  <c r="K35" i="27" s="1"/>
  <c r="L15" i="27" l="1"/>
  <c r="L22" i="27" s="1"/>
  <c r="L35" i="27" s="1"/>
  <c r="M15" i="27" l="1"/>
  <c r="M22" i="27" s="1"/>
  <c r="M35" i="27" s="1"/>
  <c r="I26" i="27" l="1"/>
  <c r="I28" i="27" s="1"/>
  <c r="I12" i="19" s="1"/>
  <c r="I19" i="19" l="1"/>
  <c r="I21" i="19" s="1"/>
  <c r="I32" i="19" s="1"/>
  <c r="I16" i="18"/>
  <c r="I9" i="11" l="1"/>
  <c r="I13" i="11" s="1"/>
  <c r="I15" i="11" s="1"/>
  <c r="I21" i="11" s="1"/>
  <c r="I31" i="14" s="1"/>
  <c r="I34" i="14" s="1"/>
  <c r="I48" i="14" s="1"/>
  <c r="I25" i="18"/>
  <c r="I27" i="18" s="1"/>
  <c r="I12" i="20"/>
  <c r="I14" i="20" s="1"/>
  <c r="I19" i="20" s="1"/>
  <c r="J26" i="27"/>
  <c r="J28" i="27" s="1"/>
  <c r="J12" i="19" s="1"/>
  <c r="J16" i="18" l="1"/>
  <c r="J19" i="19"/>
  <c r="J21" i="19" s="1"/>
  <c r="J32" i="19" s="1"/>
  <c r="I24" i="20"/>
  <c r="I25" i="20" s="1"/>
  <c r="J9" i="20"/>
  <c r="I9" i="18"/>
  <c r="I11" i="18" s="1"/>
  <c r="M24" i="29"/>
  <c r="M26" i="27"/>
  <c r="M28" i="27" s="1"/>
  <c r="M12" i="19" s="1"/>
  <c r="M22" i="29" l="1"/>
  <c r="M20" i="29"/>
  <c r="J12" i="20"/>
  <c r="J14" i="20" s="1"/>
  <c r="J19" i="20" s="1"/>
  <c r="M19" i="19"/>
  <c r="M21" i="19" s="1"/>
  <c r="M32" i="19" s="1"/>
  <c r="M16" i="18"/>
  <c r="J9" i="11"/>
  <c r="J13" i="11" s="1"/>
  <c r="J15" i="11" s="1"/>
  <c r="J21" i="11" s="1"/>
  <c r="J31" i="14" s="1"/>
  <c r="J34" i="14" s="1"/>
  <c r="J48" i="14" s="1"/>
  <c r="J25" i="18"/>
  <c r="J27" i="18" s="1"/>
  <c r="M9" i="11" l="1"/>
  <c r="M13" i="11" s="1"/>
  <c r="M15" i="11" s="1"/>
  <c r="M21" i="11" s="1"/>
  <c r="M31" i="14" s="1"/>
  <c r="M25" i="18"/>
  <c r="M12" i="20"/>
  <c r="M33" i="29"/>
  <c r="J9" i="18"/>
  <c r="J11" i="18" s="1"/>
  <c r="L9" i="20"/>
  <c r="K9" i="20"/>
  <c r="J24" i="20"/>
  <c r="J25" i="20" s="1"/>
  <c r="M29" i="29" l="1"/>
  <c r="M31" i="29"/>
  <c r="M34" i="14"/>
  <c r="K26" i="27"/>
  <c r="K28" i="27" s="1"/>
  <c r="K12" i="19" s="1"/>
  <c r="M48" i="14" l="1"/>
  <c r="K16" i="18"/>
  <c r="K19" i="19"/>
  <c r="K21" i="19" s="1"/>
  <c r="K32" i="19" s="1"/>
  <c r="L26" i="27"/>
  <c r="L28" i="27" s="1"/>
  <c r="L12" i="19" s="1"/>
  <c r="K12" i="20" l="1"/>
  <c r="K14" i="20" s="1"/>
  <c r="K19" i="20" s="1"/>
  <c r="K25" i="18"/>
  <c r="K9" i="11"/>
  <c r="K13" i="11" s="1"/>
  <c r="K15" i="11" s="1"/>
  <c r="K21" i="11" s="1"/>
  <c r="K31" i="14" s="1"/>
  <c r="K34" i="14" s="1"/>
  <c r="K48" i="14" s="1"/>
  <c r="L16" i="18"/>
  <c r="L19" i="19"/>
  <c r="L21" i="19" s="1"/>
  <c r="L32" i="19" s="1"/>
  <c r="M9" i="18"/>
  <c r="M60" i="29"/>
  <c r="M58" i="29" l="1"/>
  <c r="Q58" i="29" s="1"/>
  <c r="M56" i="29"/>
  <c r="Q56" i="29" s="1"/>
  <c r="L12" i="20"/>
  <c r="L14" i="20" s="1"/>
  <c r="L19" i="20" s="1"/>
  <c r="L24" i="20" s="1"/>
  <c r="L25" i="20" s="1"/>
  <c r="L9" i="11"/>
  <c r="L13" i="11" s="1"/>
  <c r="L15" i="11" s="1"/>
  <c r="L21" i="11" s="1"/>
  <c r="L31" i="14" s="1"/>
  <c r="L34" i="14" s="1"/>
  <c r="L48" i="14" s="1"/>
  <c r="L25" i="18"/>
  <c r="K9" i="18"/>
  <c r="M42" i="29"/>
  <c r="M9" i="20"/>
  <c r="M14" i="20" s="1"/>
  <c r="M19" i="20" s="1"/>
  <c r="M24" i="20" s="1"/>
  <c r="M25" i="20" s="1"/>
  <c r="K24" i="20"/>
  <c r="K25" i="20" s="1"/>
  <c r="L9" i="18" l="1"/>
  <c r="M51" i="29"/>
  <c r="M40" i="29"/>
  <c r="Q40" i="29" s="1"/>
  <c r="M38" i="29"/>
  <c r="Q38" i="29" s="1"/>
  <c r="Q60" i="29"/>
  <c r="M13" i="18" s="1"/>
  <c r="M27" i="18" l="1"/>
  <c r="M9" i="23"/>
  <c r="M14" i="23" s="1"/>
  <c r="M23" i="23" s="1"/>
  <c r="M11" i="18"/>
  <c r="M47" i="29"/>
  <c r="Q47" i="29" s="1"/>
  <c r="M49" i="29"/>
  <c r="Q49" i="29" s="1"/>
  <c r="Q42" i="29"/>
  <c r="K13" i="18" s="1"/>
  <c r="Q51" i="29" l="1"/>
  <c r="L13" i="18" s="1"/>
  <c r="L27" i="18" s="1"/>
  <c r="K11" i="18"/>
  <c r="K27" i="18"/>
  <c r="K9" i="23"/>
  <c r="K14" i="23" s="1"/>
  <c r="K23" i="23" s="1"/>
  <c r="L9" i="23"/>
  <c r="L14" i="23" s="1"/>
  <c r="L23" i="23" s="1"/>
  <c r="L11" i="18" l="1"/>
</calcChain>
</file>

<file path=xl/sharedStrings.xml><?xml version="1.0" encoding="utf-8"?>
<sst xmlns="http://schemas.openxmlformats.org/spreadsheetml/2006/main" count="1298" uniqueCount="553">
  <si>
    <t>Yukon Energy Corporation</t>
  </si>
  <si>
    <t>Schedule Index</t>
  </si>
  <si>
    <t>2A</t>
  </si>
  <si>
    <t>Cost of Capital Calculation</t>
  </si>
  <si>
    <t>10A</t>
  </si>
  <si>
    <t>Schedule 1</t>
  </si>
  <si>
    <t>Computation of Rate Base</t>
  </si>
  <si>
    <t>($000s)</t>
  </si>
  <si>
    <t>Line No.</t>
  </si>
  <si>
    <t>Description</t>
  </si>
  <si>
    <t>Cross Ref.</t>
  </si>
  <si>
    <t>Property, Plant and Equipment</t>
  </si>
  <si>
    <t>Year end balance</t>
  </si>
  <si>
    <t xml:space="preserve"> </t>
  </si>
  <si>
    <t>Deduct:</t>
  </si>
  <si>
    <t>Accumulated depreciation (note 1)</t>
  </si>
  <si>
    <t>Construction-in-progress</t>
  </si>
  <si>
    <t>S.3 L.11</t>
  </si>
  <si>
    <t>Disallowed assets</t>
  </si>
  <si>
    <t>S.3 L.12</t>
  </si>
  <si>
    <t xml:space="preserve">Miscellaneous reserves </t>
  </si>
  <si>
    <t>Total deductions</t>
  </si>
  <si>
    <t>Add:</t>
  </si>
  <si>
    <t>Accum. Disallowed depreciation</t>
  </si>
  <si>
    <t>Total additions</t>
  </si>
  <si>
    <t>Net plant in Service</t>
  </si>
  <si>
    <t>Current year-end balance</t>
  </si>
  <si>
    <t>Previous year-end balance</t>
  </si>
  <si>
    <t>Total</t>
  </si>
  <si>
    <t>Mid-year balance</t>
  </si>
  <si>
    <t>Working capital</t>
  </si>
  <si>
    <t>S.2 L.8</t>
  </si>
  <si>
    <t>Gross Rate Base</t>
  </si>
  <si>
    <t>Contributions in WIP</t>
  </si>
  <si>
    <t>Current year-end balance in-service</t>
  </si>
  <si>
    <t>Accumulated amortization of contributions</t>
  </si>
  <si>
    <t>Net current year-end balance in-service</t>
  </si>
  <si>
    <t>Net Rate Base</t>
  </si>
  <si>
    <t>S.5 L.1</t>
  </si>
  <si>
    <t>Note 1: Including Reserve for Future Removal and Site Restoration</t>
  </si>
  <si>
    <t>Schedule 2</t>
  </si>
  <si>
    <t>Computation of Allowance for Working Capital</t>
  </si>
  <si>
    <t>Operating and maintenance</t>
  </si>
  <si>
    <t>S.5 L.5</t>
  </si>
  <si>
    <t>Taxes other than income</t>
  </si>
  <si>
    <t>S.5 L.6</t>
  </si>
  <si>
    <t>Non-allowable expenses</t>
  </si>
  <si>
    <t>Cash operating expenses</t>
  </si>
  <si>
    <t>27/365</t>
  </si>
  <si>
    <t>Inventory (three year average)</t>
  </si>
  <si>
    <t>GST Impact on working capital</t>
  </si>
  <si>
    <t>S.2A L.11</t>
  </si>
  <si>
    <t>Schedule 2A</t>
  </si>
  <si>
    <t>Effect of GST on Working Capital</t>
  </si>
  <si>
    <t>Expenses subject to GST</t>
  </si>
  <si>
    <t>GST Rate</t>
  </si>
  <si>
    <t>GST Recoverable</t>
  </si>
  <si>
    <t>Day Factor</t>
  </si>
  <si>
    <t>Recoverable portion of GST impact</t>
  </si>
  <si>
    <t>Revenue subject to GST</t>
  </si>
  <si>
    <t>GST payable</t>
  </si>
  <si>
    <t>Day factor</t>
  </si>
  <si>
    <t>Payable portion of GST impact</t>
  </si>
  <si>
    <t>Net impact of GST on working capital</t>
  </si>
  <si>
    <t>S.2 L.7</t>
  </si>
  <si>
    <t>Schedule 3</t>
  </si>
  <si>
    <t>Balance at beginning of year</t>
  </si>
  <si>
    <t>Net Increases to PPE (Table 5.1)</t>
  </si>
  <si>
    <t>Retirements, disposals and adjustments</t>
  </si>
  <si>
    <t>Balance at end of year</t>
  </si>
  <si>
    <t>S.1 L.2</t>
  </si>
  <si>
    <t>Accumulated depreciation</t>
  </si>
  <si>
    <t>Depreciation expense</t>
  </si>
  <si>
    <t>S.6 L.7</t>
  </si>
  <si>
    <t>Deductions from PP&amp;E:</t>
  </si>
  <si>
    <t>S.1 L.5</t>
  </si>
  <si>
    <t>S.1 L.11</t>
  </si>
  <si>
    <t>Net Disallowed</t>
  </si>
  <si>
    <t>S.1 L.4</t>
  </si>
  <si>
    <t>Miscellaneous Reserves</t>
  </si>
  <si>
    <t>Reserve for Injuries and Damages</t>
  </si>
  <si>
    <t>Reserve for Future Removal and Site Restoration</t>
  </si>
  <si>
    <t>S.1 L.6</t>
  </si>
  <si>
    <t>Total Deductions</t>
  </si>
  <si>
    <t>Net Property, Plant and Equipment for Rate Base</t>
  </si>
  <si>
    <t>Feasibility Studies</t>
  </si>
  <si>
    <t>Opening balance</t>
  </si>
  <si>
    <t>Additions</t>
  </si>
  <si>
    <t>Amortization</t>
  </si>
  <si>
    <t>Year-end balance</t>
  </si>
  <si>
    <t>Relicensing</t>
  </si>
  <si>
    <t>Dam Safety</t>
  </si>
  <si>
    <t>Intangibles</t>
  </si>
  <si>
    <t>S.1 L.9</t>
  </si>
  <si>
    <t>S.6 L.6</t>
  </si>
  <si>
    <t>Land</t>
  </si>
  <si>
    <t>Hydraulic Production</t>
  </si>
  <si>
    <t>Diesel Production</t>
  </si>
  <si>
    <t>Main Transmission Facilities</t>
  </si>
  <si>
    <t>General Plant</t>
  </si>
  <si>
    <t>Rights</t>
  </si>
  <si>
    <t>Total Land</t>
  </si>
  <si>
    <t>Hydro Plant</t>
  </si>
  <si>
    <t>Structures and Improvements</t>
  </si>
  <si>
    <t>Reservoirs, Dams, and Waterways</t>
  </si>
  <si>
    <t>Waterwheels,Turbines &amp; Generation</t>
  </si>
  <si>
    <t>Accessory Electric Equipment</t>
  </si>
  <si>
    <t>Misc Power Plant Equipment</t>
  </si>
  <si>
    <t>Fencing</t>
  </si>
  <si>
    <t>Total Hydro Plant</t>
  </si>
  <si>
    <t>Buildings and Improvements</t>
  </si>
  <si>
    <t>Fuel Holders, Products, and ACC</t>
  </si>
  <si>
    <t>Generating Equipment and Prime</t>
  </si>
  <si>
    <t>Total Diesel Production</t>
  </si>
  <si>
    <t>Wind Turbine</t>
  </si>
  <si>
    <t>Total Wind Turbine</t>
  </si>
  <si>
    <t>Poles and Fixtures</t>
  </si>
  <si>
    <t>Brushing</t>
  </si>
  <si>
    <t>Survey Costs</t>
  </si>
  <si>
    <t>Overhead Conductors / Poles</t>
  </si>
  <si>
    <t>Overhead Conductors / Towers</t>
  </si>
  <si>
    <t>Substation Equipment</t>
  </si>
  <si>
    <t>Substation Buildings</t>
  </si>
  <si>
    <t>Substation Fences</t>
  </si>
  <si>
    <t>Total Main Transmission Facilities</t>
  </si>
  <si>
    <t>Sub Transmission Lines</t>
  </si>
  <si>
    <t>25Kv Minto Spur- Structure</t>
  </si>
  <si>
    <t xml:space="preserve">Brushing </t>
  </si>
  <si>
    <t xml:space="preserve">Survey costs </t>
  </si>
  <si>
    <t>Overhead Conductors</t>
  </si>
  <si>
    <t>Underground Conductors / Conduit</t>
  </si>
  <si>
    <t>Total Sub Transmission Lines</t>
  </si>
  <si>
    <t>Distribution System</t>
  </si>
  <si>
    <t>Overhead conductors - Poles</t>
  </si>
  <si>
    <t>Overhead Costs</t>
  </si>
  <si>
    <t>Underground Services</t>
  </si>
  <si>
    <t>Wind Monitoring Equipment</t>
  </si>
  <si>
    <t>Meters</t>
  </si>
  <si>
    <t>Meter Equipment</t>
  </si>
  <si>
    <t>Street Lights</t>
  </si>
  <si>
    <t>Line Transformers</t>
  </si>
  <si>
    <t>Sentinel Lights</t>
  </si>
  <si>
    <t>Total Distribution System</t>
  </si>
  <si>
    <t>Building and Other Equipment</t>
  </si>
  <si>
    <t>Survey Costs Land</t>
  </si>
  <si>
    <t>Structures and Improvements (Hydro)</t>
  </si>
  <si>
    <t>Building and Improvements</t>
  </si>
  <si>
    <t>Office Furniture and Equipment</t>
  </si>
  <si>
    <t>Communication Site Towers</t>
  </si>
  <si>
    <t>Communication Site Fences</t>
  </si>
  <si>
    <t>Computer Hardware</t>
  </si>
  <si>
    <t>Computer Software</t>
  </si>
  <si>
    <t>Tool and Instruments</t>
  </si>
  <si>
    <t>Communication Equipment</t>
  </si>
  <si>
    <t>Company Owned Houses / Land</t>
  </si>
  <si>
    <t>Company Owned Houses</t>
  </si>
  <si>
    <t>Total Building and Other Equipment</t>
  </si>
  <si>
    <t>Transportation</t>
  </si>
  <si>
    <t>Utility Vehicles</t>
  </si>
  <si>
    <t>Sedans and Stationwagons</t>
  </si>
  <si>
    <t>Pole Trailers &gt; 10,000 Lbs</t>
  </si>
  <si>
    <t>Trucks 3/4 to 2 Ton</t>
  </si>
  <si>
    <t>Trucks &gt; 3 Ton</t>
  </si>
  <si>
    <t>Total Transportation</t>
  </si>
  <si>
    <t>Mid Year Balance</t>
  </si>
  <si>
    <t>Ratio</t>
  </si>
  <si>
    <t>Mid Year Rate Base</t>
  </si>
  <si>
    <t>Mid Year Cost Rate</t>
  </si>
  <si>
    <t>Return</t>
  </si>
  <si>
    <t>Long-Term debt</t>
  </si>
  <si>
    <t>Common Stock</t>
  </si>
  <si>
    <t>S.5 L.3</t>
  </si>
  <si>
    <t>Schedule 5</t>
  </si>
  <si>
    <t>Utility Revenue Requirement</t>
  </si>
  <si>
    <t>Net rate base</t>
  </si>
  <si>
    <t>Average Rate of return on rate base</t>
  </si>
  <si>
    <t>Utility income</t>
  </si>
  <si>
    <t>S.8 L.1</t>
  </si>
  <si>
    <t>Utility expenses</t>
  </si>
  <si>
    <t>Operating and maintenance (note 1)</t>
  </si>
  <si>
    <t>S.6 L.3</t>
  </si>
  <si>
    <t>S.6 L.4</t>
  </si>
  <si>
    <t>Amortization of deferred costs</t>
  </si>
  <si>
    <t>S.6 L.5</t>
  </si>
  <si>
    <t>Depreciation</t>
  </si>
  <si>
    <t>Amortization of contributions and fire insurance recoveries</t>
  </si>
  <si>
    <t>S.6 L.8</t>
  </si>
  <si>
    <t>Disallowed depreciation</t>
  </si>
  <si>
    <t>Donations</t>
  </si>
  <si>
    <t>Total utility expenses</t>
  </si>
  <si>
    <t>Revenue Requirement</t>
  </si>
  <si>
    <t>S.6 L.1</t>
  </si>
  <si>
    <t>Note 1: Includes fuel expenses and purchased power.</t>
  </si>
  <si>
    <t>Schedule 6</t>
  </si>
  <si>
    <t>Statement of Earnings</t>
  </si>
  <si>
    <t>Revenues (note 1)</t>
  </si>
  <si>
    <t>S.5 L.14</t>
  </si>
  <si>
    <t>Operating expenses</t>
  </si>
  <si>
    <t>S.10 L.15</t>
  </si>
  <si>
    <t>Amortize deferred costs</t>
  </si>
  <si>
    <t>S.5 L.8</t>
  </si>
  <si>
    <t>S.3 L.8</t>
  </si>
  <si>
    <t>S.5 L.10</t>
  </si>
  <si>
    <t>Operating income</t>
  </si>
  <si>
    <t>Other income</t>
  </si>
  <si>
    <t>Allowed for Funds Used</t>
  </si>
  <si>
    <t>S.8 L.2</t>
  </si>
  <si>
    <t>Miscellaneous (note 2)</t>
  </si>
  <si>
    <t>S.8 L.3</t>
  </si>
  <si>
    <t>Other expenses</t>
  </si>
  <si>
    <t>Interest expense</t>
  </si>
  <si>
    <t>S.8 L.4</t>
  </si>
  <si>
    <t>Net earnings</t>
  </si>
  <si>
    <t>S.8 L.8</t>
  </si>
  <si>
    <t xml:space="preserve">Note 1: Includes revenues from sales and other revenues. </t>
  </si>
  <si>
    <t>Note 2: Miscellaneous primarily consistent of Regulatory gain/losses and other interest income/expenses.</t>
  </si>
  <si>
    <t>Schedule 7</t>
  </si>
  <si>
    <t>Statement of Retained Earnings</t>
  </si>
  <si>
    <t>S.6 L.18</t>
  </si>
  <si>
    <t>IFRS Comprehensive Income Adjustment</t>
  </si>
  <si>
    <t>Balance at end of year before dividend</t>
  </si>
  <si>
    <t>Less:</t>
  </si>
  <si>
    <t>Shareholder's Equity</t>
  </si>
  <si>
    <t>Common shares</t>
  </si>
  <si>
    <t>Retained earnings</t>
  </si>
  <si>
    <t>Note:</t>
  </si>
  <si>
    <t>1. YDC equity injection/dividend estimates required in order to maintain 60/40 debt to equity ratio.</t>
  </si>
  <si>
    <t>Schedule 8</t>
  </si>
  <si>
    <t>Reconciliation of Utility Income to Net Earnings</t>
  </si>
  <si>
    <t>Utility Income (Return on Rate Base)</t>
  </si>
  <si>
    <t>Allowance for funds used</t>
  </si>
  <si>
    <t>S.6 L.12</t>
  </si>
  <si>
    <t>Other income (expenses)</t>
  </si>
  <si>
    <t>S.6 L.13</t>
  </si>
  <si>
    <t>Interest - long-term</t>
  </si>
  <si>
    <t>S.6 L.17</t>
  </si>
  <si>
    <t>S.5 L.12</t>
  </si>
  <si>
    <t>Disallowed costs</t>
  </si>
  <si>
    <t>S.5 L.11</t>
  </si>
  <si>
    <t>Schedule 9</t>
  </si>
  <si>
    <t>Summary of Customers, Energy Sales and Revenues</t>
  </si>
  <si>
    <t>Residential</t>
  </si>
  <si>
    <t>Customers</t>
  </si>
  <si>
    <t>Sales in MWh</t>
  </si>
  <si>
    <t>MWh sales per customer</t>
  </si>
  <si>
    <t>Revenue ($000s)</t>
  </si>
  <si>
    <t>Cents per KWh</t>
  </si>
  <si>
    <t>General Service</t>
  </si>
  <si>
    <t>Industrial</t>
  </si>
  <si>
    <t>Street lights</t>
  </si>
  <si>
    <t>Space lights</t>
  </si>
  <si>
    <t>Total Company - Firm Retail and Industrial</t>
  </si>
  <si>
    <t>Wholesale sales</t>
  </si>
  <si>
    <t>Total Company - Firm</t>
  </si>
  <si>
    <t>Secondary</t>
  </si>
  <si>
    <t xml:space="preserve">Total Company </t>
  </si>
  <si>
    <t>Rider J</t>
  </si>
  <si>
    <t>GRA Increase Req'd</t>
  </si>
  <si>
    <t>Total Sales of Power</t>
  </si>
  <si>
    <t>Other Revenues</t>
  </si>
  <si>
    <t>Total Revenues</t>
  </si>
  <si>
    <t>Schedule 10</t>
  </si>
  <si>
    <t>Summary of Operating and Maintenance Expenses</t>
  </si>
  <si>
    <t>Utility operations</t>
  </si>
  <si>
    <t>Production</t>
  </si>
  <si>
    <t>Transmission and distribution</t>
  </si>
  <si>
    <t>General</t>
  </si>
  <si>
    <t>Administration and general</t>
  </si>
  <si>
    <t>Insurance</t>
  </si>
  <si>
    <t>Sub-total</t>
  </si>
  <si>
    <t>O&amp;M not including fuel and</t>
  </si>
  <si>
    <t>purchased power</t>
  </si>
  <si>
    <t>Fuel</t>
  </si>
  <si>
    <t>Purchased power</t>
  </si>
  <si>
    <t>Total operating and maintenance</t>
  </si>
  <si>
    <t>Property Taxes</t>
  </si>
  <si>
    <t>less: Donations</t>
  </si>
  <si>
    <t>O&amp;M per Table 3.3 (Tab 3)</t>
  </si>
  <si>
    <t>Schedule 10A</t>
  </si>
  <si>
    <t>Summary of Labour Costs</t>
  </si>
  <si>
    <t>Labour Costs</t>
  </si>
  <si>
    <t>Transmission</t>
  </si>
  <si>
    <t>Distribution</t>
  </si>
  <si>
    <t>Administration</t>
  </si>
  <si>
    <t>Total Labour</t>
  </si>
  <si>
    <t>Schedule 11</t>
  </si>
  <si>
    <t>Summary of Cost of Long - Term Debt</t>
  </si>
  <si>
    <t>YDC Mayo B Flexible Term Debt</t>
  </si>
  <si>
    <t>Minto Decommissioning Reserve</t>
  </si>
  <si>
    <t>Mid Year</t>
  </si>
  <si>
    <t>Total Cost of Interest</t>
  </si>
  <si>
    <t>Mid-Year Cost of Debt</t>
  </si>
  <si>
    <t>S.1 L.3</t>
  </si>
  <si>
    <t>Overhaul</t>
  </si>
  <si>
    <t>Brushing Minto</t>
  </si>
  <si>
    <t>Survey costs Minto</t>
  </si>
  <si>
    <t>Overhead Conductors Minto</t>
  </si>
  <si>
    <t xml:space="preserve">Substation Equipment </t>
  </si>
  <si>
    <t>Substation Equipment Minto</t>
  </si>
  <si>
    <t>Trucks &amp; Pole Trailer</t>
  </si>
  <si>
    <t>Foremost</t>
  </si>
  <si>
    <t>Critical Spares</t>
  </si>
  <si>
    <t>Total Critical  Spares</t>
  </si>
  <si>
    <t>LNG Production</t>
  </si>
  <si>
    <t>Fuel Holders</t>
  </si>
  <si>
    <t>Generator</t>
  </si>
  <si>
    <t>Fence</t>
  </si>
  <si>
    <t>Total LNG Prodution</t>
  </si>
  <si>
    <t>Contributions for extensions (PP&amp;E)</t>
  </si>
  <si>
    <t xml:space="preserve">Total Miscellaneous Reserves </t>
  </si>
  <si>
    <t>Underground Conduit</t>
  </si>
  <si>
    <t>Accessory Digital Equipment</t>
  </si>
  <si>
    <t>Minto Generating Equipment</t>
  </si>
  <si>
    <t>Depreciation Study Differences</t>
  </si>
  <si>
    <t>DSM</t>
  </si>
  <si>
    <t>S.3 L.4</t>
  </si>
  <si>
    <t>S.1 L.8</t>
  </si>
  <si>
    <t>Schedule 4</t>
  </si>
  <si>
    <t>Total FTEs</t>
  </si>
  <si>
    <t>Tab 3, Table 3.4</t>
  </si>
  <si>
    <t>Total Labour Costs</t>
  </si>
  <si>
    <t>Sum Lines 5-9</t>
  </si>
  <si>
    <t>O&amp;M Labour Costs</t>
  </si>
  <si>
    <t>Labour Costs to Capital</t>
  </si>
  <si>
    <t>Common Dividends (note 1)</t>
  </si>
  <si>
    <t>Total Deferred Costs and Intangible Assets</t>
  </si>
  <si>
    <t>Total Net Deferred Costs and Intangible Assets for Rate Base</t>
  </si>
  <si>
    <t>Deferred study costs and Intangible assets (net of contributions)</t>
  </si>
  <si>
    <t>Continuity Schedule of Property, Plant and Equipment, Deferred Costs and Intangible Assets</t>
  </si>
  <si>
    <t>Total Net PP&amp;E, Deferred Costs and Intangible Assets for Rate Base</t>
  </si>
  <si>
    <t>Substation VGC Group - Gold Mine</t>
  </si>
  <si>
    <t>Fire Insurance Reserve</t>
  </si>
  <si>
    <t>$000</t>
  </si>
  <si>
    <t>STATCOM - VGC Group - Gold Mine</t>
  </si>
  <si>
    <t>Other - VGC Group - Gold Mine</t>
  </si>
  <si>
    <t>Cost at 2024 Year End</t>
  </si>
  <si>
    <t>2020 New Debt</t>
  </si>
  <si>
    <t>$7.7M TD Swap - 2021</t>
  </si>
  <si>
    <t>$17.9M TD Swap - 2022</t>
  </si>
  <si>
    <t>2023 New Debt</t>
  </si>
  <si>
    <t>2024 New Debt</t>
  </si>
  <si>
    <t>Capital Lease Interest</t>
  </si>
  <si>
    <t>Long-Term Debt Balance</t>
  </si>
  <si>
    <t>Interest Expenses</t>
  </si>
  <si>
    <t>YDC Debt - 2020</t>
  </si>
  <si>
    <t>O&amp;M Expense Reported in Tab 3 excludes fuel and purchase power, but also includes the following:</t>
  </si>
  <si>
    <t>Feasibility Studies WIP</t>
  </si>
  <si>
    <t>Relicensing WIP</t>
  </si>
  <si>
    <t>Dam Safety WIP</t>
  </si>
  <si>
    <t>Vegetation Management Deferral WIP</t>
  </si>
  <si>
    <t>Vegetation Management Deferral</t>
  </si>
  <si>
    <t>Intangibles WIP</t>
  </si>
  <si>
    <t>DSM WIP</t>
  </si>
  <si>
    <t>Hydro, Dams wtwys Twin Assets</t>
  </si>
  <si>
    <t>GST blended rate</t>
  </si>
  <si>
    <t>Regulatory WIP</t>
  </si>
  <si>
    <t>Right of Use Assets</t>
  </si>
  <si>
    <t>Total Right of Use Assets</t>
  </si>
  <si>
    <t>YUKON ENERGY CORPORATION</t>
  </si>
  <si>
    <t>Total Expenditures</t>
  </si>
  <si>
    <t>Dec 31</t>
  </si>
  <si>
    <t xml:space="preserve"> Additions</t>
  </si>
  <si>
    <t>Transfers
/Retired</t>
  </si>
  <si>
    <t>Expenses</t>
  </si>
  <si>
    <t>Feasibility Study</t>
  </si>
  <si>
    <t>Completed Projects:</t>
  </si>
  <si>
    <t>Emergency Preparedness Improvement</t>
  </si>
  <si>
    <t>Gladstone</t>
  </si>
  <si>
    <t>Mayo &amp; Aishihik Climate Change</t>
  </si>
  <si>
    <t>PMF Flood Study</t>
  </si>
  <si>
    <t>Total Feasibility Study Closed</t>
  </si>
  <si>
    <t>Regulatory</t>
  </si>
  <si>
    <t>10 Year Renewable Energy Plan</t>
  </si>
  <si>
    <t>YUB 2007-8 - Part 3 Hearing</t>
  </si>
  <si>
    <t>Total Regulatory Closed</t>
  </si>
  <si>
    <t>Whitehorse Hatchery Water Relicensing</t>
  </si>
  <si>
    <t>Whitehorse Relicensing</t>
  </si>
  <si>
    <t>Mayo Relicensing</t>
  </si>
  <si>
    <t>Total Relicensing Closed</t>
  </si>
  <si>
    <t>Dam Safety Review</t>
  </si>
  <si>
    <t>Completed projects</t>
  </si>
  <si>
    <t>Total Deferred Costs</t>
  </si>
  <si>
    <t>Notes:</t>
  </si>
  <si>
    <t>1. This table does not include projects with zero net book value in the beginning of the year.</t>
  </si>
  <si>
    <t>IPP Cost Deferral</t>
  </si>
  <si>
    <t>Defined Benefit Pension Deferral Account</t>
  </si>
  <si>
    <t>Less: Deferred Costs and Intangible Assets in Progress</t>
  </si>
  <si>
    <t>Deferred Costs and Intangible Assets (note 2)</t>
  </si>
  <si>
    <t>Less: Deferred Costs and Intangibles in Progress</t>
  </si>
  <si>
    <t>TD Bank Swap</t>
  </si>
  <si>
    <t>YDC $12.1M Debt</t>
  </si>
  <si>
    <t>YDC $92.5M Debt</t>
  </si>
  <si>
    <t>YDC $5.5M Debt</t>
  </si>
  <si>
    <t>YDC $21.0M Debt</t>
  </si>
  <si>
    <t>YDC $2.9M Debt</t>
  </si>
  <si>
    <t>S.3 L.17</t>
  </si>
  <si>
    <t>S.3 L.83</t>
  </si>
  <si>
    <t>Note 2: Please see details in Schedule 3. In the 2021 GRA Regulatory Deferral Account balance was provided as a separate line item, now included with other deferral accounts with a detailed breakdown in Schedule 3. Balances are net of contributions.</t>
  </si>
  <si>
    <t>Radio Repeater Assessment</t>
  </si>
  <si>
    <t>Transmission Line Access Plan</t>
  </si>
  <si>
    <t>Mayo Earthworks</t>
  </si>
  <si>
    <t>WH Post-Flood Assessment</t>
  </si>
  <si>
    <t>P126 Building Renovation</t>
  </si>
  <si>
    <t>WH4 Low Water Cavitation Study &amp; Recommendation</t>
  </si>
  <si>
    <t>P125 Intake Trash Rack Cleaning System</t>
  </si>
  <si>
    <t>Elevator Study Aishik</t>
  </si>
  <si>
    <t>Mt Sumanik Wind Feasibility St</t>
  </si>
  <si>
    <t xml:space="preserve">FD7 Condition Assessment </t>
  </si>
  <si>
    <t>Wareham Spillgate Leakage Reduction</t>
  </si>
  <si>
    <t>IPP SOP Implentation</t>
  </si>
  <si>
    <t>DSM Contributions</t>
  </si>
  <si>
    <t>Aishihik 2022 5 Year Relicensing</t>
  </si>
  <si>
    <t>License term</t>
  </si>
  <si>
    <t>Southern Lakes Enhanced Storage</t>
  </si>
  <si>
    <t>Mayo Civil Infrastructure Refurbishment Planning</t>
  </si>
  <si>
    <t>Total Intangibles Closed</t>
  </si>
  <si>
    <t>Total Deferred and Intangibles Closed</t>
  </si>
  <si>
    <t>S.3 L.84</t>
  </si>
  <si>
    <t>S.3 L.86</t>
  </si>
  <si>
    <t>S.1 L.14</t>
  </si>
  <si>
    <t>S.11 L.19</t>
  </si>
  <si>
    <t>S.1 L.23</t>
  </si>
  <si>
    <t>Approved Depreciation Rate (Years)</t>
  </si>
  <si>
    <t>Compliance Filing</t>
  </si>
  <si>
    <t>*</t>
  </si>
  <si>
    <t>NBV</t>
  </si>
  <si>
    <t>* The licensing cost amortization reflects the amortization of a number of licensing related projects [fishiries, control structure, salmon enhancement, etc.] over the years with amortization period ending 2025 [the current water use licence term].</t>
  </si>
  <si>
    <t>**</t>
  </si>
  <si>
    <t>EAM Purchase and Implementation</t>
  </si>
  <si>
    <t>** Includes a number of small projects.</t>
  </si>
  <si>
    <t>Amortization Period</t>
  </si>
  <si>
    <t>Yukon Energy Corporation 2025-27 GRA</t>
  </si>
  <si>
    <t>2024 GRA
Compliance</t>
  </si>
  <si>
    <t>Actual 2023</t>
  </si>
  <si>
    <t>Forecast 2025</t>
  </si>
  <si>
    <t>Forecast 2026</t>
  </si>
  <si>
    <t>Forecast 2027</t>
  </si>
  <si>
    <t>$6.425M TD Swap - 2023</t>
  </si>
  <si>
    <t>$1.0M CAFN Debenture - 2023</t>
  </si>
  <si>
    <t>2025 New Debt</t>
  </si>
  <si>
    <t>2026 New Debt</t>
  </si>
  <si>
    <t>2027 New Debt</t>
  </si>
  <si>
    <t>2024 GRA Compliance</t>
  </si>
  <si>
    <t>2023 Actual</t>
  </si>
  <si>
    <t>2024 Preliminary Actual</t>
  </si>
  <si>
    <t>2025 Additions</t>
  </si>
  <si>
    <t>2025 Disposals/ Adjustments</t>
  </si>
  <si>
    <t>Cost at 2025 Year End</t>
  </si>
  <si>
    <t>A</t>
  </si>
  <si>
    <t>B</t>
  </si>
  <si>
    <t>C</t>
  </si>
  <si>
    <t>D</t>
  </si>
  <si>
    <t>E=B+C-D</t>
  </si>
  <si>
    <t>F</t>
  </si>
  <si>
    <t>Depreciation Expense for 2025</t>
  </si>
  <si>
    <t>G=B/F+C/2/F</t>
  </si>
  <si>
    <t>Schedule 3A - 2025</t>
  </si>
  <si>
    <t>Calculation of Depreciation Expense for 2025</t>
  </si>
  <si>
    <t>Battery Energy Storage</t>
  </si>
  <si>
    <t>Total Battery Energy Storage</t>
  </si>
  <si>
    <t>Schedule 3A - 2026</t>
  </si>
  <si>
    <t>Calculation of Depreciation Expense for 2026</t>
  </si>
  <si>
    <t>2026 Additions</t>
  </si>
  <si>
    <t>2026 Disposals/ Adjustments</t>
  </si>
  <si>
    <t>Cost at 2026 Year End</t>
  </si>
  <si>
    <t>Depreciation Expense for 2026</t>
  </si>
  <si>
    <t>Schedule 3A - 2027</t>
  </si>
  <si>
    <t>Calculation of Depreciation Expense for 2027</t>
  </si>
  <si>
    <t>2027 Additions</t>
  </si>
  <si>
    <t>2027 Disposals/ Adjustments</t>
  </si>
  <si>
    <t>Cost at 2027 Year End</t>
  </si>
  <si>
    <t>Depreciation Expense for 2027</t>
  </si>
  <si>
    <t>3A-2025</t>
  </si>
  <si>
    <t>3A-2026</t>
  </si>
  <si>
    <t>3A-2027</t>
  </si>
  <si>
    <t>2025 Forecast</t>
  </si>
  <si>
    <t>Calculation of Amortization Expense for Deferred Costs and Intangibles (2025)</t>
  </si>
  <si>
    <t>Thermal SG4 WH Gas Feasibility</t>
  </si>
  <si>
    <t>Emission/Thermal Allocation Study</t>
  </si>
  <si>
    <t>SCADA/Server Room Fire Assessment</t>
  </si>
  <si>
    <t>Building Condition Reports</t>
  </si>
  <si>
    <t>Transformer Containment/Spill Risk Study</t>
  </si>
  <si>
    <t>Mayo Lake/Wareham Dam Breach</t>
  </si>
  <si>
    <t>IPP Power Variability Study</t>
  </si>
  <si>
    <t>IPP Technical Interconnection</t>
  </si>
  <si>
    <t>Climate Change Adaptation</t>
  </si>
  <si>
    <t>Mayo Lake CS/Wareham Dam Seismic Assmnt</t>
  </si>
  <si>
    <t>Wareham Dam Toe Seepage Analysis</t>
  </si>
  <si>
    <t>Wareham Winter Spill Study</t>
  </si>
  <si>
    <t>Aishihik Intake Inspection</t>
  </si>
  <si>
    <t>Lease Options Analysis 2024</t>
  </si>
  <si>
    <t>System Fire Suppression Assessment Study</t>
  </si>
  <si>
    <t>T&amp;D Emrgncy Spare Parts &amp; Stocking Study</t>
  </si>
  <si>
    <t>Asset Management Framework</t>
  </si>
  <si>
    <t>Other intangible</t>
  </si>
  <si>
    <t>Thermal Assessment &amp; Permitting</t>
  </si>
  <si>
    <t>Mayo Lake Enhanced Storage</t>
  </si>
  <si>
    <t>Dawson City Air Emissions Permit</t>
  </si>
  <si>
    <t>Mayo Air Emissions Permit</t>
  </si>
  <si>
    <t>Aishihik and Takhini Substation Thermal Assessment and Permitting</t>
  </si>
  <si>
    <t>Transmssion Line Corridor Heritage Assmnt</t>
  </si>
  <si>
    <t>Calculation of Amortization Expense for Deferred Costs and Intangibles (2026)</t>
  </si>
  <si>
    <t>2026 Forecast</t>
  </si>
  <si>
    <t>Calculation of Amortization Expense for Deferred Costs and Intangibles (2027)</t>
  </si>
  <si>
    <t>2027 Forecast</t>
  </si>
  <si>
    <t>3B-2025</t>
  </si>
  <si>
    <t>3B-2026</t>
  </si>
  <si>
    <t>3B-2027</t>
  </si>
  <si>
    <t>Deferred Vegetation Management</t>
  </si>
  <si>
    <t>Deemed Ratio</t>
  </si>
  <si>
    <t>Schedule 3B - 2025</t>
  </si>
  <si>
    <t>Schedule 3B - 2026</t>
  </si>
  <si>
    <t>Schedule 3B - 2027</t>
  </si>
  <si>
    <t>Depreciation Rate (Years)</t>
  </si>
  <si>
    <t>Customer Contributions</t>
  </si>
  <si>
    <t>YDC Contributions</t>
  </si>
  <si>
    <t>YG Contributions</t>
  </si>
  <si>
    <t>GIF Funding</t>
  </si>
  <si>
    <t>BESS Contributions</t>
  </si>
  <si>
    <t>Total*</t>
  </si>
  <si>
    <t>Deferred Cost Contributions***</t>
  </si>
  <si>
    <t>10/5</t>
  </si>
  <si>
    <t>Total Amortization of Contributions</t>
  </si>
  <si>
    <t>* The total is excluding Lewes River Boat Lock  Proceeds as the amortization of these proceeds is shown as a separate line item in Table 3.13. The variance of $4.5 million in the total capital related contributions in service in Table 5.1 [e.g., $248.784 million for 2025 in Table 5.1] compared to this table [$244.284 million] reflects Lewes River Boat Lock  Proceeds.</t>
  </si>
  <si>
    <t xml:space="preserve">** The customer contributions include contributions from residential, commercial and industrial customers. The amortization rates are based on the life of the underlying asset [e.g., VG related contributions over the mine life, etc.]. </t>
  </si>
  <si>
    <t>*** The details of the calculations are provided in Schedule 3B in Tab 7 [DSM over 10 years, other contributions over 5 years].</t>
  </si>
  <si>
    <t>Schedule 3C</t>
  </si>
  <si>
    <t>Calculation of Amortization Expense for Contributions</t>
  </si>
  <si>
    <t>Thermal Plant Replacement Project*</t>
  </si>
  <si>
    <t>* Includes a number of small projects.</t>
  </si>
  <si>
    <t>S250 Callison System Preliminary Engineering</t>
  </si>
  <si>
    <t>System Wide Arc Flash Study</t>
  </si>
  <si>
    <t>System Wide Stability Study</t>
  </si>
  <si>
    <t>SDIC Program Development</t>
  </si>
  <si>
    <t>AGS Fish Passage Study</t>
  </si>
  <si>
    <t>Project Management Software Research</t>
  </si>
  <si>
    <t>T&amp;D Load Planning Study</t>
  </si>
  <si>
    <t>Business Continuity Plan</t>
  </si>
  <si>
    <t>YEC Process Refinement</t>
  </si>
  <si>
    <t>SF6 Dead Tank Breaker Monitoring - develop solution</t>
  </si>
  <si>
    <t>Condition Assessment for Critical Power Transformers and Reactors</t>
  </si>
  <si>
    <t>WG0 Summer High Temp Investigation</t>
  </si>
  <si>
    <t>Aishihik Dam Breach Study</t>
  </si>
  <si>
    <t>Grid Modernization Study</t>
  </si>
  <si>
    <t>WH Updated Slope Stability Assessment</t>
  </si>
  <si>
    <t xml:space="preserve">Dam Safety Program High Risk </t>
  </si>
  <si>
    <t>Renewable Diesel Pilot Project</t>
  </si>
  <si>
    <t>Grid Modernization Study Contributions</t>
  </si>
  <si>
    <t>Customer Bill Structure</t>
  </si>
  <si>
    <t>Integrated Resource Plan</t>
  </si>
  <si>
    <t>Aishihik 25-Year Water Use License Renewal</t>
  </si>
  <si>
    <t>2025-27 GRA CF</t>
  </si>
  <si>
    <t>Prlm. Actual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</si>
</sst>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;[Red]\-&quot;$&quot;#,##0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-* #,##0_-;\-* #,##0_-;_-* &quot;-&quot;??_-;_-@_-"/>
    <numFmt numFmtId="168" formatCode="_(* #,##0.0_);_(* \(#,##0.0\);_(* &quot;-&quot;??_);_(@_)"/>
    <numFmt numFmtId="169" formatCode="_(* #,##0_);_(* \(#,##0\);_(* &quot;-&quot;??_);_(@_)"/>
    <numFmt numFmtId="170" formatCode="0.0%"/>
    <numFmt numFmtId="171" formatCode="0.000%"/>
    <numFmt numFmtId="172" formatCode="#,##0.0"/>
    <numFmt numFmtId="173" formatCode="d\-mmm\-yy\ &quot;filing&quot;"/>
    <numFmt numFmtId="174" formatCode="0.0"/>
    <numFmt numFmtId="175" formatCode="0.000"/>
    <numFmt numFmtId="176" formatCode="#,##0.0,"/>
  </numFmts>
  <fonts count="3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0"/>
      <color indexed="12"/>
      <name val="Tahoma"/>
      <family val="2"/>
    </font>
    <font>
      <i/>
      <sz val="10"/>
      <name val="Tahoma"/>
      <family val="2"/>
    </font>
    <font>
      <sz val="10"/>
      <color indexed="10"/>
      <name val="Tahoma"/>
      <family val="2"/>
    </font>
    <font>
      <b/>
      <i/>
      <sz val="10"/>
      <name val="Tahoma"/>
      <family val="2"/>
    </font>
    <font>
      <sz val="10"/>
      <color indexed="57"/>
      <name val="Tahoma"/>
      <family val="2"/>
    </font>
    <font>
      <sz val="10"/>
      <color indexed="53"/>
      <name val="Tahoma"/>
      <family val="2"/>
    </font>
    <font>
      <b/>
      <u/>
      <sz val="10"/>
      <name val="Tahoma"/>
      <family val="2"/>
    </font>
    <font>
      <vertAlign val="superscript"/>
      <sz val="10"/>
      <name val="Tahoma"/>
      <family val="2"/>
    </font>
    <font>
      <i/>
      <sz val="10"/>
      <color theme="0"/>
      <name val="Tahoma"/>
      <family val="2"/>
    </font>
    <font>
      <sz val="10"/>
      <color theme="1"/>
      <name val="Arial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8.25"/>
      <color rgb="FF000000"/>
      <name val="Arial"/>
      <family val="2"/>
    </font>
    <font>
      <sz val="9"/>
      <name val="Segoe UI"/>
      <family val="2"/>
    </font>
    <font>
      <sz val="8.5"/>
      <name val="LinePrinter"/>
    </font>
    <font>
      <sz val="10"/>
      <name val="Helvetica (PCL6)"/>
    </font>
  </fonts>
  <fills count="5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4">
    <xf numFmtId="0" fontId="0" fillId="0" borderId="0"/>
    <xf numFmtId="16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5" fillId="0" borderId="0"/>
    <xf numFmtId="0" fontId="22" fillId="0" borderId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8" fillId="0" borderId="0">
      <alignment vertical="center"/>
    </xf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8" fillId="0" borderId="0">
      <alignment vertical="center"/>
    </xf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0" fontId="30" fillId="0" borderId="0"/>
    <xf numFmtId="0" fontId="22" fillId="0" borderId="0"/>
    <xf numFmtId="9" fontId="5" fillId="0" borderId="0" applyFont="0" applyFill="0" applyBorder="0" applyAlignment="0" applyProtection="0"/>
    <xf numFmtId="0" fontId="27" fillId="0" borderId="0" applyAlignment="0"/>
  </cellStyleXfs>
  <cellXfs count="23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5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9" fontId="7" fillId="0" borderId="0" xfId="1" applyFont="1" applyFill="1"/>
    <xf numFmtId="169" fontId="7" fillId="0" borderId="0" xfId="1" applyFont="1" applyFill="1" applyBorder="1"/>
    <xf numFmtId="169" fontId="7" fillId="0" borderId="0" xfId="0" applyNumberFormat="1" applyFont="1"/>
    <xf numFmtId="169" fontId="7" fillId="0" borderId="1" xfId="1" applyFont="1" applyFill="1" applyBorder="1"/>
    <xf numFmtId="169" fontId="7" fillId="0" borderId="4" xfId="1" applyFont="1" applyFill="1" applyBorder="1"/>
    <xf numFmtId="3" fontId="7" fillId="0" borderId="0" xfId="0" applyNumberFormat="1" applyFont="1"/>
    <xf numFmtId="167" fontId="7" fillId="0" borderId="0" xfId="0" applyNumberFormat="1" applyFont="1"/>
    <xf numFmtId="169" fontId="7" fillId="0" borderId="3" xfId="1" applyFont="1" applyFill="1" applyBorder="1"/>
    <xf numFmtId="0" fontId="7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167" fontId="7" fillId="0" borderId="0" xfId="1" applyNumberFormat="1" applyFont="1" applyFill="1"/>
    <xf numFmtId="167" fontId="7" fillId="0" borderId="0" xfId="1" applyNumberFormat="1" applyFont="1" applyFill="1" applyBorder="1"/>
    <xf numFmtId="0" fontId="13" fillId="0" borderId="0" xfId="0" applyFont="1"/>
    <xf numFmtId="167" fontId="7" fillId="0" borderId="3" xfId="1" applyNumberFormat="1" applyFont="1" applyFill="1" applyBorder="1"/>
    <xf numFmtId="169" fontId="10" fillId="0" borderId="0" xfId="0" applyNumberFormat="1" applyFont="1"/>
    <xf numFmtId="10" fontId="7" fillId="0" borderId="1" xfId="0" applyNumberFormat="1" applyFont="1" applyBorder="1"/>
    <xf numFmtId="10" fontId="7" fillId="0" borderId="0" xfId="0" applyNumberFormat="1" applyFont="1"/>
    <xf numFmtId="169" fontId="7" fillId="0" borderId="3" xfId="0" applyNumberFormat="1" applyFont="1" applyBorder="1"/>
    <xf numFmtId="0" fontId="14" fillId="0" borderId="0" xfId="0" applyFont="1"/>
    <xf numFmtId="1" fontId="7" fillId="0" borderId="0" xfId="0" applyNumberFormat="1" applyFont="1"/>
    <xf numFmtId="37" fontId="7" fillId="0" borderId="0" xfId="0" applyNumberFormat="1" applyFont="1"/>
    <xf numFmtId="0" fontId="14" fillId="0" borderId="0" xfId="0" applyFont="1" applyAlignment="1">
      <alignment horizontal="center"/>
    </xf>
    <xf numFmtId="3" fontId="7" fillId="0" borderId="0" xfId="1" applyNumberFormat="1" applyFont="1" applyFill="1"/>
    <xf numFmtId="0" fontId="15" fillId="0" borderId="0" xfId="0" applyFont="1"/>
    <xf numFmtId="3" fontId="7" fillId="0" borderId="0" xfId="0" applyNumberFormat="1" applyFont="1" applyAlignment="1">
      <alignment horizontal="center"/>
    </xf>
    <xf numFmtId="3" fontId="10" fillId="0" borderId="1" xfId="0" applyNumberFormat="1" applyFont="1" applyBorder="1" applyAlignment="1">
      <alignment horizontal="center" wrapText="1"/>
    </xf>
    <xf numFmtId="171" fontId="7" fillId="0" borderId="0" xfId="0" applyNumberFormat="1" applyFont="1"/>
    <xf numFmtId="3" fontId="7" fillId="0" borderId="1" xfId="0" applyNumberFormat="1" applyFont="1" applyBorder="1"/>
    <xf numFmtId="3" fontId="15" fillId="0" borderId="0" xfId="0" applyNumberFormat="1" applyFont="1"/>
    <xf numFmtId="3" fontId="7" fillId="0" borderId="3" xfId="0" applyNumberFormat="1" applyFont="1" applyBorder="1"/>
    <xf numFmtId="10" fontId="7" fillId="0" borderId="3" xfId="0" applyNumberFormat="1" applyFont="1" applyBorder="1"/>
    <xf numFmtId="3" fontId="7" fillId="0" borderId="1" xfId="1" applyNumberFormat="1" applyFont="1" applyFill="1" applyBorder="1"/>
    <xf numFmtId="3" fontId="7" fillId="0" borderId="3" xfId="1" applyNumberFormat="1" applyFont="1" applyFill="1" applyBorder="1"/>
    <xf numFmtId="3" fontId="8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173" fontId="7" fillId="0" borderId="0" xfId="0" applyNumberFormat="1" applyFont="1"/>
    <xf numFmtId="170" fontId="7" fillId="0" borderId="0" xfId="0" applyNumberFormat="1" applyFont="1"/>
    <xf numFmtId="170" fontId="7" fillId="0" borderId="1" xfId="0" applyNumberFormat="1" applyFont="1" applyBorder="1"/>
    <xf numFmtId="170" fontId="7" fillId="0" borderId="3" xfId="0" applyNumberFormat="1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top"/>
    </xf>
    <xf numFmtId="0" fontId="16" fillId="0" borderId="0" xfId="0" applyFont="1"/>
    <xf numFmtId="0" fontId="7" fillId="0" borderId="0" xfId="0" applyFont="1" applyAlignment="1">
      <alignment horizontal="right" vertical="center"/>
    </xf>
    <xf numFmtId="38" fontId="7" fillId="0" borderId="0" xfId="0" applyNumberFormat="1" applyFont="1"/>
    <xf numFmtId="168" fontId="7" fillId="0" borderId="0" xfId="0" applyNumberFormat="1" applyFont="1"/>
    <xf numFmtId="0" fontId="7" fillId="0" borderId="0" xfId="0" applyFont="1" applyAlignment="1">
      <alignment wrapText="1"/>
    </xf>
    <xf numFmtId="169" fontId="7" fillId="0" borderId="0" xfId="3" applyNumberFormat="1" applyFont="1" applyFill="1" applyBorder="1"/>
    <xf numFmtId="0" fontId="17" fillId="0" borderId="0" xfId="0" applyFont="1"/>
    <xf numFmtId="0" fontId="18" fillId="0" borderId="0" xfId="0" applyFont="1" applyAlignment="1">
      <alignment horizontal="left"/>
    </xf>
    <xf numFmtId="0" fontId="10" fillId="0" borderId="0" xfId="4" applyFont="1"/>
    <xf numFmtId="0" fontId="7" fillId="0" borderId="0" xfId="0" applyFont="1" applyAlignment="1">
      <alignment horizontal="left" indent="1"/>
    </xf>
    <xf numFmtId="0" fontId="7" fillId="0" borderId="0" xfId="4" applyFont="1" applyAlignment="1">
      <alignment horizontal="left" indent="1"/>
    </xf>
    <xf numFmtId="172" fontId="7" fillId="0" borderId="0" xfId="0" applyNumberFormat="1" applyFont="1"/>
    <xf numFmtId="174" fontId="7" fillId="0" borderId="0" xfId="0" applyNumberFormat="1" applyFont="1"/>
    <xf numFmtId="0" fontId="19" fillId="0" borderId="0" xfId="4" applyFont="1"/>
    <xf numFmtId="3" fontId="7" fillId="0" borderId="0" xfId="4" applyNumberFormat="1" applyFont="1"/>
    <xf numFmtId="0" fontId="7" fillId="0" borderId="0" xfId="0" applyFont="1" applyAlignment="1">
      <alignment horizontal="left"/>
    </xf>
    <xf numFmtId="3" fontId="7" fillId="0" borderId="2" xfId="0" applyNumberFormat="1" applyFont="1" applyBorder="1"/>
    <xf numFmtId="0" fontId="20" fillId="0" borderId="0" xfId="0" applyFont="1"/>
    <xf numFmtId="3" fontId="10" fillId="0" borderId="0" xfId="0" applyNumberFormat="1" applyFont="1"/>
    <xf numFmtId="3" fontId="14" fillId="0" borderId="0" xfId="0" applyNumberFormat="1" applyFont="1"/>
    <xf numFmtId="1" fontId="14" fillId="0" borderId="0" xfId="0" applyNumberFormat="1" applyFont="1"/>
    <xf numFmtId="3" fontId="7" fillId="0" borderId="0" xfId="0" applyNumberFormat="1" applyFont="1" applyAlignment="1">
      <alignment vertical="top" wrapText="1"/>
    </xf>
    <xf numFmtId="164" fontId="7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center"/>
    </xf>
    <xf numFmtId="3" fontId="21" fillId="0" borderId="0" xfId="0" applyNumberFormat="1" applyFont="1"/>
    <xf numFmtId="0" fontId="6" fillId="0" borderId="0" xfId="0" applyFont="1"/>
    <xf numFmtId="10" fontId="7" fillId="0" borderId="0" xfId="2" applyNumberFormat="1" applyFont="1"/>
    <xf numFmtId="10" fontId="7" fillId="0" borderId="0" xfId="2" applyNumberFormat="1" applyFont="1" applyFill="1"/>
    <xf numFmtId="169" fontId="7" fillId="0" borderId="0" xfId="1" applyFont="1" applyFill="1" applyAlignment="1">
      <alignment vertical="center"/>
    </xf>
    <xf numFmtId="169" fontId="7" fillId="0" borderId="0" xfId="1" applyFont="1" applyFill="1" applyAlignment="1">
      <alignment horizontal="center" vertical="center"/>
    </xf>
    <xf numFmtId="3" fontId="7" fillId="0" borderId="4" xfId="1" applyNumberFormat="1" applyFont="1" applyFill="1" applyBorder="1"/>
    <xf numFmtId="174" fontId="7" fillId="0" borderId="0" xfId="4" applyNumberFormat="1" applyFont="1"/>
    <xf numFmtId="3" fontId="7" fillId="0" borderId="4" xfId="0" applyNumberFormat="1" applyFont="1" applyBorder="1"/>
    <xf numFmtId="37" fontId="14" fillId="0" borderId="1" xfId="0" applyNumberFormat="1" applyFont="1" applyBorder="1"/>
    <xf numFmtId="0" fontId="8" fillId="0" borderId="0" xfId="4" applyFont="1" applyAlignment="1">
      <alignment horizontal="left"/>
    </xf>
    <xf numFmtId="0" fontId="7" fillId="0" borderId="0" xfId="4" applyFont="1"/>
    <xf numFmtId="0" fontId="7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10" fillId="0" borderId="0" xfId="4" applyFont="1" applyAlignment="1">
      <alignment horizontal="left"/>
    </xf>
    <xf numFmtId="0" fontId="10" fillId="0" borderId="0" xfId="4" applyFont="1" applyAlignment="1">
      <alignment horizontal="center"/>
    </xf>
    <xf numFmtId="0" fontId="10" fillId="0" borderId="1" xfId="4" applyFont="1" applyBorder="1" applyAlignment="1">
      <alignment horizontal="center" wrapText="1"/>
    </xf>
    <xf numFmtId="0" fontId="10" fillId="0" borderId="0" xfId="4" applyFont="1" applyAlignment="1">
      <alignment horizontal="center" wrapText="1"/>
    </xf>
    <xf numFmtId="3" fontId="7" fillId="0" borderId="4" xfId="4" applyNumberFormat="1" applyFont="1" applyBorder="1"/>
    <xf numFmtId="0" fontId="14" fillId="0" borderId="0" xfId="4" applyFont="1"/>
    <xf numFmtId="0" fontId="14" fillId="0" borderId="0" xfId="4" applyFont="1" applyAlignment="1">
      <alignment horizontal="center"/>
    </xf>
    <xf numFmtId="3" fontId="14" fillId="0" borderId="0" xfId="4" applyNumberFormat="1" applyFont="1"/>
    <xf numFmtId="0" fontId="7" fillId="0" borderId="0" xfId="4" applyFont="1" applyAlignment="1">
      <alignment vertical="top"/>
    </xf>
    <xf numFmtId="0" fontId="7" fillId="0" borderId="0" xfId="4" applyFont="1" applyAlignment="1">
      <alignment horizontal="left" vertical="top" wrapText="1"/>
    </xf>
    <xf numFmtId="1" fontId="7" fillId="0" borderId="0" xfId="4" applyNumberFormat="1" applyFont="1"/>
    <xf numFmtId="3" fontId="7" fillId="0" borderId="0" xfId="4" applyNumberFormat="1" applyFont="1" applyAlignment="1">
      <alignment vertical="top" wrapText="1"/>
    </xf>
    <xf numFmtId="164" fontId="7" fillId="0" borderId="0" xfId="4" applyNumberFormat="1" applyFont="1"/>
    <xf numFmtId="38" fontId="7" fillId="0" borderId="0" xfId="4" applyNumberFormat="1" applyFont="1"/>
    <xf numFmtId="0" fontId="7" fillId="3" borderId="0" xfId="0" applyFont="1" applyFill="1" applyAlignment="1">
      <alignment horizontal="center"/>
    </xf>
    <xf numFmtId="0" fontId="23" fillId="4" borderId="0" xfId="5" applyFont="1" applyFill="1" applyAlignment="1">
      <alignment horizontal="left"/>
    </xf>
    <xf numFmtId="0" fontId="24" fillId="4" borderId="0" xfId="5" applyFont="1" applyFill="1"/>
    <xf numFmtId="165" fontId="24" fillId="4" borderId="0" xfId="5" applyNumberFormat="1" applyFont="1" applyFill="1"/>
    <xf numFmtId="2" fontId="24" fillId="4" borderId="0" xfId="5" applyNumberFormat="1" applyFont="1" applyFill="1"/>
    <xf numFmtId="0" fontId="25" fillId="4" borderId="0" xfId="5" applyFont="1" applyFill="1" applyAlignment="1">
      <alignment horizontal="right"/>
    </xf>
    <xf numFmtId="0" fontId="25" fillId="4" borderId="0" xfId="5" applyFont="1" applyFill="1" applyAlignment="1">
      <alignment horizontal="left"/>
    </xf>
    <xf numFmtId="10" fontId="25" fillId="4" borderId="1" xfId="2" applyNumberFormat="1" applyFont="1" applyFill="1" applyBorder="1" applyAlignment="1">
      <alignment horizontal="center"/>
    </xf>
    <xf numFmtId="3" fontId="23" fillId="4" borderId="0" xfId="6" applyNumberFormat="1" applyFont="1" applyFill="1" applyBorder="1" applyAlignment="1">
      <alignment horizontal="right"/>
    </xf>
    <xf numFmtId="10" fontId="23" fillId="4" borderId="0" xfId="2" applyNumberFormat="1" applyFont="1" applyFill="1" applyBorder="1" applyAlignment="1">
      <alignment horizontal="center"/>
    </xf>
    <xf numFmtId="0" fontId="26" fillId="4" borderId="0" xfId="5" applyFont="1" applyFill="1"/>
    <xf numFmtId="10" fontId="24" fillId="4" borderId="0" xfId="2" applyNumberFormat="1" applyFont="1" applyFill="1" applyBorder="1" applyAlignment="1">
      <alignment horizontal="center"/>
    </xf>
    <xf numFmtId="175" fontId="25" fillId="4" borderId="0" xfId="5" applyNumberFormat="1" applyFont="1" applyFill="1" applyAlignment="1">
      <alignment horizontal="right"/>
    </xf>
    <xf numFmtId="10" fontId="24" fillId="4" borderId="0" xfId="2" applyNumberFormat="1" applyFont="1" applyFill="1" applyBorder="1"/>
    <xf numFmtId="3" fontId="24" fillId="4" borderId="0" xfId="5" applyNumberFormat="1" applyFont="1" applyFill="1" applyAlignment="1">
      <alignment horizontal="right"/>
    </xf>
    <xf numFmtId="10" fontId="24" fillId="4" borderId="0" xfId="2" applyNumberFormat="1" applyFont="1" applyFill="1"/>
    <xf numFmtId="2" fontId="23" fillId="4" borderId="0" xfId="5" applyNumberFormat="1" applyFont="1" applyFill="1" applyAlignment="1">
      <alignment horizontal="center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4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vertical="top" wrapText="1"/>
    </xf>
    <xf numFmtId="0" fontId="7" fillId="4" borderId="0" xfId="5" applyFont="1" applyFill="1"/>
    <xf numFmtId="0" fontId="7" fillId="4" borderId="0" xfId="4" applyFont="1" applyFill="1"/>
    <xf numFmtId="0" fontId="10" fillId="4" borderId="0" xfId="5" applyFont="1" applyFill="1" applyAlignment="1">
      <alignment horizontal="center"/>
    </xf>
    <xf numFmtId="165" fontId="10" fillId="4" borderId="0" xfId="5" applyNumberFormat="1" applyFont="1" applyFill="1" applyAlignment="1">
      <alignment horizontal="center" wrapText="1"/>
    </xf>
    <xf numFmtId="0" fontId="8" fillId="4" borderId="0" xfId="4" applyFont="1" applyFill="1" applyAlignment="1">
      <alignment horizontal="left"/>
    </xf>
    <xf numFmtId="0" fontId="7" fillId="4" borderId="0" xfId="4" applyFont="1" applyFill="1" applyAlignment="1">
      <alignment horizontal="center"/>
    </xf>
    <xf numFmtId="0" fontId="10" fillId="4" borderId="0" xfId="4" applyFont="1" applyFill="1" applyAlignment="1">
      <alignment horizontal="left"/>
    </xf>
    <xf numFmtId="0" fontId="10" fillId="4" borderId="0" xfId="5" applyFont="1" applyFill="1" applyAlignment="1">
      <alignment horizontal="center" wrapText="1"/>
    </xf>
    <xf numFmtId="0" fontId="10" fillId="4" borderId="5" xfId="5" applyFont="1" applyFill="1" applyBorder="1" applyAlignment="1">
      <alignment horizontal="center" wrapText="1"/>
    </xf>
    <xf numFmtId="0" fontId="10" fillId="4" borderId="0" xfId="5" applyFont="1" applyFill="1" applyAlignment="1">
      <alignment wrapText="1"/>
    </xf>
    <xf numFmtId="1" fontId="25" fillId="4" borderId="0" xfId="2" applyNumberFormat="1" applyFont="1" applyFill="1" applyBorder="1" applyAlignment="1">
      <alignment horizontal="right"/>
    </xf>
    <xf numFmtId="1" fontId="25" fillId="4" borderId="1" xfId="2" applyNumberFormat="1" applyFont="1" applyFill="1" applyBorder="1" applyAlignment="1">
      <alignment horizontal="right"/>
    </xf>
    <xf numFmtId="1" fontId="25" fillId="4" borderId="0" xfId="5" applyNumberFormat="1" applyFont="1" applyFill="1" applyAlignment="1">
      <alignment horizontal="right"/>
    </xf>
    <xf numFmtId="1" fontId="25" fillId="4" borderId="1" xfId="5" applyNumberFormat="1" applyFont="1" applyFill="1" applyBorder="1" applyAlignment="1">
      <alignment horizontal="right"/>
    </xf>
    <xf numFmtId="0" fontId="7" fillId="0" borderId="0" xfId="0" applyFont="1" applyAlignment="1">
      <alignment vertical="top" wrapText="1"/>
    </xf>
    <xf numFmtId="176" fontId="25" fillId="4" borderId="0" xfId="6" applyNumberFormat="1" applyFont="1" applyFill="1" applyBorder="1" applyAlignment="1">
      <alignment horizontal="right"/>
    </xf>
    <xf numFmtId="176" fontId="25" fillId="4" borderId="1" xfId="6" applyNumberFormat="1" applyFont="1" applyFill="1" applyBorder="1" applyAlignment="1">
      <alignment horizontal="right"/>
    </xf>
    <xf numFmtId="176" fontId="23" fillId="4" borderId="0" xfId="6" applyNumberFormat="1" applyFont="1" applyFill="1" applyBorder="1" applyAlignment="1">
      <alignment horizontal="right"/>
    </xf>
    <xf numFmtId="176" fontId="24" fillId="4" borderId="0" xfId="6" applyNumberFormat="1" applyFont="1" applyFill="1" applyBorder="1" applyAlignment="1">
      <alignment horizontal="right"/>
    </xf>
    <xf numFmtId="176" fontId="24" fillId="4" borderId="0" xfId="5" applyNumberFormat="1" applyFont="1" applyFill="1" applyAlignment="1">
      <alignment horizontal="right"/>
    </xf>
    <xf numFmtId="6" fontId="10" fillId="4" borderId="0" xfId="4" quotePrefix="1" applyNumberFormat="1" applyFont="1" applyFill="1" applyAlignment="1">
      <alignment horizontal="left"/>
    </xf>
    <xf numFmtId="3" fontId="7" fillId="4" borderId="0" xfId="4" applyNumberFormat="1" applyFont="1" applyFill="1"/>
    <xf numFmtId="169" fontId="7" fillId="4" borderId="1" xfId="1" applyFont="1" applyFill="1" applyBorder="1"/>
    <xf numFmtId="1" fontId="23" fillId="4" borderId="0" xfId="2" applyNumberFormat="1" applyFont="1" applyFill="1" applyBorder="1" applyAlignment="1">
      <alignment horizontal="right"/>
    </xf>
    <xf numFmtId="37" fontId="10" fillId="0" borderId="0" xfId="17" applyNumberFormat="1" applyFont="1"/>
    <xf numFmtId="0" fontId="10" fillId="0" borderId="0" xfId="18" applyFont="1"/>
    <xf numFmtId="0" fontId="24" fillId="0" borderId="0" xfId="18" applyFont="1"/>
    <xf numFmtId="37" fontId="7" fillId="0" borderId="3" xfId="17" quotePrefix="1" applyNumberFormat="1" applyFont="1" applyBorder="1"/>
    <xf numFmtId="37" fontId="7" fillId="0" borderId="3" xfId="17" applyNumberFormat="1" applyFont="1" applyBorder="1"/>
    <xf numFmtId="0" fontId="10" fillId="0" borderId="3" xfId="18" applyFont="1" applyBorder="1"/>
    <xf numFmtId="37" fontId="7" fillId="0" borderId="0" xfId="17" applyNumberFormat="1" applyFont="1"/>
    <xf numFmtId="0" fontId="7" fillId="0" borderId="0" xfId="18" applyFont="1" applyAlignment="1">
      <alignment horizontal="center"/>
    </xf>
    <xf numFmtId="49" fontId="7" fillId="0" borderId="0" xfId="17" quotePrefix="1" applyNumberFormat="1" applyFont="1" applyAlignment="1">
      <alignment horizontal="center" vertical="center"/>
    </xf>
    <xf numFmtId="0" fontId="7" fillId="0" borderId="0" xfId="18" applyFont="1" applyAlignment="1">
      <alignment horizontal="centerContinuous" vertical="center"/>
    </xf>
    <xf numFmtId="0" fontId="7" fillId="0" borderId="7" xfId="18" applyFont="1" applyBorder="1" applyAlignment="1">
      <alignment horizontal="centerContinuous" vertical="center"/>
    </xf>
    <xf numFmtId="49" fontId="7" fillId="0" borderId="0" xfId="18" applyNumberFormat="1" applyFont="1" applyAlignment="1">
      <alignment horizontal="center" vertical="center"/>
    </xf>
    <xf numFmtId="1" fontId="7" fillId="0" borderId="3" xfId="17" applyNumberFormat="1" applyFont="1" applyBorder="1" applyAlignment="1">
      <alignment horizontal="center" vertical="center"/>
    </xf>
    <xf numFmtId="1" fontId="7" fillId="0" borderId="3" xfId="18" quotePrefix="1" applyNumberFormat="1" applyFont="1" applyBorder="1" applyAlignment="1">
      <alignment horizontal="center" vertical="center" wrapText="1"/>
    </xf>
    <xf numFmtId="1" fontId="7" fillId="0" borderId="3" xfId="18" applyNumberFormat="1" applyFont="1" applyBorder="1" applyAlignment="1">
      <alignment horizontal="center" vertical="center" wrapText="1"/>
    </xf>
    <xf numFmtId="1" fontId="7" fillId="0" borderId="3" xfId="18" applyNumberFormat="1" applyFont="1" applyBorder="1" applyAlignment="1">
      <alignment horizontal="center" vertical="center"/>
    </xf>
    <xf numFmtId="0" fontId="26" fillId="0" borderId="0" xfId="18" applyFont="1"/>
    <xf numFmtId="37" fontId="7" fillId="0" borderId="0" xfId="17" quotePrefix="1" applyNumberFormat="1" applyFont="1"/>
    <xf numFmtId="4" fontId="7" fillId="0" borderId="0" xfId="4" applyNumberFormat="1" applyFont="1"/>
    <xf numFmtId="169" fontId="24" fillId="0" borderId="0" xfId="19" applyNumberFormat="1" applyFont="1" applyFill="1"/>
    <xf numFmtId="169" fontId="24" fillId="0" borderId="0" xfId="18" applyNumberFormat="1" applyFont="1"/>
    <xf numFmtId="169" fontId="24" fillId="0" borderId="1" xfId="18" applyNumberFormat="1" applyFont="1" applyBorder="1"/>
    <xf numFmtId="37" fontId="10" fillId="0" borderId="0" xfId="17" quotePrefix="1" applyNumberFormat="1" applyFont="1"/>
    <xf numFmtId="0" fontId="7" fillId="0" borderId="0" xfId="20" applyFont="1" applyAlignment="1">
      <alignment horizontal="left"/>
    </xf>
    <xf numFmtId="167" fontId="24" fillId="0" borderId="0" xfId="18" applyNumberFormat="1" applyFont="1"/>
    <xf numFmtId="37" fontId="7" fillId="0" borderId="1" xfId="17" applyNumberFormat="1" applyFont="1" applyBorder="1"/>
    <xf numFmtId="3" fontId="7" fillId="0" borderId="0" xfId="20" applyNumberFormat="1" applyFont="1"/>
    <xf numFmtId="3" fontId="24" fillId="0" borderId="0" xfId="18" applyNumberFormat="1" applyFont="1"/>
    <xf numFmtId="3" fontId="10" fillId="0" borderId="4" xfId="4" applyNumberFormat="1" applyFont="1" applyBorder="1"/>
    <xf numFmtId="3" fontId="7" fillId="0" borderId="0" xfId="17" applyNumberFormat="1" applyFont="1"/>
    <xf numFmtId="43" fontId="7" fillId="0" borderId="0" xfId="0" applyNumberFormat="1" applyFont="1"/>
    <xf numFmtId="0" fontId="7" fillId="0" borderId="6" xfId="18" applyFont="1" applyBorder="1" applyAlignment="1">
      <alignment horizontal="center"/>
    </xf>
    <xf numFmtId="37" fontId="10" fillId="0" borderId="4" xfId="17" applyNumberFormat="1" applyFont="1" applyBorder="1"/>
    <xf numFmtId="0" fontId="10" fillId="4" borderId="8" xfId="5" applyFont="1" applyFill="1" applyBorder="1" applyAlignment="1">
      <alignment horizontal="center" vertical="center" wrapText="1"/>
    </xf>
    <xf numFmtId="165" fontId="10" fillId="4" borderId="8" xfId="5" applyNumberFormat="1" applyFont="1" applyFill="1" applyBorder="1" applyAlignment="1">
      <alignment horizontal="center" vertical="center" wrapText="1"/>
    </xf>
    <xf numFmtId="165" fontId="10" fillId="0" borderId="8" xfId="5" applyNumberFormat="1" applyFont="1" applyBorder="1" applyAlignment="1">
      <alignment horizontal="center" vertical="center" wrapText="1"/>
    </xf>
    <xf numFmtId="2" fontId="10" fillId="4" borderId="8" xfId="5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173" fontId="10" fillId="0" borderId="0" xfId="0" applyNumberFormat="1" applyFont="1" applyAlignment="1">
      <alignment horizontal="right"/>
    </xf>
    <xf numFmtId="0" fontId="10" fillId="4" borderId="0" xfId="4" applyFont="1" applyFill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4" applyFont="1" applyAlignment="1">
      <alignment horizontal="right"/>
    </xf>
    <xf numFmtId="3" fontId="10" fillId="0" borderId="0" xfId="4" applyNumberFormat="1" applyFont="1"/>
    <xf numFmtId="0" fontId="10" fillId="4" borderId="0" xfId="5" applyFont="1" applyFill="1" applyAlignment="1">
      <alignment horizontal="center" vertical="center" wrapText="1"/>
    </xf>
    <xf numFmtId="165" fontId="10" fillId="4" borderId="0" xfId="5" applyNumberFormat="1" applyFont="1" applyFill="1" applyAlignment="1">
      <alignment horizontal="center" vertical="center" wrapText="1"/>
    </xf>
    <xf numFmtId="165" fontId="10" fillId="0" borderId="0" xfId="5" applyNumberFormat="1" applyFont="1" applyAlignment="1">
      <alignment horizontal="center" vertical="center" wrapText="1"/>
    </xf>
    <xf numFmtId="2" fontId="10" fillId="4" borderId="0" xfId="5" applyNumberFormat="1" applyFont="1" applyFill="1" applyAlignment="1">
      <alignment horizontal="center" vertical="center" wrapText="1"/>
    </xf>
    <xf numFmtId="0" fontId="7" fillId="4" borderId="0" xfId="21" applyFont="1" applyFill="1"/>
    <xf numFmtId="0" fontId="10" fillId="4" borderId="0" xfId="21" applyFont="1" applyFill="1" applyAlignment="1">
      <alignment horizontal="center"/>
    </xf>
    <xf numFmtId="0" fontId="10" fillId="4" borderId="0" xfId="21" applyFont="1" applyFill="1" applyAlignment="1">
      <alignment horizontal="center" wrapText="1"/>
    </xf>
    <xf numFmtId="165" fontId="10" fillId="4" borderId="0" xfId="21" applyNumberFormat="1" applyFont="1" applyFill="1" applyAlignment="1">
      <alignment horizontal="center" wrapText="1"/>
    </xf>
    <xf numFmtId="0" fontId="10" fillId="4" borderId="8" xfId="21" applyFont="1" applyFill="1" applyBorder="1" applyAlignment="1">
      <alignment horizontal="center" vertical="center" wrapText="1"/>
    </xf>
    <xf numFmtId="165" fontId="10" fillId="4" borderId="8" xfId="21" applyNumberFormat="1" applyFont="1" applyFill="1" applyBorder="1" applyAlignment="1">
      <alignment horizontal="center" vertical="center" wrapText="1"/>
    </xf>
    <xf numFmtId="165" fontId="10" fillId="0" borderId="8" xfId="21" applyNumberFormat="1" applyFont="1" applyBorder="1" applyAlignment="1">
      <alignment horizontal="center" vertical="center" wrapText="1"/>
    </xf>
    <xf numFmtId="2" fontId="10" fillId="4" borderId="8" xfId="21" applyNumberFormat="1" applyFont="1" applyFill="1" applyBorder="1" applyAlignment="1">
      <alignment horizontal="center" vertical="center" wrapText="1"/>
    </xf>
    <xf numFmtId="0" fontId="10" fillId="4" borderId="0" xfId="21" applyFont="1" applyFill="1" applyAlignment="1">
      <alignment wrapText="1"/>
    </xf>
    <xf numFmtId="0" fontId="10" fillId="4" borderId="0" xfId="21" applyFont="1" applyFill="1" applyAlignment="1">
      <alignment horizontal="center" vertical="center" wrapText="1"/>
    </xf>
    <xf numFmtId="165" fontId="10" fillId="4" borderId="0" xfId="21" applyNumberFormat="1" applyFont="1" applyFill="1" applyAlignment="1">
      <alignment horizontal="center" vertical="center" wrapText="1"/>
    </xf>
    <xf numFmtId="165" fontId="10" fillId="0" borderId="0" xfId="21" applyNumberFormat="1" applyFont="1" applyAlignment="1">
      <alignment horizontal="center" vertical="center" wrapText="1"/>
    </xf>
    <xf numFmtId="2" fontId="10" fillId="4" borderId="0" xfId="21" applyNumberFormat="1" applyFont="1" applyFill="1" applyAlignment="1">
      <alignment horizontal="center" vertical="center" wrapText="1"/>
    </xf>
    <xf numFmtId="0" fontId="23" fillId="4" borderId="0" xfId="21" applyFont="1" applyFill="1" applyAlignment="1">
      <alignment horizontal="left"/>
    </xf>
    <xf numFmtId="0" fontId="24" fillId="4" borderId="0" xfId="21" applyFont="1" applyFill="1"/>
    <xf numFmtId="165" fontId="24" fillId="4" borderId="0" xfId="21" applyNumberFormat="1" applyFont="1" applyFill="1"/>
    <xf numFmtId="2" fontId="24" fillId="4" borderId="0" xfId="21" applyNumberFormat="1" applyFont="1" applyFill="1"/>
    <xf numFmtId="0" fontId="25" fillId="4" borderId="0" xfId="21" applyFont="1" applyFill="1" applyAlignment="1">
      <alignment horizontal="right"/>
    </xf>
    <xf numFmtId="0" fontId="25" fillId="4" borderId="0" xfId="21" applyFont="1" applyFill="1" applyAlignment="1">
      <alignment horizontal="left"/>
    </xf>
    <xf numFmtId="172" fontId="25" fillId="4" borderId="0" xfId="6" applyNumberFormat="1" applyFont="1" applyFill="1" applyBorder="1" applyAlignment="1">
      <alignment horizontal="right"/>
    </xf>
    <xf numFmtId="3" fontId="25" fillId="4" borderId="0" xfId="22" applyNumberFormat="1" applyFont="1" applyFill="1" applyBorder="1" applyAlignment="1">
      <alignment horizontal="right"/>
    </xf>
    <xf numFmtId="172" fontId="25" fillId="4" borderId="0" xfId="22" applyNumberFormat="1" applyFont="1" applyFill="1" applyBorder="1" applyAlignment="1">
      <alignment horizontal="right"/>
    </xf>
    <xf numFmtId="0" fontId="26" fillId="4" borderId="0" xfId="21" applyFont="1" applyFill="1"/>
    <xf numFmtId="172" fontId="23" fillId="4" borderId="0" xfId="6" applyNumberFormat="1" applyFont="1" applyFill="1" applyBorder="1" applyAlignment="1">
      <alignment horizontal="right"/>
    </xf>
    <xf numFmtId="10" fontId="24" fillId="4" borderId="0" xfId="22" applyNumberFormat="1" applyFont="1" applyFill="1" applyBorder="1" applyAlignment="1">
      <alignment horizontal="center"/>
    </xf>
    <xf numFmtId="3" fontId="25" fillId="4" borderId="0" xfId="22" quotePrefix="1" applyNumberFormat="1" applyFont="1" applyFill="1" applyBorder="1" applyAlignment="1">
      <alignment horizontal="right"/>
    </xf>
    <xf numFmtId="37" fontId="10" fillId="4" borderId="0" xfId="17" applyNumberFormat="1" applyFont="1" applyFill="1"/>
    <xf numFmtId="37" fontId="7" fillId="4" borderId="0" xfId="17" quotePrefix="1" applyNumberFormat="1" applyFont="1" applyFill="1"/>
    <xf numFmtId="0" fontId="7" fillId="0" borderId="0" xfId="0" applyFont="1" applyAlignment="1">
      <alignment horizontal="left" wrapText="1"/>
    </xf>
    <xf numFmtId="37" fontId="7" fillId="0" borderId="3" xfId="17" quotePrefix="1" applyNumberFormat="1" applyFont="1" applyBorder="1" applyAlignment="1">
      <alignment horizontal="center"/>
    </xf>
    <xf numFmtId="0" fontId="7" fillId="0" borderId="3" xfId="18" applyFont="1" applyBorder="1" applyAlignment="1">
      <alignment horizontal="center"/>
    </xf>
    <xf numFmtId="0" fontId="7" fillId="0" borderId="0" xfId="18" applyFont="1" applyAlignment="1">
      <alignment horizontal="center" vertical="center" wrapText="1"/>
    </xf>
    <xf numFmtId="0" fontId="24" fillId="0" borderId="3" xfId="18" applyFont="1" applyBorder="1" applyAlignment="1">
      <alignment horizontal="center" vertical="center" wrapText="1"/>
    </xf>
    <xf numFmtId="37" fontId="7" fillId="0" borderId="0" xfId="17" applyNumberFormat="1" applyFont="1" applyAlignment="1">
      <alignment horizontal="left" wrapText="1"/>
    </xf>
    <xf numFmtId="0" fontId="24" fillId="4" borderId="0" xfId="21" applyFont="1" applyFill="1" applyAlignment="1">
      <alignment horizontal="left" wrapText="1"/>
    </xf>
  </cellXfs>
  <cellStyles count="24">
    <cellStyle name="Accent4" xfId="3" builtinId="41"/>
    <cellStyle name="Comma" xfId="1" builtinId="3"/>
    <cellStyle name="Comma 2" xfId="6" xr:uid="{00000000-0005-0000-0000-000002000000}"/>
    <cellStyle name="Comma 2 2" xfId="7" xr:uid="{00000000-0005-0000-0000-000003000000}"/>
    <cellStyle name="Comma 2 2 2" xfId="8" xr:uid="{00000000-0005-0000-0000-000004000000}"/>
    <cellStyle name="Comma 3" xfId="11" xr:uid="{00000000-0005-0000-0000-000005000000}"/>
    <cellStyle name="Comma 4" xfId="15" xr:uid="{00000000-0005-0000-0000-000006000000}"/>
    <cellStyle name="Comma 5" xfId="19" xr:uid="{D871C2C2-5E02-44BF-A57A-49B2EC5AE890}"/>
    <cellStyle name="Comma 7" xfId="9" xr:uid="{00000000-0005-0000-0000-000007000000}"/>
    <cellStyle name="Normal" xfId="0" builtinId="0"/>
    <cellStyle name="Normal 2" xfId="4" xr:uid="{00000000-0005-0000-0000-000009000000}"/>
    <cellStyle name="Normal 2 2" xfId="12" xr:uid="{00000000-0005-0000-0000-00000A000000}"/>
    <cellStyle name="Normal 2 4" xfId="16" xr:uid="{69E66182-07DF-4345-882B-A2FAFAC12E53}"/>
    <cellStyle name="Normal 3" xfId="5" xr:uid="{00000000-0005-0000-0000-00000B000000}"/>
    <cellStyle name="Normal 3 2" xfId="21" xr:uid="{98EC13BB-FDA7-46F1-8564-1F3EEFAC454F}"/>
    <cellStyle name="Normal 4" xfId="10" xr:uid="{00000000-0005-0000-0000-00000C000000}"/>
    <cellStyle name="Normal 5" xfId="13" xr:uid="{00000000-0005-0000-0000-00000D000000}"/>
    <cellStyle name="Normal 6" xfId="14" xr:uid="{00000000-0005-0000-0000-00000E000000}"/>
    <cellStyle name="Normal 7" xfId="18" xr:uid="{C6B631E8-C941-48DE-8E03-A5F24ABE463C}"/>
    <cellStyle name="Normal 7 2" xfId="23" xr:uid="{5DA8AB78-EBA1-45B0-8657-FEBE35F5F818}"/>
    <cellStyle name="Normal_CASH" xfId="17" xr:uid="{C994CEB7-26D1-45B9-AB04-070029A721F0}"/>
    <cellStyle name="Normal_Continuity Schedule for All Deferred Costs (Actual)" xfId="20" xr:uid="{5F07B65F-345D-42B1-8989-1B2B179CA64C}"/>
    <cellStyle name="Percent" xfId="2" builtinId="5"/>
    <cellStyle name="Percent 4" xfId="22" xr:uid="{648C6AA2-E975-4810-BF88-7E0E8F4297C8}"/>
  </cellStyles>
  <dxfs count="18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P34"/>
  <sheetViews>
    <sheetView showGridLines="0" view="pageBreakPreview" zoomScaleNormal="100" zoomScaleSheetLayoutView="100" workbookViewId="0">
      <selection activeCell="D7" sqref="D7"/>
    </sheetView>
  </sheetViews>
  <sheetFormatPr defaultColWidth="9.1796875" defaultRowHeight="12.5"/>
  <cols>
    <col min="1" max="1" width="6.7265625" style="1" customWidth="1"/>
    <col min="2" max="2" width="9.1796875" style="3"/>
    <col min="3" max="3" width="2.7265625" style="1" customWidth="1"/>
    <col min="4" max="4" width="22.1796875" style="1" customWidth="1"/>
    <col min="5" max="10" width="9.1796875" style="1"/>
    <col min="11" max="11" width="6.54296875" style="1" customWidth="1"/>
    <col min="12" max="12" width="6" style="1" customWidth="1"/>
    <col min="13" max="16384" width="9.1796875" style="1"/>
  </cols>
  <sheetData>
    <row r="1" spans="2:16" ht="15">
      <c r="D1" s="4"/>
      <c r="F1" s="5" t="s">
        <v>431</v>
      </c>
    </row>
    <row r="2" spans="2:16" ht="15">
      <c r="D2" s="4"/>
      <c r="F2" s="5" t="s">
        <v>423</v>
      </c>
    </row>
    <row r="3" spans="2:16">
      <c r="D3" s="4"/>
      <c r="F3" s="6"/>
    </row>
    <row r="4" spans="2:16" ht="17.5">
      <c r="F4" s="7" t="s">
        <v>1</v>
      </c>
    </row>
    <row r="6" spans="2:16">
      <c r="B6" s="3">
        <v>1</v>
      </c>
      <c r="D6" s="1" t="str">
        <f>'Schedule 1'!A2</f>
        <v>Computation of Rate Base</v>
      </c>
    </row>
    <row r="8" spans="2:16">
      <c r="B8" s="3">
        <v>2</v>
      </c>
      <c r="D8" s="1" t="str">
        <f>'Schedule 2'!A2</f>
        <v>Computation of Allowance for Working Capital</v>
      </c>
    </row>
    <row r="9" spans="2:16">
      <c r="B9" s="3" t="s">
        <v>2</v>
      </c>
      <c r="D9" s="1" t="str">
        <f>'Schedule 2A'!A2</f>
        <v>Effect of GST on Working Capital</v>
      </c>
    </row>
    <row r="11" spans="2:16">
      <c r="B11" s="3">
        <v>3</v>
      </c>
      <c r="D11" s="1" t="str">
        <f>'Schedule 3'!A2</f>
        <v>Continuity Schedule of Property, Plant and Equipment, Deferred Costs and Intangible Assets</v>
      </c>
    </row>
    <row r="12" spans="2:16">
      <c r="B12" s="3" t="s">
        <v>472</v>
      </c>
      <c r="D12" s="1" t="str">
        <f>'Schedule 3A - 2025'!A2</f>
        <v>Calculation of Depreciation Expense for 2025</v>
      </c>
      <c r="K12" s="8"/>
      <c r="L12" s="8"/>
      <c r="M12" s="8"/>
      <c r="N12" s="8"/>
      <c r="O12" s="8"/>
      <c r="P12" s="8"/>
    </row>
    <row r="13" spans="2:16">
      <c r="B13" s="3" t="s">
        <v>473</v>
      </c>
      <c r="D13" s="1" t="str">
        <f>'Schedule 3A - 2026'!A2</f>
        <v>Calculation of Depreciation Expense for 2026</v>
      </c>
      <c r="K13" s="8"/>
      <c r="L13" s="8"/>
      <c r="M13" s="8"/>
      <c r="N13" s="8"/>
      <c r="O13" s="8"/>
      <c r="P13" s="8"/>
    </row>
    <row r="14" spans="2:16">
      <c r="B14" s="3" t="s">
        <v>474</v>
      </c>
      <c r="D14" s="1" t="str">
        <f>'Schedule 3A - 2027'!A2</f>
        <v>Calculation of Depreciation Expense for 2027</v>
      </c>
      <c r="K14" s="8"/>
      <c r="L14" s="8"/>
      <c r="M14" s="8"/>
      <c r="N14" s="8"/>
      <c r="O14" s="8"/>
      <c r="P14" s="8"/>
    </row>
    <row r="15" spans="2:16">
      <c r="B15" s="3" t="s">
        <v>505</v>
      </c>
      <c r="D15" s="36" t="str">
        <f>'Schedule 3B - 2025'!A2</f>
        <v>Calculation of Amortization Expense for Deferred Costs and Intangibles (2025)</v>
      </c>
      <c r="K15" s="8"/>
      <c r="L15" s="8"/>
      <c r="M15" s="8"/>
      <c r="N15" s="8"/>
      <c r="O15" s="8"/>
      <c r="P15" s="8"/>
    </row>
    <row r="16" spans="2:16">
      <c r="B16" s="3" t="s">
        <v>506</v>
      </c>
      <c r="D16" s="36" t="str">
        <f>'Schedule 3B - 2026'!A2</f>
        <v>Calculation of Amortization Expense for Deferred Costs and Intangibles (2026)</v>
      </c>
      <c r="K16" s="8"/>
      <c r="L16" s="8"/>
      <c r="M16" s="8"/>
      <c r="N16" s="8"/>
      <c r="O16" s="8"/>
      <c r="P16" s="8"/>
    </row>
    <row r="17" spans="2:16">
      <c r="B17" s="3" t="s">
        <v>507</v>
      </c>
      <c r="D17" s="36" t="str">
        <f>'Schedule 3B - 2027'!A2</f>
        <v>Calculation of Amortization Expense for Deferred Costs and Intangibles (2027)</v>
      </c>
      <c r="K17" s="8"/>
      <c r="L17" s="8"/>
      <c r="M17" s="8"/>
      <c r="N17" s="8"/>
      <c r="O17" s="8"/>
      <c r="P17" s="8"/>
    </row>
    <row r="18" spans="2:16">
      <c r="K18" s="8"/>
      <c r="L18" s="8"/>
      <c r="M18" s="8"/>
      <c r="N18" s="8"/>
      <c r="O18" s="8"/>
      <c r="P18" s="8"/>
    </row>
    <row r="19" spans="2:16">
      <c r="B19" s="3">
        <v>4</v>
      </c>
      <c r="D19" s="1" t="s">
        <v>3</v>
      </c>
      <c r="K19" s="8"/>
      <c r="L19" s="8"/>
      <c r="M19" s="8"/>
      <c r="N19" s="8"/>
      <c r="O19" s="8"/>
      <c r="P19" s="8"/>
    </row>
    <row r="20" spans="2:16">
      <c r="K20" s="8"/>
    </row>
    <row r="21" spans="2:16">
      <c r="B21" s="3">
        <v>5</v>
      </c>
      <c r="D21" s="1" t="str">
        <f>'Schedule 5'!A2</f>
        <v>Utility Revenue Requirement</v>
      </c>
    </row>
    <row r="23" spans="2:16">
      <c r="B23" s="3">
        <v>6</v>
      </c>
      <c r="D23" s="1" t="str">
        <f>'Schedule 6'!A2</f>
        <v>Statement of Earnings</v>
      </c>
    </row>
    <row r="25" spans="2:16">
      <c r="B25" s="3">
        <v>7</v>
      </c>
      <c r="D25" s="1" t="str">
        <f>'Schedule 7'!A2</f>
        <v>Statement of Retained Earnings</v>
      </c>
    </row>
    <row r="27" spans="2:16">
      <c r="B27" s="3">
        <v>8</v>
      </c>
      <c r="D27" s="1" t="str">
        <f>'Schedule 8'!A2</f>
        <v>Reconciliation of Utility Income to Net Earnings</v>
      </c>
    </row>
    <row r="29" spans="2:16">
      <c r="B29" s="3">
        <v>9</v>
      </c>
      <c r="D29" s="1" t="str">
        <f>'Schedule 9'!A2</f>
        <v>Summary of Customers, Energy Sales and Revenues</v>
      </c>
    </row>
    <row r="31" spans="2:16">
      <c r="B31" s="3">
        <f>B29+1</f>
        <v>10</v>
      </c>
      <c r="D31" s="1" t="str">
        <f>'Schedule 10'!A2</f>
        <v>Summary of Operating and Maintenance Expenses</v>
      </c>
    </row>
    <row r="32" spans="2:16">
      <c r="B32" s="3" t="s">
        <v>4</v>
      </c>
      <c r="D32" s="1" t="str">
        <f>'Schedule 10A'!A2</f>
        <v>Summary of Labour Costs</v>
      </c>
    </row>
    <row r="34" spans="2:4">
      <c r="B34" s="3">
        <f>B31+1</f>
        <v>11</v>
      </c>
      <c r="D34" s="1" t="str">
        <f>'Schedule 11'!A2</f>
        <v>Summary of Cost of Long - Term Debt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87F1-CC23-47D6-BB11-70790A10601F}">
  <sheetPr>
    <tabColor theme="9" tint="0.39997558519241921"/>
    <pageSetUpPr fitToPage="1"/>
  </sheetPr>
  <dimension ref="A1:W110"/>
  <sheetViews>
    <sheetView view="pageBreakPreview" zoomScaleSheetLayoutView="100" workbookViewId="0">
      <pane ySplit="7" topLeftCell="A50" activePane="bottomLeft" state="frozen"/>
      <selection activeCell="H18" sqref="H18"/>
      <selection pane="bottomLeft" activeCell="B65" sqref="B65"/>
    </sheetView>
  </sheetViews>
  <sheetFormatPr defaultColWidth="9.08984375" defaultRowHeight="12.5"/>
  <cols>
    <col min="1" max="1" width="45.453125" style="159" customWidth="1"/>
    <col min="2" max="5" width="10.08984375" style="159" customWidth="1"/>
    <col min="6" max="6" width="1.7265625" style="159" customWidth="1"/>
    <col min="7" max="7" width="10.08984375" style="159" customWidth="1"/>
    <col min="8" max="8" width="2.36328125" style="159" customWidth="1"/>
    <col min="9" max="9" width="11.453125" style="159" customWidth="1"/>
    <col min="10" max="10" width="12.6328125" style="159" customWidth="1"/>
    <col min="11" max="11" width="4.6328125" style="159" customWidth="1"/>
    <col min="20" max="22" width="9.08984375" style="159"/>
    <col min="23" max="23" width="10.36328125" style="159" bestFit="1" customWidth="1"/>
    <col min="24" max="16384" width="9.08984375" style="159"/>
  </cols>
  <sheetData>
    <row r="1" spans="1:11">
      <c r="A1" s="157" t="s">
        <v>358</v>
      </c>
      <c r="B1" s="157"/>
      <c r="C1" s="158"/>
      <c r="D1" s="158"/>
      <c r="E1" s="158"/>
      <c r="F1" s="158"/>
      <c r="G1" s="158"/>
      <c r="H1" s="158"/>
      <c r="I1" s="158"/>
      <c r="J1" s="196" t="s">
        <v>511</v>
      </c>
    </row>
    <row r="2" spans="1:11" ht="15" customHeight="1">
      <c r="A2" s="157" t="s">
        <v>501</v>
      </c>
      <c r="B2" s="157"/>
      <c r="C2" s="158"/>
      <c r="D2" s="158"/>
      <c r="E2" s="158"/>
      <c r="F2" s="158"/>
      <c r="G2" s="158"/>
      <c r="H2" s="158"/>
      <c r="I2" s="158"/>
      <c r="J2" s="195" t="str">
        <f>'Schedule 1'!$M$2</f>
        <v>2025-27 GRA CF</v>
      </c>
    </row>
    <row r="3" spans="1:11" ht="15.75" customHeight="1" thickBot="1">
      <c r="A3" s="160" t="s">
        <v>332</v>
      </c>
      <c r="B3" s="161"/>
      <c r="C3" s="162"/>
      <c r="D3" s="162"/>
      <c r="E3" s="162"/>
      <c r="F3" s="162"/>
      <c r="G3" s="162"/>
      <c r="H3" s="162"/>
      <c r="I3" s="162"/>
      <c r="J3" s="162"/>
    </row>
    <row r="4" spans="1:11" ht="13" thickBot="1">
      <c r="A4" s="163"/>
      <c r="B4" s="161"/>
      <c r="C4" s="162"/>
      <c r="D4" s="162"/>
      <c r="E4" s="162"/>
      <c r="F4" s="158"/>
      <c r="G4" s="158"/>
      <c r="H4" s="158"/>
      <c r="I4" s="158"/>
      <c r="J4" s="162"/>
    </row>
    <row r="5" spans="1:11" ht="13" thickBot="1">
      <c r="A5" s="163"/>
      <c r="B5" s="233" t="s">
        <v>359</v>
      </c>
      <c r="C5" s="234"/>
      <c r="D5" s="234"/>
      <c r="E5" s="234"/>
      <c r="F5" s="164"/>
      <c r="G5" s="188" t="s">
        <v>425</v>
      </c>
      <c r="H5" s="164"/>
      <c r="I5" s="158"/>
      <c r="J5" s="188"/>
    </row>
    <row r="6" spans="1:11" ht="18" customHeight="1">
      <c r="A6" s="163"/>
      <c r="B6" s="165" t="s">
        <v>360</v>
      </c>
      <c r="C6" s="166" t="s">
        <v>502</v>
      </c>
      <c r="D6" s="167"/>
      <c r="E6" s="165" t="s">
        <v>360</v>
      </c>
      <c r="F6" s="165"/>
      <c r="G6" s="165" t="s">
        <v>360</v>
      </c>
      <c r="H6" s="168"/>
      <c r="I6" s="235" t="s">
        <v>430</v>
      </c>
      <c r="J6" s="166" t="str">
        <f>C6</f>
        <v>2026 Forecast</v>
      </c>
    </row>
    <row r="7" spans="1:11" ht="31.5" customHeight="1" thickBot="1">
      <c r="A7" s="163"/>
      <c r="B7" s="169">
        <v>2025</v>
      </c>
      <c r="C7" s="170" t="s">
        <v>361</v>
      </c>
      <c r="D7" s="171" t="s">
        <v>362</v>
      </c>
      <c r="E7" s="172">
        <f>B7+1</f>
        <v>2026</v>
      </c>
      <c r="F7" s="172"/>
      <c r="G7" s="169">
        <v>2025</v>
      </c>
      <c r="H7" s="172"/>
      <c r="I7" s="236"/>
      <c r="J7" s="171" t="s">
        <v>363</v>
      </c>
    </row>
    <row r="8" spans="1:11">
      <c r="A8" s="173" t="s">
        <v>364</v>
      </c>
    </row>
    <row r="9" spans="1:11">
      <c r="A9" s="174" t="s">
        <v>365</v>
      </c>
      <c r="I9" s="175"/>
    </row>
    <row r="10" spans="1:11">
      <c r="A10" s="176" t="str">
        <f>'Schedule 3B - 2025'!A10</f>
        <v>Gladstone</v>
      </c>
      <c r="B10" s="176">
        <f>'Schedule 3B - 2025'!E10</f>
        <v>4521.2649199999996</v>
      </c>
      <c r="C10" s="176"/>
      <c r="D10" s="176"/>
      <c r="E10" s="176">
        <f t="shared" ref="E10:E41" si="0">B10+C10+D10</f>
        <v>4521.2649199999996</v>
      </c>
      <c r="F10" s="176"/>
      <c r="G10" s="176">
        <v>452.12650800000006</v>
      </c>
      <c r="I10" s="95">
        <v>10</v>
      </c>
      <c r="J10" s="181">
        <f t="shared" ref="J10:J40" si="1">MIN(B10/I10,G10)</f>
        <v>452.12649199999998</v>
      </c>
      <c r="K10" s="177"/>
    </row>
    <row r="11" spans="1:11">
      <c r="A11" s="176" t="str">
        <f>'Schedule 3B - 2025'!A16</f>
        <v>Mayo Earthworks</v>
      </c>
      <c r="B11" s="176">
        <f>'Schedule 3B - 2025'!E16</f>
        <v>89.50752</v>
      </c>
      <c r="C11" s="176"/>
      <c r="D11" s="176"/>
      <c r="E11" s="176">
        <f t="shared" si="0"/>
        <v>89.50752</v>
      </c>
      <c r="F11" s="176"/>
      <c r="G11" s="176">
        <v>7.458978000000009</v>
      </c>
      <c r="I11" s="95">
        <v>5</v>
      </c>
      <c r="J11" s="181">
        <f t="shared" si="1"/>
        <v>7.458978000000009</v>
      </c>
      <c r="K11" s="177"/>
    </row>
    <row r="12" spans="1:11">
      <c r="A12" s="176" t="str">
        <f>'Schedule 3B - 2025'!A17</f>
        <v xml:space="preserve">FD7 Condition Assessment </v>
      </c>
      <c r="B12" s="176">
        <f>'Schedule 3B - 2025'!E17</f>
        <v>73.277100000000004</v>
      </c>
      <c r="C12" s="176"/>
      <c r="D12" s="176"/>
      <c r="E12" s="176">
        <f t="shared" si="0"/>
        <v>73.277100000000004</v>
      </c>
      <c r="F12" s="176"/>
      <c r="G12" s="176">
        <v>13.129590000000006</v>
      </c>
      <c r="I12" s="95">
        <v>5</v>
      </c>
      <c r="J12" s="181">
        <f t="shared" si="1"/>
        <v>13.129590000000006</v>
      </c>
      <c r="K12" s="177"/>
    </row>
    <row r="13" spans="1:11">
      <c r="A13" s="176" t="str">
        <f>'Schedule 3B - 2025'!A18</f>
        <v>Wareham Spillgate Leakage Reduction</v>
      </c>
      <c r="B13" s="176">
        <f>'Schedule 3B - 2025'!E18</f>
        <v>52.514710000000001</v>
      </c>
      <c r="C13" s="176"/>
      <c r="D13" s="176"/>
      <c r="E13" s="176">
        <f t="shared" si="0"/>
        <v>52.514710000000001</v>
      </c>
      <c r="F13" s="176"/>
      <c r="G13" s="176">
        <v>10.502883999999998</v>
      </c>
      <c r="I13" s="95">
        <v>5</v>
      </c>
      <c r="J13" s="181">
        <f t="shared" si="1"/>
        <v>10.502883999999998</v>
      </c>
      <c r="K13" s="177"/>
    </row>
    <row r="14" spans="1:11">
      <c r="A14" s="176" t="str">
        <f>'Schedule 3B - 2025'!A19</f>
        <v>P125 Intake Trash Rack Cleaning System</v>
      </c>
      <c r="B14" s="176">
        <f>'Schedule 3B - 2025'!E19</f>
        <v>59.194720000000004</v>
      </c>
      <c r="C14" s="176"/>
      <c r="D14" s="176"/>
      <c r="E14" s="176">
        <f t="shared" si="0"/>
        <v>59.194720000000004</v>
      </c>
      <c r="F14" s="176"/>
      <c r="G14" s="176">
        <v>11.838928000000003</v>
      </c>
      <c r="I14" s="95">
        <v>5</v>
      </c>
      <c r="J14" s="181">
        <f t="shared" si="1"/>
        <v>11.838928000000003</v>
      </c>
      <c r="K14" s="177"/>
    </row>
    <row r="15" spans="1:11">
      <c r="A15" s="176" t="str">
        <f>'Schedule 3B - 2025'!A20</f>
        <v>PMF Flood Study</v>
      </c>
      <c r="B15" s="176">
        <f>'Schedule 3B - 2025'!E20</f>
        <v>77.782899999999998</v>
      </c>
      <c r="C15" s="176"/>
      <c r="D15" s="176"/>
      <c r="E15" s="176">
        <f t="shared" si="0"/>
        <v>77.782899999999998</v>
      </c>
      <c r="F15" s="176"/>
      <c r="G15" s="176">
        <v>11.592869999999984</v>
      </c>
      <c r="I15" s="95">
        <v>5</v>
      </c>
      <c r="J15" s="181">
        <f t="shared" si="1"/>
        <v>11.592869999999984</v>
      </c>
      <c r="K15" s="177"/>
    </row>
    <row r="16" spans="1:11">
      <c r="A16" s="176" t="str">
        <f>'Schedule 3B - 2025'!A21</f>
        <v>IPP SOP Implentation</v>
      </c>
      <c r="B16" s="176">
        <f>'Schedule 3B - 2025'!E21</f>
        <v>325.99815000000001</v>
      </c>
      <c r="C16" s="176"/>
      <c r="D16" s="176"/>
      <c r="E16" s="176">
        <f t="shared" si="0"/>
        <v>325.99815000000001</v>
      </c>
      <c r="F16" s="176"/>
      <c r="G16" s="176">
        <v>65.199370000000002</v>
      </c>
      <c r="I16" s="95">
        <v>5</v>
      </c>
      <c r="J16" s="181">
        <f t="shared" si="1"/>
        <v>65.199370000000002</v>
      </c>
      <c r="K16" s="177"/>
    </row>
    <row r="17" spans="1:11">
      <c r="A17" s="176" t="str">
        <f>'Schedule 3B - 2025'!A22</f>
        <v>WH Post-Flood Assessment</v>
      </c>
      <c r="B17" s="176">
        <f>'Schedule 3B - 2025'!E22</f>
        <v>115.23152999999999</v>
      </c>
      <c r="C17" s="176"/>
      <c r="D17" s="176"/>
      <c r="E17" s="176">
        <f t="shared" si="0"/>
        <v>115.23152999999999</v>
      </c>
      <c r="F17" s="176"/>
      <c r="G17" s="176">
        <v>38.263182</v>
      </c>
      <c r="I17" s="95">
        <v>5</v>
      </c>
      <c r="J17" s="181">
        <f t="shared" si="1"/>
        <v>23.046305999999998</v>
      </c>
      <c r="K17" s="177"/>
    </row>
    <row r="18" spans="1:11">
      <c r="A18" s="176" t="str">
        <f>'Schedule 3B - 2025'!A23</f>
        <v>Emergency Preparedness Improvement</v>
      </c>
      <c r="B18" s="176">
        <f>'Schedule 3B - 2025'!E23</f>
        <v>59.53539</v>
      </c>
      <c r="C18" s="176"/>
      <c r="D18" s="176"/>
      <c r="E18" s="176">
        <f t="shared" si="0"/>
        <v>59.53539</v>
      </c>
      <c r="F18" s="176"/>
      <c r="G18" s="176">
        <v>23.814156000000004</v>
      </c>
      <c r="I18" s="95">
        <v>5</v>
      </c>
      <c r="J18" s="181">
        <f t="shared" si="1"/>
        <v>11.907078</v>
      </c>
      <c r="K18" s="177"/>
    </row>
    <row r="19" spans="1:11">
      <c r="A19" s="176" t="str">
        <f>'Schedule 3B - 2025'!A24</f>
        <v>P126 Building Renovation</v>
      </c>
      <c r="B19" s="176">
        <f>'Schedule 3B - 2025'!E24</f>
        <v>196.33029000000002</v>
      </c>
      <c r="C19" s="176"/>
      <c r="D19" s="176"/>
      <c r="E19" s="176">
        <f t="shared" si="0"/>
        <v>196.33029000000002</v>
      </c>
      <c r="F19" s="176"/>
      <c r="G19" s="176">
        <v>78.532116000000002</v>
      </c>
      <c r="I19" s="95">
        <v>5</v>
      </c>
      <c r="J19" s="181">
        <f t="shared" si="1"/>
        <v>39.266058000000001</v>
      </c>
      <c r="K19" s="177"/>
    </row>
    <row r="20" spans="1:11">
      <c r="A20" s="176" t="str">
        <f>'Schedule 3B - 2025'!A25</f>
        <v>WH4 Low Water Cavitation Study &amp; Recommendation</v>
      </c>
      <c r="B20" s="176">
        <f>'Schedule 3B - 2025'!E25</f>
        <v>46.831489999999995</v>
      </c>
      <c r="C20" s="176"/>
      <c r="D20" s="176"/>
      <c r="E20" s="176">
        <f t="shared" si="0"/>
        <v>46.831489999999995</v>
      </c>
      <c r="F20" s="176"/>
      <c r="G20" s="176">
        <v>17.911445999999998</v>
      </c>
      <c r="I20" s="95">
        <v>5</v>
      </c>
      <c r="J20" s="181">
        <f t="shared" si="1"/>
        <v>9.3662979999999987</v>
      </c>
      <c r="K20" s="177"/>
    </row>
    <row r="21" spans="1:11">
      <c r="A21" s="176" t="str">
        <f>'Schedule 3B - 2025'!A26</f>
        <v>Southern Lakes Enhanced Storage</v>
      </c>
      <c r="B21" s="176">
        <f>'Schedule 3B - 2025'!E26</f>
        <v>8784.170970000001</v>
      </c>
      <c r="C21" s="176"/>
      <c r="D21" s="176"/>
      <c r="E21" s="176">
        <f t="shared" si="0"/>
        <v>8784.170970000001</v>
      </c>
      <c r="F21" s="176"/>
      <c r="G21" s="176">
        <v>6002.1157229999999</v>
      </c>
      <c r="I21" s="95">
        <v>10</v>
      </c>
      <c r="J21" s="181">
        <f t="shared" si="1"/>
        <v>878.41709700000013</v>
      </c>
      <c r="K21" s="177"/>
    </row>
    <row r="22" spans="1:11">
      <c r="A22" s="176" t="str">
        <f>'Schedule 3B - 2025'!A27</f>
        <v>Thermal SG4 WH Gas Feasibility</v>
      </c>
      <c r="B22" s="176">
        <f>'Schedule 3B - 2025'!E27</f>
        <v>122.43858</v>
      </c>
      <c r="C22" s="176"/>
      <c r="D22" s="176"/>
      <c r="E22" s="176">
        <f t="shared" si="0"/>
        <v>122.43858</v>
      </c>
      <c r="F22" s="176"/>
      <c r="G22" s="176">
        <v>48.975424000000011</v>
      </c>
      <c r="I22" s="95">
        <v>5</v>
      </c>
      <c r="J22" s="181">
        <f t="shared" si="1"/>
        <v>24.487715999999999</v>
      </c>
      <c r="K22" s="177"/>
    </row>
    <row r="23" spans="1:11">
      <c r="A23" s="176" t="str">
        <f>'Schedule 3B - 2025'!A28</f>
        <v>Emission/Thermal Allocation Study</v>
      </c>
      <c r="B23" s="176">
        <f>'Schedule 3B - 2025'!E28</f>
        <v>36.075000000000003</v>
      </c>
      <c r="C23" s="176"/>
      <c r="D23" s="176"/>
      <c r="E23" s="176">
        <f t="shared" si="0"/>
        <v>36.075000000000003</v>
      </c>
      <c r="F23" s="176"/>
      <c r="G23" s="176">
        <v>21.625229999999998</v>
      </c>
      <c r="I23" s="95">
        <v>5</v>
      </c>
      <c r="J23" s="181">
        <f t="shared" si="1"/>
        <v>7.2150000000000007</v>
      </c>
      <c r="K23" s="177"/>
    </row>
    <row r="24" spans="1:11">
      <c r="A24" s="176" t="str">
        <f>'Schedule 3B - 2025'!A29</f>
        <v>Mayo Civil Infrastructure Refurbishment Planning</v>
      </c>
      <c r="B24" s="176">
        <f>'Schedule 3B - 2025'!E29</f>
        <v>172.99391</v>
      </c>
      <c r="C24" s="176"/>
      <c r="D24" s="176"/>
      <c r="E24" s="176">
        <f t="shared" si="0"/>
        <v>172.99391</v>
      </c>
      <c r="F24" s="176"/>
      <c r="G24" s="176">
        <v>103.70155800000001</v>
      </c>
      <c r="I24" s="95">
        <v>5</v>
      </c>
      <c r="J24" s="181">
        <f t="shared" si="1"/>
        <v>34.598782</v>
      </c>
      <c r="K24" s="177"/>
    </row>
    <row r="25" spans="1:11">
      <c r="A25" s="176" t="str">
        <f>'Schedule 3B - 2025'!A30</f>
        <v>SCADA/Server Room Fire Assessment</v>
      </c>
      <c r="B25" s="176">
        <f>'Schedule 3B - 2025'!E30</f>
        <v>11.190100000000001</v>
      </c>
      <c r="C25" s="176"/>
      <c r="D25" s="176"/>
      <c r="E25" s="176">
        <f t="shared" si="0"/>
        <v>11.190100000000001</v>
      </c>
      <c r="F25" s="176"/>
      <c r="G25" s="176">
        <v>6.7079299999999993</v>
      </c>
      <c r="I25" s="95">
        <v>5</v>
      </c>
      <c r="J25" s="181">
        <f t="shared" si="1"/>
        <v>2.2380200000000001</v>
      </c>
      <c r="K25" s="177"/>
    </row>
    <row r="26" spans="1:11">
      <c r="A26" s="176" t="str">
        <f>'Schedule 3B - 2025'!A31</f>
        <v>Building Condition Reports</v>
      </c>
      <c r="B26" s="176">
        <f>'Schedule 3B - 2025'!E31</f>
        <v>136.59076999999999</v>
      </c>
      <c r="C26" s="176"/>
      <c r="D26" s="176"/>
      <c r="E26" s="176">
        <f t="shared" si="0"/>
        <v>136.59076999999999</v>
      </c>
      <c r="F26" s="176"/>
      <c r="G26" s="176">
        <v>81.879625999999973</v>
      </c>
      <c r="I26" s="95">
        <v>5</v>
      </c>
      <c r="J26" s="181">
        <f t="shared" si="1"/>
        <v>27.318154</v>
      </c>
      <c r="K26" s="177"/>
    </row>
    <row r="27" spans="1:11">
      <c r="A27" s="176" t="str">
        <f>'Schedule 3B - 2025'!A32</f>
        <v>Transformer Containment/Spill Risk Study</v>
      </c>
      <c r="B27" s="176">
        <f>'Schedule 3B - 2025'!E32</f>
        <v>24.57694</v>
      </c>
      <c r="C27" s="176"/>
      <c r="D27" s="176"/>
      <c r="E27" s="176">
        <f t="shared" si="0"/>
        <v>24.57694</v>
      </c>
      <c r="F27" s="176"/>
      <c r="G27" s="176">
        <v>14.746161999999998</v>
      </c>
      <c r="I27" s="95">
        <v>5</v>
      </c>
      <c r="J27" s="181">
        <f t="shared" si="1"/>
        <v>4.9153880000000001</v>
      </c>
      <c r="K27" s="177"/>
    </row>
    <row r="28" spans="1:11">
      <c r="A28" s="176" t="str">
        <f>'Schedule 3B - 2025'!A33</f>
        <v>Mayo Lake/Wareham Dam Breach</v>
      </c>
      <c r="B28" s="176">
        <f>'Schedule 3B - 2025'!E33</f>
        <v>67.997410000000002</v>
      </c>
      <c r="C28" s="176"/>
      <c r="D28" s="176"/>
      <c r="E28" s="176">
        <f t="shared" si="0"/>
        <v>67.997410000000002</v>
      </c>
      <c r="F28" s="176"/>
      <c r="G28" s="176">
        <v>40.798448</v>
      </c>
      <c r="I28" s="95">
        <v>5</v>
      </c>
      <c r="J28" s="181">
        <f t="shared" si="1"/>
        <v>13.599482</v>
      </c>
      <c r="K28" s="177"/>
    </row>
    <row r="29" spans="1:11">
      <c r="A29" s="176" t="str">
        <f>'Schedule 3B - 2025'!A34</f>
        <v>IPP Power Variability Study</v>
      </c>
      <c r="B29" s="176">
        <f>'Schedule 3B - 2025'!E34</f>
        <v>65.897589999999994</v>
      </c>
      <c r="C29" s="176"/>
      <c r="D29" s="176"/>
      <c r="E29" s="176">
        <f t="shared" si="0"/>
        <v>65.897589999999994</v>
      </c>
      <c r="F29" s="176"/>
      <c r="G29" s="176">
        <v>39.538551999999996</v>
      </c>
      <c r="I29" s="95">
        <v>5</v>
      </c>
      <c r="J29" s="181">
        <f t="shared" si="1"/>
        <v>13.179517999999998</v>
      </c>
      <c r="K29" s="177"/>
    </row>
    <row r="30" spans="1:11">
      <c r="A30" s="176" t="str">
        <f>'Schedule 3B - 2025'!A35</f>
        <v>IPP Technical Interconnection</v>
      </c>
      <c r="B30" s="176">
        <f>'Schedule 3B - 2025'!E35</f>
        <v>13.239000000000001</v>
      </c>
      <c r="C30" s="176"/>
      <c r="D30" s="176"/>
      <c r="E30" s="176">
        <f t="shared" si="0"/>
        <v>13.239000000000001</v>
      </c>
      <c r="F30" s="176"/>
      <c r="G30" s="176">
        <v>7.9433999999999987</v>
      </c>
      <c r="I30" s="95">
        <v>5</v>
      </c>
      <c r="J30" s="181">
        <f t="shared" si="1"/>
        <v>2.6478000000000002</v>
      </c>
      <c r="K30" s="177"/>
    </row>
    <row r="31" spans="1:11">
      <c r="A31" s="176" t="str">
        <f>'Schedule 3B - 2025'!A36</f>
        <v>Climate Change Adaptation</v>
      </c>
      <c r="B31" s="176">
        <f>'Schedule 3B - 2025'!E36</f>
        <v>43.927510000000005</v>
      </c>
      <c r="C31" s="176"/>
      <c r="D31" s="176"/>
      <c r="E31" s="176">
        <f t="shared" si="0"/>
        <v>43.927510000000005</v>
      </c>
      <c r="F31" s="176"/>
      <c r="G31" s="176">
        <v>33.821777999999995</v>
      </c>
      <c r="I31" s="95">
        <v>5</v>
      </c>
      <c r="J31" s="181">
        <f t="shared" si="1"/>
        <v>8.785502000000001</v>
      </c>
      <c r="K31" s="177"/>
    </row>
    <row r="32" spans="1:11">
      <c r="A32" s="176" t="str">
        <f>'Schedule 3B - 2025'!A37</f>
        <v>Mayo Lake CS/Wareham Dam Seismic Assmnt</v>
      </c>
      <c r="B32" s="176">
        <f>'Schedule 3B - 2025'!E37</f>
        <v>100.19461</v>
      </c>
      <c r="C32" s="176"/>
      <c r="D32" s="176"/>
      <c r="E32" s="176">
        <f t="shared" si="0"/>
        <v>100.19461</v>
      </c>
      <c r="F32" s="176"/>
      <c r="G32" s="176">
        <v>80.155687999999998</v>
      </c>
      <c r="I32" s="95">
        <v>5</v>
      </c>
      <c r="J32" s="181">
        <f t="shared" si="1"/>
        <v>20.038921999999999</v>
      </c>
      <c r="K32" s="177"/>
    </row>
    <row r="33" spans="1:11">
      <c r="A33" s="176" t="str">
        <f>'Schedule 3B - 2025'!A38</f>
        <v>Wareham Dam Toe Seepage Analysis</v>
      </c>
      <c r="B33" s="176">
        <f>'Schedule 3B - 2025'!E38</f>
        <v>28.539580000000001</v>
      </c>
      <c r="C33" s="176"/>
      <c r="D33" s="176"/>
      <c r="E33" s="176">
        <f t="shared" si="0"/>
        <v>28.539580000000001</v>
      </c>
      <c r="F33" s="176"/>
      <c r="G33" s="176">
        <v>22.831664</v>
      </c>
      <c r="I33" s="95">
        <v>5</v>
      </c>
      <c r="J33" s="181">
        <f t="shared" si="1"/>
        <v>5.707916</v>
      </c>
      <c r="K33" s="177"/>
    </row>
    <row r="34" spans="1:11">
      <c r="A34" s="176" t="str">
        <f>'Schedule 3B - 2025'!A39</f>
        <v>Wareham Winter Spill Study</v>
      </c>
      <c r="B34" s="176">
        <f>'Schedule 3B - 2025'!E39</f>
        <v>121.99618</v>
      </c>
      <c r="C34" s="176"/>
      <c r="D34" s="176"/>
      <c r="E34" s="176">
        <f t="shared" si="0"/>
        <v>121.99618</v>
      </c>
      <c r="F34" s="176"/>
      <c r="G34" s="176">
        <v>97.596943999999993</v>
      </c>
      <c r="I34" s="95">
        <v>5</v>
      </c>
      <c r="J34" s="181">
        <f t="shared" si="1"/>
        <v>24.399235999999998</v>
      </c>
      <c r="K34" s="177"/>
    </row>
    <row r="35" spans="1:11">
      <c r="A35" s="176" t="str">
        <f>'Schedule 3B - 2025'!A40</f>
        <v>Transmssion Line Corridor Heritage Assmnt</v>
      </c>
      <c r="B35" s="176">
        <f>'Schedule 3B - 2025'!E40</f>
        <v>19.97803</v>
      </c>
      <c r="C35" s="176"/>
      <c r="D35" s="176"/>
      <c r="E35" s="176">
        <f t="shared" si="0"/>
        <v>19.97803</v>
      </c>
      <c r="F35" s="176"/>
      <c r="G35" s="176">
        <v>15.982424</v>
      </c>
      <c r="I35" s="95">
        <v>5</v>
      </c>
      <c r="J35" s="181">
        <f t="shared" si="1"/>
        <v>3.995606</v>
      </c>
      <c r="K35" s="177"/>
    </row>
    <row r="36" spans="1:11">
      <c r="A36" s="176" t="str">
        <f>'Schedule 3B - 2025'!A41</f>
        <v>Aishihik Intake Inspection</v>
      </c>
      <c r="B36" s="176">
        <f>'Schedule 3B - 2025'!E41</f>
        <v>157.5137</v>
      </c>
      <c r="C36" s="176"/>
      <c r="D36" s="176"/>
      <c r="E36" s="176">
        <f t="shared" si="0"/>
        <v>157.5137</v>
      </c>
      <c r="F36" s="176"/>
      <c r="G36" s="176">
        <v>126.01096</v>
      </c>
      <c r="I36" s="95">
        <v>5</v>
      </c>
      <c r="J36" s="181">
        <f t="shared" si="1"/>
        <v>31.502739999999999</v>
      </c>
      <c r="K36" s="177"/>
    </row>
    <row r="37" spans="1:11">
      <c r="A37" s="176" t="str">
        <f>'Schedule 3B - 2025'!A42</f>
        <v>Lease Options Analysis 2024</v>
      </c>
      <c r="B37" s="176">
        <f>'Schedule 3B - 2025'!E42</f>
        <v>8.5541200000000011</v>
      </c>
      <c r="C37" s="176"/>
      <c r="D37" s="176"/>
      <c r="E37" s="176">
        <f t="shared" si="0"/>
        <v>8.5541200000000011</v>
      </c>
      <c r="F37" s="176"/>
      <c r="G37" s="176">
        <v>6.8432960000000005</v>
      </c>
      <c r="I37" s="95">
        <v>5</v>
      </c>
      <c r="J37" s="181">
        <f t="shared" si="1"/>
        <v>1.7108240000000001</v>
      </c>
      <c r="K37" s="177"/>
    </row>
    <row r="38" spans="1:11">
      <c r="A38" s="176" t="str">
        <f>'Schedule 3B - 2025'!A43</f>
        <v>System Fire Suppression Assessment Study</v>
      </c>
      <c r="B38" s="176">
        <f>'Schedule 3B - 2025'!E43</f>
        <v>146.37052</v>
      </c>
      <c r="C38" s="176"/>
      <c r="D38" s="176"/>
      <c r="E38" s="176">
        <f t="shared" si="0"/>
        <v>146.37052</v>
      </c>
      <c r="F38" s="176"/>
      <c r="G38" s="176">
        <v>118.45936399999999</v>
      </c>
      <c r="I38" s="95">
        <v>5</v>
      </c>
      <c r="J38" s="181">
        <f t="shared" si="1"/>
        <v>29.274104000000001</v>
      </c>
      <c r="K38" s="177"/>
    </row>
    <row r="39" spans="1:11">
      <c r="A39" s="176" t="str">
        <f>'Schedule 3B - 2025'!A44</f>
        <v>T&amp;D Emrgncy Spare Parts &amp; Stocking Study</v>
      </c>
      <c r="B39" s="176">
        <f>'Schedule 3B - 2025'!E44</f>
        <v>13.75</v>
      </c>
      <c r="C39" s="176"/>
      <c r="D39" s="176"/>
      <c r="E39" s="176">
        <f t="shared" si="0"/>
        <v>13.75</v>
      </c>
      <c r="F39" s="176"/>
      <c r="G39" s="176">
        <v>9.625</v>
      </c>
      <c r="I39" s="95">
        <v>5</v>
      </c>
      <c r="J39" s="181">
        <f t="shared" si="1"/>
        <v>2.75</v>
      </c>
      <c r="K39" s="177"/>
    </row>
    <row r="40" spans="1:11">
      <c r="A40" s="176" t="str">
        <f>'Schedule 3B - 2025'!A45</f>
        <v>Thermal Plant Replacement Project*</v>
      </c>
      <c r="B40" s="176">
        <f>'Schedule 3B - 2025'!E45</f>
        <v>991.39300000000003</v>
      </c>
      <c r="C40" s="176"/>
      <c r="D40" s="176"/>
      <c r="E40" s="176">
        <f t="shared" si="0"/>
        <v>991.39300000000003</v>
      </c>
      <c r="F40" s="176"/>
      <c r="G40" s="176">
        <v>892.25369999999998</v>
      </c>
      <c r="I40" s="95">
        <v>5</v>
      </c>
      <c r="J40" s="181">
        <f t="shared" si="1"/>
        <v>198.27860000000001</v>
      </c>
      <c r="K40" s="177"/>
    </row>
    <row r="41" spans="1:11">
      <c r="A41" s="176" t="str">
        <f>'Schedule 3B - 2025'!A46</f>
        <v>S250 Callison System Preliminary Engineering</v>
      </c>
      <c r="B41" s="176">
        <f>'Schedule 3B - 2025'!E46</f>
        <v>28.83548</v>
      </c>
      <c r="C41" s="176"/>
      <c r="D41" s="176"/>
      <c r="E41" s="176">
        <f t="shared" si="0"/>
        <v>28.83548</v>
      </c>
      <c r="F41" s="176"/>
      <c r="G41" s="176">
        <v>25.951931999999999</v>
      </c>
      <c r="I41" s="95">
        <v>5</v>
      </c>
      <c r="J41" s="181">
        <f>B41/I41</f>
        <v>5.7670960000000004</v>
      </c>
      <c r="K41" s="177"/>
    </row>
    <row r="42" spans="1:11">
      <c r="A42" s="176" t="str">
        <f>'Schedule 3B - 2025'!A47</f>
        <v>System Wide Arc Flash Study</v>
      </c>
      <c r="B42" s="176">
        <f>'Schedule 3B - 2025'!E47</f>
        <v>244.51179999999999</v>
      </c>
      <c r="C42" s="176"/>
      <c r="D42" s="176"/>
      <c r="E42" s="176">
        <f t="shared" ref="E42:E58" si="2">B42+C42+D42</f>
        <v>244.51179999999999</v>
      </c>
      <c r="F42" s="176"/>
      <c r="G42" s="176">
        <v>220.06062</v>
      </c>
      <c r="I42" s="95">
        <v>5</v>
      </c>
      <c r="J42" s="181">
        <f t="shared" ref="J42:J57" si="3">MIN(B42/I42,G42)+C42/2/I42</f>
        <v>48.902360000000002</v>
      </c>
      <c r="K42" s="177"/>
    </row>
    <row r="43" spans="1:11">
      <c r="A43" s="176" t="str">
        <f>'Schedule 3B - 2025'!A48</f>
        <v>System Wide Stability Study</v>
      </c>
      <c r="B43" s="176">
        <f>'Schedule 3B - 2025'!E48</f>
        <v>151.68020000000001</v>
      </c>
      <c r="C43" s="176"/>
      <c r="D43" s="176"/>
      <c r="E43" s="176">
        <f t="shared" si="2"/>
        <v>151.68020000000001</v>
      </c>
      <c r="F43" s="176"/>
      <c r="G43" s="176">
        <v>128.070874</v>
      </c>
      <c r="I43" s="95">
        <v>5</v>
      </c>
      <c r="J43" s="181">
        <f t="shared" si="3"/>
        <v>30.336040000000004</v>
      </c>
      <c r="K43" s="177"/>
    </row>
    <row r="44" spans="1:11">
      <c r="A44" s="176" t="str">
        <f>'Schedule 3B - 2025'!A49</f>
        <v>SDIC Program Development</v>
      </c>
      <c r="B44" s="176">
        <f>'Schedule 3B - 2025'!E49</f>
        <v>1.81847</v>
      </c>
      <c r="C44" s="176"/>
      <c r="D44" s="176"/>
      <c r="E44" s="176">
        <f t="shared" si="2"/>
        <v>1.81847</v>
      </c>
      <c r="F44" s="176"/>
      <c r="G44" s="176">
        <v>1.272929</v>
      </c>
      <c r="I44" s="95">
        <v>5</v>
      </c>
      <c r="J44" s="181">
        <f t="shared" si="3"/>
        <v>0.36369400000000002</v>
      </c>
      <c r="K44" s="177"/>
    </row>
    <row r="45" spans="1:11">
      <c r="A45" s="176" t="str">
        <f>'Schedule 3B - 2025'!A50</f>
        <v>AGS Fish Passage Study</v>
      </c>
      <c r="B45" s="176">
        <f>'Schedule 3B - 2025'!E50</f>
        <v>3.1366100000000001</v>
      </c>
      <c r="C45" s="176"/>
      <c r="D45" s="176"/>
      <c r="E45" s="176">
        <f t="shared" si="2"/>
        <v>3.1366100000000001</v>
      </c>
      <c r="F45" s="176"/>
      <c r="G45" s="176">
        <v>2.8229489999999999</v>
      </c>
      <c r="I45" s="95">
        <v>5</v>
      </c>
      <c r="J45" s="181">
        <f t="shared" si="3"/>
        <v>0.62732200000000005</v>
      </c>
      <c r="K45" s="177"/>
    </row>
    <row r="46" spans="1:11">
      <c r="A46" s="176" t="str">
        <f>'Schedule 3B - 2025'!A51</f>
        <v>Project Management Software Research</v>
      </c>
      <c r="B46" s="176">
        <f>'Schedule 3B - 2025'!E51</f>
        <v>123.48519</v>
      </c>
      <c r="C46" s="176"/>
      <c r="D46" s="176"/>
      <c r="E46" s="176">
        <f t="shared" si="2"/>
        <v>123.48519</v>
      </c>
      <c r="F46" s="176"/>
      <c r="G46" s="176">
        <v>111.13667100000001</v>
      </c>
      <c r="I46" s="95">
        <v>5</v>
      </c>
      <c r="J46" s="181">
        <f t="shared" si="3"/>
        <v>24.697037999999999</v>
      </c>
      <c r="K46" s="177"/>
    </row>
    <row r="47" spans="1:11">
      <c r="A47" s="176" t="str">
        <f>'Schedule 3B - 2025'!A52</f>
        <v>T&amp;D Load Planning Study</v>
      </c>
      <c r="B47" s="176">
        <f>'Schedule 3B - 2025'!E52</f>
        <v>164.31387000000001</v>
      </c>
      <c r="C47" s="176"/>
      <c r="D47" s="176"/>
      <c r="E47" s="176">
        <f t="shared" si="2"/>
        <v>164.31387000000001</v>
      </c>
      <c r="F47" s="176"/>
      <c r="G47" s="176">
        <v>147.88248300000001</v>
      </c>
      <c r="I47" s="95">
        <v>5</v>
      </c>
      <c r="J47" s="181">
        <f t="shared" si="3"/>
        <v>32.862774000000002</v>
      </c>
      <c r="K47" s="177"/>
    </row>
    <row r="48" spans="1:11">
      <c r="A48" s="176" t="str">
        <f>'Schedule 3B - 2025'!A53</f>
        <v>Business Continuity Plan</v>
      </c>
      <c r="B48" s="176">
        <f>'Schedule 3B - 2025'!E53</f>
        <v>100.95914999999999</v>
      </c>
      <c r="C48" s="176"/>
      <c r="D48" s="176"/>
      <c r="E48" s="176">
        <f t="shared" si="2"/>
        <v>100.95914999999999</v>
      </c>
      <c r="F48" s="176"/>
      <c r="G48" s="176">
        <v>90.863234999999989</v>
      </c>
      <c r="I48" s="95">
        <v>5</v>
      </c>
      <c r="J48" s="181">
        <f t="shared" si="3"/>
        <v>20.19183</v>
      </c>
      <c r="K48" s="177"/>
    </row>
    <row r="49" spans="1:11">
      <c r="A49" s="176" t="str">
        <f>'Schedule 3B - 2025'!A54</f>
        <v>YEC Process Refinement</v>
      </c>
      <c r="B49" s="176">
        <f>'Schedule 3B - 2025'!E54</f>
        <v>68.948940000000007</v>
      </c>
      <c r="C49" s="176"/>
      <c r="D49" s="176"/>
      <c r="E49" s="176">
        <f t="shared" si="2"/>
        <v>68.948940000000007</v>
      </c>
      <c r="F49" s="176"/>
      <c r="G49" s="176">
        <v>62.054046000000007</v>
      </c>
      <c r="I49" s="95">
        <v>5</v>
      </c>
      <c r="J49" s="181">
        <f t="shared" si="3"/>
        <v>13.789788000000001</v>
      </c>
      <c r="K49" s="177"/>
    </row>
    <row r="50" spans="1:11">
      <c r="A50" s="176" t="str">
        <f>'Schedule 3B - 2025'!A55</f>
        <v>SF6 Dead Tank Breaker Monitoring - develop solution</v>
      </c>
      <c r="B50" s="176">
        <f>'Schedule 3B - 2025'!E55</f>
        <v>18.49399</v>
      </c>
      <c r="C50" s="176"/>
      <c r="D50" s="176"/>
      <c r="E50" s="176">
        <f t="shared" si="2"/>
        <v>18.49399</v>
      </c>
      <c r="F50" s="176"/>
      <c r="G50" s="176">
        <v>16.644590999999998</v>
      </c>
      <c r="I50" s="95">
        <v>5</v>
      </c>
      <c r="J50" s="181">
        <f t="shared" si="3"/>
        <v>3.698798</v>
      </c>
      <c r="K50" s="177"/>
    </row>
    <row r="51" spans="1:11">
      <c r="A51" s="176" t="str">
        <f>'Schedule 3B - 2025'!A56</f>
        <v>Condition Assessment for Critical Power Transformers and Reactors</v>
      </c>
      <c r="B51" s="176">
        <f>'Schedule 3B - 2025'!E56</f>
        <v>307.20589000000001</v>
      </c>
      <c r="C51" s="176"/>
      <c r="D51" s="176"/>
      <c r="E51" s="176">
        <f t="shared" si="2"/>
        <v>307.20589000000001</v>
      </c>
      <c r="F51" s="176"/>
      <c r="G51" s="176">
        <v>276.48530099999999</v>
      </c>
      <c r="I51" s="95">
        <v>5</v>
      </c>
      <c r="J51" s="181">
        <f t="shared" si="3"/>
        <v>61.441178000000001</v>
      </c>
      <c r="K51" s="177"/>
    </row>
    <row r="52" spans="1:11">
      <c r="A52" s="176" t="str">
        <f>'Schedule 3B - 2025'!A57</f>
        <v>WG0 Summer High Temp Investigation</v>
      </c>
      <c r="B52" s="176">
        <f>'Schedule 3B - 2025'!E57</f>
        <v>48.358760000000004</v>
      </c>
      <c r="C52" s="176"/>
      <c r="D52" s="176"/>
      <c r="E52" s="176">
        <f t="shared" si="2"/>
        <v>48.358760000000004</v>
      </c>
      <c r="F52" s="176"/>
      <c r="G52" s="176">
        <v>43.522884000000005</v>
      </c>
      <c r="I52" s="95">
        <v>5</v>
      </c>
      <c r="J52" s="181">
        <f t="shared" si="3"/>
        <v>9.6717520000000015</v>
      </c>
      <c r="K52" s="177"/>
    </row>
    <row r="53" spans="1:11">
      <c r="A53" s="176" t="str">
        <f>'Schedule 3B - 2025'!A58</f>
        <v>Aishihik Dam Breach Study</v>
      </c>
      <c r="B53" s="176">
        <f>'Schedule 3B - 2025'!E58</f>
        <v>12.618969999999999</v>
      </c>
      <c r="C53" s="176"/>
      <c r="D53" s="176"/>
      <c r="E53" s="176">
        <f t="shared" si="2"/>
        <v>12.618969999999999</v>
      </c>
      <c r="F53" s="176"/>
      <c r="G53" s="176">
        <v>11.357073</v>
      </c>
      <c r="I53" s="95">
        <v>5</v>
      </c>
      <c r="J53" s="181">
        <f t="shared" si="3"/>
        <v>2.5237939999999996</v>
      </c>
      <c r="K53" s="177"/>
    </row>
    <row r="54" spans="1:11">
      <c r="A54" s="176" t="str">
        <f>'Schedule 3B - 2025'!A59</f>
        <v>Grid Modernization Study</v>
      </c>
      <c r="B54" s="176">
        <f>'Schedule 3B - 2025'!E59</f>
        <v>104.82865</v>
      </c>
      <c r="C54" s="176"/>
      <c r="D54" s="176"/>
      <c r="E54" s="176">
        <f t="shared" si="2"/>
        <v>104.82865</v>
      </c>
      <c r="F54" s="176"/>
      <c r="G54" s="176">
        <v>94.345784999999992</v>
      </c>
      <c r="I54" s="95">
        <v>5</v>
      </c>
      <c r="J54" s="181">
        <f t="shared" si="3"/>
        <v>20.965730000000001</v>
      </c>
      <c r="K54" s="177"/>
    </row>
    <row r="55" spans="1:11">
      <c r="A55" s="176" t="str">
        <f>'Schedule 3B - 2025'!A60</f>
        <v>WH Updated Slope Stability Assessment</v>
      </c>
      <c r="B55" s="176">
        <f>'Schedule 3B - 2025'!E60</f>
        <v>3.9265599999999998</v>
      </c>
      <c r="C55" s="176"/>
      <c r="D55" s="176"/>
      <c r="E55" s="176">
        <f t="shared" si="2"/>
        <v>3.9265599999999998</v>
      </c>
      <c r="F55" s="176"/>
      <c r="G55" s="176">
        <v>3.5339039999999997</v>
      </c>
      <c r="I55" s="95">
        <v>5</v>
      </c>
      <c r="J55" s="181">
        <f t="shared" si="3"/>
        <v>0.78531200000000001</v>
      </c>
      <c r="K55" s="177"/>
    </row>
    <row r="56" spans="1:11">
      <c r="A56" s="176" t="str">
        <f>'Schedule 3B - 2025'!A61</f>
        <v xml:space="preserve">Dam Safety Program High Risk </v>
      </c>
      <c r="B56" s="176">
        <f>'Schedule 3B - 2025'!E61</f>
        <v>350.81653999999997</v>
      </c>
      <c r="C56" s="176"/>
      <c r="D56" s="176"/>
      <c r="E56" s="176">
        <f t="shared" si="2"/>
        <v>350.81653999999997</v>
      </c>
      <c r="F56" s="176"/>
      <c r="G56" s="176">
        <v>315.73488599999996</v>
      </c>
      <c r="I56" s="95">
        <v>5</v>
      </c>
      <c r="J56" s="181">
        <f t="shared" si="3"/>
        <v>70.163308000000001</v>
      </c>
      <c r="K56" s="177"/>
    </row>
    <row r="57" spans="1:11">
      <c r="A57" s="176" t="str">
        <f>'Schedule 3B - 2025'!A62</f>
        <v>Renewable Diesel Pilot Project</v>
      </c>
      <c r="B57" s="176">
        <f>'Schedule 3B - 2025'!E62</f>
        <v>5.2911299999999999</v>
      </c>
      <c r="C57" s="176"/>
      <c r="D57" s="176"/>
      <c r="E57" s="176">
        <f t="shared" si="2"/>
        <v>5.2911299999999999</v>
      </c>
      <c r="F57" s="176"/>
      <c r="G57" s="176">
        <v>3.7037910000000003</v>
      </c>
      <c r="I57" s="95">
        <v>5</v>
      </c>
      <c r="J57" s="181">
        <f t="shared" si="3"/>
        <v>1.0582259999999999</v>
      </c>
      <c r="K57" s="177"/>
    </row>
    <row r="58" spans="1:11">
      <c r="A58" s="176" t="str">
        <f>'Schedule 3B - 2025'!A63</f>
        <v>Grid Modernization Study Contributions</v>
      </c>
      <c r="B58" s="176">
        <f>'Schedule 3B - 2025'!E63</f>
        <v>-62.5</v>
      </c>
      <c r="C58" s="176"/>
      <c r="D58" s="176"/>
      <c r="E58" s="176">
        <f t="shared" si="2"/>
        <v>-62.5</v>
      </c>
      <c r="F58" s="176"/>
      <c r="G58" s="176">
        <v>-56.25</v>
      </c>
      <c r="I58" s="95">
        <v>5</v>
      </c>
      <c r="J58" s="176">
        <f>MAX(B58/I58,G58)+C58/2/I58</f>
        <v>-12.5</v>
      </c>
      <c r="K58" s="177"/>
    </row>
    <row r="59" spans="1:11">
      <c r="B59" s="176"/>
      <c r="C59" s="176"/>
      <c r="D59" s="176"/>
      <c r="E59" s="176"/>
      <c r="F59" s="176"/>
      <c r="G59" s="176"/>
      <c r="I59" s="95"/>
      <c r="J59" s="181"/>
      <c r="K59" s="177"/>
    </row>
    <row r="60" spans="1:11">
      <c r="A60" s="173" t="s">
        <v>370</v>
      </c>
      <c r="B60" s="177">
        <f>SUM(B10:B59)</f>
        <v>18361.586440000003</v>
      </c>
      <c r="C60" s="177">
        <f>SUM(C10:C59)</f>
        <v>0</v>
      </c>
      <c r="D60" s="177">
        <f>SUM(D10:D59)</f>
        <v>0</v>
      </c>
      <c r="E60" s="177">
        <f>SUM(E10:E59)</f>
        <v>18361.586440000003</v>
      </c>
      <c r="F60" s="177"/>
      <c r="G60" s="177">
        <f>SUM(G10:G59)</f>
        <v>10001.176852999999</v>
      </c>
      <c r="I60" s="175"/>
      <c r="J60" s="177">
        <f>SUM(J10:J59)</f>
        <v>2325.8412990000006</v>
      </c>
    </row>
    <row r="61" spans="1:11">
      <c r="I61" s="175"/>
    </row>
    <row r="62" spans="1:11">
      <c r="A62" s="173" t="s">
        <v>371</v>
      </c>
      <c r="B62" s="177"/>
      <c r="C62" s="177"/>
      <c r="D62" s="177"/>
      <c r="E62" s="177"/>
      <c r="F62" s="177"/>
      <c r="G62" s="177"/>
      <c r="J62" s="177"/>
    </row>
    <row r="63" spans="1:11">
      <c r="A63" s="179" t="s">
        <v>365</v>
      </c>
      <c r="E63" s="177"/>
      <c r="F63" s="177"/>
      <c r="G63" s="177"/>
    </row>
    <row r="64" spans="1:11">
      <c r="A64" s="180" t="s">
        <v>314</v>
      </c>
      <c r="B64" s="176">
        <f>'Schedule 3B - 2025'!E69</f>
        <v>6515.4672900000005</v>
      </c>
      <c r="C64" s="176">
        <v>484</v>
      </c>
      <c r="D64" s="176">
        <v>0</v>
      </c>
      <c r="E64" s="177">
        <f t="shared" ref="E64:E69" si="4">B64+C64+D64</f>
        <v>6999.4672900000005</v>
      </c>
      <c r="F64" s="177"/>
      <c r="G64" s="176">
        <v>3971.7901809999998</v>
      </c>
      <c r="H64" s="177"/>
      <c r="I64" s="95">
        <v>10</v>
      </c>
      <c r="J64" s="176">
        <v>675.74061899999992</v>
      </c>
      <c r="K64" s="177"/>
    </row>
    <row r="65" spans="1:11">
      <c r="A65" s="180" t="s">
        <v>410</v>
      </c>
      <c r="B65" s="176">
        <f>'Schedule 3B - 2025'!E70</f>
        <v>-2923.6238599999997</v>
      </c>
      <c r="C65" s="177"/>
      <c r="D65" s="177"/>
      <c r="E65" s="177">
        <f t="shared" si="4"/>
        <v>-2923.6238599999997</v>
      </c>
      <c r="F65" s="177"/>
      <c r="G65" s="176">
        <v>-1613.5133740000001</v>
      </c>
      <c r="H65" s="177"/>
      <c r="I65" s="95">
        <v>10</v>
      </c>
      <c r="J65" s="176">
        <v>-292.36159399999997</v>
      </c>
      <c r="K65" s="177"/>
    </row>
    <row r="66" spans="1:11">
      <c r="A66" s="180" t="s">
        <v>373</v>
      </c>
      <c r="B66" s="176">
        <f>'Schedule 3B - 2025'!E71</f>
        <v>185.01089000000002</v>
      </c>
      <c r="C66" s="177"/>
      <c r="D66" s="177"/>
      <c r="E66" s="177">
        <f t="shared" si="4"/>
        <v>185.01089000000002</v>
      </c>
      <c r="F66" s="177"/>
      <c r="G66" s="176">
        <v>110.93560066666666</v>
      </c>
      <c r="H66" s="177"/>
      <c r="I66" s="95">
        <v>45</v>
      </c>
      <c r="J66" s="181">
        <f>MIN(B66/I66,G66)</f>
        <v>4.1113531111111117</v>
      </c>
      <c r="K66" s="177"/>
    </row>
    <row r="67" spans="1:11">
      <c r="A67" s="180" t="s">
        <v>493</v>
      </c>
      <c r="B67" s="176">
        <f>'Schedule 3B - 2025'!E73</f>
        <v>5532.5789699999996</v>
      </c>
      <c r="C67" s="177"/>
      <c r="D67" s="177"/>
      <c r="E67" s="177">
        <f t="shared" si="4"/>
        <v>5532.5789699999996</v>
      </c>
      <c r="F67" s="177"/>
      <c r="G67" s="176">
        <v>4426.0631730000005</v>
      </c>
      <c r="H67" s="177"/>
      <c r="I67" s="95">
        <v>10</v>
      </c>
      <c r="J67" s="181">
        <f>MIN(B67/I67,G67)</f>
        <v>553.25789699999996</v>
      </c>
      <c r="K67" s="177"/>
    </row>
    <row r="68" spans="1:11">
      <c r="A68" s="180" t="s">
        <v>548</v>
      </c>
      <c r="B68" s="176">
        <f>'Schedule 3B - 2025'!E74</f>
        <v>207.40913</v>
      </c>
      <c r="C68" s="177"/>
      <c r="D68" s="177"/>
      <c r="E68" s="177">
        <f t="shared" si="4"/>
        <v>207.40913</v>
      </c>
      <c r="F68" s="177"/>
      <c r="G68" s="176">
        <v>186.668217</v>
      </c>
      <c r="H68" s="177"/>
      <c r="I68" s="95">
        <v>5</v>
      </c>
      <c r="J68" s="181">
        <f>MIN(B68/I68,G68)+C68/2/I68</f>
        <v>41.481825999999998</v>
      </c>
      <c r="K68" s="177"/>
    </row>
    <row r="69" spans="1:11">
      <c r="A69" s="180" t="s">
        <v>549</v>
      </c>
      <c r="B69" s="176"/>
      <c r="C69" s="177">
        <v>2331.5800899999999</v>
      </c>
      <c r="D69" s="177"/>
      <c r="E69" s="177">
        <f t="shared" si="4"/>
        <v>2331.5800899999999</v>
      </c>
      <c r="F69" s="177"/>
      <c r="G69" s="176">
        <v>0</v>
      </c>
      <c r="H69" s="177"/>
      <c r="I69" s="95">
        <v>10</v>
      </c>
      <c r="J69" s="181">
        <f>MIN(B69/I69,G69)+C69/2/I69</f>
        <v>116.5790045</v>
      </c>
      <c r="K69" s="177"/>
    </row>
    <row r="70" spans="1:11">
      <c r="A70" s="180"/>
      <c r="B70" s="177"/>
      <c r="C70" s="177"/>
      <c r="D70" s="177"/>
      <c r="E70" s="177"/>
      <c r="F70" s="177"/>
      <c r="G70" s="177"/>
      <c r="H70" s="177"/>
      <c r="I70" s="175"/>
      <c r="J70" s="176"/>
      <c r="K70" s="177"/>
    </row>
    <row r="71" spans="1:11">
      <c r="A71" s="173" t="s">
        <v>374</v>
      </c>
      <c r="B71" s="177">
        <f>SUM(B64,B65,B66,B67,B68,B69)</f>
        <v>9516.8424200000009</v>
      </c>
      <c r="C71" s="177">
        <f>SUM(C64,C65,C66,C67,C68,C69)</f>
        <v>2815.5800899999999</v>
      </c>
      <c r="D71" s="177">
        <f>SUM(D64,D65,D66,D67,D68,D69)</f>
        <v>0</v>
      </c>
      <c r="E71" s="177">
        <f>SUM(E64,E65,E66,E67,E68,E69)</f>
        <v>12332.42251</v>
      </c>
      <c r="F71" s="177"/>
      <c r="G71" s="177">
        <f>SUM(G64,G65,G66,G67,G68,G69)</f>
        <v>7081.9437976666668</v>
      </c>
      <c r="H71" s="177"/>
      <c r="I71" s="177"/>
      <c r="J71" s="177">
        <f>SUM(J64,J65,J66,J67,J68,J69)</f>
        <v>1098.8091056111111</v>
      </c>
      <c r="K71" s="177"/>
    </row>
    <row r="72" spans="1:11">
      <c r="A72" s="180"/>
      <c r="B72" s="177"/>
      <c r="C72" s="177"/>
      <c r="D72" s="177"/>
      <c r="E72" s="177"/>
      <c r="F72" s="177"/>
      <c r="G72" s="177"/>
      <c r="H72" s="177"/>
      <c r="I72" s="175"/>
      <c r="J72" s="177"/>
      <c r="K72" s="177"/>
    </row>
    <row r="74" spans="1:11">
      <c r="A74" s="173" t="s">
        <v>90</v>
      </c>
      <c r="B74" s="177"/>
      <c r="C74" s="177"/>
      <c r="D74" s="177"/>
      <c r="E74" s="177"/>
      <c r="F74" s="177"/>
      <c r="G74" s="177"/>
      <c r="H74" s="177"/>
      <c r="I74" s="177"/>
      <c r="J74" s="177"/>
    </row>
    <row r="75" spans="1:11">
      <c r="A75" s="179" t="s">
        <v>365</v>
      </c>
      <c r="B75" s="177"/>
      <c r="C75" s="177"/>
      <c r="D75" s="177"/>
      <c r="E75" s="177"/>
      <c r="F75" s="177"/>
      <c r="G75" s="177"/>
      <c r="H75" s="177"/>
      <c r="I75" s="177"/>
      <c r="J75" s="177"/>
    </row>
    <row r="76" spans="1:11">
      <c r="A76" s="159" t="s">
        <v>411</v>
      </c>
      <c r="B76" s="176">
        <f>'Schedule 3B - 2025'!E81</f>
        <v>4657.8898800000006</v>
      </c>
      <c r="C76" s="176"/>
      <c r="D76" s="177"/>
      <c r="E76" s="177">
        <f t="shared" ref="E76:E84" si="5">B76+C76+D76</f>
        <v>4657.8898800000006</v>
      </c>
      <c r="F76" s="177"/>
      <c r="G76" s="176">
        <v>2164.9400959999998</v>
      </c>
      <c r="H76" s="177"/>
      <c r="I76" s="95">
        <v>5</v>
      </c>
      <c r="J76" s="181">
        <f>MIN(B76/I76,G76)+C76/2/I76</f>
        <v>931.57797600000015</v>
      </c>
      <c r="K76" s="177"/>
    </row>
    <row r="77" spans="1:11">
      <c r="A77" s="159" t="s">
        <v>375</v>
      </c>
      <c r="B77" s="176">
        <f>'Schedule 3B - 2025'!E82</f>
        <v>39.986849999999997</v>
      </c>
      <c r="C77" s="176"/>
      <c r="D77" s="177"/>
      <c r="E77" s="177">
        <f t="shared" si="5"/>
        <v>39.986849999999997</v>
      </c>
      <c r="F77" s="177"/>
      <c r="G77" s="176">
        <v>29.583699999999993</v>
      </c>
      <c r="H77" s="177"/>
      <c r="I77" s="95">
        <v>25</v>
      </c>
      <c r="J77" s="181">
        <f>MIN(B77/I77,G77)</f>
        <v>1.5994739999999998</v>
      </c>
      <c r="K77" s="177"/>
    </row>
    <row r="78" spans="1:11">
      <c r="A78" s="159" t="s">
        <v>376</v>
      </c>
      <c r="B78" s="176">
        <f>'Schedule 3B - 2025'!E84</f>
        <v>10607.89898</v>
      </c>
      <c r="C78" s="176"/>
      <c r="D78" s="177"/>
      <c r="E78" s="177">
        <f t="shared" si="5"/>
        <v>10607.89898</v>
      </c>
      <c r="F78" s="177"/>
      <c r="G78" s="176">
        <v>10342.701505499999</v>
      </c>
      <c r="H78" s="177"/>
      <c r="I78" s="95">
        <v>20</v>
      </c>
      <c r="J78" s="181">
        <f>MIN(B78/I78,G78)+C78/2/I78</f>
        <v>530.394949</v>
      </c>
      <c r="K78" s="177"/>
    </row>
    <row r="79" spans="1:11">
      <c r="A79" s="159" t="s">
        <v>377</v>
      </c>
      <c r="B79" s="176">
        <f>'Schedule 3B - 2025'!E86</f>
        <v>0</v>
      </c>
      <c r="C79" s="176">
        <v>7294.8461900000002</v>
      </c>
      <c r="D79" s="177"/>
      <c r="E79" s="177">
        <f t="shared" si="5"/>
        <v>7294.8461900000002</v>
      </c>
      <c r="F79" s="177"/>
      <c r="G79" s="176">
        <v>0</v>
      </c>
      <c r="H79" s="177"/>
      <c r="I79" s="95">
        <v>5</v>
      </c>
      <c r="J79" s="181">
        <f>MIN(B79/I79,G79)+C79/2/I79</f>
        <v>729.48461900000007</v>
      </c>
      <c r="K79" s="177"/>
    </row>
    <row r="80" spans="1:11">
      <c r="A80" s="159" t="s">
        <v>495</v>
      </c>
      <c r="B80" s="176">
        <f>'Schedule 3B - 2025'!E87</f>
        <v>216.3638</v>
      </c>
      <c r="C80" s="176"/>
      <c r="D80" s="177"/>
      <c r="E80" s="177">
        <f t="shared" si="5"/>
        <v>216.3638</v>
      </c>
      <c r="F80" s="177"/>
      <c r="G80" s="176">
        <v>207.709248</v>
      </c>
      <c r="H80" s="177"/>
      <c r="I80" s="95">
        <v>25</v>
      </c>
      <c r="J80" s="181">
        <f>MIN(B80/I80,G80)</f>
        <v>8.6545520000000007</v>
      </c>
    </row>
    <row r="81" spans="1:23">
      <c r="A81" s="159" t="s">
        <v>497</v>
      </c>
      <c r="B81" s="176">
        <f>'Schedule 3B - 2025'!E88</f>
        <v>13.88059</v>
      </c>
      <c r="C81" s="176"/>
      <c r="D81" s="177"/>
      <c r="E81" s="177">
        <f t="shared" si="5"/>
        <v>13.88059</v>
      </c>
      <c r="F81" s="177"/>
      <c r="G81" s="176">
        <v>13.602978199999999</v>
      </c>
      <c r="H81" s="177"/>
      <c r="I81" s="95">
        <v>25</v>
      </c>
      <c r="J81" s="181">
        <f>MIN(B81/I81,G81)+C81/2/I81</f>
        <v>0.55522360000000004</v>
      </c>
      <c r="K81" s="177"/>
    </row>
    <row r="82" spans="1:23">
      <c r="A82" s="159" t="s">
        <v>498</v>
      </c>
      <c r="B82" s="176">
        <f>'Schedule 3B - 2025'!E89</f>
        <v>9.7247700000000012</v>
      </c>
      <c r="C82" s="176"/>
      <c r="D82" s="177"/>
      <c r="E82" s="177">
        <f t="shared" si="5"/>
        <v>9.7247700000000012</v>
      </c>
      <c r="F82" s="177"/>
      <c r="G82" s="176">
        <v>9.530274600000002</v>
      </c>
      <c r="H82" s="177"/>
      <c r="I82" s="95">
        <v>25</v>
      </c>
      <c r="J82" s="181">
        <f>MIN(B82/I82,G82)+C82/2/I82</f>
        <v>0.38899080000000003</v>
      </c>
      <c r="K82" s="177"/>
    </row>
    <row r="83" spans="1:23">
      <c r="A83" s="159" t="s">
        <v>499</v>
      </c>
      <c r="B83" s="176">
        <f>'Schedule 3B - 2025'!E90</f>
        <v>50</v>
      </c>
      <c r="C83" s="176"/>
      <c r="D83" s="177"/>
      <c r="E83" s="177">
        <f t="shared" si="5"/>
        <v>50</v>
      </c>
      <c r="F83" s="177"/>
      <c r="G83" s="176">
        <v>49</v>
      </c>
      <c r="H83" s="177"/>
      <c r="I83" s="95">
        <v>25</v>
      </c>
      <c r="J83" s="181">
        <f>MIN(B83/I83,G83)+C83/2/I83</f>
        <v>2</v>
      </c>
      <c r="K83" s="177"/>
    </row>
    <row r="84" spans="1:23">
      <c r="A84" s="159" t="s">
        <v>496</v>
      </c>
      <c r="B84" s="176">
        <f>'Schedule 3B - 2025'!E91</f>
        <v>2267.2020200000002</v>
      </c>
      <c r="C84" s="176"/>
      <c r="D84" s="177"/>
      <c r="E84" s="177">
        <f t="shared" si="5"/>
        <v>2267.2020200000002</v>
      </c>
      <c r="F84" s="177"/>
      <c r="G84" s="176">
        <v>2040.4818180000002</v>
      </c>
      <c r="H84" s="177"/>
      <c r="I84" s="95">
        <v>10</v>
      </c>
      <c r="J84" s="181">
        <f>MIN(B84/I84,G84)</f>
        <v>226.72020200000003</v>
      </c>
    </row>
    <row r="85" spans="1:23">
      <c r="B85" s="177"/>
      <c r="C85" s="177"/>
      <c r="D85" s="177"/>
      <c r="E85" s="177"/>
      <c r="F85" s="177"/>
      <c r="G85" s="177"/>
      <c r="H85" s="177"/>
      <c r="I85" s="177"/>
      <c r="J85" s="177"/>
      <c r="K85" s="177"/>
    </row>
    <row r="86" spans="1:23">
      <c r="A86" s="173" t="s">
        <v>378</v>
      </c>
      <c r="B86" s="177">
        <f>SUM(B75:B85)</f>
        <v>17862.946890000003</v>
      </c>
      <c r="C86" s="177">
        <f>SUM(C75:C85)</f>
        <v>7294.8461900000002</v>
      </c>
      <c r="D86" s="177">
        <f>SUM(D75:D85)</f>
        <v>0</v>
      </c>
      <c r="E86" s="177">
        <f>SUM(E75:E85)</f>
        <v>25157.793080000003</v>
      </c>
      <c r="F86" s="177"/>
      <c r="G86" s="177">
        <f>SUM(G75:G85)</f>
        <v>14857.549620299998</v>
      </c>
      <c r="H86" s="177"/>
      <c r="I86" s="177"/>
      <c r="J86" s="177">
        <f>SUM(J75:J85)</f>
        <v>2431.3759864000003</v>
      </c>
    </row>
    <row r="87" spans="1:23">
      <c r="B87" s="177"/>
      <c r="C87" s="177"/>
      <c r="D87" s="177"/>
      <c r="E87" s="177"/>
      <c r="F87" s="177"/>
      <c r="G87" s="177"/>
      <c r="H87" s="177"/>
      <c r="I87" s="177"/>
      <c r="J87" s="177"/>
    </row>
    <row r="88" spans="1:23">
      <c r="A88" s="173" t="s">
        <v>379</v>
      </c>
      <c r="B88" s="177"/>
      <c r="C88" s="177"/>
      <c r="D88" s="177"/>
      <c r="E88" s="177"/>
      <c r="F88" s="177"/>
      <c r="G88" s="177"/>
      <c r="H88" s="177"/>
      <c r="I88" s="177"/>
      <c r="J88" s="177"/>
    </row>
    <row r="89" spans="1:23">
      <c r="A89" s="174" t="s">
        <v>380</v>
      </c>
      <c r="B89" s="176">
        <f>'Schedule 3B - 2025'!E96</f>
        <v>449.26472000000001</v>
      </c>
      <c r="C89" s="177"/>
      <c r="D89" s="177"/>
      <c r="E89" s="177">
        <f>SUM(B89:D89)</f>
        <v>449.26472000000001</v>
      </c>
      <c r="F89" s="177"/>
      <c r="G89" s="176">
        <v>200.398155</v>
      </c>
      <c r="H89" s="177"/>
      <c r="I89" s="95">
        <v>5</v>
      </c>
      <c r="J89" s="181">
        <v>64.055419999999998</v>
      </c>
    </row>
    <row r="90" spans="1:23">
      <c r="A90" s="174"/>
      <c r="B90" s="176"/>
      <c r="C90" s="177"/>
      <c r="D90" s="177"/>
      <c r="E90" s="177"/>
      <c r="F90" s="177"/>
      <c r="G90" s="176"/>
      <c r="H90" s="177"/>
      <c r="I90" s="95"/>
      <c r="J90" s="181"/>
    </row>
    <row r="91" spans="1:23">
      <c r="A91" s="173" t="s">
        <v>508</v>
      </c>
      <c r="B91" s="176"/>
      <c r="C91" s="177"/>
      <c r="D91" s="177"/>
      <c r="E91" s="177"/>
      <c r="F91" s="177"/>
      <c r="G91" s="176"/>
      <c r="H91" s="177"/>
      <c r="I91" s="95"/>
      <c r="J91" s="181">
        <f>'Schedule 3B - 2025'!J98</f>
        <v>221.53100000000001</v>
      </c>
    </row>
    <row r="92" spans="1:23">
      <c r="A92" s="182"/>
      <c r="B92" s="178"/>
      <c r="C92" s="178"/>
      <c r="D92" s="178"/>
      <c r="E92" s="178"/>
      <c r="F92" s="177"/>
      <c r="G92" s="177"/>
      <c r="H92" s="183"/>
      <c r="I92" s="184"/>
      <c r="J92" s="178"/>
      <c r="K92" s="177"/>
    </row>
    <row r="93" spans="1:23">
      <c r="A93" s="189" t="s">
        <v>381</v>
      </c>
      <c r="B93" s="185">
        <f>SUM(B60,B71,B86,B89)</f>
        <v>46190.640470000006</v>
      </c>
      <c r="C93" s="185">
        <f>SUM(C60,C71,C86,C89)</f>
        <v>10110.42628</v>
      </c>
      <c r="D93" s="185">
        <f>SUM(D60,D71,D86,D89)</f>
        <v>0</v>
      </c>
      <c r="E93" s="185">
        <f>SUM(E60,E71,E86,E89)</f>
        <v>56301.066750000005</v>
      </c>
      <c r="F93" s="199"/>
      <c r="G93" s="185">
        <f>SUM(G60,G71,G86,G89)</f>
        <v>32141.068425966663</v>
      </c>
      <c r="H93" s="183"/>
      <c r="I93" s="184"/>
      <c r="J93" s="185">
        <f>SUM(J60,J71,J86,J89,J91)</f>
        <v>6141.6128110111113</v>
      </c>
      <c r="W93" s="177"/>
    </row>
    <row r="94" spans="1:23">
      <c r="A94" s="163"/>
      <c r="B94" s="186"/>
      <c r="C94" s="186"/>
      <c r="D94" s="186"/>
      <c r="E94" s="186"/>
      <c r="F94" s="186"/>
      <c r="G94" s="186"/>
      <c r="H94" s="183"/>
      <c r="I94" s="184"/>
      <c r="J94" s="183"/>
      <c r="W94" s="177"/>
    </row>
    <row r="95" spans="1:23">
      <c r="A95" s="173" t="s">
        <v>92</v>
      </c>
      <c r="B95" s="177"/>
      <c r="C95" s="177"/>
      <c r="D95" s="177"/>
      <c r="E95" s="177"/>
      <c r="F95" s="177"/>
      <c r="G95" s="177"/>
      <c r="H95" s="177"/>
      <c r="I95" s="177"/>
      <c r="J95" s="177"/>
      <c r="W95" s="177"/>
    </row>
    <row r="96" spans="1:23">
      <c r="A96" s="179" t="s">
        <v>365</v>
      </c>
      <c r="B96" s="177"/>
      <c r="C96" s="177"/>
      <c r="D96" s="177"/>
      <c r="E96" s="177"/>
      <c r="F96" s="177"/>
      <c r="G96" s="177"/>
      <c r="H96" s="177"/>
      <c r="I96" s="177"/>
      <c r="J96" s="177"/>
      <c r="W96" s="177"/>
    </row>
    <row r="97" spans="1:23" ht="7.5" customHeight="1">
      <c r="B97" s="176"/>
      <c r="C97" s="177"/>
      <c r="D97" s="177"/>
      <c r="E97" s="177"/>
      <c r="F97" s="177"/>
      <c r="G97" s="176"/>
      <c r="H97" s="177"/>
      <c r="I97" s="95"/>
      <c r="J97" s="177"/>
      <c r="K97" s="177"/>
      <c r="W97" s="177"/>
    </row>
    <row r="98" spans="1:23">
      <c r="A98" s="159" t="s">
        <v>494</v>
      </c>
      <c r="B98" s="176">
        <f>'Schedule 3B - 2025'!E105</f>
        <v>7062.7395799999995</v>
      </c>
      <c r="C98" s="177">
        <v>910</v>
      </c>
      <c r="D98" s="177"/>
      <c r="E98" s="177">
        <f>B98+C98+D98</f>
        <v>7972.7395799999995</v>
      </c>
      <c r="F98" s="177"/>
      <c r="G98" s="176">
        <v>3062.8151499999999</v>
      </c>
      <c r="H98" s="177"/>
      <c r="I98" s="95"/>
      <c r="J98" s="177">
        <v>483.08582000000001</v>
      </c>
      <c r="K98" s="177" t="s">
        <v>424</v>
      </c>
      <c r="W98" s="177"/>
    </row>
    <row r="99" spans="1:23">
      <c r="A99" s="159" t="s">
        <v>428</v>
      </c>
      <c r="B99" s="176">
        <f>'Schedule 3B - 2025'!E106</f>
        <v>4549.8533200000002</v>
      </c>
      <c r="C99" s="177"/>
      <c r="D99" s="177"/>
      <c r="E99" s="177">
        <f>B99+C99+D99</f>
        <v>4549.8533200000002</v>
      </c>
      <c r="F99" s="177"/>
      <c r="G99" s="176">
        <v>2384.6216679999998</v>
      </c>
      <c r="H99" s="177"/>
      <c r="I99" s="95">
        <v>10</v>
      </c>
      <c r="J99" s="181">
        <f>MIN(B99/I99,G99)</f>
        <v>454.98533200000003</v>
      </c>
      <c r="K99" s="177"/>
      <c r="W99" s="177"/>
    </row>
    <row r="100" spans="1:23">
      <c r="B100" s="177"/>
      <c r="C100" s="177"/>
      <c r="D100" s="177"/>
      <c r="E100" s="177"/>
      <c r="F100" s="177"/>
      <c r="G100" s="177"/>
      <c r="H100" s="177"/>
      <c r="I100" s="177"/>
      <c r="J100" s="177"/>
      <c r="W100" s="177"/>
    </row>
    <row r="101" spans="1:23">
      <c r="A101" s="173" t="s">
        <v>415</v>
      </c>
      <c r="B101" s="177">
        <f>SUM(B96:B100)</f>
        <v>11612.5929</v>
      </c>
      <c r="C101" s="177">
        <f>SUM(C96:C100)</f>
        <v>910</v>
      </c>
      <c r="D101" s="177">
        <f>SUM(D96:D100)</f>
        <v>0</v>
      </c>
      <c r="E101" s="177">
        <f>SUM(E96:E100)</f>
        <v>12522.5929</v>
      </c>
      <c r="F101" s="177"/>
      <c r="G101" s="177">
        <f>SUM(G96:G100)</f>
        <v>5447.4368180000001</v>
      </c>
      <c r="H101" s="177"/>
      <c r="I101" s="177"/>
      <c r="J101" s="177">
        <f>SUM(J96:J100)</f>
        <v>938.07115199999998</v>
      </c>
      <c r="K101" s="177"/>
      <c r="W101" s="177"/>
    </row>
    <row r="102" spans="1:23">
      <c r="A102" s="163"/>
      <c r="B102" s="186"/>
      <c r="C102" s="186"/>
      <c r="D102" s="186"/>
      <c r="E102" s="186"/>
      <c r="F102" s="186"/>
      <c r="G102" s="186"/>
      <c r="H102" s="183"/>
      <c r="I102" s="184"/>
      <c r="J102" s="183"/>
      <c r="W102" s="177"/>
    </row>
    <row r="103" spans="1:23" ht="9" customHeight="1">
      <c r="A103" s="163"/>
      <c r="B103" s="186"/>
      <c r="C103" s="186"/>
      <c r="D103" s="186"/>
      <c r="E103" s="186"/>
      <c r="F103" s="186"/>
      <c r="G103" s="186"/>
      <c r="H103" s="183"/>
      <c r="I103" s="184"/>
      <c r="J103" s="183"/>
      <c r="W103" s="177"/>
    </row>
    <row r="104" spans="1:23">
      <c r="A104" s="189" t="s">
        <v>416</v>
      </c>
      <c r="B104" s="185">
        <f>B93+B101</f>
        <v>57803.233370000002</v>
      </c>
      <c r="C104" s="185">
        <f>C93+C101</f>
        <v>11020.42628</v>
      </c>
      <c r="D104" s="185">
        <f>D93+D101</f>
        <v>0</v>
      </c>
      <c r="E104" s="185">
        <f>E93+E101</f>
        <v>68823.659650000001</v>
      </c>
      <c r="F104" s="199"/>
      <c r="G104" s="185">
        <f>G93+G101</f>
        <v>37588.505243966662</v>
      </c>
      <c r="H104" s="183"/>
      <c r="I104" s="184"/>
      <c r="J104" s="185">
        <f>J93+J101</f>
        <v>7079.6839630111117</v>
      </c>
      <c r="W104" s="177"/>
    </row>
    <row r="105" spans="1:23" ht="6.5" customHeight="1">
      <c r="A105" s="163"/>
      <c r="B105" s="186"/>
      <c r="C105" s="186"/>
      <c r="D105" s="186"/>
      <c r="E105" s="186"/>
      <c r="F105" s="186"/>
      <c r="G105" s="186"/>
      <c r="H105" s="183"/>
      <c r="I105" s="184"/>
      <c r="J105" s="183"/>
      <c r="W105" s="177"/>
    </row>
    <row r="106" spans="1:23" ht="5.5" customHeight="1"/>
    <row r="107" spans="1:23">
      <c r="A107" s="163" t="s">
        <v>382</v>
      </c>
      <c r="B107" s="186"/>
      <c r="C107" s="186"/>
      <c r="D107" s="186"/>
      <c r="E107" s="186"/>
      <c r="F107" s="186"/>
      <c r="G107" s="186"/>
      <c r="H107" s="183"/>
      <c r="I107" s="184"/>
      <c r="J107" s="183"/>
    </row>
    <row r="108" spans="1:23" ht="12.75" customHeight="1">
      <c r="A108" s="163" t="s">
        <v>383</v>
      </c>
      <c r="B108" s="186"/>
      <c r="C108" s="186"/>
      <c r="D108" s="186"/>
      <c r="E108" s="186"/>
      <c r="F108" s="186"/>
      <c r="G108" s="186"/>
      <c r="H108" s="183"/>
      <c r="I108" s="184"/>
      <c r="J108" s="183"/>
    </row>
    <row r="109" spans="1:23">
      <c r="A109" s="163"/>
    </row>
    <row r="110" spans="1:23">
      <c r="A110" s="237" t="s">
        <v>529</v>
      </c>
      <c r="B110" s="237"/>
      <c r="C110" s="237"/>
      <c r="D110" s="237"/>
      <c r="E110" s="237"/>
      <c r="F110" s="237"/>
      <c r="G110" s="237"/>
      <c r="H110" s="237"/>
      <c r="I110" s="237"/>
    </row>
  </sheetData>
  <mergeCells count="3">
    <mergeCell ref="B5:E5"/>
    <mergeCell ref="I6:I7"/>
    <mergeCell ref="A110:I110"/>
  </mergeCells>
  <conditionalFormatting sqref="A64:A70">
    <cfRule type="expression" dxfId="11" priority="1" stopIfTrue="1">
      <formula>AND(MONTH(#REF!)-MONTH(#REF!)=1,YEAR(#REF!)=YEAR(#REF!),#REF!&gt;0)</formula>
    </cfRule>
    <cfRule type="expression" dxfId="10" priority="2" stopIfTrue="1">
      <formula>AND(MONTH(#REF!)-MONTH(#REF!)=0,YEAR(#REF!)=YEAR(#REF!),#REF!&gt;0)</formula>
    </cfRule>
    <cfRule type="expression" dxfId="9" priority="3" stopIfTrue="1">
      <formula>AND(MONTH(#REF!)-MONTH(#REF!)&lt;0,YEAR(#REF!)=YEAR(#REF!),#REF!&gt;0)</formula>
    </cfRule>
  </conditionalFormatting>
  <conditionalFormatting sqref="A72">
    <cfRule type="expression" dxfId="8" priority="7" stopIfTrue="1">
      <formula>AND(MONTH($E72)-MONTH($B$1)=1,YEAR($E72)=YEAR($B$1),$X72&gt;0)</formula>
    </cfRule>
    <cfRule type="expression" dxfId="7" priority="8" stopIfTrue="1">
      <formula>AND(MONTH($E72)-MONTH($B$1)=0,YEAR($E72)=YEAR($B$1),$X72&gt;0)</formula>
    </cfRule>
    <cfRule type="expression" dxfId="6" priority="9" stopIfTrue="1">
      <formula>AND(MONTH($E72)-MONTH($B$1)&lt;0,YEAR($E72)=YEAR($B$1),$X72&gt;0)</formula>
    </cfRule>
  </conditionalFormatting>
  <printOptions horizontalCentered="1"/>
  <pageMargins left="0.55118110236220474" right="0.31496062992125984" top="0.82677165354330717" bottom="0.9055118110236221" header="0.51181102362204722" footer="0.51181102362204722"/>
  <pageSetup scale="44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C299-CB4B-41E3-9F00-4DC7D1616C38}">
  <sheetPr>
    <tabColor theme="9" tint="0.39997558519241921"/>
    <pageSetUpPr fitToPage="1"/>
  </sheetPr>
  <dimension ref="A1:W103"/>
  <sheetViews>
    <sheetView view="pageBreakPreview" zoomScaleSheetLayoutView="100" workbookViewId="0">
      <pane ySplit="7" topLeftCell="A45" activePane="bottomLeft" state="frozen"/>
      <selection activeCell="H18" sqref="H18"/>
      <selection pane="bottomLeft" activeCell="B57" sqref="B57"/>
    </sheetView>
  </sheetViews>
  <sheetFormatPr defaultColWidth="9.08984375" defaultRowHeight="12.5"/>
  <cols>
    <col min="1" max="1" width="45.453125" style="159" customWidth="1"/>
    <col min="2" max="5" width="10.08984375" style="159" customWidth="1"/>
    <col min="6" max="6" width="1.7265625" style="159" customWidth="1"/>
    <col min="7" max="7" width="10.08984375" style="159" customWidth="1"/>
    <col min="8" max="8" width="2.36328125" style="159" customWidth="1"/>
    <col min="9" max="9" width="11.453125" style="159" customWidth="1"/>
    <col min="10" max="10" width="12.6328125" style="159" customWidth="1"/>
    <col min="11" max="11" width="4.6328125" style="159" customWidth="1"/>
    <col min="19" max="22" width="9.08984375" style="159"/>
    <col min="23" max="23" width="10.36328125" style="159" bestFit="1" customWidth="1"/>
    <col min="24" max="16384" width="9.08984375" style="159"/>
  </cols>
  <sheetData>
    <row r="1" spans="1:11">
      <c r="A1" s="157" t="s">
        <v>358</v>
      </c>
      <c r="B1" s="157"/>
      <c r="C1" s="158"/>
      <c r="D1" s="158"/>
      <c r="E1" s="158"/>
      <c r="F1" s="158"/>
      <c r="G1" s="158"/>
      <c r="H1" s="158"/>
      <c r="I1" s="158"/>
      <c r="J1" s="196" t="s">
        <v>512</v>
      </c>
    </row>
    <row r="2" spans="1:11" ht="15" customHeight="1">
      <c r="A2" s="157" t="s">
        <v>503</v>
      </c>
      <c r="B2" s="157"/>
      <c r="C2" s="158"/>
      <c r="D2" s="158"/>
      <c r="E2" s="158"/>
      <c r="F2" s="158"/>
      <c r="G2" s="158"/>
      <c r="H2" s="158"/>
      <c r="I2" s="158"/>
      <c r="J2" s="195" t="str">
        <f>'Schedule 1'!$M$2</f>
        <v>2025-27 GRA CF</v>
      </c>
    </row>
    <row r="3" spans="1:11" ht="15.75" customHeight="1" thickBot="1">
      <c r="A3" s="160" t="s">
        <v>332</v>
      </c>
      <c r="B3" s="161"/>
      <c r="C3" s="162"/>
      <c r="D3" s="162"/>
      <c r="E3" s="162"/>
      <c r="F3" s="162"/>
      <c r="G3" s="162"/>
      <c r="H3" s="162"/>
      <c r="I3" s="162"/>
      <c r="J3" s="162"/>
    </row>
    <row r="4" spans="1:11" ht="13" thickBot="1">
      <c r="A4" s="163"/>
      <c r="B4" s="161"/>
      <c r="C4" s="162"/>
      <c r="D4" s="162"/>
      <c r="E4" s="162"/>
      <c r="F4" s="158"/>
      <c r="G4" s="158"/>
      <c r="H4" s="158"/>
      <c r="I4" s="158"/>
      <c r="J4" s="162"/>
    </row>
    <row r="5" spans="1:11" ht="13" thickBot="1">
      <c r="A5" s="163"/>
      <c r="B5" s="233" t="s">
        <v>359</v>
      </c>
      <c r="C5" s="234"/>
      <c r="D5" s="234"/>
      <c r="E5" s="234"/>
      <c r="F5" s="164"/>
      <c r="G5" s="188" t="s">
        <v>425</v>
      </c>
      <c r="H5" s="164"/>
      <c r="I5" s="158"/>
      <c r="J5" s="188"/>
    </row>
    <row r="6" spans="1:11" ht="18" customHeight="1">
      <c r="A6" s="163"/>
      <c r="B6" s="165" t="s">
        <v>360</v>
      </c>
      <c r="C6" s="166" t="s">
        <v>504</v>
      </c>
      <c r="D6" s="167"/>
      <c r="E6" s="165" t="s">
        <v>360</v>
      </c>
      <c r="F6" s="165"/>
      <c r="G6" s="165" t="s">
        <v>360</v>
      </c>
      <c r="H6" s="168"/>
      <c r="I6" s="235" t="s">
        <v>430</v>
      </c>
      <c r="J6" s="166" t="str">
        <f>C6</f>
        <v>2027 Forecast</v>
      </c>
    </row>
    <row r="7" spans="1:11" ht="31.5" customHeight="1" thickBot="1">
      <c r="A7" s="163"/>
      <c r="B7" s="169">
        <v>2026</v>
      </c>
      <c r="C7" s="170" t="s">
        <v>361</v>
      </c>
      <c r="D7" s="171" t="s">
        <v>362</v>
      </c>
      <c r="E7" s="172">
        <f>B7+1</f>
        <v>2027</v>
      </c>
      <c r="F7" s="172"/>
      <c r="G7" s="169">
        <v>2026</v>
      </c>
      <c r="H7" s="172"/>
      <c r="I7" s="236"/>
      <c r="J7" s="171" t="s">
        <v>363</v>
      </c>
    </row>
    <row r="8" spans="1:11">
      <c r="A8" s="173" t="s">
        <v>364</v>
      </c>
    </row>
    <row r="9" spans="1:11">
      <c r="A9" s="174" t="s">
        <v>365</v>
      </c>
      <c r="I9" s="175"/>
    </row>
    <row r="10" spans="1:11">
      <c r="A10" s="176" t="str">
        <f>'Schedule 3B - 2026'!A17</f>
        <v>WH Post-Flood Assessment</v>
      </c>
      <c r="B10" s="176">
        <f>'Schedule 3B - 2026'!E17</f>
        <v>115.23152999999999</v>
      </c>
      <c r="C10" s="176"/>
      <c r="D10" s="176"/>
      <c r="E10" s="176">
        <f t="shared" ref="E10:E51" si="0">B10+C10+D10</f>
        <v>115.23152999999999</v>
      </c>
      <c r="F10" s="176"/>
      <c r="G10" s="176">
        <v>15.216876000000003</v>
      </c>
      <c r="I10" s="95">
        <v>5</v>
      </c>
      <c r="J10" s="181">
        <f t="shared" ref="J10:J33" si="1">MIN(B10/I10,G10)</f>
        <v>15.216876000000003</v>
      </c>
      <c r="K10" s="177"/>
    </row>
    <row r="11" spans="1:11">
      <c r="A11" s="176" t="str">
        <f>'Schedule 3B - 2026'!A18</f>
        <v>Emergency Preparedness Improvement</v>
      </c>
      <c r="B11" s="176">
        <f>'Schedule 3B - 2026'!E18</f>
        <v>59.53539</v>
      </c>
      <c r="C11" s="176"/>
      <c r="D11" s="176"/>
      <c r="E11" s="176">
        <f t="shared" si="0"/>
        <v>59.53539</v>
      </c>
      <c r="F11" s="176"/>
      <c r="G11" s="176">
        <v>11.907078000000004</v>
      </c>
      <c r="I11" s="95">
        <v>5</v>
      </c>
      <c r="J11" s="181">
        <f t="shared" si="1"/>
        <v>11.907078</v>
      </c>
      <c r="K11" s="177"/>
    </row>
    <row r="12" spans="1:11">
      <c r="A12" s="176" t="str">
        <f>'Schedule 3B - 2026'!A19</f>
        <v>P126 Building Renovation</v>
      </c>
      <c r="B12" s="176">
        <f>'Schedule 3B - 2026'!E19</f>
        <v>196.33029000000002</v>
      </c>
      <c r="C12" s="176"/>
      <c r="D12" s="176"/>
      <c r="E12" s="176">
        <f t="shared" si="0"/>
        <v>196.33029000000002</v>
      </c>
      <c r="F12" s="176"/>
      <c r="G12" s="176">
        <v>39.266058000000001</v>
      </c>
      <c r="I12" s="95">
        <v>5</v>
      </c>
      <c r="J12" s="181">
        <f t="shared" si="1"/>
        <v>39.266058000000001</v>
      </c>
      <c r="K12" s="177"/>
    </row>
    <row r="13" spans="1:11">
      <c r="A13" s="176" t="str">
        <f>'Schedule 3B - 2026'!A20</f>
        <v>WH4 Low Water Cavitation Study &amp; Recommendation</v>
      </c>
      <c r="B13" s="176">
        <f>'Schedule 3B - 2026'!E20</f>
        <v>46.831489999999995</v>
      </c>
      <c r="C13" s="176"/>
      <c r="D13" s="176"/>
      <c r="E13" s="176">
        <f t="shared" si="0"/>
        <v>46.831489999999995</v>
      </c>
      <c r="F13" s="176"/>
      <c r="G13" s="176">
        <v>8.5451479999999993</v>
      </c>
      <c r="I13" s="95">
        <v>5</v>
      </c>
      <c r="J13" s="181">
        <f t="shared" si="1"/>
        <v>8.5451479999999993</v>
      </c>
      <c r="K13" s="177"/>
    </row>
    <row r="14" spans="1:11">
      <c r="A14" s="176" t="str">
        <f>'Schedule 3B - 2026'!A21</f>
        <v>Southern Lakes Enhanced Storage</v>
      </c>
      <c r="B14" s="176">
        <f>'Schedule 3B - 2026'!E21</f>
        <v>8784.170970000001</v>
      </c>
      <c r="C14" s="176"/>
      <c r="D14" s="176"/>
      <c r="E14" s="176">
        <f t="shared" si="0"/>
        <v>8784.170970000001</v>
      </c>
      <c r="F14" s="176"/>
      <c r="G14" s="176">
        <v>5123.6986259999994</v>
      </c>
      <c r="I14" s="95">
        <v>10</v>
      </c>
      <c r="J14" s="181">
        <f t="shared" si="1"/>
        <v>878.41709700000013</v>
      </c>
      <c r="K14" s="177"/>
    </row>
    <row r="15" spans="1:11">
      <c r="A15" s="176" t="str">
        <f>'Schedule 3B - 2026'!A22</f>
        <v>Thermal SG4 WH Gas Feasibility</v>
      </c>
      <c r="B15" s="176">
        <f>'Schedule 3B - 2026'!E22</f>
        <v>122.43858</v>
      </c>
      <c r="C15" s="176"/>
      <c r="D15" s="176"/>
      <c r="E15" s="176">
        <f t="shared" si="0"/>
        <v>122.43858</v>
      </c>
      <c r="F15" s="176"/>
      <c r="G15" s="176">
        <v>24.487708000000012</v>
      </c>
      <c r="I15" s="95">
        <v>5</v>
      </c>
      <c r="J15" s="181">
        <f t="shared" si="1"/>
        <v>24.487708000000012</v>
      </c>
      <c r="K15" s="177"/>
    </row>
    <row r="16" spans="1:11">
      <c r="A16" s="176" t="str">
        <f>'Schedule 3B - 2026'!A23</f>
        <v>Emission/Thermal Allocation Study</v>
      </c>
      <c r="B16" s="176">
        <f>'Schedule 3B - 2026'!E23</f>
        <v>36.075000000000003</v>
      </c>
      <c r="C16" s="176"/>
      <c r="D16" s="176"/>
      <c r="E16" s="176">
        <f t="shared" si="0"/>
        <v>36.075000000000003</v>
      </c>
      <c r="F16" s="176"/>
      <c r="G16" s="176">
        <v>14.410229999999999</v>
      </c>
      <c r="I16" s="95">
        <v>5</v>
      </c>
      <c r="J16" s="181">
        <f t="shared" si="1"/>
        <v>7.2150000000000007</v>
      </c>
      <c r="K16" s="177"/>
    </row>
    <row r="17" spans="1:11">
      <c r="A17" s="176" t="str">
        <f>'Schedule 3B - 2026'!A24</f>
        <v>Mayo Civil Infrastructure Refurbishment Planning</v>
      </c>
      <c r="B17" s="176">
        <f>'Schedule 3B - 2026'!E24</f>
        <v>172.99391</v>
      </c>
      <c r="C17" s="176"/>
      <c r="D17" s="176"/>
      <c r="E17" s="176">
        <f t="shared" si="0"/>
        <v>172.99391</v>
      </c>
      <c r="F17" s="176"/>
      <c r="G17" s="176">
        <v>69.102776000000006</v>
      </c>
      <c r="I17" s="95">
        <v>5</v>
      </c>
      <c r="J17" s="181">
        <f t="shared" si="1"/>
        <v>34.598782</v>
      </c>
      <c r="K17" s="177"/>
    </row>
    <row r="18" spans="1:11">
      <c r="A18" s="176" t="str">
        <f>'Schedule 3B - 2026'!A25</f>
        <v>SCADA/Server Room Fire Assessment</v>
      </c>
      <c r="B18" s="176">
        <f>'Schedule 3B - 2026'!E25</f>
        <v>11.190100000000001</v>
      </c>
      <c r="C18" s="176"/>
      <c r="D18" s="176"/>
      <c r="E18" s="176">
        <f t="shared" si="0"/>
        <v>11.190100000000001</v>
      </c>
      <c r="F18" s="176"/>
      <c r="G18" s="176">
        <v>4.4699099999999987</v>
      </c>
      <c r="I18" s="95">
        <v>5</v>
      </c>
      <c r="J18" s="181">
        <f t="shared" si="1"/>
        <v>2.2380200000000001</v>
      </c>
      <c r="K18" s="177"/>
    </row>
    <row r="19" spans="1:11">
      <c r="A19" s="176" t="str">
        <f>'Schedule 3B - 2026'!A26</f>
        <v>Building Condition Reports</v>
      </c>
      <c r="B19" s="176">
        <f>'Schedule 3B - 2026'!E26</f>
        <v>136.59076999999999</v>
      </c>
      <c r="C19" s="176"/>
      <c r="D19" s="176"/>
      <c r="E19" s="176">
        <f t="shared" si="0"/>
        <v>136.59076999999999</v>
      </c>
      <c r="F19" s="176"/>
      <c r="G19" s="176">
        <v>54.561471999999974</v>
      </c>
      <c r="I19" s="95">
        <v>5</v>
      </c>
      <c r="J19" s="181">
        <f t="shared" si="1"/>
        <v>27.318154</v>
      </c>
      <c r="K19" s="177"/>
    </row>
    <row r="20" spans="1:11">
      <c r="A20" s="176" t="str">
        <f>'Schedule 3B - 2026'!A27</f>
        <v>Transformer Containment/Spill Risk Study</v>
      </c>
      <c r="B20" s="176">
        <f>'Schedule 3B - 2026'!E27</f>
        <v>24.57694</v>
      </c>
      <c r="C20" s="176"/>
      <c r="D20" s="176"/>
      <c r="E20" s="176">
        <f t="shared" si="0"/>
        <v>24.57694</v>
      </c>
      <c r="F20" s="176"/>
      <c r="G20" s="176">
        <v>9.8307739999999981</v>
      </c>
      <c r="I20" s="95">
        <v>5</v>
      </c>
      <c r="J20" s="181">
        <f t="shared" si="1"/>
        <v>4.9153880000000001</v>
      </c>
      <c r="K20" s="177"/>
    </row>
    <row r="21" spans="1:11">
      <c r="A21" s="176" t="str">
        <f>'Schedule 3B - 2026'!A28</f>
        <v>Mayo Lake/Wareham Dam Breach</v>
      </c>
      <c r="B21" s="176">
        <f>'Schedule 3B - 2026'!E28</f>
        <v>67.997410000000002</v>
      </c>
      <c r="C21" s="176"/>
      <c r="D21" s="176"/>
      <c r="E21" s="176">
        <f t="shared" si="0"/>
        <v>67.997410000000002</v>
      </c>
      <c r="F21" s="176"/>
      <c r="G21" s="176">
        <v>27.198965999999999</v>
      </c>
      <c r="I21" s="95">
        <v>5</v>
      </c>
      <c r="J21" s="181">
        <f t="shared" si="1"/>
        <v>13.599482</v>
      </c>
      <c r="K21" s="177"/>
    </row>
    <row r="22" spans="1:11">
      <c r="A22" s="176" t="str">
        <f>'Schedule 3B - 2026'!A29</f>
        <v>IPP Power Variability Study</v>
      </c>
      <c r="B22" s="176">
        <f>'Schedule 3B - 2026'!E29</f>
        <v>65.897589999999994</v>
      </c>
      <c r="C22" s="176"/>
      <c r="D22" s="176"/>
      <c r="E22" s="176">
        <f t="shared" si="0"/>
        <v>65.897589999999994</v>
      </c>
      <c r="F22" s="176"/>
      <c r="G22" s="176">
        <v>26.359033999999998</v>
      </c>
      <c r="I22" s="95">
        <v>5</v>
      </c>
      <c r="J22" s="181">
        <f t="shared" si="1"/>
        <v>13.179517999999998</v>
      </c>
      <c r="K22" s="177"/>
    </row>
    <row r="23" spans="1:11">
      <c r="A23" s="176" t="str">
        <f>'Schedule 3B - 2026'!A30</f>
        <v>IPP Technical Interconnection</v>
      </c>
      <c r="B23" s="176">
        <f>'Schedule 3B - 2026'!E30</f>
        <v>13.239000000000001</v>
      </c>
      <c r="C23" s="176"/>
      <c r="D23" s="176"/>
      <c r="E23" s="176">
        <f t="shared" si="0"/>
        <v>13.239000000000001</v>
      </c>
      <c r="F23" s="176"/>
      <c r="G23" s="176">
        <v>5.2955999999999985</v>
      </c>
      <c r="I23" s="95">
        <v>5</v>
      </c>
      <c r="J23" s="181">
        <f t="shared" si="1"/>
        <v>2.6478000000000002</v>
      </c>
      <c r="K23" s="177"/>
    </row>
    <row r="24" spans="1:11">
      <c r="A24" s="176" t="str">
        <f>'Schedule 3B - 2026'!A31</f>
        <v>Climate Change Adaptation</v>
      </c>
      <c r="B24" s="176">
        <f>'Schedule 3B - 2026'!E31</f>
        <v>43.927510000000005</v>
      </c>
      <c r="C24" s="176"/>
      <c r="D24" s="176"/>
      <c r="E24" s="176">
        <f t="shared" si="0"/>
        <v>43.927510000000005</v>
      </c>
      <c r="F24" s="176"/>
      <c r="G24" s="176">
        <v>25.036275999999994</v>
      </c>
      <c r="I24" s="95">
        <v>5</v>
      </c>
      <c r="J24" s="181">
        <f t="shared" si="1"/>
        <v>8.785502000000001</v>
      </c>
      <c r="K24" s="177"/>
    </row>
    <row r="25" spans="1:11">
      <c r="A25" s="176" t="str">
        <f>'Schedule 3B - 2026'!A32</f>
        <v>Mayo Lake CS/Wareham Dam Seismic Assmnt</v>
      </c>
      <c r="B25" s="176">
        <f>'Schedule 3B - 2026'!E32</f>
        <v>100.19461</v>
      </c>
      <c r="C25" s="176"/>
      <c r="D25" s="176"/>
      <c r="E25" s="176">
        <f t="shared" si="0"/>
        <v>100.19461</v>
      </c>
      <c r="F25" s="176"/>
      <c r="G25" s="176">
        <v>60.116765999999998</v>
      </c>
      <c r="I25" s="95">
        <v>5</v>
      </c>
      <c r="J25" s="181">
        <f t="shared" si="1"/>
        <v>20.038921999999999</v>
      </c>
      <c r="K25" s="177"/>
    </row>
    <row r="26" spans="1:11">
      <c r="A26" s="176" t="str">
        <f>'Schedule 3B - 2026'!A33</f>
        <v>Wareham Dam Toe Seepage Analysis</v>
      </c>
      <c r="B26" s="176">
        <f>'Schedule 3B - 2026'!E33</f>
        <v>28.539580000000001</v>
      </c>
      <c r="C26" s="176"/>
      <c r="D26" s="176"/>
      <c r="E26" s="176">
        <f t="shared" si="0"/>
        <v>28.539580000000001</v>
      </c>
      <c r="F26" s="176"/>
      <c r="G26" s="176">
        <v>17.123747999999999</v>
      </c>
      <c r="I26" s="95">
        <v>5</v>
      </c>
      <c r="J26" s="181">
        <f t="shared" si="1"/>
        <v>5.707916</v>
      </c>
      <c r="K26" s="177"/>
    </row>
    <row r="27" spans="1:11">
      <c r="A27" s="176" t="str">
        <f>'Schedule 3B - 2026'!A34</f>
        <v>Wareham Winter Spill Study</v>
      </c>
      <c r="B27" s="176">
        <f>'Schedule 3B - 2026'!E34</f>
        <v>121.99618</v>
      </c>
      <c r="C27" s="176"/>
      <c r="D27" s="176"/>
      <c r="E27" s="176">
        <f t="shared" si="0"/>
        <v>121.99618</v>
      </c>
      <c r="F27" s="176"/>
      <c r="G27" s="176">
        <v>73.197707999999992</v>
      </c>
      <c r="I27" s="95">
        <v>5</v>
      </c>
      <c r="J27" s="181">
        <f t="shared" si="1"/>
        <v>24.399235999999998</v>
      </c>
      <c r="K27" s="177"/>
    </row>
    <row r="28" spans="1:11">
      <c r="A28" s="176" t="str">
        <f>'Schedule 3B - 2026'!A35</f>
        <v>Transmssion Line Corridor Heritage Assmnt</v>
      </c>
      <c r="B28" s="176">
        <f>'Schedule 3B - 2026'!E35</f>
        <v>19.97803</v>
      </c>
      <c r="C28" s="176"/>
      <c r="D28" s="176"/>
      <c r="E28" s="176">
        <f t="shared" si="0"/>
        <v>19.97803</v>
      </c>
      <c r="F28" s="176"/>
      <c r="G28" s="176">
        <v>11.986818</v>
      </c>
      <c r="I28" s="95">
        <v>5</v>
      </c>
      <c r="J28" s="181">
        <f t="shared" si="1"/>
        <v>3.995606</v>
      </c>
      <c r="K28" s="177"/>
    </row>
    <row r="29" spans="1:11">
      <c r="A29" s="176" t="str">
        <f>'Schedule 3B - 2026'!A36</f>
        <v>Aishihik Intake Inspection</v>
      </c>
      <c r="B29" s="176">
        <f>'Schedule 3B - 2026'!E36</f>
        <v>157.5137</v>
      </c>
      <c r="C29" s="176"/>
      <c r="D29" s="176"/>
      <c r="E29" s="176">
        <f t="shared" si="0"/>
        <v>157.5137</v>
      </c>
      <c r="F29" s="176"/>
      <c r="G29" s="176">
        <v>94.508219999999994</v>
      </c>
      <c r="I29" s="95">
        <v>5</v>
      </c>
      <c r="J29" s="181">
        <f t="shared" si="1"/>
        <v>31.502739999999999</v>
      </c>
      <c r="K29" s="177"/>
    </row>
    <row r="30" spans="1:11">
      <c r="A30" s="176" t="str">
        <f>'Schedule 3B - 2026'!A37</f>
        <v>Lease Options Analysis 2024</v>
      </c>
      <c r="B30" s="176">
        <f>'Schedule 3B - 2026'!E37</f>
        <v>8.5541200000000011</v>
      </c>
      <c r="C30" s="176"/>
      <c r="D30" s="176"/>
      <c r="E30" s="176">
        <f t="shared" si="0"/>
        <v>8.5541200000000011</v>
      </c>
      <c r="F30" s="176"/>
      <c r="G30" s="176">
        <v>5.1324719999999999</v>
      </c>
      <c r="I30" s="95">
        <v>5</v>
      </c>
      <c r="J30" s="181">
        <f t="shared" si="1"/>
        <v>1.7108240000000001</v>
      </c>
      <c r="K30" s="177"/>
    </row>
    <row r="31" spans="1:11">
      <c r="A31" s="176" t="str">
        <f>'Schedule 3B - 2026'!A38</f>
        <v>System Fire Suppression Assessment Study</v>
      </c>
      <c r="B31" s="176">
        <f>'Schedule 3B - 2026'!E38</f>
        <v>146.37052</v>
      </c>
      <c r="C31" s="176"/>
      <c r="D31" s="176"/>
      <c r="E31" s="176">
        <f t="shared" si="0"/>
        <v>146.37052</v>
      </c>
      <c r="F31" s="176"/>
      <c r="G31" s="176">
        <v>89.18526</v>
      </c>
      <c r="I31" s="95">
        <v>5</v>
      </c>
      <c r="J31" s="181">
        <f t="shared" si="1"/>
        <v>29.274104000000001</v>
      </c>
      <c r="K31" s="177"/>
    </row>
    <row r="32" spans="1:11">
      <c r="A32" s="176" t="str">
        <f>'Schedule 3B - 2026'!A39</f>
        <v>T&amp;D Emrgncy Spare Parts &amp; Stocking Study</v>
      </c>
      <c r="B32" s="176">
        <f>'Schedule 3B - 2026'!E39</f>
        <v>13.75</v>
      </c>
      <c r="C32" s="176"/>
      <c r="D32" s="176"/>
      <c r="E32" s="176">
        <f t="shared" si="0"/>
        <v>13.75</v>
      </c>
      <c r="F32" s="176"/>
      <c r="G32" s="176">
        <v>6.875</v>
      </c>
      <c r="I32" s="95">
        <v>5</v>
      </c>
      <c r="J32" s="181">
        <f t="shared" si="1"/>
        <v>2.75</v>
      </c>
      <c r="K32" s="177"/>
    </row>
    <row r="33" spans="1:11">
      <c r="A33" s="176" t="str">
        <f>'Schedule 3B - 2026'!A40</f>
        <v>Thermal Plant Replacement Project*</v>
      </c>
      <c r="B33" s="176">
        <f>'Schedule 3B - 2026'!E40</f>
        <v>991.39300000000003</v>
      </c>
      <c r="C33" s="176"/>
      <c r="D33" s="176"/>
      <c r="E33" s="176">
        <f t="shared" si="0"/>
        <v>991.39300000000003</v>
      </c>
      <c r="F33" s="176"/>
      <c r="G33" s="176">
        <v>693.9751</v>
      </c>
      <c r="I33" s="95">
        <v>5</v>
      </c>
      <c r="J33" s="181">
        <f t="shared" si="1"/>
        <v>198.27860000000001</v>
      </c>
      <c r="K33" s="177"/>
    </row>
    <row r="34" spans="1:11">
      <c r="A34" s="176" t="str">
        <f>'Schedule 3B - 2026'!A41</f>
        <v>S250 Callison System Preliminary Engineering</v>
      </c>
      <c r="B34" s="176">
        <f>'Schedule 3B - 2026'!E41</f>
        <v>28.83548</v>
      </c>
      <c r="C34" s="176"/>
      <c r="D34" s="176"/>
      <c r="E34" s="176">
        <f t="shared" si="0"/>
        <v>28.83548</v>
      </c>
      <c r="F34" s="176"/>
      <c r="G34" s="176">
        <v>20.184835999999997</v>
      </c>
      <c r="I34" s="95">
        <v>5</v>
      </c>
      <c r="J34" s="181">
        <f>B34/I34</f>
        <v>5.7670960000000004</v>
      </c>
      <c r="K34" s="177"/>
    </row>
    <row r="35" spans="1:11">
      <c r="A35" s="176" t="str">
        <f>'Schedule 3B - 2026'!A42</f>
        <v>System Wide Arc Flash Study</v>
      </c>
      <c r="B35" s="176">
        <f>'Schedule 3B - 2026'!E42</f>
        <v>244.51179999999999</v>
      </c>
      <c r="C35" s="176"/>
      <c r="D35" s="176"/>
      <c r="E35" s="176">
        <f t="shared" si="0"/>
        <v>244.51179999999999</v>
      </c>
      <c r="F35" s="176"/>
      <c r="G35" s="176">
        <v>171.15825999999998</v>
      </c>
      <c r="I35" s="95">
        <v>5</v>
      </c>
      <c r="J35" s="181">
        <f t="shared" ref="J35:J50" si="2">MIN(B35/I35,G35)+C35/2/I35</f>
        <v>48.902360000000002</v>
      </c>
      <c r="K35" s="177"/>
    </row>
    <row r="36" spans="1:11">
      <c r="A36" s="176" t="str">
        <f>'Schedule 3B - 2026'!A43</f>
        <v>System Wide Stability Study</v>
      </c>
      <c r="B36" s="176">
        <f>'Schedule 3B - 2026'!E43</f>
        <v>151.68020000000001</v>
      </c>
      <c r="C36" s="176"/>
      <c r="D36" s="176"/>
      <c r="E36" s="176">
        <f t="shared" si="0"/>
        <v>151.68020000000001</v>
      </c>
      <c r="F36" s="176"/>
      <c r="G36" s="176">
        <v>97.734834000000006</v>
      </c>
      <c r="I36" s="95">
        <v>5</v>
      </c>
      <c r="J36" s="181">
        <f t="shared" si="2"/>
        <v>30.336040000000004</v>
      </c>
      <c r="K36" s="177"/>
    </row>
    <row r="37" spans="1:11">
      <c r="A37" s="176" t="str">
        <f>'Schedule 3B - 2026'!A44</f>
        <v>SDIC Program Development</v>
      </c>
      <c r="B37" s="176">
        <f>'Schedule 3B - 2026'!E44</f>
        <v>1.81847</v>
      </c>
      <c r="C37" s="176"/>
      <c r="D37" s="176"/>
      <c r="E37" s="176">
        <f t="shared" si="0"/>
        <v>1.81847</v>
      </c>
      <c r="F37" s="176"/>
      <c r="G37" s="176">
        <v>0.90923500000000002</v>
      </c>
      <c r="I37" s="95">
        <v>5</v>
      </c>
      <c r="J37" s="181">
        <f t="shared" si="2"/>
        <v>0.36369400000000002</v>
      </c>
      <c r="K37" s="177"/>
    </row>
    <row r="38" spans="1:11">
      <c r="A38" s="176" t="str">
        <f>'Schedule 3B - 2026'!A45</f>
        <v>AGS Fish Passage Study</v>
      </c>
      <c r="B38" s="176">
        <f>'Schedule 3B - 2026'!E45</f>
        <v>3.1366100000000001</v>
      </c>
      <c r="C38" s="176"/>
      <c r="D38" s="176"/>
      <c r="E38" s="176">
        <f t="shared" si="0"/>
        <v>3.1366100000000001</v>
      </c>
      <c r="F38" s="176"/>
      <c r="G38" s="176">
        <v>2.195627</v>
      </c>
      <c r="I38" s="95">
        <v>5</v>
      </c>
      <c r="J38" s="181">
        <f t="shared" si="2"/>
        <v>0.62732200000000005</v>
      </c>
      <c r="K38" s="177"/>
    </row>
    <row r="39" spans="1:11">
      <c r="A39" s="176" t="str">
        <f>'Schedule 3B - 2026'!A46</f>
        <v>Project Management Software Research</v>
      </c>
      <c r="B39" s="176">
        <f>'Schedule 3B - 2026'!E46</f>
        <v>123.48519</v>
      </c>
      <c r="C39" s="176"/>
      <c r="D39" s="176"/>
      <c r="E39" s="176">
        <f t="shared" si="0"/>
        <v>123.48519</v>
      </c>
      <c r="F39" s="176"/>
      <c r="G39" s="176">
        <v>86.439633000000015</v>
      </c>
      <c r="I39" s="95">
        <v>5</v>
      </c>
      <c r="J39" s="181">
        <f t="shared" si="2"/>
        <v>24.697037999999999</v>
      </c>
      <c r="K39" s="177"/>
    </row>
    <row r="40" spans="1:11">
      <c r="A40" s="176" t="str">
        <f>'Schedule 3B - 2026'!A47</f>
        <v>T&amp;D Load Planning Study</v>
      </c>
      <c r="B40" s="176">
        <f>'Schedule 3B - 2026'!E47</f>
        <v>164.31387000000001</v>
      </c>
      <c r="C40" s="176"/>
      <c r="D40" s="176"/>
      <c r="E40" s="176">
        <f t="shared" si="0"/>
        <v>164.31387000000001</v>
      </c>
      <c r="F40" s="176"/>
      <c r="G40" s="176">
        <v>115.01970900000001</v>
      </c>
      <c r="I40" s="95">
        <v>5</v>
      </c>
      <c r="J40" s="181">
        <f t="shared" si="2"/>
        <v>32.862774000000002</v>
      </c>
      <c r="K40" s="177"/>
    </row>
    <row r="41" spans="1:11">
      <c r="A41" s="176" t="str">
        <f>'Schedule 3B - 2026'!A48</f>
        <v>Business Continuity Plan</v>
      </c>
      <c r="B41" s="176">
        <f>'Schedule 3B - 2026'!E48</f>
        <v>100.95914999999999</v>
      </c>
      <c r="C41" s="176"/>
      <c r="D41" s="176"/>
      <c r="E41" s="176">
        <f t="shared" si="0"/>
        <v>100.95914999999999</v>
      </c>
      <c r="F41" s="176"/>
      <c r="G41" s="176">
        <v>70.671404999999993</v>
      </c>
      <c r="I41" s="95">
        <v>5</v>
      </c>
      <c r="J41" s="181">
        <f t="shared" si="2"/>
        <v>20.19183</v>
      </c>
      <c r="K41" s="177"/>
    </row>
    <row r="42" spans="1:11">
      <c r="A42" s="176" t="str">
        <f>'Schedule 3B - 2026'!A49</f>
        <v>YEC Process Refinement</v>
      </c>
      <c r="B42" s="176">
        <f>'Schedule 3B - 2026'!E49</f>
        <v>68.948940000000007</v>
      </c>
      <c r="C42" s="176"/>
      <c r="D42" s="176"/>
      <c r="E42" s="176">
        <f t="shared" si="0"/>
        <v>68.948940000000007</v>
      </c>
      <c r="F42" s="176"/>
      <c r="G42" s="176">
        <v>48.264258000000005</v>
      </c>
      <c r="I42" s="95">
        <v>5</v>
      </c>
      <c r="J42" s="181">
        <f t="shared" si="2"/>
        <v>13.789788000000001</v>
      </c>
      <c r="K42" s="177"/>
    </row>
    <row r="43" spans="1:11">
      <c r="A43" s="176" t="str">
        <f>'Schedule 3B - 2026'!A50</f>
        <v>SF6 Dead Tank Breaker Monitoring - develop solution</v>
      </c>
      <c r="B43" s="176">
        <f>'Schedule 3B - 2026'!E50</f>
        <v>18.49399</v>
      </c>
      <c r="C43" s="176"/>
      <c r="D43" s="176"/>
      <c r="E43" s="176">
        <f t="shared" si="0"/>
        <v>18.49399</v>
      </c>
      <c r="F43" s="176"/>
      <c r="G43" s="176">
        <v>12.945792999999998</v>
      </c>
      <c r="I43" s="95">
        <v>5</v>
      </c>
      <c r="J43" s="181">
        <f t="shared" si="2"/>
        <v>3.698798</v>
      </c>
      <c r="K43" s="177"/>
    </row>
    <row r="44" spans="1:11">
      <c r="A44" s="176" t="str">
        <f>'Schedule 3B - 2026'!A51</f>
        <v>Condition Assessment for Critical Power Transformers and Reactors</v>
      </c>
      <c r="B44" s="176">
        <f>'Schedule 3B - 2026'!E51</f>
        <v>307.20589000000001</v>
      </c>
      <c r="C44" s="176"/>
      <c r="D44" s="176"/>
      <c r="E44" s="176">
        <f t="shared" si="0"/>
        <v>307.20589000000001</v>
      </c>
      <c r="F44" s="176"/>
      <c r="G44" s="176">
        <v>215.04412299999998</v>
      </c>
      <c r="I44" s="95">
        <v>5</v>
      </c>
      <c r="J44" s="181">
        <f t="shared" si="2"/>
        <v>61.441178000000001</v>
      </c>
      <c r="K44" s="177"/>
    </row>
    <row r="45" spans="1:11">
      <c r="A45" s="176" t="str">
        <f>'Schedule 3B - 2026'!A52</f>
        <v>WG0 Summer High Temp Investigation</v>
      </c>
      <c r="B45" s="176">
        <f>'Schedule 3B - 2026'!E52</f>
        <v>48.358760000000004</v>
      </c>
      <c r="C45" s="176"/>
      <c r="D45" s="176"/>
      <c r="E45" s="176">
        <f t="shared" si="0"/>
        <v>48.358760000000004</v>
      </c>
      <c r="F45" s="176"/>
      <c r="G45" s="176">
        <v>33.851132000000007</v>
      </c>
      <c r="I45" s="95">
        <v>5</v>
      </c>
      <c r="J45" s="181">
        <f t="shared" si="2"/>
        <v>9.6717520000000015</v>
      </c>
      <c r="K45" s="177"/>
    </row>
    <row r="46" spans="1:11">
      <c r="A46" s="176" t="str">
        <f>'Schedule 3B - 2026'!A53</f>
        <v>Aishihik Dam Breach Study</v>
      </c>
      <c r="B46" s="176">
        <f>'Schedule 3B - 2026'!E53</f>
        <v>12.618969999999999</v>
      </c>
      <c r="C46" s="176"/>
      <c r="D46" s="176"/>
      <c r="E46" s="176">
        <f t="shared" si="0"/>
        <v>12.618969999999999</v>
      </c>
      <c r="F46" s="176"/>
      <c r="G46" s="176">
        <v>8.833279000000001</v>
      </c>
      <c r="I46" s="95">
        <v>5</v>
      </c>
      <c r="J46" s="181">
        <f t="shared" si="2"/>
        <v>2.5237939999999996</v>
      </c>
      <c r="K46" s="177"/>
    </row>
    <row r="47" spans="1:11">
      <c r="A47" s="176" t="str">
        <f>'Schedule 3B - 2026'!A54</f>
        <v>Grid Modernization Study</v>
      </c>
      <c r="B47" s="176">
        <f>'Schedule 3B - 2026'!E54</f>
        <v>104.82865</v>
      </c>
      <c r="C47" s="176"/>
      <c r="D47" s="176"/>
      <c r="E47" s="176">
        <f t="shared" si="0"/>
        <v>104.82865</v>
      </c>
      <c r="F47" s="176"/>
      <c r="G47" s="176">
        <v>73.380054999999999</v>
      </c>
      <c r="I47" s="95">
        <v>5</v>
      </c>
      <c r="J47" s="181">
        <f t="shared" si="2"/>
        <v>20.965730000000001</v>
      </c>
      <c r="K47" s="177"/>
    </row>
    <row r="48" spans="1:11">
      <c r="A48" s="176" t="str">
        <f>'Schedule 3B - 2026'!A55</f>
        <v>WH Updated Slope Stability Assessment</v>
      </c>
      <c r="B48" s="176">
        <f>'Schedule 3B - 2026'!E55</f>
        <v>3.9265599999999998</v>
      </c>
      <c r="C48" s="176"/>
      <c r="D48" s="176"/>
      <c r="E48" s="176">
        <f t="shared" si="0"/>
        <v>3.9265599999999998</v>
      </c>
      <c r="F48" s="176"/>
      <c r="G48" s="176">
        <v>2.7485919999999995</v>
      </c>
      <c r="I48" s="95">
        <v>5</v>
      </c>
      <c r="J48" s="181">
        <f t="shared" si="2"/>
        <v>0.78531200000000001</v>
      </c>
      <c r="K48" s="177"/>
    </row>
    <row r="49" spans="1:11">
      <c r="A49" s="176" t="str">
        <f>'Schedule 3B - 2026'!A56</f>
        <v xml:space="preserve">Dam Safety Program High Risk </v>
      </c>
      <c r="B49" s="176">
        <f>'Schedule 3B - 2026'!E56</f>
        <v>350.81653999999997</v>
      </c>
      <c r="C49" s="176"/>
      <c r="D49" s="176"/>
      <c r="E49" s="176">
        <f t="shared" si="0"/>
        <v>350.81653999999997</v>
      </c>
      <c r="F49" s="176"/>
      <c r="G49" s="176">
        <v>245.57157799999996</v>
      </c>
      <c r="I49" s="95">
        <v>5</v>
      </c>
      <c r="J49" s="181">
        <f t="shared" si="2"/>
        <v>70.163308000000001</v>
      </c>
      <c r="K49" s="177"/>
    </row>
    <row r="50" spans="1:11">
      <c r="A50" s="176" t="str">
        <f>'Schedule 3B - 2026'!A57</f>
        <v>Renewable Diesel Pilot Project</v>
      </c>
      <c r="B50" s="176">
        <f>'Schedule 3B - 2026'!E57</f>
        <v>5.2911299999999999</v>
      </c>
      <c r="C50" s="176"/>
      <c r="D50" s="176"/>
      <c r="E50" s="176">
        <f t="shared" si="0"/>
        <v>5.2911299999999999</v>
      </c>
      <c r="F50" s="176"/>
      <c r="G50" s="176">
        <v>2.6455650000000004</v>
      </c>
      <c r="I50" s="95">
        <v>5</v>
      </c>
      <c r="J50" s="181">
        <f t="shared" si="2"/>
        <v>1.0582259999999999</v>
      </c>
      <c r="K50" s="177"/>
    </row>
    <row r="51" spans="1:11">
      <c r="A51" s="176" t="str">
        <f>'Schedule 3B - 2026'!A58</f>
        <v>Grid Modernization Study Contributions</v>
      </c>
      <c r="B51" s="176">
        <f>'Schedule 3B - 2026'!E58</f>
        <v>-62.5</v>
      </c>
      <c r="C51" s="176"/>
      <c r="D51" s="176"/>
      <c r="E51" s="176">
        <f t="shared" si="0"/>
        <v>-62.5</v>
      </c>
      <c r="F51" s="176"/>
      <c r="G51" s="176">
        <v>-43.75</v>
      </c>
      <c r="I51" s="95">
        <v>5</v>
      </c>
      <c r="J51" s="176">
        <f>MAX(B51/I51,G51)+C51/2/I51</f>
        <v>-12.5</v>
      </c>
      <c r="K51" s="177"/>
    </row>
    <row r="52" spans="1:11">
      <c r="B52" s="176"/>
      <c r="C52" s="176"/>
      <c r="D52" s="176"/>
      <c r="E52" s="176"/>
      <c r="F52" s="176"/>
      <c r="G52" s="176"/>
      <c r="I52" s="95"/>
      <c r="J52" s="181"/>
      <c r="K52" s="177"/>
    </row>
    <row r="53" spans="1:11">
      <c r="A53" s="173" t="s">
        <v>370</v>
      </c>
      <c r="B53" s="177">
        <f>SUM(B10:B52)</f>
        <v>13162.046420000002</v>
      </c>
      <c r="C53" s="177">
        <f>SUM(C10:C52)</f>
        <v>0</v>
      </c>
      <c r="D53" s="177">
        <f>SUM(D10:D52)</f>
        <v>0</v>
      </c>
      <c r="E53" s="177">
        <f>SUM(E10:E52)</f>
        <v>13162.046420000002</v>
      </c>
      <c r="F53" s="177"/>
      <c r="G53" s="177">
        <f>SUM(G10:G52)</f>
        <v>7675.3355379999994</v>
      </c>
      <c r="I53" s="175"/>
      <c r="J53" s="177">
        <f>SUM(J10:J52)</f>
        <v>1745.3415989999996</v>
      </c>
    </row>
    <row r="54" spans="1:11">
      <c r="I54" s="175"/>
    </row>
    <row r="55" spans="1:11">
      <c r="A55" s="173" t="s">
        <v>371</v>
      </c>
      <c r="B55" s="177"/>
      <c r="C55" s="177"/>
      <c r="D55" s="177"/>
      <c r="E55" s="177"/>
      <c r="F55" s="177"/>
      <c r="G55" s="177"/>
      <c r="J55" s="177"/>
    </row>
    <row r="56" spans="1:11">
      <c r="A56" s="179" t="s">
        <v>365</v>
      </c>
      <c r="E56" s="177"/>
      <c r="F56" s="177"/>
      <c r="G56" s="177"/>
    </row>
    <row r="57" spans="1:11">
      <c r="A57" s="180" t="s">
        <v>314</v>
      </c>
      <c r="B57" s="176">
        <f>'Schedule 3B - 2026'!E64</f>
        <v>6999.4672900000005</v>
      </c>
      <c r="C57" s="176">
        <v>444</v>
      </c>
      <c r="D57" s="176">
        <v>0</v>
      </c>
      <c r="E57" s="177">
        <f t="shared" ref="E57:E62" si="3">B57+C57+D57</f>
        <v>7443.4672900000005</v>
      </c>
      <c r="F57" s="177"/>
      <c r="G57" s="176">
        <v>3780.0495620000002</v>
      </c>
      <c r="H57" s="177"/>
      <c r="I57" s="95">
        <v>10</v>
      </c>
      <c r="J57" s="176">
        <v>534.94143999999994</v>
      </c>
      <c r="K57" s="177"/>
    </row>
    <row r="58" spans="1:11">
      <c r="A58" s="180" t="s">
        <v>410</v>
      </c>
      <c r="B58" s="176">
        <f>'Schedule 3B - 2026'!E65</f>
        <v>-2923.6238599999997</v>
      </c>
      <c r="C58" s="177"/>
      <c r="D58" s="177"/>
      <c r="E58" s="177">
        <f t="shared" si="3"/>
        <v>-2923.6238599999997</v>
      </c>
      <c r="F58" s="177"/>
      <c r="G58" s="176">
        <v>-1321.1517800000001</v>
      </c>
      <c r="H58" s="177"/>
      <c r="I58" s="95">
        <v>10</v>
      </c>
      <c r="J58" s="176">
        <v>-198.519542</v>
      </c>
      <c r="K58" s="177"/>
    </row>
    <row r="59" spans="1:11">
      <c r="A59" s="180" t="s">
        <v>373</v>
      </c>
      <c r="B59" s="176">
        <f>'Schedule 3B - 2026'!E66</f>
        <v>185.01089000000002</v>
      </c>
      <c r="C59" s="177"/>
      <c r="D59" s="177"/>
      <c r="E59" s="177">
        <f t="shared" si="3"/>
        <v>185.01089000000002</v>
      </c>
      <c r="F59" s="177"/>
      <c r="G59" s="176">
        <v>106.82424755555554</v>
      </c>
      <c r="H59" s="177"/>
      <c r="I59" s="95">
        <v>45</v>
      </c>
      <c r="J59" s="181">
        <f>MIN(B59/I59,G59)</f>
        <v>4.1113531111111117</v>
      </c>
      <c r="K59" s="177"/>
    </row>
    <row r="60" spans="1:11">
      <c r="A60" s="180" t="s">
        <v>493</v>
      </c>
      <c r="B60" s="176">
        <f>'Schedule 3B - 2026'!E67</f>
        <v>5532.5789699999996</v>
      </c>
      <c r="C60" s="177"/>
      <c r="D60" s="177"/>
      <c r="E60" s="177">
        <f t="shared" si="3"/>
        <v>5532.5789699999996</v>
      </c>
      <c r="F60" s="177"/>
      <c r="G60" s="176">
        <v>3872.8052760000005</v>
      </c>
      <c r="H60" s="177"/>
      <c r="I60" s="95">
        <v>10</v>
      </c>
      <c r="J60" s="181">
        <f>MIN(B60/I60,G60)</f>
        <v>553.25789699999996</v>
      </c>
      <c r="K60" s="177"/>
    </row>
    <row r="61" spans="1:11">
      <c r="A61" s="180" t="s">
        <v>548</v>
      </c>
      <c r="B61" s="176">
        <f>'Schedule 3B - 2026'!E68</f>
        <v>207.40913</v>
      </c>
      <c r="C61" s="177"/>
      <c r="D61" s="177"/>
      <c r="E61" s="177">
        <f t="shared" si="3"/>
        <v>207.40913</v>
      </c>
      <c r="F61" s="177"/>
      <c r="G61" s="176">
        <v>145.18639100000001</v>
      </c>
      <c r="H61" s="177"/>
      <c r="I61" s="95">
        <v>5</v>
      </c>
      <c r="J61" s="181">
        <f>MIN(B61/I61,G61)+C61/2/I61</f>
        <v>41.481825999999998</v>
      </c>
      <c r="K61" s="177"/>
    </row>
    <row r="62" spans="1:11">
      <c r="A62" s="180" t="s">
        <v>549</v>
      </c>
      <c r="B62" s="176">
        <f>'Schedule 3B - 2026'!E69</f>
        <v>2331.5800899999999</v>
      </c>
      <c r="C62" s="177"/>
      <c r="D62" s="177"/>
      <c r="E62" s="177">
        <f t="shared" si="3"/>
        <v>2331.5800899999999</v>
      </c>
      <c r="F62" s="177"/>
      <c r="G62" s="176">
        <v>2215.0010855</v>
      </c>
      <c r="H62" s="177"/>
      <c r="I62" s="95">
        <v>10</v>
      </c>
      <c r="J62" s="181">
        <f>MIN(B62/I62,G62)+C62/2/I62</f>
        <v>233.15800899999999</v>
      </c>
      <c r="K62" s="177"/>
    </row>
    <row r="63" spans="1:11">
      <c r="A63" s="180"/>
      <c r="B63" s="177"/>
      <c r="C63" s="177"/>
      <c r="D63" s="177"/>
      <c r="E63" s="177"/>
      <c r="F63" s="177"/>
      <c r="G63" s="177"/>
      <c r="H63" s="177"/>
      <c r="I63" s="175"/>
      <c r="J63" s="176"/>
      <c r="K63" s="177"/>
    </row>
    <row r="64" spans="1:11">
      <c r="A64" s="173" t="s">
        <v>374</v>
      </c>
      <c r="B64" s="177">
        <f>SUM(B57,B58,B59,B60,B61,B62)</f>
        <v>12332.42251</v>
      </c>
      <c r="C64" s="177">
        <f>SUM(C57,C58,C59,C60,C61,C62)</f>
        <v>444</v>
      </c>
      <c r="D64" s="177">
        <f>SUM(D57,D58,D59,D60,D61,D62)</f>
        <v>0</v>
      </c>
      <c r="E64" s="177">
        <f>SUM(E57,E58,E59,E60,E61,E62)</f>
        <v>12776.42251</v>
      </c>
      <c r="F64" s="177"/>
      <c r="G64" s="177">
        <f>SUM(G57,G58,G59,G60,G61,G62)</f>
        <v>8798.7147820555565</v>
      </c>
      <c r="H64" s="177"/>
      <c r="I64" s="177"/>
      <c r="J64" s="177">
        <f>SUM(J57,J58,J59,J60,J61,J62)</f>
        <v>1168.4309831111109</v>
      </c>
      <c r="K64" s="177"/>
    </row>
    <row r="65" spans="1:11">
      <c r="A65" s="180"/>
      <c r="B65" s="177"/>
      <c r="C65" s="177"/>
      <c r="D65" s="177"/>
      <c r="E65" s="177"/>
      <c r="F65" s="177"/>
      <c r="G65" s="177"/>
      <c r="H65" s="177"/>
      <c r="I65" s="175"/>
      <c r="J65" s="177"/>
      <c r="K65" s="177"/>
    </row>
    <row r="67" spans="1:11">
      <c r="A67" s="173" t="s">
        <v>90</v>
      </c>
      <c r="B67" s="177"/>
      <c r="C67" s="177"/>
      <c r="D67" s="177"/>
      <c r="E67" s="177"/>
      <c r="F67" s="177"/>
      <c r="G67" s="177"/>
      <c r="H67" s="177"/>
      <c r="I67" s="177"/>
      <c r="J67" s="177"/>
    </row>
    <row r="68" spans="1:11">
      <c r="A68" s="179" t="s">
        <v>365</v>
      </c>
      <c r="B68" s="177"/>
      <c r="C68" s="177"/>
      <c r="D68" s="177"/>
      <c r="E68" s="177"/>
      <c r="F68" s="177"/>
      <c r="G68" s="177"/>
      <c r="H68" s="177"/>
      <c r="I68" s="177"/>
      <c r="J68" s="177"/>
    </row>
    <row r="69" spans="1:11">
      <c r="A69" s="159" t="s">
        <v>411</v>
      </c>
      <c r="B69" s="176">
        <f>'Schedule 3B - 2026'!E76</f>
        <v>4657.8898800000006</v>
      </c>
      <c r="C69" s="176"/>
      <c r="D69" s="177"/>
      <c r="E69" s="177">
        <f t="shared" ref="E69:E78" si="4">B69+C69+D69</f>
        <v>4657.8898800000006</v>
      </c>
      <c r="F69" s="177"/>
      <c r="G69" s="176">
        <v>1233.3621199999998</v>
      </c>
      <c r="H69" s="177"/>
      <c r="I69" s="95">
        <v>5</v>
      </c>
      <c r="J69" s="181">
        <f>MIN(B69/I69,G69)+C69/2/I69</f>
        <v>931.57797600000015</v>
      </c>
      <c r="K69" s="177"/>
    </row>
    <row r="70" spans="1:11">
      <c r="A70" s="159" t="s">
        <v>375</v>
      </c>
      <c r="B70" s="176">
        <f>'Schedule 3B - 2026'!E77</f>
        <v>39.986849999999997</v>
      </c>
      <c r="C70" s="176"/>
      <c r="D70" s="177"/>
      <c r="E70" s="177">
        <f t="shared" si="4"/>
        <v>39.986849999999997</v>
      </c>
      <c r="F70" s="177"/>
      <c r="G70" s="176">
        <v>27.984225999999992</v>
      </c>
      <c r="H70" s="177"/>
      <c r="I70" s="95">
        <v>25</v>
      </c>
      <c r="J70" s="181">
        <f>MIN(B70/I70,G70)</f>
        <v>1.5994739999999998</v>
      </c>
      <c r="K70" s="177"/>
    </row>
    <row r="71" spans="1:11">
      <c r="A71" s="159" t="s">
        <v>376</v>
      </c>
      <c r="B71" s="176">
        <f>'Schedule 3B - 2026'!E78</f>
        <v>10607.89898</v>
      </c>
      <c r="C71" s="176"/>
      <c r="D71" s="177"/>
      <c r="E71" s="177">
        <f t="shared" si="4"/>
        <v>10607.89898</v>
      </c>
      <c r="F71" s="177"/>
      <c r="G71" s="176">
        <v>9812.3065564999997</v>
      </c>
      <c r="H71" s="177"/>
      <c r="I71" s="95">
        <v>20</v>
      </c>
      <c r="J71" s="181">
        <f>MIN(B71/I71,G71)+C71/2/I71</f>
        <v>530.394949</v>
      </c>
      <c r="K71" s="177"/>
    </row>
    <row r="72" spans="1:11">
      <c r="A72" s="159" t="s">
        <v>377</v>
      </c>
      <c r="B72" s="176">
        <f>'Schedule 3B - 2026'!E79</f>
        <v>7294.8461900000002</v>
      </c>
      <c r="C72" s="176"/>
      <c r="D72" s="177"/>
      <c r="E72" s="177">
        <f t="shared" si="4"/>
        <v>7294.8461900000002</v>
      </c>
      <c r="F72" s="177"/>
      <c r="G72" s="176">
        <v>6565.3615710000004</v>
      </c>
      <c r="H72" s="177"/>
      <c r="I72" s="95">
        <v>5</v>
      </c>
      <c r="J72" s="181">
        <f>MIN(B72/I72,G72)+C72/2/I72</f>
        <v>1458.9692380000001</v>
      </c>
      <c r="K72" s="177"/>
    </row>
    <row r="73" spans="1:11">
      <c r="A73" s="159" t="s">
        <v>495</v>
      </c>
      <c r="B73" s="176">
        <f>'Schedule 3B - 2026'!E80</f>
        <v>216.3638</v>
      </c>
      <c r="C73" s="176"/>
      <c r="D73" s="177"/>
      <c r="E73" s="177">
        <f t="shared" si="4"/>
        <v>216.3638</v>
      </c>
      <c r="F73" s="177"/>
      <c r="G73" s="176">
        <v>199.05469600000001</v>
      </c>
      <c r="H73" s="177"/>
      <c r="I73" s="95">
        <v>25</v>
      </c>
      <c r="J73" s="181">
        <f>MIN(B73/I73,G73)</f>
        <v>8.6545520000000007</v>
      </c>
    </row>
    <row r="74" spans="1:11">
      <c r="A74" s="159" t="s">
        <v>497</v>
      </c>
      <c r="B74" s="176">
        <f>'Schedule 3B - 2026'!E81</f>
        <v>13.88059</v>
      </c>
      <c r="C74" s="176"/>
      <c r="D74" s="177"/>
      <c r="E74" s="177">
        <f t="shared" si="4"/>
        <v>13.88059</v>
      </c>
      <c r="F74" s="177"/>
      <c r="G74" s="176">
        <v>13.047754599999999</v>
      </c>
      <c r="H74" s="177"/>
      <c r="I74" s="95">
        <v>25</v>
      </c>
      <c r="J74" s="181">
        <f>MIN(B74/I74,G74)+C74/2/I74</f>
        <v>0.55522360000000004</v>
      </c>
      <c r="K74" s="177"/>
    </row>
    <row r="75" spans="1:11">
      <c r="A75" s="159" t="s">
        <v>498</v>
      </c>
      <c r="B75" s="176">
        <f>'Schedule 3B - 2026'!E82</f>
        <v>9.7247700000000012</v>
      </c>
      <c r="C75" s="176"/>
      <c r="D75" s="177"/>
      <c r="E75" s="177">
        <f t="shared" si="4"/>
        <v>9.7247700000000012</v>
      </c>
      <c r="F75" s="177"/>
      <c r="G75" s="176">
        <v>9.1412838000000018</v>
      </c>
      <c r="H75" s="177"/>
      <c r="I75" s="95">
        <v>25</v>
      </c>
      <c r="J75" s="181">
        <f>MIN(B75/I75,G75)+C75/2/I75</f>
        <v>0.38899080000000003</v>
      </c>
      <c r="K75" s="177"/>
    </row>
    <row r="76" spans="1:11">
      <c r="A76" s="159" t="s">
        <v>499</v>
      </c>
      <c r="B76" s="176">
        <f>'Schedule 3B - 2026'!E83</f>
        <v>50</v>
      </c>
      <c r="C76" s="176"/>
      <c r="D76" s="177"/>
      <c r="E76" s="177">
        <f t="shared" si="4"/>
        <v>50</v>
      </c>
      <c r="F76" s="177"/>
      <c r="G76" s="176">
        <v>47</v>
      </c>
      <c r="H76" s="177"/>
      <c r="I76" s="95">
        <v>25</v>
      </c>
      <c r="J76" s="181">
        <f>MIN(B76/I76,G76)+C76/2/I76</f>
        <v>2</v>
      </c>
      <c r="K76" s="177"/>
    </row>
    <row r="77" spans="1:11">
      <c r="A77" s="159" t="s">
        <v>496</v>
      </c>
      <c r="B77" s="176">
        <f>'Schedule 3B - 2026'!E84</f>
        <v>2267.2020200000002</v>
      </c>
      <c r="C77" s="176"/>
      <c r="D77" s="177"/>
      <c r="E77" s="177">
        <f t="shared" si="4"/>
        <v>2267.2020200000002</v>
      </c>
      <c r="F77" s="177"/>
      <c r="G77" s="176">
        <v>1813.7616160000002</v>
      </c>
      <c r="H77" s="177"/>
      <c r="I77" s="95">
        <v>10</v>
      </c>
      <c r="J77" s="181">
        <f>MIN(B77/I77,G77)</f>
        <v>226.72020200000003</v>
      </c>
    </row>
    <row r="78" spans="1:11">
      <c r="A78" s="159" t="s">
        <v>550</v>
      </c>
      <c r="B78" s="176"/>
      <c r="C78" s="176">
        <v>9729.5278500000004</v>
      </c>
      <c r="D78" s="177"/>
      <c r="E78" s="177">
        <f t="shared" si="4"/>
        <v>9729.5278500000004</v>
      </c>
      <c r="F78" s="177"/>
      <c r="G78" s="176">
        <v>0</v>
      </c>
      <c r="H78" s="177"/>
      <c r="I78" s="95">
        <v>25</v>
      </c>
      <c r="J78" s="181">
        <f>MIN(B78/I78,G78)+C78/2/I78</f>
        <v>194.59055700000002</v>
      </c>
    </row>
    <row r="79" spans="1:11">
      <c r="B79" s="177"/>
      <c r="C79" s="177"/>
      <c r="D79" s="177"/>
      <c r="E79" s="177"/>
      <c r="F79" s="177"/>
      <c r="G79" s="177"/>
      <c r="H79" s="177"/>
      <c r="I79" s="177"/>
      <c r="J79" s="177"/>
      <c r="K79" s="177"/>
    </row>
    <row r="80" spans="1:11">
      <c r="A80" s="173" t="s">
        <v>378</v>
      </c>
      <c r="B80" s="177">
        <f>SUM(B68:B79)</f>
        <v>25157.793080000003</v>
      </c>
      <c r="C80" s="177">
        <f>SUM(C68:C79)</f>
        <v>9729.5278500000004</v>
      </c>
      <c r="D80" s="177">
        <f>SUM(D68:D79)</f>
        <v>0</v>
      </c>
      <c r="E80" s="177">
        <f>SUM(E68:E79)</f>
        <v>34887.320930000002</v>
      </c>
      <c r="F80" s="177"/>
      <c r="G80" s="177">
        <f>SUM(G68:G79)</f>
        <v>19721.019823899998</v>
      </c>
      <c r="H80" s="177"/>
      <c r="I80" s="177"/>
      <c r="J80" s="177">
        <f>SUM(J68:J79)</f>
        <v>3355.4511624000002</v>
      </c>
    </row>
    <row r="81" spans="1:23">
      <c r="B81" s="177"/>
      <c r="C81" s="177"/>
      <c r="D81" s="177"/>
      <c r="E81" s="177"/>
      <c r="F81" s="177"/>
      <c r="G81" s="177"/>
      <c r="H81" s="177"/>
      <c r="I81" s="177"/>
      <c r="J81" s="177"/>
    </row>
    <row r="82" spans="1:23">
      <c r="B82" s="177"/>
      <c r="C82" s="177"/>
      <c r="D82" s="177"/>
      <c r="E82" s="177"/>
      <c r="F82" s="177"/>
      <c r="G82" s="177"/>
      <c r="H82" s="177"/>
      <c r="I82" s="177"/>
      <c r="J82" s="177"/>
    </row>
    <row r="83" spans="1:23">
      <c r="A83" s="173" t="s">
        <v>379</v>
      </c>
      <c r="B83" s="177"/>
      <c r="C83" s="177"/>
      <c r="D83" s="177"/>
      <c r="E83" s="177"/>
      <c r="F83" s="177"/>
      <c r="G83" s="177"/>
      <c r="H83" s="177"/>
      <c r="I83" s="177"/>
      <c r="J83" s="177"/>
    </row>
    <row r="84" spans="1:23">
      <c r="A84" s="174" t="s">
        <v>380</v>
      </c>
      <c r="B84" s="176">
        <f>'Schedule 3B - 2026'!E89</f>
        <v>449.26472000000001</v>
      </c>
      <c r="C84" s="177"/>
      <c r="D84" s="177"/>
      <c r="E84" s="177">
        <f>SUM(B84:D84)</f>
        <v>449.26472000000001</v>
      </c>
      <c r="F84" s="177"/>
      <c r="G84" s="176">
        <v>136.342735</v>
      </c>
      <c r="H84" s="177"/>
      <c r="I84" s="95">
        <v>5</v>
      </c>
      <c r="J84" s="181">
        <v>38.955120000000001</v>
      </c>
    </row>
    <row r="85" spans="1:23">
      <c r="A85" s="182"/>
      <c r="B85" s="178"/>
      <c r="C85" s="178"/>
      <c r="D85" s="178"/>
      <c r="E85" s="178"/>
      <c r="F85" s="177"/>
      <c r="G85" s="177"/>
      <c r="H85" s="183"/>
      <c r="I85" s="184"/>
      <c r="J85" s="178"/>
      <c r="K85" s="177"/>
    </row>
    <row r="86" spans="1:23">
      <c r="A86" s="189" t="s">
        <v>381</v>
      </c>
      <c r="B86" s="185">
        <f>SUM(B53,B64,B80,B84)</f>
        <v>51101.526730000005</v>
      </c>
      <c r="C86" s="185">
        <f>SUM(C53,C64,C80,C84)</f>
        <v>10173.52785</v>
      </c>
      <c r="D86" s="185">
        <f>SUM(D53,D64,D80,D84)</f>
        <v>0</v>
      </c>
      <c r="E86" s="185">
        <f>SUM(E53,E64,E80,E84)</f>
        <v>61275.054580000004</v>
      </c>
      <c r="F86" s="199"/>
      <c r="G86" s="185">
        <f>SUM(G53,G64,G80,G84)</f>
        <v>36331.412878955554</v>
      </c>
      <c r="H86" s="183"/>
      <c r="I86" s="184"/>
      <c r="J86" s="185">
        <f>SUM(J53,J64,J80,J84)</f>
        <v>6308.178864511111</v>
      </c>
      <c r="W86" s="177"/>
    </row>
    <row r="87" spans="1:23">
      <c r="A87" s="163"/>
      <c r="B87" s="186"/>
      <c r="C87" s="186"/>
      <c r="D87" s="186"/>
      <c r="E87" s="186"/>
      <c r="F87" s="186"/>
      <c r="G87" s="186"/>
      <c r="H87" s="183"/>
      <c r="I87" s="184"/>
      <c r="J87" s="183"/>
      <c r="W87" s="177"/>
    </row>
    <row r="88" spans="1:23">
      <c r="A88" s="173" t="s">
        <v>92</v>
      </c>
      <c r="B88" s="177"/>
      <c r="C88" s="177"/>
      <c r="D88" s="177"/>
      <c r="E88" s="177"/>
      <c r="F88" s="177"/>
      <c r="G88" s="177"/>
      <c r="H88" s="177"/>
      <c r="I88" s="177"/>
      <c r="J88" s="177"/>
      <c r="W88" s="177"/>
    </row>
    <row r="89" spans="1:23">
      <c r="A89" s="179" t="s">
        <v>365</v>
      </c>
      <c r="B89" s="177"/>
      <c r="C89" s="177"/>
      <c r="D89" s="177"/>
      <c r="E89" s="177"/>
      <c r="F89" s="177"/>
      <c r="G89" s="177"/>
      <c r="H89" s="177"/>
      <c r="I89" s="177"/>
      <c r="J89" s="177"/>
      <c r="W89" s="177"/>
    </row>
    <row r="90" spans="1:23" ht="5.5" customHeight="1">
      <c r="B90" s="176"/>
      <c r="C90" s="177"/>
      <c r="D90" s="177"/>
      <c r="E90" s="177"/>
      <c r="F90" s="177"/>
      <c r="G90" s="176"/>
      <c r="H90" s="177"/>
      <c r="I90" s="95"/>
      <c r="J90" s="177"/>
      <c r="K90" s="177"/>
      <c r="W90" s="177"/>
    </row>
    <row r="91" spans="1:23">
      <c r="A91" s="159" t="s">
        <v>494</v>
      </c>
      <c r="B91" s="176">
        <f>'Schedule 3B - 2026'!E98</f>
        <v>7972.7395799999995</v>
      </c>
      <c r="C91" s="177">
        <v>670</v>
      </c>
      <c r="D91" s="177"/>
      <c r="E91" s="177">
        <f>B91+C91+D91</f>
        <v>8642.7395799999995</v>
      </c>
      <c r="F91" s="177"/>
      <c r="G91" s="176">
        <v>3489.7293300000001</v>
      </c>
      <c r="H91" s="177"/>
      <c r="I91" s="95"/>
      <c r="J91" s="177">
        <v>544.85581000000002</v>
      </c>
      <c r="K91" s="177" t="s">
        <v>424</v>
      </c>
      <c r="W91" s="177"/>
    </row>
    <row r="92" spans="1:23">
      <c r="A92" s="159" t="s">
        <v>428</v>
      </c>
      <c r="B92" s="176">
        <f>'Schedule 3B - 2026'!E99</f>
        <v>4549.8533200000002</v>
      </c>
      <c r="C92" s="177"/>
      <c r="D92" s="177"/>
      <c r="E92" s="177">
        <f>B92+C92+D92</f>
        <v>4549.8533200000002</v>
      </c>
      <c r="F92" s="177"/>
      <c r="G92" s="176">
        <v>1929.6363359999998</v>
      </c>
      <c r="H92" s="177"/>
      <c r="I92" s="95">
        <v>10</v>
      </c>
      <c r="J92" s="181">
        <f>MIN(B92/I92,G92)</f>
        <v>454.98533200000003</v>
      </c>
      <c r="K92" s="177"/>
      <c r="W92" s="177"/>
    </row>
    <row r="93" spans="1:23">
      <c r="B93" s="177"/>
      <c r="C93" s="177"/>
      <c r="D93" s="177"/>
      <c r="E93" s="177"/>
      <c r="F93" s="177"/>
      <c r="G93" s="177"/>
      <c r="H93" s="177"/>
      <c r="I93" s="177"/>
      <c r="J93" s="177"/>
      <c r="W93" s="177"/>
    </row>
    <row r="94" spans="1:23">
      <c r="A94" s="173" t="s">
        <v>415</v>
      </c>
      <c r="B94" s="177">
        <f>SUM(B89:B93)</f>
        <v>12522.5929</v>
      </c>
      <c r="C94" s="177">
        <f>SUM(C89:C93)</f>
        <v>670</v>
      </c>
      <c r="D94" s="177">
        <f>SUM(D89:D93)</f>
        <v>0</v>
      </c>
      <c r="E94" s="177">
        <f>SUM(E89:E93)</f>
        <v>13192.5929</v>
      </c>
      <c r="F94" s="177"/>
      <c r="G94" s="177">
        <f>SUM(G89:G93)</f>
        <v>5419.3656659999997</v>
      </c>
      <c r="H94" s="177"/>
      <c r="I94" s="177"/>
      <c r="J94" s="177">
        <f>SUM(J89:J93)</f>
        <v>999.84114199999999</v>
      </c>
      <c r="K94" s="177"/>
      <c r="W94" s="177"/>
    </row>
    <row r="95" spans="1:23">
      <c r="A95" s="163"/>
      <c r="B95" s="186"/>
      <c r="C95" s="186"/>
      <c r="D95" s="186"/>
      <c r="E95" s="186"/>
      <c r="F95" s="186"/>
      <c r="G95" s="186"/>
      <c r="H95" s="183"/>
      <c r="I95" s="184"/>
      <c r="J95" s="183"/>
      <c r="W95" s="177"/>
    </row>
    <row r="96" spans="1:23" ht="9" customHeight="1">
      <c r="A96" s="163"/>
      <c r="B96" s="186"/>
      <c r="C96" s="186"/>
      <c r="D96" s="186"/>
      <c r="E96" s="186"/>
      <c r="F96" s="186"/>
      <c r="G96" s="186"/>
      <c r="H96" s="183"/>
      <c r="I96" s="184"/>
      <c r="J96" s="183"/>
      <c r="W96" s="177"/>
    </row>
    <row r="97" spans="1:23">
      <c r="A97" s="189" t="s">
        <v>416</v>
      </c>
      <c r="B97" s="185">
        <f>B86+B94</f>
        <v>63624.119630000001</v>
      </c>
      <c r="C97" s="185">
        <f>C86+C94</f>
        <v>10843.52785</v>
      </c>
      <c r="D97" s="185">
        <f>D86+D94</f>
        <v>0</v>
      </c>
      <c r="E97" s="185">
        <f>E86+E94</f>
        <v>74467.64748</v>
      </c>
      <c r="F97" s="199"/>
      <c r="G97" s="185">
        <f>G86+G94</f>
        <v>41750.778544955552</v>
      </c>
      <c r="H97" s="183"/>
      <c r="I97" s="184"/>
      <c r="J97" s="185">
        <f>J86+J94</f>
        <v>7308.0200065111112</v>
      </c>
      <c r="W97" s="177"/>
    </row>
    <row r="98" spans="1:23" ht="6.5" customHeight="1">
      <c r="A98" s="163"/>
      <c r="B98" s="186"/>
      <c r="C98" s="186"/>
      <c r="D98" s="186"/>
      <c r="E98" s="186"/>
      <c r="F98" s="186"/>
      <c r="G98" s="186"/>
      <c r="H98" s="183"/>
      <c r="I98" s="184"/>
      <c r="J98" s="183"/>
      <c r="W98" s="177"/>
    </row>
    <row r="99" spans="1:23" ht="5.5" customHeight="1"/>
    <row r="100" spans="1:23">
      <c r="A100" s="163" t="s">
        <v>382</v>
      </c>
      <c r="B100" s="186"/>
      <c r="C100" s="186"/>
      <c r="D100" s="186"/>
      <c r="E100" s="186"/>
      <c r="F100" s="186"/>
      <c r="G100" s="186"/>
      <c r="H100" s="183"/>
      <c r="I100" s="184"/>
      <c r="J100" s="183"/>
    </row>
    <row r="101" spans="1:23" ht="12.75" customHeight="1">
      <c r="A101" s="163" t="s">
        <v>383</v>
      </c>
      <c r="B101" s="186"/>
      <c r="C101" s="186"/>
      <c r="D101" s="186"/>
      <c r="E101" s="186"/>
      <c r="F101" s="186"/>
      <c r="G101" s="186"/>
      <c r="H101" s="183"/>
      <c r="I101" s="184"/>
      <c r="J101" s="183"/>
    </row>
    <row r="102" spans="1:23">
      <c r="A102" s="163"/>
    </row>
    <row r="103" spans="1:23">
      <c r="A103" s="237" t="s">
        <v>529</v>
      </c>
      <c r="B103" s="237"/>
      <c r="C103" s="237"/>
      <c r="D103" s="237"/>
      <c r="E103" s="237"/>
      <c r="F103" s="237"/>
      <c r="G103" s="237"/>
      <c r="H103" s="237"/>
      <c r="I103" s="237"/>
    </row>
  </sheetData>
  <mergeCells count="3">
    <mergeCell ref="B5:E5"/>
    <mergeCell ref="I6:I7"/>
    <mergeCell ref="A103:I103"/>
  </mergeCells>
  <conditionalFormatting sqref="A57:A63">
    <cfRule type="expression" dxfId="5" priority="1" stopIfTrue="1">
      <formula>AND(MONTH(#REF!)-MONTH(#REF!)=1,YEAR(#REF!)=YEAR(#REF!),#REF!&gt;0)</formula>
    </cfRule>
    <cfRule type="expression" dxfId="4" priority="2" stopIfTrue="1">
      <formula>AND(MONTH(#REF!)-MONTH(#REF!)=0,YEAR(#REF!)=YEAR(#REF!),#REF!&gt;0)</formula>
    </cfRule>
    <cfRule type="expression" dxfId="3" priority="3" stopIfTrue="1">
      <formula>AND(MONTH(#REF!)-MONTH(#REF!)&lt;0,YEAR(#REF!)=YEAR(#REF!),#REF!&gt;0)</formula>
    </cfRule>
  </conditionalFormatting>
  <conditionalFormatting sqref="A65">
    <cfRule type="expression" dxfId="2" priority="7" stopIfTrue="1">
      <formula>AND(MONTH($E65)-MONTH($B$1)=1,YEAR($E65)=YEAR($B$1),$X65&gt;0)</formula>
    </cfRule>
    <cfRule type="expression" dxfId="1" priority="8" stopIfTrue="1">
      <formula>AND(MONTH($E65)-MONTH($B$1)=0,YEAR($E65)=YEAR($B$1),$X65&gt;0)</formula>
    </cfRule>
    <cfRule type="expression" dxfId="0" priority="9" stopIfTrue="1">
      <formula>AND(MONTH($E65)-MONTH($B$1)&lt;0,YEAR($E65)=YEAR($B$1),$X65&gt;0)</formula>
    </cfRule>
  </conditionalFormatting>
  <printOptions horizontalCentered="1"/>
  <pageMargins left="0.55118110236220474" right="0.31496062992125984" top="0.82677165354330717" bottom="0.9055118110236221" header="0.51181102362204722" footer="0.51181102362204722"/>
  <pageSetup scale="47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B5DFC-BD2B-4CA6-9FD2-C091472C5F29}">
  <sheetPr>
    <tabColor theme="9" tint="0.39997558519241921"/>
  </sheetPr>
  <dimension ref="A1:V58"/>
  <sheetViews>
    <sheetView view="pageBreakPreview" zoomScale="85" zoomScaleNormal="100" zoomScaleSheetLayoutView="85" workbookViewId="0">
      <pane ySplit="6" topLeftCell="A7" activePane="bottomLeft" state="frozen"/>
      <selection activeCell="I1" sqref="I1"/>
      <selection pane="bottomLeft" activeCell="C55" sqref="C55"/>
    </sheetView>
  </sheetViews>
  <sheetFormatPr defaultColWidth="9.1796875" defaultRowHeight="12.5"/>
  <cols>
    <col min="1" max="1" width="5.7265625" style="218" customWidth="1"/>
    <col min="2" max="2" width="31.1796875" style="218" customWidth="1"/>
    <col min="3" max="4" width="14.54296875" style="219" customWidth="1"/>
    <col min="5" max="5" width="12.54296875" style="219" bestFit="1" customWidth="1"/>
    <col min="6" max="6" width="14.54296875" style="219" customWidth="1"/>
    <col min="7" max="7" width="15.26953125" style="220" customWidth="1"/>
    <col min="8" max="8" width="17" style="219" customWidth="1"/>
    <col min="23" max="16384" width="9.1796875" style="218"/>
  </cols>
  <sheetData>
    <row r="1" spans="1:8" s="204" customFormat="1" ht="15.75" customHeight="1">
      <c r="B1" s="230" t="s">
        <v>358</v>
      </c>
      <c r="C1" s="134"/>
      <c r="D1" s="134"/>
      <c r="E1" s="138"/>
      <c r="F1" s="134"/>
      <c r="H1" s="196" t="s">
        <v>526</v>
      </c>
    </row>
    <row r="2" spans="1:8" s="204" customFormat="1" ht="15.75" customHeight="1">
      <c r="B2" s="230" t="s">
        <v>527</v>
      </c>
      <c r="C2" s="134"/>
      <c r="D2" s="134"/>
      <c r="E2" s="138"/>
      <c r="F2" s="134"/>
      <c r="H2" s="195" t="str">
        <f>'Schedule 1'!$M$2</f>
        <v>2025-27 GRA CF</v>
      </c>
    </row>
    <row r="3" spans="1:8" s="204" customFormat="1" ht="15.75" customHeight="1">
      <c r="B3" s="231" t="s">
        <v>332</v>
      </c>
      <c r="C3" s="134"/>
      <c r="D3" s="134"/>
      <c r="E3" s="138"/>
      <c r="F3" s="134"/>
      <c r="G3" s="134"/>
      <c r="H3" s="134"/>
    </row>
    <row r="4" spans="1:8" s="204" customFormat="1" ht="15.75" customHeight="1">
      <c r="A4" s="205"/>
      <c r="B4" s="205"/>
      <c r="C4" s="205"/>
      <c r="D4" s="205"/>
      <c r="E4" s="205"/>
      <c r="F4" s="205"/>
      <c r="G4" s="205"/>
      <c r="H4" s="205"/>
    </row>
    <row r="5" spans="1:8" s="204" customFormat="1" ht="13" thickBot="1">
      <c r="A5" s="206"/>
      <c r="B5" s="206"/>
      <c r="C5" s="207"/>
      <c r="D5" s="207"/>
      <c r="E5" s="207"/>
      <c r="F5" s="207"/>
      <c r="G5" s="206"/>
      <c r="H5" s="207"/>
    </row>
    <row r="6" spans="1:8" s="212" customFormat="1" ht="50.5" thickBot="1">
      <c r="A6" s="206"/>
      <c r="B6" s="208" t="s">
        <v>9</v>
      </c>
      <c r="C6" s="209" t="s">
        <v>335</v>
      </c>
      <c r="D6" s="209" t="s">
        <v>445</v>
      </c>
      <c r="E6" s="210" t="s">
        <v>446</v>
      </c>
      <c r="F6" s="209" t="s">
        <v>447</v>
      </c>
      <c r="G6" s="211" t="s">
        <v>513</v>
      </c>
      <c r="H6" s="209" t="s">
        <v>454</v>
      </c>
    </row>
    <row r="7" spans="1:8" s="212" customFormat="1">
      <c r="A7" s="206"/>
      <c r="B7" s="213" t="s">
        <v>448</v>
      </c>
      <c r="C7" s="214" t="s">
        <v>449</v>
      </c>
      <c r="D7" s="214" t="s">
        <v>450</v>
      </c>
      <c r="E7" s="215" t="s">
        <v>451</v>
      </c>
      <c r="F7" s="214" t="s">
        <v>452</v>
      </c>
      <c r="G7" s="216" t="s">
        <v>453</v>
      </c>
      <c r="H7" s="214" t="s">
        <v>455</v>
      </c>
    </row>
    <row r="8" spans="1:8">
      <c r="A8" s="217"/>
    </row>
    <row r="9" spans="1:8">
      <c r="A9" s="221"/>
      <c r="B9" s="222" t="s">
        <v>514</v>
      </c>
      <c r="C9" s="223">
        <v>40973.51829</v>
      </c>
      <c r="D9" s="223">
        <v>7782.7040599999964</v>
      </c>
      <c r="E9" s="223">
        <v>0</v>
      </c>
      <c r="F9" s="223">
        <f>C9+D9-E9</f>
        <v>48756.222349999996</v>
      </c>
      <c r="G9" s="224" t="s">
        <v>427</v>
      </c>
      <c r="H9" s="223">
        <v>1516.5493599999998</v>
      </c>
    </row>
    <row r="10" spans="1:8">
      <c r="A10" s="221"/>
      <c r="B10" s="222" t="s">
        <v>515</v>
      </c>
      <c r="C10" s="223">
        <v>111211.20865</v>
      </c>
      <c r="D10" s="223">
        <v>0</v>
      </c>
      <c r="E10" s="223">
        <v>0</v>
      </c>
      <c r="F10" s="223">
        <f>C10+D10-E10</f>
        <v>111211.20865</v>
      </c>
      <c r="G10" s="224">
        <v>39.683439940428322</v>
      </c>
      <c r="H10" s="223">
        <f>C10/G10+D10/2/G10</f>
        <v>2802.4588799999997</v>
      </c>
    </row>
    <row r="11" spans="1:8">
      <c r="A11" s="221"/>
      <c r="B11" s="222" t="s">
        <v>516</v>
      </c>
      <c r="C11" s="223">
        <v>13316.042289999999</v>
      </c>
      <c r="D11" s="223">
        <v>0</v>
      </c>
      <c r="E11" s="223">
        <v>0</v>
      </c>
      <c r="F11" s="223">
        <f>C11+D11-E11</f>
        <v>13316.042289999999</v>
      </c>
      <c r="G11" s="224">
        <v>51.574767508572876</v>
      </c>
      <c r="H11" s="223">
        <f>C11/G11+D11/2/G11</f>
        <v>258.18909000000002</v>
      </c>
    </row>
    <row r="12" spans="1:8">
      <c r="A12" s="221"/>
      <c r="B12" s="222" t="s">
        <v>517</v>
      </c>
      <c r="C12" s="223">
        <v>71000.001000000004</v>
      </c>
      <c r="D12" s="223">
        <v>0</v>
      </c>
      <c r="E12" s="223">
        <v>0</v>
      </c>
      <c r="F12" s="223">
        <f>C12+D12-E12</f>
        <v>71000.001000000004</v>
      </c>
      <c r="G12" s="224">
        <v>71.665961244825226</v>
      </c>
      <c r="H12" s="223">
        <f>C12/G12+D12/2/G12</f>
        <v>990.70743999999991</v>
      </c>
    </row>
    <row r="13" spans="1:8">
      <c r="A13" s="221"/>
      <c r="B13" s="222" t="s">
        <v>518</v>
      </c>
      <c r="C13" s="223">
        <v>0</v>
      </c>
      <c r="D13" s="223">
        <v>0</v>
      </c>
      <c r="E13" s="223">
        <v>0</v>
      </c>
      <c r="F13" s="223">
        <f>C13+D13-E13</f>
        <v>0</v>
      </c>
      <c r="G13" s="224">
        <v>20</v>
      </c>
      <c r="H13" s="223">
        <f>C13/G13+D13/2/G13</f>
        <v>0</v>
      </c>
    </row>
    <row r="14" spans="1:8">
      <c r="A14" s="221"/>
      <c r="B14" s="222"/>
      <c r="C14" s="223"/>
      <c r="D14" s="223"/>
      <c r="E14" s="223"/>
      <c r="F14" s="223"/>
      <c r="G14" s="225"/>
      <c r="H14" s="223"/>
    </row>
    <row r="15" spans="1:8" s="226" customFormat="1" ht="18.75" customHeight="1">
      <c r="B15" s="217" t="s">
        <v>519</v>
      </c>
      <c r="C15" s="227">
        <f>SUBTOTAL(9,C9:C13)</f>
        <v>236500.77023000002</v>
      </c>
      <c r="D15" s="227">
        <f>SUBTOTAL(9,D9:D13)</f>
        <v>7782.7040599999964</v>
      </c>
      <c r="E15" s="227">
        <f>SUBTOTAL(9,E9:E13)</f>
        <v>0</v>
      </c>
      <c r="F15" s="227">
        <f>SUBTOTAL(9,F9:F13)</f>
        <v>244283.47428999998</v>
      </c>
      <c r="G15" s="227"/>
      <c r="H15" s="227">
        <f>SUBTOTAL(9,H9:H13)</f>
        <v>5567.9047699999992</v>
      </c>
    </row>
    <row r="16" spans="1:8">
      <c r="C16" s="151"/>
      <c r="D16" s="151"/>
      <c r="E16" s="151"/>
      <c r="F16" s="151"/>
      <c r="G16" s="228"/>
      <c r="H16" s="151"/>
    </row>
    <row r="17" spans="2:8">
      <c r="B17" s="222" t="s">
        <v>520</v>
      </c>
      <c r="C17" s="223">
        <v>2923.6238599999997</v>
      </c>
      <c r="D17" s="223">
        <v>62.5</v>
      </c>
      <c r="E17" s="223">
        <v>0</v>
      </c>
      <c r="F17" s="223">
        <f>C17+D17-E17</f>
        <v>2986.1238599999997</v>
      </c>
      <c r="G17" s="229" t="s">
        <v>521</v>
      </c>
      <c r="H17" s="223">
        <f>-('Schedule 3B - 2025'!J70+'Schedule 3B - 2025'!J63)</f>
        <v>298.61238600000001</v>
      </c>
    </row>
    <row r="18" spans="2:8">
      <c r="B18" s="222"/>
      <c r="C18" s="223"/>
      <c r="D18" s="223"/>
      <c r="E18" s="223"/>
      <c r="F18" s="223"/>
      <c r="G18" s="229"/>
      <c r="H18" s="223"/>
    </row>
    <row r="19" spans="2:8">
      <c r="B19" s="217" t="s">
        <v>522</v>
      </c>
      <c r="C19" s="223"/>
      <c r="D19" s="223"/>
      <c r="E19" s="223"/>
      <c r="F19" s="223"/>
      <c r="G19" s="229"/>
      <c r="H19" s="227">
        <f>H15+H17</f>
        <v>5866.517155999999</v>
      </c>
    </row>
    <row r="20" spans="2:8">
      <c r="C20" s="151"/>
      <c r="D20" s="151"/>
      <c r="E20" s="151"/>
      <c r="F20" s="151"/>
      <c r="G20" s="228"/>
      <c r="H20" s="151"/>
    </row>
    <row r="21" spans="2:8">
      <c r="C21" s="151"/>
      <c r="D21" s="151"/>
      <c r="E21" s="151"/>
      <c r="F21" s="151"/>
      <c r="G21" s="228"/>
      <c r="H21" s="151"/>
    </row>
    <row r="22" spans="2:8" ht="13" thickBot="1">
      <c r="C22" s="151"/>
      <c r="D22" s="151"/>
      <c r="E22" s="151"/>
      <c r="F22" s="151"/>
      <c r="G22" s="228"/>
      <c r="H22" s="151"/>
    </row>
    <row r="23" spans="2:8" ht="38" thickBot="1">
      <c r="B23" s="208" t="s">
        <v>9</v>
      </c>
      <c r="C23" s="209" t="s">
        <v>447</v>
      </c>
      <c r="D23" s="209" t="s">
        <v>462</v>
      </c>
      <c r="E23" s="210" t="s">
        <v>463</v>
      </c>
      <c r="F23" s="209" t="s">
        <v>464</v>
      </c>
      <c r="G23" s="211" t="s">
        <v>513</v>
      </c>
      <c r="H23" s="209" t="s">
        <v>465</v>
      </c>
    </row>
    <row r="24" spans="2:8">
      <c r="B24" s="213" t="s">
        <v>448</v>
      </c>
      <c r="C24" s="214" t="s">
        <v>449</v>
      </c>
      <c r="D24" s="214" t="s">
        <v>450</v>
      </c>
      <c r="E24" s="215" t="s">
        <v>451</v>
      </c>
      <c r="F24" s="214" t="s">
        <v>452</v>
      </c>
      <c r="G24" s="216" t="s">
        <v>453</v>
      </c>
      <c r="H24" s="214" t="s">
        <v>455</v>
      </c>
    </row>
    <row r="26" spans="2:8">
      <c r="B26" s="222" t="s">
        <v>514</v>
      </c>
      <c r="C26" s="223">
        <f>F9</f>
        <v>48756.222349999996</v>
      </c>
      <c r="D26" s="223">
        <v>399.99971000000369</v>
      </c>
      <c r="E26" s="223">
        <v>0</v>
      </c>
      <c r="F26" s="223">
        <f>C26+D26-E26</f>
        <v>49156.22206</v>
      </c>
      <c r="G26" s="224" t="s">
        <v>427</v>
      </c>
      <c r="H26" s="223">
        <v>1615.1203699999994</v>
      </c>
    </row>
    <row r="27" spans="2:8">
      <c r="B27" s="222" t="s">
        <v>515</v>
      </c>
      <c r="C27" s="223">
        <f>F10</f>
        <v>111211.20865</v>
      </c>
      <c r="D27" s="223">
        <v>0</v>
      </c>
      <c r="E27" s="223">
        <v>0</v>
      </c>
      <c r="F27" s="223">
        <f>C27+D27-E27</f>
        <v>111211.20865</v>
      </c>
      <c r="G27" s="224">
        <v>39.683439940428322</v>
      </c>
      <c r="H27" s="223">
        <f>C27/G27+D27/2/G27</f>
        <v>2802.4588799999997</v>
      </c>
    </row>
    <row r="28" spans="2:8">
      <c r="B28" s="222" t="s">
        <v>516</v>
      </c>
      <c r="C28" s="223">
        <f>F11</f>
        <v>13316.042289999999</v>
      </c>
      <c r="D28" s="223">
        <v>0</v>
      </c>
      <c r="E28" s="223">
        <v>0</v>
      </c>
      <c r="F28" s="223">
        <f>C28+D28-E28</f>
        <v>13316.042289999999</v>
      </c>
      <c r="G28" s="224">
        <v>51.574767508572876</v>
      </c>
      <c r="H28" s="223">
        <f>C28/G28+D28/2/G28</f>
        <v>258.18909000000002</v>
      </c>
    </row>
    <row r="29" spans="2:8">
      <c r="B29" s="222" t="s">
        <v>517</v>
      </c>
      <c r="C29" s="223">
        <f>F12</f>
        <v>71000.001000000004</v>
      </c>
      <c r="D29" s="223">
        <v>0</v>
      </c>
      <c r="E29" s="223">
        <v>0</v>
      </c>
      <c r="F29" s="223">
        <f>C29+D29-E29</f>
        <v>71000.001000000004</v>
      </c>
      <c r="G29" s="224">
        <v>71.665961244825226</v>
      </c>
      <c r="H29" s="223">
        <f>C29/G29+D29/2/G29</f>
        <v>990.70743999999991</v>
      </c>
    </row>
    <row r="30" spans="2:8">
      <c r="B30" s="222" t="s">
        <v>518</v>
      </c>
      <c r="C30" s="223">
        <f>F13</f>
        <v>0</v>
      </c>
      <c r="D30" s="223">
        <v>16500</v>
      </c>
      <c r="E30" s="223">
        <v>0</v>
      </c>
      <c r="F30" s="223">
        <f>C30+D30-E30</f>
        <v>16500</v>
      </c>
      <c r="G30" s="224">
        <v>20</v>
      </c>
      <c r="H30" s="223">
        <f>C30/G30+D30/2/G30</f>
        <v>412.5</v>
      </c>
    </row>
    <row r="31" spans="2:8">
      <c r="B31" s="222"/>
      <c r="C31" s="223"/>
      <c r="D31" s="223"/>
      <c r="E31" s="223"/>
      <c r="F31" s="223"/>
      <c r="G31" s="225"/>
      <c r="H31" s="223"/>
    </row>
    <row r="32" spans="2:8">
      <c r="B32" s="217" t="s">
        <v>519</v>
      </c>
      <c r="C32" s="227">
        <f>SUBTOTAL(9,C26:C30)</f>
        <v>244283.47428999998</v>
      </c>
      <c r="D32" s="227">
        <f>SUBTOTAL(9,D26:D30)</f>
        <v>16899.999710000004</v>
      </c>
      <c r="E32" s="227">
        <f>SUBTOTAL(9,E26:E30)</f>
        <v>0</v>
      </c>
      <c r="F32" s="227">
        <f>SUBTOTAL(9,F26:F30)</f>
        <v>261183.47399999999</v>
      </c>
      <c r="G32" s="227"/>
      <c r="H32" s="227">
        <f>SUBTOTAL(9,H26:H30)</f>
        <v>6078.9757799999988</v>
      </c>
    </row>
    <row r="33" spans="2:8">
      <c r="C33" s="151"/>
      <c r="D33" s="151"/>
      <c r="E33" s="151"/>
      <c r="F33" s="151"/>
      <c r="G33" s="228"/>
      <c r="H33" s="151"/>
    </row>
    <row r="34" spans="2:8">
      <c r="B34" s="222" t="s">
        <v>520</v>
      </c>
      <c r="C34" s="223">
        <f>F17</f>
        <v>2986.1238599999997</v>
      </c>
      <c r="D34" s="223">
        <v>0</v>
      </c>
      <c r="E34" s="223">
        <v>0</v>
      </c>
      <c r="F34" s="223">
        <f>C34+D34-E34</f>
        <v>2986.1238599999997</v>
      </c>
      <c r="G34" s="229" t="s">
        <v>521</v>
      </c>
      <c r="H34" s="223">
        <f>-('Schedule 3B - 2026'!J65+'Schedule 3B - 2026'!J58)</f>
        <v>304.86159399999997</v>
      </c>
    </row>
    <row r="35" spans="2:8">
      <c r="B35" s="222"/>
      <c r="C35" s="223"/>
      <c r="D35" s="223"/>
      <c r="E35" s="223"/>
      <c r="F35" s="223"/>
      <c r="G35" s="229"/>
      <c r="H35" s="223"/>
    </row>
    <row r="36" spans="2:8">
      <c r="B36" s="217" t="s">
        <v>522</v>
      </c>
      <c r="C36" s="223"/>
      <c r="D36" s="223"/>
      <c r="E36" s="223"/>
      <c r="F36" s="223"/>
      <c r="G36" s="229"/>
      <c r="H36" s="227">
        <f>H32+H34</f>
        <v>6383.8373739999988</v>
      </c>
    </row>
    <row r="37" spans="2:8">
      <c r="C37" s="151"/>
      <c r="D37" s="151"/>
      <c r="E37" s="151"/>
      <c r="F37" s="151"/>
      <c r="G37" s="228"/>
      <c r="H37" s="151"/>
    </row>
    <row r="38" spans="2:8">
      <c r="C38" s="151"/>
      <c r="D38" s="151"/>
      <c r="E38" s="151"/>
      <c r="F38" s="151"/>
      <c r="G38" s="228"/>
      <c r="H38" s="151"/>
    </row>
    <row r="39" spans="2:8" ht="13" thickBot="1">
      <c r="C39" s="151"/>
      <c r="D39" s="151"/>
      <c r="E39" s="151"/>
      <c r="F39" s="151"/>
      <c r="G39" s="228"/>
      <c r="H39" s="151"/>
    </row>
    <row r="40" spans="2:8" ht="38" thickBot="1">
      <c r="B40" s="208" t="s">
        <v>9</v>
      </c>
      <c r="C40" s="209" t="s">
        <v>464</v>
      </c>
      <c r="D40" s="209" t="s">
        <v>468</v>
      </c>
      <c r="E40" s="210" t="s">
        <v>469</v>
      </c>
      <c r="F40" s="209" t="s">
        <v>470</v>
      </c>
      <c r="G40" s="211" t="s">
        <v>513</v>
      </c>
      <c r="H40" s="209" t="s">
        <v>471</v>
      </c>
    </row>
    <row r="41" spans="2:8">
      <c r="B41" s="213" t="s">
        <v>448</v>
      </c>
      <c r="C41" s="214" t="s">
        <v>449</v>
      </c>
      <c r="D41" s="214" t="s">
        <v>450</v>
      </c>
      <c r="E41" s="215" t="s">
        <v>451</v>
      </c>
      <c r="F41" s="214" t="s">
        <v>452</v>
      </c>
      <c r="G41" s="216" t="s">
        <v>453</v>
      </c>
      <c r="H41" s="214" t="s">
        <v>455</v>
      </c>
    </row>
    <row r="43" spans="2:8">
      <c r="B43" s="222" t="s">
        <v>514</v>
      </c>
      <c r="C43" s="223">
        <f>F26</f>
        <v>49156.22206</v>
      </c>
      <c r="D43" s="223">
        <v>400</v>
      </c>
      <c r="E43" s="223">
        <v>0</v>
      </c>
      <c r="F43" s="223">
        <f>C43+D43-E43</f>
        <v>49556.22206</v>
      </c>
      <c r="G43" s="224" t="s">
        <v>427</v>
      </c>
      <c r="H43" s="223">
        <v>1621.8638700000001</v>
      </c>
    </row>
    <row r="44" spans="2:8">
      <c r="B44" s="222" t="s">
        <v>515</v>
      </c>
      <c r="C44" s="223">
        <f>F27</f>
        <v>111211.20865</v>
      </c>
      <c r="D44" s="223">
        <v>0</v>
      </c>
      <c r="E44" s="223">
        <v>0</v>
      </c>
      <c r="F44" s="223">
        <f>C44+D44-E44</f>
        <v>111211.20865</v>
      </c>
      <c r="G44" s="224">
        <v>39.683439940428322</v>
      </c>
      <c r="H44" s="223">
        <f>C44/G44+D44/2/G44</f>
        <v>2802.4588799999997</v>
      </c>
    </row>
    <row r="45" spans="2:8">
      <c r="B45" s="222" t="s">
        <v>516</v>
      </c>
      <c r="C45" s="223">
        <f>F28</f>
        <v>13316.042289999999</v>
      </c>
      <c r="D45" s="223">
        <v>0</v>
      </c>
      <c r="E45" s="223">
        <v>0</v>
      </c>
      <c r="F45" s="223">
        <f>C45+D45-E45</f>
        <v>13316.042289999999</v>
      </c>
      <c r="G45" s="224">
        <v>51.574767508572876</v>
      </c>
      <c r="H45" s="223">
        <f>C45/G45+D45/2/G45</f>
        <v>258.18909000000002</v>
      </c>
    </row>
    <row r="46" spans="2:8">
      <c r="B46" s="222" t="s">
        <v>517</v>
      </c>
      <c r="C46" s="223">
        <f>F29</f>
        <v>71000.001000000004</v>
      </c>
      <c r="D46" s="223">
        <v>0</v>
      </c>
      <c r="E46" s="223">
        <v>0</v>
      </c>
      <c r="F46" s="223">
        <f>C46+D46-E46</f>
        <v>71000.001000000004</v>
      </c>
      <c r="G46" s="224">
        <v>71.665961244825226</v>
      </c>
      <c r="H46" s="223">
        <f>C46/G46+D46/2/G46</f>
        <v>990.70743999999991</v>
      </c>
    </row>
    <row r="47" spans="2:8">
      <c r="B47" s="222" t="s">
        <v>518</v>
      </c>
      <c r="C47" s="223">
        <f>F30</f>
        <v>16500</v>
      </c>
      <c r="D47" s="223">
        <v>0</v>
      </c>
      <c r="E47" s="223">
        <v>0</v>
      </c>
      <c r="F47" s="223">
        <f>C47+D47-E47</f>
        <v>16500</v>
      </c>
      <c r="G47" s="224">
        <v>20</v>
      </c>
      <c r="H47" s="223">
        <f>C47/G47+D47/2/G47</f>
        <v>825</v>
      </c>
    </row>
    <row r="48" spans="2:8">
      <c r="B48" s="222"/>
      <c r="C48" s="223"/>
      <c r="D48" s="223"/>
      <c r="E48" s="223"/>
      <c r="F48" s="223"/>
      <c r="G48" s="225"/>
      <c r="H48" s="223"/>
    </row>
    <row r="49" spans="2:8">
      <c r="B49" s="217" t="s">
        <v>519</v>
      </c>
      <c r="C49" s="227">
        <f>SUBTOTAL(9,C43:C47)</f>
        <v>261183.47399999999</v>
      </c>
      <c r="D49" s="227">
        <f>SUBTOTAL(9,D43:D47)</f>
        <v>400</v>
      </c>
      <c r="E49" s="227">
        <f>SUBTOTAL(9,E43:E47)</f>
        <v>0</v>
      </c>
      <c r="F49" s="227">
        <f>SUBTOTAL(9,F43:F47)</f>
        <v>261583.47399999999</v>
      </c>
      <c r="G49" s="227"/>
      <c r="H49" s="227">
        <f>SUBTOTAL(9,H43:H47)</f>
        <v>6498.2192799999993</v>
      </c>
    </row>
    <row r="50" spans="2:8">
      <c r="C50" s="151"/>
      <c r="D50" s="151"/>
      <c r="E50" s="151"/>
      <c r="F50" s="151"/>
      <c r="G50" s="228"/>
      <c r="H50" s="151"/>
    </row>
    <row r="51" spans="2:8">
      <c r="B51" s="222" t="s">
        <v>520</v>
      </c>
      <c r="C51" s="223">
        <f>F34</f>
        <v>2986.1238599999997</v>
      </c>
      <c r="D51" s="223">
        <v>0</v>
      </c>
      <c r="E51" s="223">
        <v>0</v>
      </c>
      <c r="F51" s="223">
        <f>C51+D51-E51</f>
        <v>2986.1238599999997</v>
      </c>
      <c r="G51" s="229" t="s">
        <v>521</v>
      </c>
      <c r="H51" s="223">
        <f>-('Schedule 3B - 2027'!J58+'Schedule 3B - 2027'!J51)</f>
        <v>211.019542</v>
      </c>
    </row>
    <row r="52" spans="2:8">
      <c r="B52" s="222"/>
      <c r="C52" s="223"/>
      <c r="D52" s="223"/>
      <c r="E52" s="223"/>
      <c r="F52" s="223"/>
      <c r="G52" s="229"/>
      <c r="H52" s="223"/>
    </row>
    <row r="53" spans="2:8">
      <c r="B53" s="217" t="s">
        <v>522</v>
      </c>
      <c r="C53" s="223"/>
      <c r="D53" s="223"/>
      <c r="E53" s="223"/>
      <c r="F53" s="223"/>
      <c r="G53" s="229"/>
      <c r="H53" s="227">
        <f>H49+H51</f>
        <v>6709.2388219999993</v>
      </c>
    </row>
    <row r="54" spans="2:8">
      <c r="C54" s="151"/>
      <c r="D54" s="151"/>
      <c r="E54" s="151"/>
      <c r="F54" s="151"/>
      <c r="G54" s="228"/>
      <c r="H54" s="151"/>
    </row>
    <row r="55" spans="2:8">
      <c r="B55" s="218" t="s">
        <v>382</v>
      </c>
      <c r="C55" s="151"/>
      <c r="D55" s="151"/>
      <c r="E55" s="151"/>
      <c r="F55" s="151"/>
      <c r="G55" s="228"/>
      <c r="H55" s="151"/>
    </row>
    <row r="56" spans="2:8" ht="40.5" customHeight="1">
      <c r="B56" s="238" t="s">
        <v>523</v>
      </c>
      <c r="C56" s="238"/>
      <c r="D56" s="238"/>
      <c r="E56" s="238"/>
      <c r="F56" s="238"/>
      <c r="G56" s="238"/>
      <c r="H56" s="238"/>
    </row>
    <row r="57" spans="2:8" ht="28" customHeight="1">
      <c r="B57" s="238" t="s">
        <v>524</v>
      </c>
      <c r="C57" s="238"/>
      <c r="D57" s="238"/>
      <c r="E57" s="238"/>
      <c r="F57" s="238"/>
      <c r="G57" s="238"/>
      <c r="H57" s="238"/>
    </row>
    <row r="58" spans="2:8">
      <c r="B58" s="238" t="s">
        <v>525</v>
      </c>
      <c r="C58" s="238"/>
      <c r="D58" s="238"/>
      <c r="E58" s="238"/>
      <c r="F58" s="238"/>
      <c r="G58" s="238"/>
      <c r="H58" s="238"/>
    </row>
  </sheetData>
  <mergeCells count="3">
    <mergeCell ref="B56:H56"/>
    <mergeCell ref="B57:H57"/>
    <mergeCell ref="B58:H58"/>
  </mergeCells>
  <printOptions horizontalCentered="1"/>
  <pageMargins left="0.55118110236220474" right="0.31496062992125984" top="0.82677165354330717" bottom="0.9055118110236221" header="0.51181102362204722" footer="0.51181102362204722"/>
  <pageSetup scale="65" fitToHeight="2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theme="9" tint="0.39997558519241921"/>
    <pageSetUpPr fitToPage="1"/>
  </sheetPr>
  <dimension ref="A1:U73"/>
  <sheetViews>
    <sheetView view="pageBreakPreview" zoomScaleNormal="100" zoomScaleSheetLayoutView="100" workbookViewId="0">
      <pane ySplit="7" topLeftCell="A15" activePane="bottomLeft" state="frozen"/>
      <selection activeCell="H18" sqref="H18"/>
      <selection pane="bottomLeft" activeCell="C27" sqref="C27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35.7265625" style="1" customWidth="1"/>
    <col min="4" max="4" width="1.81640625" style="1" customWidth="1"/>
    <col min="5" max="5" width="11.26953125" style="4" customWidth="1"/>
    <col min="6" max="6" width="1.81640625" style="1" customWidth="1"/>
    <col min="7" max="7" width="15.54296875" style="19" customWidth="1"/>
    <col min="8" max="8" width="1.81640625" style="1" customWidth="1"/>
    <col min="9" max="9" width="15.54296875" style="1" customWidth="1"/>
    <col min="10" max="10" width="1.81640625" style="1" customWidth="1"/>
    <col min="11" max="11" width="13.08984375" style="1" customWidth="1"/>
    <col min="12" max="12" width="1.81640625" style="1" customWidth="1"/>
    <col min="13" max="13" width="15.54296875" style="19" customWidth="1"/>
    <col min="14" max="14" width="1.81640625" style="1" customWidth="1"/>
    <col min="15" max="15" width="15.54296875" style="1" customWidth="1"/>
    <col min="16" max="16" width="1.81640625" style="1" customWidth="1"/>
    <col min="17" max="17" width="15.54296875" style="19" customWidth="1"/>
    <col min="18" max="20" width="1.81640625" style="1" customWidth="1"/>
    <col min="21" max="21" width="11.26953125" style="1" customWidth="1"/>
    <col min="22" max="16384" width="9.1796875" style="1"/>
  </cols>
  <sheetData>
    <row r="1" spans="1:18" ht="15">
      <c r="A1" s="49" t="s">
        <v>0</v>
      </c>
      <c r="Q1" s="197" t="s">
        <v>317</v>
      </c>
    </row>
    <row r="2" spans="1:18">
      <c r="A2" s="50" t="s">
        <v>3</v>
      </c>
      <c r="Q2" s="195" t="str">
        <f>'Schedule 1'!$M$2</f>
        <v>2025-27 GRA CF</v>
      </c>
      <c r="R2" s="51"/>
    </row>
    <row r="3" spans="1:18">
      <c r="A3" s="50" t="s">
        <v>7</v>
      </c>
    </row>
    <row r="6" spans="1:18">
      <c r="A6" s="4"/>
      <c r="B6" s="4"/>
      <c r="C6" s="4"/>
      <c r="D6" s="4"/>
      <c r="F6" s="4"/>
      <c r="G6" s="40"/>
      <c r="H6" s="4"/>
      <c r="I6" s="4"/>
      <c r="J6" s="4"/>
      <c r="K6" s="4"/>
      <c r="L6" s="4"/>
      <c r="M6" s="40"/>
      <c r="N6" s="4"/>
      <c r="O6" s="4"/>
      <c r="P6" s="4"/>
      <c r="Q6" s="40"/>
    </row>
    <row r="7" spans="1:18" ht="25">
      <c r="A7" s="12" t="s">
        <v>8</v>
      </c>
      <c r="B7" s="13"/>
      <c r="C7" s="12" t="s">
        <v>9</v>
      </c>
      <c r="D7" s="13"/>
      <c r="E7" s="12" t="s">
        <v>10</v>
      </c>
      <c r="F7" s="13"/>
      <c r="G7" s="41" t="s">
        <v>164</v>
      </c>
      <c r="H7" s="13"/>
      <c r="I7" s="12" t="s">
        <v>165</v>
      </c>
      <c r="J7" s="13"/>
      <c r="K7" s="12" t="s">
        <v>509</v>
      </c>
      <c r="L7" s="13"/>
      <c r="M7" s="41" t="s">
        <v>166</v>
      </c>
      <c r="N7" s="13"/>
      <c r="O7" s="12" t="s">
        <v>167</v>
      </c>
      <c r="P7" s="13"/>
      <c r="Q7" s="41" t="s">
        <v>168</v>
      </c>
    </row>
    <row r="9" spans="1:18">
      <c r="C9" s="8" t="s">
        <v>442</v>
      </c>
    </row>
    <row r="11" spans="1:18">
      <c r="A11" s="1">
        <v>1</v>
      </c>
      <c r="C11" s="1" t="s">
        <v>169</v>
      </c>
      <c r="E11" s="4" t="s">
        <v>420</v>
      </c>
      <c r="G11" s="38">
        <f>'Schedule 11'!G35</f>
        <v>223115.48496709997</v>
      </c>
      <c r="I11" s="52">
        <v>0.6</v>
      </c>
      <c r="K11" s="52">
        <v>0.6</v>
      </c>
      <c r="M11" s="19">
        <f>SUM(M15)*(I11)</f>
        <v>223259.89182195536</v>
      </c>
      <c r="O11" s="32">
        <f>'Schedule 11'!G65</f>
        <v>3.4285152193183691E-2</v>
      </c>
      <c r="P11" s="42"/>
      <c r="Q11" s="19">
        <f>SUM(M11)*(O11)</f>
        <v>7654.4993697494665</v>
      </c>
    </row>
    <row r="12" spans="1:18">
      <c r="G12" s="19" t="s">
        <v>13</v>
      </c>
      <c r="I12" s="52"/>
      <c r="K12" s="52"/>
      <c r="O12" s="42"/>
      <c r="P12" s="42" t="s">
        <v>13</v>
      </c>
      <c r="Q12" s="19" t="s">
        <v>13</v>
      </c>
    </row>
    <row r="13" spans="1:18">
      <c r="A13" s="1">
        <v>2</v>
      </c>
      <c r="C13" s="1" t="s">
        <v>170</v>
      </c>
      <c r="G13" s="47">
        <v>148486.90544653643</v>
      </c>
      <c r="I13" s="53">
        <f>1-I11</f>
        <v>0.4</v>
      </c>
      <c r="K13" s="53">
        <f>1-K11</f>
        <v>0.4</v>
      </c>
      <c r="M13" s="43">
        <f>SUM(M15)*(I13)</f>
        <v>148839.92788130356</v>
      </c>
      <c r="O13" s="31">
        <v>9.1499999999999998E-2</v>
      </c>
      <c r="P13" s="42"/>
      <c r="Q13" s="43">
        <f>SUM(M13)*(O13)</f>
        <v>13618.853401139275</v>
      </c>
    </row>
    <row r="14" spans="1:18">
      <c r="I14" s="52"/>
      <c r="K14" s="52"/>
      <c r="O14" s="42"/>
      <c r="P14" s="42"/>
      <c r="Q14" s="19" t="s">
        <v>13</v>
      </c>
    </row>
    <row r="15" spans="1:18" ht="13" thickBot="1">
      <c r="A15" s="1">
        <v>3</v>
      </c>
      <c r="C15" s="1" t="s">
        <v>28</v>
      </c>
      <c r="E15" s="4" t="s">
        <v>171</v>
      </c>
      <c r="G15" s="48">
        <f>SUM(G11+G13)</f>
        <v>371602.3904136364</v>
      </c>
      <c r="I15" s="54">
        <f>SUM(I11+I13)</f>
        <v>1</v>
      </c>
      <c r="K15" s="54">
        <f>SUM(K11+K13)</f>
        <v>1</v>
      </c>
      <c r="M15" s="45">
        <f>'Schedule 1'!G48</f>
        <v>372099.81970325892</v>
      </c>
      <c r="O15" s="46">
        <f>SUM(I11)*(O11)+SUM(I13)*(O13)</f>
        <v>5.7171091315910215E-2</v>
      </c>
      <c r="P15" s="42"/>
      <c r="Q15" s="48">
        <f>Q13+Q11</f>
        <v>21273.352770888741</v>
      </c>
    </row>
    <row r="18" spans="1:21">
      <c r="C18" s="8" t="s">
        <v>443</v>
      </c>
      <c r="I18" s="52"/>
    </row>
    <row r="19" spans="1:21">
      <c r="I19" s="52"/>
    </row>
    <row r="20" spans="1:21">
      <c r="A20" s="1">
        <f>A15+1</f>
        <v>4</v>
      </c>
      <c r="C20" s="1" t="s">
        <v>169</v>
      </c>
      <c r="E20" s="4" t="s">
        <v>420</v>
      </c>
      <c r="G20" s="19">
        <f>'Schedule 11'!I35</f>
        <v>188024.76492256828</v>
      </c>
      <c r="I20" s="52">
        <f>SUM(G20)/(G20+G22)</f>
        <v>0.57540211131874486</v>
      </c>
      <c r="M20" s="19">
        <f>SUM(M24)*(I20)</f>
        <v>188101.18018461001</v>
      </c>
      <c r="O20" s="32">
        <v>3.1302130185622001E-2</v>
      </c>
      <c r="P20" s="42"/>
      <c r="Q20" s="19">
        <v>5887.9746987459666</v>
      </c>
      <c r="U20" s="85"/>
    </row>
    <row r="21" spans="1:21">
      <c r="G21" s="19" t="s">
        <v>13</v>
      </c>
      <c r="I21" s="52"/>
      <c r="O21" s="42"/>
      <c r="P21" s="42" t="s">
        <v>13</v>
      </c>
      <c r="Q21" s="19" t="s">
        <v>13</v>
      </c>
    </row>
    <row r="22" spans="1:21">
      <c r="A22" s="1">
        <f>A20+1</f>
        <v>5</v>
      </c>
      <c r="C22" s="1" t="s">
        <v>170</v>
      </c>
      <c r="G22" s="47">
        <v>138746.30738309392</v>
      </c>
      <c r="I22" s="53">
        <f>SUM(G22)/(G20+G22)</f>
        <v>0.42459788868125509</v>
      </c>
      <c r="M22" s="43">
        <f>SUM(M24)*(I22)</f>
        <v>138802.69535645674</v>
      </c>
      <c r="O22" s="31">
        <v>7.0431387897777309E-2</v>
      </c>
      <c r="P22" s="42"/>
      <c r="Q22" s="43">
        <v>9776.065991631338</v>
      </c>
      <c r="U22" s="85"/>
    </row>
    <row r="23" spans="1:21">
      <c r="I23" s="52"/>
      <c r="O23" s="42"/>
      <c r="P23" s="42"/>
      <c r="Q23" s="19" t="s">
        <v>13</v>
      </c>
    </row>
    <row r="24" spans="1:21" ht="13" thickBot="1">
      <c r="A24" s="1">
        <f>A22+1</f>
        <v>6</v>
      </c>
      <c r="C24" s="1" t="s">
        <v>28</v>
      </c>
      <c r="E24" s="4" t="s">
        <v>171</v>
      </c>
      <c r="G24" s="45">
        <f>SUM(G20+G22)</f>
        <v>326771.07230566221</v>
      </c>
      <c r="I24" s="54">
        <f>SUM(I20+I22)</f>
        <v>1</v>
      </c>
      <c r="M24" s="45">
        <f>'Schedule 1'!I48</f>
        <v>326903.87554106675</v>
      </c>
      <c r="O24" s="46">
        <f>SUM(I20)*(O20)+SUM(I22)*(O22)</f>
        <v>4.7916330395867859E-2</v>
      </c>
      <c r="P24" s="42"/>
      <c r="Q24" s="45">
        <f>Q20+Q22</f>
        <v>15664.040690377304</v>
      </c>
    </row>
    <row r="25" spans="1:21">
      <c r="I25" s="52"/>
      <c r="O25" s="32"/>
      <c r="P25" s="42"/>
    </row>
    <row r="26" spans="1:21">
      <c r="I26" s="52"/>
      <c r="O26" s="32"/>
      <c r="P26" s="42"/>
    </row>
    <row r="27" spans="1:21">
      <c r="C27" s="8" t="s">
        <v>444</v>
      </c>
      <c r="I27" s="52"/>
    </row>
    <row r="28" spans="1:21">
      <c r="I28" s="52"/>
    </row>
    <row r="29" spans="1:21">
      <c r="A29" s="1">
        <f>A24+1</f>
        <v>7</v>
      </c>
      <c r="C29" s="1" t="s">
        <v>169</v>
      </c>
      <c r="E29" s="4" t="s">
        <v>420</v>
      </c>
      <c r="G29" s="19">
        <f>'Schedule 11'!J35</f>
        <v>198511.39508035587</v>
      </c>
      <c r="I29" s="52">
        <f>SUM(G29)/(G29+G31)</f>
        <v>0.59353213760131474</v>
      </c>
      <c r="M29" s="19">
        <f>SUM(M33)*(I29)</f>
        <v>210803.842545883</v>
      </c>
      <c r="O29" s="32">
        <v>3.1498820974292213E-2</v>
      </c>
      <c r="P29" s="42"/>
      <c r="Q29" s="19">
        <v>6640.057654334104</v>
      </c>
      <c r="U29" s="85"/>
    </row>
    <row r="30" spans="1:21">
      <c r="G30" s="19" t="s">
        <v>13</v>
      </c>
      <c r="I30" s="52"/>
      <c r="O30" s="42"/>
      <c r="P30" s="42" t="s">
        <v>13</v>
      </c>
      <c r="Q30" s="19" t="s">
        <v>13</v>
      </c>
    </row>
    <row r="31" spans="1:21">
      <c r="A31" s="1">
        <f>A29+1</f>
        <v>8</v>
      </c>
      <c r="C31" s="1" t="s">
        <v>170</v>
      </c>
      <c r="G31" s="43">
        <v>135946.30738309392</v>
      </c>
      <c r="I31" s="53">
        <f>SUM(G31)/(G29+G31)</f>
        <v>0.40646786239868526</v>
      </c>
      <c r="M31" s="43">
        <f>SUM(M33)*(I31)</f>
        <v>144364.52861902161</v>
      </c>
      <c r="O31" s="31">
        <v>7.9031335604620973E-2</v>
      </c>
      <c r="P31" s="42"/>
      <c r="Q31" s="43">
        <v>11409.318714163044</v>
      </c>
      <c r="U31" s="85"/>
    </row>
    <row r="32" spans="1:21">
      <c r="I32" s="52"/>
      <c r="O32" s="42"/>
      <c r="P32" s="42"/>
      <c r="Q32" s="19" t="s">
        <v>13</v>
      </c>
    </row>
    <row r="33" spans="1:21" ht="13" thickBot="1">
      <c r="A33" s="1">
        <f>A31+1</f>
        <v>9</v>
      </c>
      <c r="C33" s="1" t="s">
        <v>28</v>
      </c>
      <c r="E33" s="4" t="s">
        <v>171</v>
      </c>
      <c r="G33" s="45">
        <f>SUM(G29+G31)</f>
        <v>334457.70246344979</v>
      </c>
      <c r="I33" s="54">
        <f>SUM(I29+I31)</f>
        <v>1</v>
      </c>
      <c r="M33" s="45">
        <f>'Schedule 1'!J48</f>
        <v>355168.37116490462</v>
      </c>
      <c r="O33" s="46">
        <f>SUM(I29)*(O29)+SUM(I31)*(O31)</f>
        <v>5.0819260590516176E-2</v>
      </c>
      <c r="P33" s="42"/>
      <c r="Q33" s="45">
        <f>Q29+Q31</f>
        <v>18049.376368497149</v>
      </c>
    </row>
    <row r="34" spans="1:21">
      <c r="I34" s="52"/>
      <c r="O34" s="32"/>
      <c r="P34" s="42"/>
    </row>
    <row r="35" spans="1:21">
      <c r="I35" s="52"/>
    </row>
    <row r="36" spans="1:21">
      <c r="C36" s="8" t="s">
        <v>434</v>
      </c>
      <c r="I36" s="52"/>
    </row>
    <row r="37" spans="1:21">
      <c r="I37" s="52"/>
    </row>
    <row r="38" spans="1:21">
      <c r="A38" s="1">
        <f>A33+1</f>
        <v>10</v>
      </c>
      <c r="C38" s="1" t="s">
        <v>169</v>
      </c>
      <c r="E38" s="4" t="s">
        <v>420</v>
      </c>
      <c r="G38" s="19">
        <f>'Schedule 11'!K35</f>
        <v>238281.36589852913</v>
      </c>
      <c r="I38" s="52">
        <f>SUM(G38)/(G38+G40)</f>
        <v>0.59662867651880902</v>
      </c>
      <c r="K38" s="52">
        <v>0.6</v>
      </c>
      <c r="M38" s="38">
        <f>M42*K38</f>
        <v>242569.96669301725</v>
      </c>
      <c r="O38" s="32">
        <f>'Schedule 11'!K65</f>
        <v>3.5529213973361604E-2</v>
      </c>
      <c r="P38" s="42"/>
      <c r="Q38" s="19">
        <f>SUM(M38)*(O38)</f>
        <v>8618.3202501474079</v>
      </c>
      <c r="U38" s="85"/>
    </row>
    <row r="39" spans="1:21">
      <c r="G39" s="19" t="s">
        <v>13</v>
      </c>
      <c r="I39" s="52"/>
      <c r="K39" s="52"/>
      <c r="O39" s="42"/>
      <c r="P39" s="42" t="s">
        <v>13</v>
      </c>
      <c r="Q39" s="19" t="s">
        <v>13</v>
      </c>
    </row>
    <row r="40" spans="1:21">
      <c r="A40" s="1">
        <f>A38+1</f>
        <v>11</v>
      </c>
      <c r="C40" s="1" t="s">
        <v>170</v>
      </c>
      <c r="G40" s="43">
        <v>161098.30738309392</v>
      </c>
      <c r="I40" s="53">
        <f>SUM(G40)/(G38+G40)</f>
        <v>0.40337132348119092</v>
      </c>
      <c r="K40" s="53">
        <f>1-K38</f>
        <v>0.4</v>
      </c>
      <c r="M40" s="47">
        <f>M42*K40</f>
        <v>161713.31112867818</v>
      </c>
      <c r="O40" s="31">
        <v>9.1497939475757448E-2</v>
      </c>
      <c r="P40" s="42"/>
      <c r="Q40" s="43">
        <f>M40*O40</f>
        <v>14796.43475407613</v>
      </c>
    </row>
    <row r="41" spans="1:21">
      <c r="I41" s="52"/>
      <c r="K41" s="52"/>
      <c r="O41" s="42"/>
      <c r="P41" s="42"/>
      <c r="Q41" s="19" t="s">
        <v>13</v>
      </c>
    </row>
    <row r="42" spans="1:21" ht="13" thickBot="1">
      <c r="A42" s="1">
        <f>A40+1</f>
        <v>12</v>
      </c>
      <c r="C42" s="1" t="s">
        <v>28</v>
      </c>
      <c r="E42" s="4" t="s">
        <v>171</v>
      </c>
      <c r="G42" s="45">
        <f>SUM(G38+G40)</f>
        <v>399379.67328162305</v>
      </c>
      <c r="I42" s="54">
        <f>SUM(I38+I40)</f>
        <v>1</v>
      </c>
      <c r="K42" s="54">
        <f>SUM(K38+K40)</f>
        <v>1</v>
      </c>
      <c r="M42" s="45">
        <f>'Schedule 1'!K48</f>
        <v>404283.27782169543</v>
      </c>
      <c r="O42" s="46">
        <f>SUM(I38)*(O38)+SUM(I40)*(O40)</f>
        <v>5.8105392852818488E-2</v>
      </c>
      <c r="P42" s="42"/>
      <c r="Q42" s="45">
        <f>Q38+Q40</f>
        <v>23414.755004223538</v>
      </c>
    </row>
    <row r="43" spans="1:21">
      <c r="I43" s="52"/>
    </row>
    <row r="44" spans="1:21">
      <c r="I44" s="52"/>
    </row>
    <row r="45" spans="1:21">
      <c r="C45" s="8" t="s">
        <v>435</v>
      </c>
      <c r="I45" s="52"/>
    </row>
    <row r="46" spans="1:21">
      <c r="I46" s="52"/>
    </row>
    <row r="47" spans="1:21">
      <c r="A47" s="1">
        <f>A42+1</f>
        <v>13</v>
      </c>
      <c r="C47" s="1" t="s">
        <v>169</v>
      </c>
      <c r="E47" s="4" t="s">
        <v>420</v>
      </c>
      <c r="G47" s="19">
        <f>'Schedule 11'!$L$35</f>
        <v>306696.4576467165</v>
      </c>
      <c r="I47" s="52">
        <f>SUM(G47)/(G47+G49)</f>
        <v>0.59999941041860883</v>
      </c>
      <c r="K47" s="52">
        <v>0.6</v>
      </c>
      <c r="M47" s="38">
        <f>M51*I47</f>
        <v>306797.91231757723</v>
      </c>
      <c r="O47" s="32">
        <f>'Schedule 11'!L65</f>
        <v>3.6733761484016268E-2</v>
      </c>
      <c r="P47" s="42"/>
      <c r="Q47" s="38">
        <f>SUM(M47)*(O47)</f>
        <v>11269.841334868019</v>
      </c>
    </row>
    <row r="48" spans="1:21">
      <c r="G48" s="19" t="s">
        <v>13</v>
      </c>
      <c r="I48" s="52"/>
      <c r="K48" s="52"/>
      <c r="O48" s="42"/>
      <c r="P48" s="42" t="s">
        <v>13</v>
      </c>
      <c r="Q48" s="19" t="s">
        <v>13</v>
      </c>
    </row>
    <row r="49" spans="1:17">
      <c r="A49" s="1">
        <f>A47+1</f>
        <v>14</v>
      </c>
      <c r="C49" s="1" t="s">
        <v>170</v>
      </c>
      <c r="G49" s="43">
        <v>204464.80738309392</v>
      </c>
      <c r="I49" s="53">
        <f>SUM(G49)/(G47+G49)</f>
        <v>0.40000058958139117</v>
      </c>
      <c r="K49" s="53">
        <f>1-K47</f>
        <v>0.4</v>
      </c>
      <c r="M49" s="47">
        <f>M51*I49</f>
        <v>204532.44399648954</v>
      </c>
      <c r="O49" s="31">
        <v>9.1499565678207245E-2</v>
      </c>
      <c r="P49" s="42"/>
      <c r="Q49" s="47">
        <f>SUM(M49)*(O49)</f>
        <v>18714.629792781041</v>
      </c>
    </row>
    <row r="50" spans="1:17">
      <c r="I50" s="52"/>
      <c r="K50" s="52"/>
      <c r="O50" s="42"/>
      <c r="P50" s="42"/>
      <c r="Q50" s="19" t="s">
        <v>13</v>
      </c>
    </row>
    <row r="51" spans="1:17" ht="13" thickBot="1">
      <c r="A51" s="1">
        <f>A49+1</f>
        <v>15</v>
      </c>
      <c r="C51" s="1" t="s">
        <v>28</v>
      </c>
      <c r="E51" s="4" t="s">
        <v>171</v>
      </c>
      <c r="G51" s="48">
        <f>SUM(G47+G49)</f>
        <v>511161.26502981043</v>
      </c>
      <c r="I51" s="54">
        <f>SUM(I47+I49)</f>
        <v>1</v>
      </c>
      <c r="K51" s="54">
        <f>SUM(K47+K49)</f>
        <v>1</v>
      </c>
      <c r="M51" s="48">
        <f>'Schedule 1'!L48</f>
        <v>511330.3563140668</v>
      </c>
      <c r="O51" s="46">
        <f>SUM(I47)*(O47)+SUM(I49)*(O49)</f>
        <v>5.8640115450591689E-2</v>
      </c>
      <c r="P51" s="42"/>
      <c r="Q51" s="48">
        <f>Q47+Q49</f>
        <v>29984.47112764906</v>
      </c>
    </row>
    <row r="52" spans="1:17">
      <c r="I52" s="52"/>
    </row>
    <row r="53" spans="1:17">
      <c r="I53" s="52"/>
    </row>
    <row r="54" spans="1:17">
      <c r="C54" s="8" t="s">
        <v>436</v>
      </c>
      <c r="I54" s="52"/>
    </row>
    <row r="55" spans="1:17">
      <c r="I55" s="52"/>
    </row>
    <row r="56" spans="1:17">
      <c r="A56" s="1">
        <f>A51+1</f>
        <v>16</v>
      </c>
      <c r="C56" s="1" t="s">
        <v>169</v>
      </c>
      <c r="E56" s="4" t="s">
        <v>420</v>
      </c>
      <c r="G56" s="19">
        <f>'Schedule 11'!$M$35</f>
        <v>365020.52567745652</v>
      </c>
      <c r="I56" s="52">
        <f>SUM(G56)/(G56+G58)</f>
        <v>0.60000020685056443</v>
      </c>
      <c r="K56" s="52">
        <v>0.6</v>
      </c>
      <c r="M56" s="38">
        <f>M60*I56</f>
        <v>365045.70155112457</v>
      </c>
      <c r="O56" s="32">
        <f>'Schedule 11'!M65</f>
        <v>4.0276004368039353E-2</v>
      </c>
      <c r="P56" s="42"/>
      <c r="Q56" s="38">
        <f>SUM(M56)*(O56)</f>
        <v>14702.582270207084</v>
      </c>
    </row>
    <row r="57" spans="1:17">
      <c r="G57" s="19" t="s">
        <v>13</v>
      </c>
      <c r="I57" s="52"/>
      <c r="K57" s="52"/>
      <c r="O57" s="42"/>
      <c r="P57" s="42" t="s">
        <v>13</v>
      </c>
      <c r="Q57" s="19" t="s">
        <v>13</v>
      </c>
    </row>
    <row r="58" spans="1:17">
      <c r="A58" s="1">
        <f>A56+1</f>
        <v>17</v>
      </c>
      <c r="C58" s="1" t="s">
        <v>170</v>
      </c>
      <c r="G58" s="43">
        <v>243346.80738309392</v>
      </c>
      <c r="I58" s="53">
        <f>SUM(G58)/(G56+G58)</f>
        <v>0.39999979314943546</v>
      </c>
      <c r="K58" s="53">
        <f>1-K56</f>
        <v>0.4</v>
      </c>
      <c r="M58" s="47">
        <f>M60*I58</f>
        <v>243363.59128440692</v>
      </c>
      <c r="O58" s="31">
        <v>9.1500523648193444E-2</v>
      </c>
      <c r="P58" s="42"/>
      <c r="Q58" s="47">
        <f>SUM(M58)*(O58)</f>
        <v>22267.89603942816</v>
      </c>
    </row>
    <row r="59" spans="1:17">
      <c r="I59" s="52"/>
      <c r="K59" s="52"/>
      <c r="O59" s="42"/>
      <c r="P59" s="42"/>
      <c r="Q59" s="19" t="s">
        <v>13</v>
      </c>
    </row>
    <row r="60" spans="1:17" ht="13" thickBot="1">
      <c r="A60" s="1">
        <f>A58+1</f>
        <v>18</v>
      </c>
      <c r="C60" s="1" t="s">
        <v>28</v>
      </c>
      <c r="E60" s="4" t="s">
        <v>171</v>
      </c>
      <c r="G60" s="48">
        <f>SUM(G56+G58)</f>
        <v>608367.3330605505</v>
      </c>
      <c r="I60" s="54">
        <f>SUM(I56+I58)</f>
        <v>0.99999999999999989</v>
      </c>
      <c r="K60" s="54">
        <f>SUM(K56+K58)</f>
        <v>1</v>
      </c>
      <c r="M60" s="48">
        <f>'Schedule 1'!M48</f>
        <v>608409.29283553152</v>
      </c>
      <c r="O60" s="46">
        <f>SUM(I56)*(O56)+SUM(I58)*(O58)</f>
        <v>6.0765801484280249E-2</v>
      </c>
      <c r="P60" s="42"/>
      <c r="Q60" s="48">
        <f>Q56+Q58</f>
        <v>36970.478309635248</v>
      </c>
    </row>
    <row r="73" spans="9:16">
      <c r="I73" s="52"/>
      <c r="O73" s="42"/>
      <c r="P73" s="42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62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theme="9" tint="0.39997558519241921"/>
    <pageSetUpPr fitToPage="1"/>
  </sheetPr>
  <dimension ref="A1:M38"/>
  <sheetViews>
    <sheetView view="pageBreakPreview" zoomScaleSheetLayoutView="100" workbookViewId="0">
      <selection activeCell="K5" sqref="K5"/>
    </sheetView>
  </sheetViews>
  <sheetFormatPr defaultColWidth="9.1796875" defaultRowHeight="12.5"/>
  <cols>
    <col min="1" max="1" width="7.453125" style="1" customWidth="1"/>
    <col min="2" max="2" width="1.81640625" style="1" customWidth="1"/>
    <col min="3" max="3" width="28" style="1" customWidth="1"/>
    <col min="4" max="4" width="3.54296875" style="1" customWidth="1"/>
    <col min="5" max="5" width="9.1796875" style="4"/>
    <col min="6" max="6" width="1.81640625" style="1" customWidth="1"/>
    <col min="7" max="7" width="12.26953125" style="1" customWidth="1"/>
    <col min="8" max="8" width="1.81640625" style="1" customWidth="1"/>
    <col min="9" max="9" width="11.26953125" style="1" customWidth="1"/>
    <col min="10" max="10" width="13" style="1" customWidth="1"/>
    <col min="11" max="12" width="11.26953125" style="1" customWidth="1"/>
    <col min="13" max="13" width="12.453125" style="1" customWidth="1"/>
    <col min="14" max="16384" width="9.1796875" style="1"/>
  </cols>
  <sheetData>
    <row r="1" spans="1:13" ht="15">
      <c r="A1" s="9" t="s">
        <v>0</v>
      </c>
      <c r="M1" s="194" t="s">
        <v>172</v>
      </c>
    </row>
    <row r="2" spans="1:13">
      <c r="A2" s="10" t="s">
        <v>173</v>
      </c>
      <c r="M2" s="195" t="str">
        <f>'Schedule 1'!$M$2</f>
        <v>2025-27 GRA CF</v>
      </c>
    </row>
    <row r="3" spans="1:13">
      <c r="A3" s="10" t="s">
        <v>7</v>
      </c>
    </row>
    <row r="6" spans="1:13" s="4" customFormat="1">
      <c r="G6" s="11"/>
      <c r="I6" s="11"/>
      <c r="J6" s="11"/>
      <c r="K6" s="8"/>
      <c r="L6" s="8"/>
      <c r="M6" s="8"/>
    </row>
    <row r="7" spans="1:13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2024 GRA
Compliance</v>
      </c>
      <c r="I7" s="12" t="str">
        <f>'Schedule 1'!I7</f>
        <v>Actual 2023</v>
      </c>
      <c r="J7" s="12" t="str">
        <f>'Schedule 1'!J7</f>
        <v>Prlm. Actual 2024</v>
      </c>
      <c r="K7" s="12" t="str">
        <f>'Schedule 1'!K7</f>
        <v>Forecast 2025</v>
      </c>
      <c r="L7" s="12" t="str">
        <f>'Schedule 1'!L7</f>
        <v>Forecast 2026</v>
      </c>
      <c r="M7" s="12" t="str">
        <f>'Schedule 1'!M7</f>
        <v>Forecast 2027</v>
      </c>
    </row>
    <row r="9" spans="1:13">
      <c r="A9" s="1">
        <v>1</v>
      </c>
      <c r="C9" s="1" t="s">
        <v>174</v>
      </c>
      <c r="E9" s="4" t="s">
        <v>421</v>
      </c>
      <c r="G9" s="14">
        <f>'Schedule 1'!G48</f>
        <v>372099.81970325892</v>
      </c>
      <c r="I9" s="14">
        <f>'Schedule 1'!I48</f>
        <v>326903.87554106675</v>
      </c>
      <c r="J9" s="14">
        <f>'Schedule 1'!J48</f>
        <v>355168.37116490462</v>
      </c>
      <c r="K9" s="14">
        <f>'Schedule 1'!K48</f>
        <v>404283.27782169543</v>
      </c>
      <c r="L9" s="14">
        <f>'Schedule 1'!L48</f>
        <v>511330.3563140668</v>
      </c>
      <c r="M9" s="14">
        <f>'Schedule 1'!M48</f>
        <v>608409.29283553152</v>
      </c>
    </row>
    <row r="10" spans="1:13">
      <c r="G10" s="1" t="s">
        <v>13</v>
      </c>
      <c r="I10" s="1" t="s">
        <v>13</v>
      </c>
      <c r="J10" s="1" t="s">
        <v>13</v>
      </c>
      <c r="K10" s="1" t="s">
        <v>13</v>
      </c>
      <c r="L10" s="1" t="s">
        <v>13</v>
      </c>
      <c r="M10" s="1" t="s">
        <v>13</v>
      </c>
    </row>
    <row r="11" spans="1:13">
      <c r="A11" s="1">
        <v>2</v>
      </c>
      <c r="C11" s="1" t="s">
        <v>175</v>
      </c>
      <c r="G11" s="32">
        <f>SUM(G13)/(G9)</f>
        <v>5.7171091315910208E-2</v>
      </c>
      <c r="I11" s="32">
        <f>SUM(I13)/(I9)</f>
        <v>4.7916350531027996E-2</v>
      </c>
      <c r="J11" s="32">
        <f>SUM(J13)/(J9)</f>
        <v>5.0819210926067587E-2</v>
      </c>
      <c r="K11" s="32">
        <f>SUM(K13)/(K9)</f>
        <v>5.7916704174319947E-2</v>
      </c>
      <c r="L11" s="32">
        <f>SUM(L13)/(L9)</f>
        <v>5.8640115450591682E-2</v>
      </c>
      <c r="M11" s="32">
        <f>SUM(M13)/(M9)</f>
        <v>6.0765801484280263E-2</v>
      </c>
    </row>
    <row r="13" spans="1:13">
      <c r="A13" s="1">
        <v>3</v>
      </c>
      <c r="C13" s="1" t="s">
        <v>176</v>
      </c>
      <c r="E13" s="4" t="s">
        <v>177</v>
      </c>
      <c r="G13" s="14">
        <f>'Schedule 4'!Q15</f>
        <v>21273.352770888741</v>
      </c>
      <c r="I13" s="14">
        <f>'Schedule 4'!Q24</f>
        <v>15664.040690377304</v>
      </c>
      <c r="J13" s="14">
        <f>'Schedule 4'!Q33</f>
        <v>18049.376368497149</v>
      </c>
      <c r="K13" s="14">
        <f>'Schedule 4'!Q42</f>
        <v>23414.755004223538</v>
      </c>
      <c r="L13" s="14">
        <f>'Schedule 4'!Q51</f>
        <v>29984.47112764906</v>
      </c>
      <c r="M13" s="14">
        <f>'Schedule 4'!Q60</f>
        <v>36970.478309635248</v>
      </c>
    </row>
    <row r="15" spans="1:13">
      <c r="A15" s="1">
        <v>4</v>
      </c>
      <c r="C15" s="1" t="s">
        <v>178</v>
      </c>
    </row>
    <row r="16" spans="1:13">
      <c r="A16" s="1">
        <v>5</v>
      </c>
      <c r="C16" s="1" t="s">
        <v>179</v>
      </c>
      <c r="E16" s="4" t="s">
        <v>180</v>
      </c>
      <c r="G16" s="14">
        <f>'Schedule 6'!G12</f>
        <v>54095.584483041021</v>
      </c>
      <c r="I16" s="14">
        <f>'Schedule 6'!I12</f>
        <v>48622.96203756563</v>
      </c>
      <c r="J16" s="14">
        <f>'Schedule 6'!J12</f>
        <v>54810.276265015629</v>
      </c>
      <c r="K16" s="14">
        <f>'Schedule 6'!K12</f>
        <v>62537.766380849906</v>
      </c>
      <c r="L16" s="14">
        <f>'Schedule 6'!L12</f>
        <v>67121.033395922073</v>
      </c>
      <c r="M16" s="14">
        <f>'Schedule 6'!M12</f>
        <v>69244.699588539937</v>
      </c>
    </row>
    <row r="17" spans="1:13">
      <c r="A17" s="1">
        <v>6</v>
      </c>
      <c r="C17" s="1" t="s">
        <v>44</v>
      </c>
      <c r="E17" s="4" t="s">
        <v>181</v>
      </c>
      <c r="G17" s="14">
        <f>'Schedule 6'!G13</f>
        <v>776.69908654176004</v>
      </c>
      <c r="I17" s="14">
        <f>'Schedule 6'!I13</f>
        <v>756.18791000000022</v>
      </c>
      <c r="J17" s="14">
        <f>'Schedule 6'!J13</f>
        <v>759.21225999999979</v>
      </c>
      <c r="K17" s="14">
        <f>'Schedule 6'!K13</f>
        <v>770.60046419999981</v>
      </c>
      <c r="L17" s="14">
        <f>'Schedule 6'!L13</f>
        <v>789.80853488399998</v>
      </c>
      <c r="M17" s="14">
        <f>'Schedule 6'!M13</f>
        <v>805.60470558168038</v>
      </c>
    </row>
    <row r="18" spans="1:13">
      <c r="A18" s="1">
        <v>7</v>
      </c>
      <c r="C18" s="1" t="s">
        <v>182</v>
      </c>
      <c r="E18" s="4" t="s">
        <v>183</v>
      </c>
      <c r="G18" s="14">
        <f>'Schedule 6'!G14</f>
        <v>5345.1559999999999</v>
      </c>
      <c r="I18" s="14">
        <f>'Schedule 6'!I14</f>
        <v>3689.5329999999999</v>
      </c>
      <c r="J18" s="14">
        <f>'Schedule 6'!J14</f>
        <v>5436.1200535000007</v>
      </c>
      <c r="K18" s="14">
        <f>'Schedule 6'!K14</f>
        <v>6835.0509999999995</v>
      </c>
      <c r="L18" s="14">
        <f>'Schedule 6'!L14</f>
        <v>7975.8410000000003</v>
      </c>
      <c r="M18" s="14">
        <f>'Schedule 6'!M14</f>
        <v>8109.3159999999998</v>
      </c>
    </row>
    <row r="19" spans="1:13">
      <c r="A19" s="1">
        <v>8</v>
      </c>
      <c r="C19" s="1" t="s">
        <v>80</v>
      </c>
      <c r="E19" s="4" t="s">
        <v>94</v>
      </c>
      <c r="G19" s="14">
        <f>'Schedule 6'!G15</f>
        <v>615.80899999999997</v>
      </c>
      <c r="I19" s="14">
        <f>'Schedule 6'!I15</f>
        <v>615.80899999999997</v>
      </c>
      <c r="J19" s="14">
        <f>'Schedule 6'!J15</f>
        <v>615.80899999999997</v>
      </c>
      <c r="K19" s="14">
        <f>'Schedule 6'!K15</f>
        <v>1062.596</v>
      </c>
      <c r="L19" s="14">
        <f>'Schedule 6'!L15</f>
        <v>1062.596</v>
      </c>
      <c r="M19" s="14">
        <f>'Schedule 6'!M15</f>
        <v>1062.596</v>
      </c>
    </row>
    <row r="20" spans="1:13">
      <c r="A20" s="1">
        <v>9</v>
      </c>
      <c r="C20" s="1" t="s">
        <v>184</v>
      </c>
      <c r="E20" s="4" t="s">
        <v>73</v>
      </c>
      <c r="G20" s="14">
        <f>'Schedule 6'!G16</f>
        <v>15349.733</v>
      </c>
      <c r="I20" s="14">
        <f>'Schedule 6'!I16</f>
        <v>16005.334999999999</v>
      </c>
      <c r="J20" s="14">
        <f>'Schedule 6'!J16</f>
        <v>15718.508</v>
      </c>
      <c r="K20" s="14">
        <f>'Schedule 6'!K16</f>
        <v>20557.809000000001</v>
      </c>
      <c r="L20" s="14">
        <f>'Schedule 6'!L16</f>
        <v>24511.496999999999</v>
      </c>
      <c r="M20" s="14">
        <f>'Schedule 6'!M16</f>
        <v>27837.940999999999</v>
      </c>
    </row>
    <row r="21" spans="1:13" ht="25">
      <c r="A21" s="55">
        <v>10</v>
      </c>
      <c r="C21" s="56" t="s">
        <v>185</v>
      </c>
      <c r="E21" s="2" t="s">
        <v>186</v>
      </c>
      <c r="F21" s="55"/>
      <c r="G21" s="87">
        <f>'Schedule 6'!G17</f>
        <v>-5940.8490000000002</v>
      </c>
      <c r="H21" s="55"/>
      <c r="I21" s="87">
        <f>'Schedule 6'!I17</f>
        <v>-6741.5619999999999</v>
      </c>
      <c r="J21" s="87">
        <f>'Schedule 6'!J17</f>
        <v>-5966.5209999999997</v>
      </c>
      <c r="K21" s="87">
        <f>'Schedule 6'!K17</f>
        <v>-7635.3410000000003</v>
      </c>
      <c r="L21" s="87">
        <f>'Schedule 6'!L17</f>
        <v>-8152.6620000000003</v>
      </c>
      <c r="M21" s="87">
        <f>'Schedule 6'!M17</f>
        <v>-8478.0630000000001</v>
      </c>
    </row>
    <row r="22" spans="1:13">
      <c r="A22" s="1">
        <v>11</v>
      </c>
      <c r="C22" s="1" t="s">
        <v>187</v>
      </c>
      <c r="G22" s="14">
        <v>-51.155907444444438</v>
      </c>
      <c r="I22" s="14">
        <v>-51.155907444444495</v>
      </c>
      <c r="J22" s="14">
        <v>-67.471901233264362</v>
      </c>
      <c r="K22" s="14">
        <v>-67.471901233264362</v>
      </c>
      <c r="L22" s="14">
        <v>-67.471901233264362</v>
      </c>
      <c r="M22" s="14">
        <v>-67.471901233264362</v>
      </c>
    </row>
    <row r="23" spans="1:13">
      <c r="A23" s="1">
        <v>12</v>
      </c>
      <c r="C23" s="1" t="s">
        <v>188</v>
      </c>
      <c r="G23" s="14">
        <v>-120</v>
      </c>
      <c r="I23" s="14">
        <v>-120.85194</v>
      </c>
      <c r="J23" s="14">
        <v>-113.85104000000001</v>
      </c>
      <c r="K23" s="14">
        <v>-119.99999999999987</v>
      </c>
      <c r="L23" s="14">
        <v>-119.99999999999987</v>
      </c>
      <c r="M23" s="14">
        <v>-122.39999999999986</v>
      </c>
    </row>
    <row r="24" spans="1:13">
      <c r="G24" s="17"/>
      <c r="I24" s="17"/>
      <c r="J24" s="17"/>
      <c r="K24" s="17"/>
      <c r="L24" s="17"/>
      <c r="M24" s="17"/>
    </row>
    <row r="25" spans="1:13">
      <c r="A25" s="1">
        <v>13</v>
      </c>
      <c r="C25" s="1" t="s">
        <v>189</v>
      </c>
      <c r="G25" s="18">
        <f>SUM(G15:G24)</f>
        <v>70070.976662138346</v>
      </c>
      <c r="I25" s="18">
        <f>SUM(I15:I24)</f>
        <v>62776.257100121184</v>
      </c>
      <c r="J25" s="18">
        <f>SUM(J15:J24)</f>
        <v>71192.081637282376</v>
      </c>
      <c r="K25" s="18">
        <f>SUM(K15:K24)</f>
        <v>83941.009943816636</v>
      </c>
      <c r="L25" s="18">
        <f>SUM(L15:L24)</f>
        <v>93120.642029572817</v>
      </c>
      <c r="M25" s="18">
        <f>SUM(M15:M24)</f>
        <v>98392.222392888376</v>
      </c>
    </row>
    <row r="26" spans="1:13">
      <c r="G26" s="15"/>
      <c r="I26" s="15"/>
      <c r="J26" s="15"/>
      <c r="K26" s="15"/>
      <c r="L26" s="15"/>
      <c r="M26" s="15"/>
    </row>
    <row r="27" spans="1:13" ht="13" thickBot="1">
      <c r="A27" s="1">
        <v>14</v>
      </c>
      <c r="C27" s="1" t="s">
        <v>190</v>
      </c>
      <c r="E27" s="4" t="s">
        <v>191</v>
      </c>
      <c r="G27" s="29">
        <f>G13+G25</f>
        <v>91344.329433027087</v>
      </c>
      <c r="I27" s="29">
        <f>I13+I25</f>
        <v>78440.297790498487</v>
      </c>
      <c r="J27" s="29">
        <f>J13+J25</f>
        <v>89241.458005779525</v>
      </c>
      <c r="K27" s="29">
        <f>K13+K25</f>
        <v>107355.76494804017</v>
      </c>
      <c r="L27" s="29">
        <f>L13+L25</f>
        <v>123105.11315722187</v>
      </c>
      <c r="M27" s="29">
        <f>M13+M25</f>
        <v>135362.70070252364</v>
      </c>
    </row>
    <row r="29" spans="1:13">
      <c r="C29" s="1" t="s">
        <v>192</v>
      </c>
    </row>
    <row r="30" spans="1:13" ht="12.75" customHeight="1">
      <c r="A30" s="57"/>
      <c r="C30" s="147"/>
      <c r="D30" s="147"/>
      <c r="E30" s="147"/>
      <c r="F30" s="147"/>
      <c r="G30" s="147"/>
      <c r="H30" s="147"/>
      <c r="I30" s="147"/>
      <c r="J30" s="147"/>
      <c r="K30" s="147"/>
    </row>
    <row r="31" spans="1:13">
      <c r="C31" s="147"/>
      <c r="D31" s="147"/>
      <c r="E31" s="147"/>
      <c r="F31" s="147"/>
      <c r="G31" s="147"/>
      <c r="H31" s="147"/>
      <c r="I31" s="87"/>
      <c r="J31" s="87"/>
      <c r="K31" s="87"/>
      <c r="L31" s="87"/>
      <c r="M31" s="87"/>
    </row>
    <row r="32" spans="1:13">
      <c r="G32" s="20"/>
      <c r="I32" s="20"/>
      <c r="J32" s="20"/>
      <c r="K32" s="20"/>
      <c r="L32" s="20"/>
      <c r="M32" s="20"/>
    </row>
    <row r="33" spans="7:13">
      <c r="G33" s="20"/>
      <c r="I33" s="20"/>
      <c r="J33" s="20"/>
      <c r="K33" s="20"/>
      <c r="L33" s="20"/>
      <c r="M33" s="20"/>
    </row>
    <row r="34" spans="7:13">
      <c r="G34" s="35"/>
      <c r="I34" s="35"/>
      <c r="J34" s="35"/>
      <c r="K34" s="35"/>
      <c r="L34" s="35"/>
      <c r="M34" s="35"/>
    </row>
    <row r="35" spans="7:13">
      <c r="G35" s="35"/>
      <c r="I35" s="35"/>
      <c r="J35" s="35"/>
      <c r="K35" s="35"/>
    </row>
    <row r="36" spans="7:13">
      <c r="G36" s="27"/>
      <c r="I36" s="27"/>
      <c r="J36" s="27"/>
      <c r="K36" s="27"/>
    </row>
    <row r="37" spans="7:13">
      <c r="G37" s="35"/>
      <c r="I37" s="35"/>
      <c r="J37" s="35"/>
      <c r="K37" s="35"/>
    </row>
    <row r="38" spans="7:13">
      <c r="J38" s="35"/>
      <c r="K38" s="35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9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theme="9" tint="0.39997558519241921"/>
    <pageSetUpPr fitToPage="1"/>
  </sheetPr>
  <dimension ref="A1:N43"/>
  <sheetViews>
    <sheetView view="pageBreakPreview" zoomScaleSheetLayoutView="100" workbookViewId="0">
      <selection activeCell="J12" sqref="J12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9" style="1" customWidth="1"/>
    <col min="4" max="4" width="1.81640625" style="1" customWidth="1"/>
    <col min="5" max="5" width="11" style="4" customWidth="1"/>
    <col min="6" max="6" width="1.81640625" style="1" customWidth="1"/>
    <col min="7" max="7" width="12.6328125" style="1" customWidth="1"/>
    <col min="8" max="8" width="1.81640625" style="1" customWidth="1"/>
    <col min="9" max="9" width="11.26953125" style="1" customWidth="1"/>
    <col min="10" max="10" width="12.81640625" style="1" customWidth="1"/>
    <col min="11" max="12" width="11.26953125" style="1" customWidth="1"/>
    <col min="13" max="13" width="13.26953125" style="1" customWidth="1"/>
    <col min="14" max="14" width="11.26953125" style="1" customWidth="1"/>
    <col min="15" max="16384" width="9.1796875" style="1"/>
  </cols>
  <sheetData>
    <row r="1" spans="1:14" ht="15">
      <c r="A1" s="9" t="s">
        <v>0</v>
      </c>
      <c r="M1" s="194" t="s">
        <v>193</v>
      </c>
    </row>
    <row r="2" spans="1:14">
      <c r="A2" s="10" t="s">
        <v>194</v>
      </c>
      <c r="M2" s="195" t="str">
        <f>'Schedule 1'!$M$2</f>
        <v>2025-27 GRA CF</v>
      </c>
    </row>
    <row r="3" spans="1:14">
      <c r="A3" s="10" t="s">
        <v>7</v>
      </c>
    </row>
    <row r="4" spans="1:14">
      <c r="C4" s="1" t="s">
        <v>13</v>
      </c>
    </row>
    <row r="5" spans="1:14">
      <c r="C5" s="1" t="s">
        <v>13</v>
      </c>
    </row>
    <row r="6" spans="1:14" s="4" customFormat="1">
      <c r="G6" s="11"/>
      <c r="I6" s="11"/>
      <c r="J6" s="11"/>
      <c r="K6" s="8"/>
      <c r="L6" s="8"/>
      <c r="M6" s="8"/>
      <c r="N6" s="11"/>
    </row>
    <row r="7" spans="1:14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2024 GRA
Compliance</v>
      </c>
      <c r="I7" s="12" t="str">
        <f>'Schedule 1'!I7</f>
        <v>Actual 2023</v>
      </c>
      <c r="J7" s="12" t="str">
        <f>'Schedule 1'!J7</f>
        <v>Prlm. Actual 2024</v>
      </c>
      <c r="K7" s="12" t="str">
        <f>'Schedule 1'!K7</f>
        <v>Forecast 2025</v>
      </c>
      <c r="L7" s="12" t="str">
        <f>'Schedule 1'!L7</f>
        <v>Forecast 2026</v>
      </c>
      <c r="M7" s="12" t="str">
        <f>'Schedule 1'!M7</f>
        <v>Forecast 2027</v>
      </c>
    </row>
    <row r="9" spans="1:14">
      <c r="A9" s="1">
        <v>1</v>
      </c>
      <c r="C9" s="1" t="s">
        <v>195</v>
      </c>
      <c r="E9" s="4" t="s">
        <v>196</v>
      </c>
      <c r="G9" s="14">
        <f>'Schedule 5'!G27</f>
        <v>91344.329433027087</v>
      </c>
      <c r="I9" s="14">
        <v>78440.488260498489</v>
      </c>
      <c r="J9" s="14">
        <v>89242.261665779501</v>
      </c>
      <c r="K9" s="14">
        <v>107355.76332840978</v>
      </c>
      <c r="L9" s="14">
        <v>123105.24537635974</v>
      </c>
      <c r="M9" s="14">
        <v>135362.66699357264</v>
      </c>
      <c r="N9" s="35"/>
    </row>
    <row r="11" spans="1:14">
      <c r="A11" s="1">
        <v>2</v>
      </c>
      <c r="C11" s="8" t="s">
        <v>197</v>
      </c>
    </row>
    <row r="12" spans="1:14">
      <c r="A12" s="1">
        <v>3</v>
      </c>
      <c r="C12" s="1" t="s">
        <v>42</v>
      </c>
      <c r="E12" s="4" t="s">
        <v>198</v>
      </c>
      <c r="G12" s="14">
        <v>54095.584483041021</v>
      </c>
      <c r="I12" s="14">
        <f>'Schedule 10'!I28</f>
        <v>48622.96203756563</v>
      </c>
      <c r="J12" s="14">
        <f>'Schedule 10'!J28</f>
        <v>54810.276265015629</v>
      </c>
      <c r="K12" s="14">
        <f>'Schedule 10'!K28</f>
        <v>62537.766380849906</v>
      </c>
      <c r="L12" s="14">
        <f>'Schedule 10'!L28</f>
        <v>67121.033395922073</v>
      </c>
      <c r="M12" s="14">
        <f>'Schedule 10'!M28</f>
        <v>69244.699588539937</v>
      </c>
      <c r="N12" s="35"/>
    </row>
    <row r="13" spans="1:14">
      <c r="A13" s="1">
        <v>4</v>
      </c>
      <c r="C13" s="1" t="s">
        <v>44</v>
      </c>
      <c r="E13" s="4" t="s">
        <v>45</v>
      </c>
      <c r="G13" s="14">
        <v>776.69908654176004</v>
      </c>
      <c r="I13" s="14">
        <v>756.18791000000022</v>
      </c>
      <c r="J13" s="14">
        <v>759.21225999999979</v>
      </c>
      <c r="K13" s="14">
        <v>770.60046419999981</v>
      </c>
      <c r="L13" s="14">
        <v>789.80853488399998</v>
      </c>
      <c r="M13" s="14">
        <v>805.60470558168038</v>
      </c>
      <c r="N13" s="35"/>
    </row>
    <row r="14" spans="1:14">
      <c r="A14" s="1">
        <v>5</v>
      </c>
      <c r="C14" s="1" t="s">
        <v>199</v>
      </c>
      <c r="G14" s="14">
        <v>5345.1559999999999</v>
      </c>
      <c r="I14" s="14">
        <v>3689.5329999999999</v>
      </c>
      <c r="J14" s="14">
        <v>5436.1200535000007</v>
      </c>
      <c r="K14" s="14">
        <v>6835.0509999999995</v>
      </c>
      <c r="L14" s="14">
        <v>7975.8410000000003</v>
      </c>
      <c r="M14" s="14">
        <v>8109.3159999999998</v>
      </c>
      <c r="N14" s="35"/>
    </row>
    <row r="15" spans="1:14">
      <c r="A15" s="1">
        <v>6</v>
      </c>
      <c r="C15" s="1" t="s">
        <v>80</v>
      </c>
      <c r="E15" s="4" t="s">
        <v>200</v>
      </c>
      <c r="G15" s="14">
        <v>615.80899999999997</v>
      </c>
      <c r="I15" s="14">
        <v>615.80899999999997</v>
      </c>
      <c r="J15" s="14">
        <v>615.80899999999997</v>
      </c>
      <c r="K15" s="14">
        <v>1062.596</v>
      </c>
      <c r="L15" s="14">
        <v>1062.596</v>
      </c>
      <c r="M15" s="14">
        <v>1062.596</v>
      </c>
      <c r="N15" s="35"/>
    </row>
    <row r="16" spans="1:14">
      <c r="A16" s="1">
        <v>7</v>
      </c>
      <c r="C16" s="1" t="s">
        <v>184</v>
      </c>
      <c r="G16" s="14">
        <v>15349.733</v>
      </c>
      <c r="I16" s="14">
        <v>16005.334999999999</v>
      </c>
      <c r="J16" s="14">
        <v>15718.508</v>
      </c>
      <c r="K16" s="14">
        <v>20557.809000000001</v>
      </c>
      <c r="L16" s="14">
        <v>24511.496999999999</v>
      </c>
      <c r="M16" s="14">
        <v>27837.940999999999</v>
      </c>
      <c r="N16" s="35"/>
    </row>
    <row r="17" spans="1:14" ht="25">
      <c r="A17" s="59">
        <v>8</v>
      </c>
      <c r="B17" s="2"/>
      <c r="C17" s="56" t="s">
        <v>185</v>
      </c>
      <c r="D17" s="2"/>
      <c r="E17" s="2" t="s">
        <v>202</v>
      </c>
      <c r="F17" s="2"/>
      <c r="G17" s="88">
        <v>-5940.8490000000002</v>
      </c>
      <c r="H17" s="2"/>
      <c r="I17" s="88">
        <v>-6741.5619999999999</v>
      </c>
      <c r="J17" s="88">
        <v>-5966.5209999999997</v>
      </c>
      <c r="K17" s="88">
        <v>-7635.3410000000003</v>
      </c>
      <c r="L17" s="88">
        <v>-8152.6620000000003</v>
      </c>
      <c r="M17" s="88">
        <v>-8478.0630000000001</v>
      </c>
      <c r="N17" s="35"/>
    </row>
    <row r="18" spans="1:14">
      <c r="G18" s="17"/>
      <c r="I18" s="17"/>
      <c r="J18" s="17"/>
      <c r="K18" s="17"/>
      <c r="L18" s="17"/>
      <c r="M18" s="17"/>
      <c r="N18" s="35"/>
    </row>
    <row r="19" spans="1:14" s="19" customFormat="1">
      <c r="A19" s="19">
        <v>9</v>
      </c>
      <c r="C19" s="19" t="s">
        <v>28</v>
      </c>
      <c r="E19" s="40"/>
      <c r="G19" s="89">
        <f>SUM(G12:G14)+G16+G17+G15+G18</f>
        <v>70242.132569582784</v>
      </c>
      <c r="I19" s="89">
        <f>SUM(I12:I17)</f>
        <v>62948.264947565629</v>
      </c>
      <c r="J19" s="89">
        <f>SUM(J12:J17)</f>
        <v>71373.404578515634</v>
      </c>
      <c r="K19" s="89">
        <f>SUM(K12:K17)</f>
        <v>84128.481845049901</v>
      </c>
      <c r="L19" s="89">
        <f>SUM(L12:L17)</f>
        <v>93308.113930806081</v>
      </c>
      <c r="M19" s="89">
        <f>SUM(M12:M17)</f>
        <v>98582.094294121634</v>
      </c>
    </row>
    <row r="20" spans="1:14">
      <c r="C20" s="1" t="s">
        <v>13</v>
      </c>
    </row>
    <row r="21" spans="1:14">
      <c r="A21" s="19">
        <f>A19+1</f>
        <v>10</v>
      </c>
      <c r="C21" s="8" t="s">
        <v>203</v>
      </c>
      <c r="G21" s="60">
        <f>SUM(G9-G19)</f>
        <v>21102.196863444304</v>
      </c>
      <c r="I21" s="60">
        <f>SUM(I9-I19)</f>
        <v>15492.22331293286</v>
      </c>
      <c r="J21" s="60">
        <f>SUM(J9-J19)</f>
        <v>17868.857087263867</v>
      </c>
      <c r="K21" s="60">
        <f>SUM(K9-K19)</f>
        <v>23227.281483359882</v>
      </c>
      <c r="L21" s="60">
        <f>SUM(L9-L19)</f>
        <v>29797.131445553663</v>
      </c>
      <c r="M21" s="60">
        <f>SUM(M9-M19)</f>
        <v>36780.572699451004</v>
      </c>
    </row>
    <row r="23" spans="1:14">
      <c r="A23" s="19">
        <f>A21+1</f>
        <v>11</v>
      </c>
      <c r="C23" s="8" t="s">
        <v>204</v>
      </c>
    </row>
    <row r="24" spans="1:14">
      <c r="A24" s="19">
        <f>A23+1</f>
        <v>12</v>
      </c>
      <c r="C24" s="1" t="s">
        <v>205</v>
      </c>
      <c r="E24" s="4" t="s">
        <v>206</v>
      </c>
      <c r="G24" s="14">
        <v>3353.7710000000002</v>
      </c>
      <c r="I24" s="14">
        <v>1840.008</v>
      </c>
      <c r="J24" s="14">
        <v>2733.15</v>
      </c>
      <c r="K24" s="14">
        <v>3719.1790000000001</v>
      </c>
      <c r="L24" s="14">
        <v>4150.54</v>
      </c>
      <c r="M24" s="14">
        <v>3660.1959999999999</v>
      </c>
      <c r="N24" s="35"/>
    </row>
    <row r="25" spans="1:14">
      <c r="A25" s="19">
        <f t="shared" ref="A25:A26" si="0">A24+1</f>
        <v>13</v>
      </c>
      <c r="C25" s="1" t="s">
        <v>207</v>
      </c>
      <c r="E25" s="4" t="s">
        <v>208</v>
      </c>
      <c r="G25" s="14">
        <v>-3126.1452817654708</v>
      </c>
      <c r="I25" s="14">
        <v>-1222.6091151365472</v>
      </c>
      <c r="J25" s="14">
        <v>-5296.6144193124792</v>
      </c>
      <c r="K25" s="14">
        <v>-3618.3867357118797</v>
      </c>
      <c r="L25" s="14">
        <v>-4728.7357170454088</v>
      </c>
      <c r="M25" s="14">
        <v>-5685.7780520545111</v>
      </c>
    </row>
    <row r="26" spans="1:14">
      <c r="A26" s="19">
        <f t="shared" si="0"/>
        <v>14</v>
      </c>
      <c r="C26" s="1" t="s">
        <v>28</v>
      </c>
      <c r="G26" s="18">
        <f t="shared" ref="G26" si="1">SUM(G24+G25)</f>
        <v>227.62571823452936</v>
      </c>
      <c r="I26" s="18">
        <f t="shared" ref="I26" si="2">SUM(I24+I25)</f>
        <v>617.39888486345285</v>
      </c>
      <c r="J26" s="18">
        <f>SUM(J24+J25)</f>
        <v>-2563.4644193124791</v>
      </c>
      <c r="K26" s="18">
        <f>SUM(K24+K25)</f>
        <v>100.79226428812035</v>
      </c>
      <c r="L26" s="18">
        <f>SUM(L24+L25)</f>
        <v>-578.19571704540886</v>
      </c>
      <c r="M26" s="18">
        <f>SUM(M24+M25)</f>
        <v>-2025.5820520545112</v>
      </c>
      <c r="N26" s="35"/>
    </row>
    <row r="28" spans="1:14">
      <c r="A28" s="19">
        <f>A26+1</f>
        <v>15</v>
      </c>
      <c r="C28" s="8" t="s">
        <v>209</v>
      </c>
    </row>
    <row r="29" spans="1:14">
      <c r="A29" s="19">
        <f>A28+1</f>
        <v>16</v>
      </c>
      <c r="C29" s="1" t="s">
        <v>210</v>
      </c>
      <c r="E29" s="4" t="s">
        <v>211</v>
      </c>
      <c r="G29" s="15">
        <v>10157.427782419749</v>
      </c>
      <c r="I29" s="14">
        <v>9479.2854949690009</v>
      </c>
      <c r="J29" s="14">
        <v>10957.718278295368</v>
      </c>
      <c r="K29" s="14">
        <v>10753.632506088761</v>
      </c>
      <c r="L29" s="14">
        <v>12164.603440429633</v>
      </c>
      <c r="M29" s="14">
        <v>14114.288330536639</v>
      </c>
      <c r="N29" s="35"/>
    </row>
    <row r="30" spans="1:14">
      <c r="A30" s="19">
        <f t="shared" ref="A30" si="3">A29+1</f>
        <v>17</v>
      </c>
      <c r="C30" s="1" t="s">
        <v>28</v>
      </c>
      <c r="G30" s="18">
        <f t="shared" ref="G30" si="4">SUM(G29:G29)</f>
        <v>10157.427782419749</v>
      </c>
      <c r="I30" s="18">
        <f t="shared" ref="I30" si="5">SUM(I29:I29)</f>
        <v>9479.2854949690009</v>
      </c>
      <c r="J30" s="18">
        <f>SUM(J29:J29)</f>
        <v>10957.718278295368</v>
      </c>
      <c r="K30" s="18">
        <f>SUM(K29:K29)</f>
        <v>10753.632506088761</v>
      </c>
      <c r="L30" s="18">
        <f>SUM(L29:L29)</f>
        <v>12164.603440429633</v>
      </c>
      <c r="M30" s="18">
        <f>SUM(M29:M29)</f>
        <v>14114.288330536639</v>
      </c>
      <c r="N30" s="35"/>
    </row>
    <row r="31" spans="1:14">
      <c r="E31" s="11"/>
    </row>
    <row r="32" spans="1:14" ht="13" thickBot="1">
      <c r="A32" s="19">
        <f>A30+1</f>
        <v>18</v>
      </c>
      <c r="C32" s="8" t="s">
        <v>212</v>
      </c>
      <c r="E32" s="4" t="s">
        <v>213</v>
      </c>
      <c r="G32" s="29">
        <f t="shared" ref="G32" si="6">SUM(G21+G26-G30)</f>
        <v>11172.394799259084</v>
      </c>
      <c r="I32" s="29">
        <f t="shared" ref="I32" si="7">SUM(I21+I26-I30)</f>
        <v>6630.3367028273115</v>
      </c>
      <c r="J32" s="29">
        <f>SUM(J21+J26-J30)</f>
        <v>4347.6743896560201</v>
      </c>
      <c r="K32" s="29">
        <f>SUM(K21+K26-K30)</f>
        <v>12574.441241559241</v>
      </c>
      <c r="L32" s="29">
        <f>SUM(L21+L26-L30)</f>
        <v>17054.332288078622</v>
      </c>
      <c r="M32" s="29">
        <f>SUM(M21+M26-M30)</f>
        <v>20640.702316859853</v>
      </c>
      <c r="N32" s="35"/>
    </row>
    <row r="33" spans="1:14">
      <c r="A33" s="1" t="s">
        <v>13</v>
      </c>
      <c r="C33" s="1" t="s">
        <v>13</v>
      </c>
      <c r="G33" s="20"/>
      <c r="I33" s="20"/>
    </row>
    <row r="34" spans="1:14" ht="12.75" customHeight="1">
      <c r="A34" s="57"/>
      <c r="C34" s="57" t="s">
        <v>214</v>
      </c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1:14" ht="12.75" customHeight="1">
      <c r="C35" s="1" t="s">
        <v>215</v>
      </c>
      <c r="E35" s="1"/>
    </row>
    <row r="36" spans="1:14">
      <c r="G36" s="61"/>
      <c r="I36" s="61"/>
      <c r="J36" s="61"/>
      <c r="K36" s="61"/>
      <c r="L36" s="61"/>
    </row>
    <row r="37" spans="1:14">
      <c r="G37" s="19"/>
      <c r="I37" s="19"/>
      <c r="J37" s="19"/>
      <c r="K37" s="19"/>
      <c r="L37" s="19"/>
      <c r="M37" s="19"/>
    </row>
    <row r="38" spans="1:14">
      <c r="G38" s="20"/>
      <c r="I38" s="20"/>
      <c r="J38" s="20"/>
      <c r="K38" s="20"/>
      <c r="L38" s="20"/>
      <c r="M38" s="20"/>
    </row>
    <row r="39" spans="1:14">
      <c r="C39" s="34"/>
      <c r="G39" s="20"/>
      <c r="I39" s="20"/>
      <c r="J39" s="20"/>
      <c r="K39" s="20"/>
      <c r="L39" s="20"/>
      <c r="N39" s="35"/>
    </row>
    <row r="40" spans="1:14">
      <c r="C40" s="34"/>
      <c r="G40" s="20"/>
      <c r="I40" s="20"/>
      <c r="J40" s="20"/>
      <c r="K40" s="20"/>
      <c r="L40" s="20"/>
      <c r="N40" s="35"/>
    </row>
    <row r="41" spans="1:14">
      <c r="G41" s="20"/>
      <c r="I41" s="20"/>
      <c r="J41" s="20"/>
      <c r="K41" s="20"/>
      <c r="L41" s="20"/>
    </row>
    <row r="42" spans="1:14">
      <c r="G42" s="20"/>
      <c r="I42" s="20"/>
      <c r="J42" s="20"/>
      <c r="K42" s="20"/>
      <c r="L42" s="20"/>
    </row>
    <row r="43" spans="1:14">
      <c r="G43" s="20"/>
      <c r="I43" s="20"/>
      <c r="J43" s="20"/>
      <c r="K43" s="20"/>
      <c r="L43" s="20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9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theme="9" tint="0.39997558519241921"/>
    <pageSetUpPr fitToPage="1"/>
  </sheetPr>
  <dimension ref="A1:N29"/>
  <sheetViews>
    <sheetView view="pageBreakPreview" zoomScaleSheetLayoutView="100" workbookViewId="0">
      <selection activeCell="K3" sqref="K3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31.81640625" style="1" customWidth="1"/>
    <col min="4" max="4" width="1.81640625" style="1" customWidth="1"/>
    <col min="5" max="5" width="9.1796875" style="4"/>
    <col min="6" max="6" width="1.81640625" style="1" customWidth="1"/>
    <col min="7" max="7" width="12.1796875" style="1" customWidth="1"/>
    <col min="8" max="8" width="1.81640625" style="1" customWidth="1"/>
    <col min="9" max="9" width="11.26953125" style="1" customWidth="1"/>
    <col min="10" max="10" width="12.7265625" style="1" customWidth="1"/>
    <col min="11" max="12" width="11.26953125" style="1" customWidth="1"/>
    <col min="13" max="13" width="12.90625" style="1" customWidth="1"/>
    <col min="14" max="14" width="11.26953125" style="1" customWidth="1"/>
    <col min="15" max="16384" width="9.1796875" style="1"/>
  </cols>
  <sheetData>
    <row r="1" spans="1:14" ht="15">
      <c r="A1" s="9" t="s">
        <v>0</v>
      </c>
      <c r="M1" s="194" t="s">
        <v>216</v>
      </c>
    </row>
    <row r="2" spans="1:14">
      <c r="A2" s="10" t="s">
        <v>217</v>
      </c>
      <c r="M2" s="195" t="str">
        <f>'Schedule 1'!$M$2</f>
        <v>2025-27 GRA CF</v>
      </c>
    </row>
    <row r="3" spans="1:14">
      <c r="A3" s="10" t="s">
        <v>7</v>
      </c>
    </row>
    <row r="6" spans="1:14" s="4" customFormat="1">
      <c r="G6" s="11"/>
      <c r="I6" s="11"/>
      <c r="J6" s="11"/>
      <c r="K6" s="8"/>
      <c r="L6" s="8"/>
      <c r="M6" s="8"/>
    </row>
    <row r="7" spans="1:14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2024 GRA
Compliance</v>
      </c>
      <c r="I7" s="12" t="str">
        <f>'Schedule 1'!I7</f>
        <v>Actual 2023</v>
      </c>
      <c r="J7" s="12" t="str">
        <f>'Schedule 1'!J7</f>
        <v>Prlm. Actual 2024</v>
      </c>
      <c r="K7" s="12" t="str">
        <f>'Schedule 1'!K7</f>
        <v>Forecast 2025</v>
      </c>
      <c r="L7" s="12" t="str">
        <f>'Schedule 1'!L7</f>
        <v>Forecast 2026</v>
      </c>
      <c r="M7" s="12" t="str">
        <f>'Schedule 1'!M7</f>
        <v>Forecast 2027</v>
      </c>
    </row>
    <row r="9" spans="1:14">
      <c r="A9" s="1">
        <v>1</v>
      </c>
      <c r="C9" s="1" t="s">
        <v>66</v>
      </c>
      <c r="G9" s="14">
        <v>84615.228336914821</v>
      </c>
      <c r="I9" s="14">
        <v>94226.148760763026</v>
      </c>
      <c r="J9" s="14">
        <f>I19</f>
        <v>73329.985463590332</v>
      </c>
      <c r="K9" s="14">
        <f>J19</f>
        <v>78027.159853246354</v>
      </c>
      <c r="L9" s="14">
        <f>J19</f>
        <v>78027.159853246354</v>
      </c>
      <c r="M9" s="14">
        <f>K19</f>
        <v>90601.601094805592</v>
      </c>
    </row>
    <row r="11" spans="1:14">
      <c r="C11" s="1" t="s">
        <v>22</v>
      </c>
    </row>
    <row r="12" spans="1:14">
      <c r="A12" s="1">
        <v>2</v>
      </c>
      <c r="C12" s="1" t="s">
        <v>212</v>
      </c>
      <c r="E12" s="4" t="s">
        <v>218</v>
      </c>
      <c r="G12" s="15">
        <f>'Schedule 6'!G32</f>
        <v>11172.394799259084</v>
      </c>
      <c r="I12" s="15">
        <f>'Schedule 6'!I32</f>
        <v>6630.3367028273115</v>
      </c>
      <c r="J12" s="15">
        <f>'Schedule 6'!J32</f>
        <v>4347.6743896560201</v>
      </c>
      <c r="K12" s="15">
        <f>'Schedule 6'!K32</f>
        <v>12574.441241559241</v>
      </c>
      <c r="L12" s="15">
        <f>'Schedule 6'!L32</f>
        <v>17054.332288078622</v>
      </c>
      <c r="M12" s="15">
        <f>'Schedule 6'!M32</f>
        <v>20640.702316859853</v>
      </c>
      <c r="N12" s="35"/>
    </row>
    <row r="13" spans="1:14">
      <c r="A13" s="1">
        <v>3</v>
      </c>
      <c r="C13" s="1" t="s">
        <v>219</v>
      </c>
      <c r="G13" s="17"/>
      <c r="I13" s="17">
        <v>-266.5</v>
      </c>
      <c r="J13" s="17">
        <v>349.5</v>
      </c>
      <c r="K13" s="17">
        <v>0</v>
      </c>
      <c r="L13" s="17">
        <v>0</v>
      </c>
      <c r="M13" s="17">
        <v>0</v>
      </c>
      <c r="N13" s="35"/>
    </row>
    <row r="14" spans="1:14">
      <c r="A14" s="1">
        <v>4</v>
      </c>
      <c r="C14" s="1" t="s">
        <v>220</v>
      </c>
      <c r="G14" s="14">
        <f>SUM(G9:G13)</f>
        <v>95787.623136173905</v>
      </c>
      <c r="I14" s="14">
        <f t="shared" ref="I14:K14" si="0">SUM(I9:I13)</f>
        <v>100589.98546359033</v>
      </c>
      <c r="J14" s="14">
        <f t="shared" si="0"/>
        <v>78027.159853246354</v>
      </c>
      <c r="K14" s="14">
        <f t="shared" si="0"/>
        <v>90601.601094805592</v>
      </c>
      <c r="L14" s="14">
        <f>SUM(L9:L13)</f>
        <v>95081.492141324969</v>
      </c>
      <c r="M14" s="14">
        <f>SUM(M9:M13)</f>
        <v>111242.30341166545</v>
      </c>
    </row>
    <row r="16" spans="1:14">
      <c r="C16" s="1" t="s">
        <v>221</v>
      </c>
    </row>
    <row r="17" spans="1:13">
      <c r="A17" s="1">
        <v>5</v>
      </c>
      <c r="C17" s="1" t="s">
        <v>324</v>
      </c>
      <c r="G17" s="17">
        <v>0</v>
      </c>
      <c r="I17" s="17">
        <v>27260</v>
      </c>
      <c r="J17" s="17">
        <v>0</v>
      </c>
      <c r="K17" s="17">
        <v>0</v>
      </c>
      <c r="L17" s="17">
        <v>0</v>
      </c>
      <c r="M17" s="17">
        <v>0</v>
      </c>
    </row>
    <row r="19" spans="1:13" ht="13" thickBot="1">
      <c r="A19" s="1">
        <v>6</v>
      </c>
      <c r="C19" s="1" t="s">
        <v>69</v>
      </c>
      <c r="G19" s="29">
        <f t="shared" ref="G19" si="1">SUM(G14-G17)</f>
        <v>95787.623136173905</v>
      </c>
      <c r="I19" s="29">
        <f t="shared" ref="I19" si="2">SUM(I14-I17)</f>
        <v>73329.985463590332</v>
      </c>
      <c r="J19" s="29">
        <f>SUM(J14-J17)</f>
        <v>78027.159853246354</v>
      </c>
      <c r="K19" s="29">
        <f>SUM(K14-K17)</f>
        <v>90601.601094805592</v>
      </c>
      <c r="L19" s="29">
        <f>SUM(L14-L17)</f>
        <v>95081.492141324969</v>
      </c>
      <c r="M19" s="29">
        <f>SUM(M14-M17)</f>
        <v>111242.30341166545</v>
      </c>
    </row>
    <row r="22" spans="1:13">
      <c r="C22" s="8" t="s">
        <v>222</v>
      </c>
    </row>
    <row r="23" spans="1:13">
      <c r="A23" s="1">
        <f>A19+1</f>
        <v>7</v>
      </c>
      <c r="C23" s="1" t="s">
        <v>223</v>
      </c>
      <c r="G23" s="14">
        <v>61602.807383093925</v>
      </c>
      <c r="I23" s="14">
        <v>54968.307383093925</v>
      </c>
      <c r="J23" s="14">
        <v>65568.307383093925</v>
      </c>
      <c r="K23" s="14">
        <v>88002.307383093925</v>
      </c>
      <c r="L23" s="14">
        <v>122671.30738309392</v>
      </c>
      <c r="M23" s="14">
        <v>128072.30738309392</v>
      </c>
    </row>
    <row r="24" spans="1:13">
      <c r="A24" s="1">
        <f>A23+1</f>
        <v>8</v>
      </c>
      <c r="C24" s="1" t="s">
        <v>224</v>
      </c>
      <c r="G24" s="15">
        <f t="shared" ref="G24" si="3">G19</f>
        <v>95787.623136173905</v>
      </c>
      <c r="I24" s="15">
        <f t="shared" ref="I24" si="4">I19</f>
        <v>73329.985463590332</v>
      </c>
      <c r="J24" s="15">
        <f>J19</f>
        <v>78027.159853246354</v>
      </c>
      <c r="K24" s="15">
        <f>K19</f>
        <v>90601.601094805592</v>
      </c>
      <c r="L24" s="15">
        <f>L19</f>
        <v>95081.492141324969</v>
      </c>
      <c r="M24" s="15">
        <f>M19</f>
        <v>111242.30341166545</v>
      </c>
    </row>
    <row r="25" spans="1:13">
      <c r="A25" s="1">
        <f>A24+1</f>
        <v>9</v>
      </c>
      <c r="C25" s="1" t="s">
        <v>28</v>
      </c>
      <c r="G25" s="18">
        <f t="shared" ref="G25" si="5">SUM(G23:G24)</f>
        <v>157390.43051926783</v>
      </c>
      <c r="I25" s="18">
        <f t="shared" ref="I25" si="6">SUM(I23:I24)</f>
        <v>128298.29284668426</v>
      </c>
      <c r="J25" s="18">
        <f>SUM(J23:J24)</f>
        <v>143595.46723634028</v>
      </c>
      <c r="K25" s="18">
        <f>SUM(K23:K24)</f>
        <v>178603.9084778995</v>
      </c>
      <c r="L25" s="18">
        <f>SUM(L23:L24)</f>
        <v>217752.79952441889</v>
      </c>
      <c r="M25" s="18">
        <f>SUM(M23:M24)</f>
        <v>239314.61079475936</v>
      </c>
    </row>
    <row r="28" spans="1:13">
      <c r="C28" s="1" t="s">
        <v>225</v>
      </c>
    </row>
    <row r="29" spans="1:13">
      <c r="C29" s="1" t="s">
        <v>226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9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theme="9" tint="0.39997558519241921"/>
    <pageSetUpPr fitToPage="1"/>
  </sheetPr>
  <dimension ref="A1:M27"/>
  <sheetViews>
    <sheetView view="pageBreakPreview" zoomScaleSheetLayoutView="100" workbookViewId="0">
      <selection activeCell="F4" sqref="F4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32" style="1" customWidth="1"/>
    <col min="4" max="4" width="1.81640625" style="1" customWidth="1"/>
    <col min="5" max="5" width="9.1796875" style="4"/>
    <col min="6" max="6" width="1.81640625" style="1" customWidth="1"/>
    <col min="7" max="7" width="12.36328125" style="1" customWidth="1"/>
    <col min="8" max="8" width="1.81640625" style="1" customWidth="1"/>
    <col min="9" max="9" width="11.26953125" style="1" customWidth="1"/>
    <col min="10" max="10" width="12.54296875" style="1" customWidth="1"/>
    <col min="11" max="12" width="11.26953125" style="1" customWidth="1"/>
    <col min="13" max="13" width="12.7265625" style="1" customWidth="1"/>
    <col min="14" max="16384" width="9.1796875" style="1"/>
  </cols>
  <sheetData>
    <row r="1" spans="1:13" ht="15">
      <c r="A1" s="9" t="s">
        <v>0</v>
      </c>
      <c r="M1" s="194" t="s">
        <v>227</v>
      </c>
    </row>
    <row r="2" spans="1:13">
      <c r="A2" s="10" t="s">
        <v>228</v>
      </c>
      <c r="M2" s="195" t="str">
        <f>'Schedule 1'!$M$2</f>
        <v>2025-27 GRA CF</v>
      </c>
    </row>
    <row r="3" spans="1:13">
      <c r="A3" s="10" t="s">
        <v>7</v>
      </c>
    </row>
    <row r="6" spans="1:13" s="4" customFormat="1">
      <c r="G6" s="11"/>
      <c r="I6" s="11"/>
      <c r="J6" s="11"/>
      <c r="K6" s="8"/>
      <c r="L6" s="8"/>
      <c r="M6" s="8"/>
    </row>
    <row r="7" spans="1:13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2024 GRA
Compliance</v>
      </c>
      <c r="I7" s="12" t="str">
        <f>'Schedule 1'!I7</f>
        <v>Actual 2023</v>
      </c>
      <c r="J7" s="12" t="str">
        <f>'Schedule 1'!J7</f>
        <v>Prlm. Actual 2024</v>
      </c>
      <c r="K7" s="12" t="str">
        <f>'Schedule 1'!K7</f>
        <v>Forecast 2025</v>
      </c>
      <c r="L7" s="12" t="str">
        <f>'Schedule 1'!L7</f>
        <v>Forecast 2026</v>
      </c>
      <c r="M7" s="12" t="str">
        <f>'Schedule 1'!M7</f>
        <v>Forecast 2027</v>
      </c>
    </row>
    <row r="9" spans="1:13">
      <c r="A9" s="1">
        <v>1</v>
      </c>
      <c r="C9" s="1" t="s">
        <v>229</v>
      </c>
      <c r="E9" s="4" t="s">
        <v>171</v>
      </c>
      <c r="G9" s="14">
        <f>'Schedule 5'!G13</f>
        <v>21273.352770888741</v>
      </c>
      <c r="I9" s="14">
        <f>'Schedule 5'!I13</f>
        <v>15664.040690377304</v>
      </c>
      <c r="J9" s="14">
        <f>'Schedule 5'!J13</f>
        <v>18049.376368497149</v>
      </c>
      <c r="K9" s="14">
        <f>'Schedule 5'!K13</f>
        <v>23414.755004223538</v>
      </c>
      <c r="L9" s="14">
        <f>'Schedule 5'!L13</f>
        <v>29984.47112764906</v>
      </c>
      <c r="M9" s="14">
        <f>'Schedule 5'!M13</f>
        <v>36970.478309635248</v>
      </c>
    </row>
    <row r="10" spans="1:13">
      <c r="G10" s="14"/>
      <c r="I10" s="14"/>
      <c r="J10" s="14"/>
      <c r="K10" s="14"/>
      <c r="L10" s="14"/>
      <c r="M10" s="14"/>
    </row>
    <row r="11" spans="1:13">
      <c r="C11" s="1" t="s">
        <v>22</v>
      </c>
      <c r="G11" s="14"/>
      <c r="I11" s="14"/>
      <c r="J11" s="14"/>
      <c r="K11" s="14"/>
      <c r="L11" s="14"/>
      <c r="M11" s="14"/>
    </row>
    <row r="12" spans="1:13">
      <c r="A12" s="1">
        <v>2</v>
      </c>
      <c r="C12" s="62" t="s">
        <v>230</v>
      </c>
      <c r="E12" s="4" t="s">
        <v>231</v>
      </c>
      <c r="G12" s="14">
        <f>'Schedule 6'!G24</f>
        <v>3353.7710000000002</v>
      </c>
      <c r="I12" s="14">
        <f>'Schedule 6'!I24</f>
        <v>1840.008</v>
      </c>
      <c r="J12" s="14">
        <f>'Schedule 6'!J24</f>
        <v>2733.15</v>
      </c>
      <c r="K12" s="14">
        <f>'Schedule 6'!K24</f>
        <v>3719.1790000000001</v>
      </c>
      <c r="L12" s="14">
        <f>'Schedule 6'!L24</f>
        <v>4150.54</v>
      </c>
      <c r="M12" s="14">
        <f>'Schedule 6'!M24</f>
        <v>3660.1959999999999</v>
      </c>
    </row>
    <row r="13" spans="1:13">
      <c r="A13" s="1">
        <v>3</v>
      </c>
      <c r="C13" s="1" t="s">
        <v>232</v>
      </c>
      <c r="E13" s="4" t="s">
        <v>233</v>
      </c>
      <c r="G13" s="17">
        <f>'Schedule 6'!G25</f>
        <v>-3126.1452817654708</v>
      </c>
      <c r="I13" s="17">
        <f>'Schedule 6'!I25</f>
        <v>-1222.6091151365472</v>
      </c>
      <c r="J13" s="17">
        <f>'Schedule 6'!J25</f>
        <v>-5296.6144193124792</v>
      </c>
      <c r="K13" s="17">
        <f>'Schedule 6'!K25</f>
        <v>-3618.3867357118797</v>
      </c>
      <c r="L13" s="17">
        <f>'Schedule 6'!L25</f>
        <v>-4728.7357170454088</v>
      </c>
      <c r="M13" s="17">
        <f>'Schedule 6'!M25</f>
        <v>-5685.7780520545111</v>
      </c>
    </row>
    <row r="14" spans="1:13">
      <c r="G14" s="17">
        <f>SUM(G9:G13)</f>
        <v>21500.97848912327</v>
      </c>
      <c r="I14" s="17">
        <f>SUM(I9:I13)</f>
        <v>16281.439575240758</v>
      </c>
      <c r="J14" s="17">
        <f>SUM(J9:J13)</f>
        <v>15485.911949184672</v>
      </c>
      <c r="K14" s="17">
        <f>SUM(K9:K13)</f>
        <v>23515.547268511658</v>
      </c>
      <c r="L14" s="17">
        <f>SUM(L9:L13)</f>
        <v>29406.275410603648</v>
      </c>
      <c r="M14" s="17">
        <f>SUM(M9:M13)</f>
        <v>34944.896257580731</v>
      </c>
    </row>
    <row r="16" spans="1:13">
      <c r="C16" s="1" t="s">
        <v>221</v>
      </c>
    </row>
    <row r="17" spans="1:13">
      <c r="A17" s="1">
        <v>4</v>
      </c>
      <c r="C17" s="1" t="s">
        <v>234</v>
      </c>
      <c r="E17" s="4" t="s">
        <v>235</v>
      </c>
      <c r="G17" s="14">
        <f>'Schedule 6'!G29</f>
        <v>10157.427782419749</v>
      </c>
      <c r="I17" s="14">
        <f>'Schedule 6'!I29</f>
        <v>9479.2854949690009</v>
      </c>
      <c r="J17" s="14">
        <f>'Schedule 6'!J29</f>
        <v>10957.718278295368</v>
      </c>
      <c r="K17" s="14">
        <f>'Schedule 6'!K29</f>
        <v>10753.632506088761</v>
      </c>
      <c r="L17" s="14">
        <f>'Schedule 6'!L29</f>
        <v>12164.603440429633</v>
      </c>
      <c r="M17" s="14">
        <f>'Schedule 6'!M29</f>
        <v>14114.288330536639</v>
      </c>
    </row>
    <row r="18" spans="1:13">
      <c r="A18" s="1">
        <v>5</v>
      </c>
      <c r="C18" s="1" t="s">
        <v>188</v>
      </c>
      <c r="E18" s="4" t="s">
        <v>236</v>
      </c>
      <c r="G18" s="14">
        <f>-'Schedule 5'!G23</f>
        <v>120</v>
      </c>
      <c r="I18" s="14">
        <f>-'Schedule 5'!I23</f>
        <v>120.85194</v>
      </c>
      <c r="J18" s="14">
        <f>-'Schedule 5'!J23</f>
        <v>113.85104000000001</v>
      </c>
      <c r="K18" s="14">
        <f>-'Schedule 5'!K23</f>
        <v>119.99999999999987</v>
      </c>
      <c r="L18" s="14">
        <f>-'Schedule 5'!L23</f>
        <v>119.99999999999987</v>
      </c>
      <c r="M18" s="14">
        <f>-'Schedule 5'!M23</f>
        <v>122.39999999999986</v>
      </c>
    </row>
    <row r="19" spans="1:13">
      <c r="A19" s="1">
        <v>6</v>
      </c>
      <c r="C19" s="1" t="s">
        <v>237</v>
      </c>
      <c r="G19" s="63">
        <f>-'Schedule 5'!G24</f>
        <v>0</v>
      </c>
      <c r="I19" s="63">
        <f>-'Schedule 5'!I24</f>
        <v>0</v>
      </c>
      <c r="J19" s="63">
        <f>-'Schedule 5'!J24</f>
        <v>0</v>
      </c>
      <c r="K19" s="63">
        <f>-'Schedule 5'!K24</f>
        <v>0</v>
      </c>
      <c r="L19" s="63">
        <f>-'Schedule 5'!L24</f>
        <v>0</v>
      </c>
      <c r="M19" s="63">
        <f>-'Schedule 5'!M24</f>
        <v>0</v>
      </c>
    </row>
    <row r="20" spans="1:13">
      <c r="A20" s="1">
        <v>7</v>
      </c>
      <c r="C20" s="1" t="s">
        <v>187</v>
      </c>
      <c r="E20" s="4" t="s">
        <v>238</v>
      </c>
      <c r="G20" s="17">
        <f>-'Schedule 5'!G22</f>
        <v>51.155907444444438</v>
      </c>
      <c r="I20" s="17">
        <f>-'Schedule 5'!I22</f>
        <v>51.155907444444495</v>
      </c>
      <c r="J20" s="17">
        <f>-'Schedule 5'!J22</f>
        <v>67.471901233264362</v>
      </c>
      <c r="K20" s="17">
        <f>-'Schedule 5'!K22</f>
        <v>67.471901233264362</v>
      </c>
      <c r="L20" s="17">
        <f>-'Schedule 5'!L22</f>
        <v>67.471901233264362</v>
      </c>
      <c r="M20" s="17">
        <f>-'Schedule 5'!M22</f>
        <v>67.471901233264362</v>
      </c>
    </row>
    <row r="21" spans="1:13">
      <c r="G21" s="17">
        <f>SUM(G17:G20)</f>
        <v>10328.583689864194</v>
      </c>
      <c r="I21" s="17">
        <f>SUM(I17:I20)</f>
        <v>9651.2933424134462</v>
      </c>
      <c r="J21" s="17">
        <f>SUM(J17:J20)</f>
        <v>11139.041219528632</v>
      </c>
      <c r="K21" s="17">
        <f>SUM(K17:K20)</f>
        <v>10941.104407322026</v>
      </c>
      <c r="L21" s="17">
        <f>SUM(L17:L20)</f>
        <v>12352.075341662898</v>
      </c>
      <c r="M21" s="17">
        <f>SUM(M17:M20)</f>
        <v>14304.160231769903</v>
      </c>
    </row>
    <row r="22" spans="1:13">
      <c r="G22" s="35"/>
      <c r="I22" s="35"/>
      <c r="J22" s="35"/>
      <c r="K22" s="35"/>
      <c r="L22" s="35"/>
      <c r="M22" s="35"/>
    </row>
    <row r="23" spans="1:13">
      <c r="A23" s="1">
        <v>8</v>
      </c>
      <c r="C23" s="1" t="s">
        <v>212</v>
      </c>
      <c r="E23" s="4" t="s">
        <v>218</v>
      </c>
      <c r="G23" s="14">
        <f>G14-G21</f>
        <v>11172.394799259077</v>
      </c>
      <c r="I23" s="14">
        <f>I14-I21</f>
        <v>6630.1462328273119</v>
      </c>
      <c r="J23" s="14">
        <f>J14-J21</f>
        <v>4346.8707296560406</v>
      </c>
      <c r="K23" s="14">
        <f>K14-K21</f>
        <v>12574.442861189633</v>
      </c>
      <c r="L23" s="14">
        <f>L14-L21</f>
        <v>17054.20006894075</v>
      </c>
      <c r="M23" s="14">
        <f>M14-M21</f>
        <v>20640.736025810827</v>
      </c>
    </row>
    <row r="24" spans="1:13">
      <c r="G24" s="14"/>
      <c r="I24" s="14"/>
      <c r="J24" s="14"/>
      <c r="K24" s="14"/>
    </row>
    <row r="25" spans="1:13">
      <c r="G25" s="35"/>
      <c r="I25" s="35"/>
      <c r="J25" s="35"/>
      <c r="K25" s="35"/>
    </row>
    <row r="26" spans="1:13">
      <c r="G26" s="14"/>
      <c r="H26" s="14"/>
      <c r="I26" s="14"/>
      <c r="J26" s="14"/>
      <c r="K26" s="14"/>
      <c r="L26" s="14"/>
      <c r="M26" s="14"/>
    </row>
    <row r="27" spans="1:13">
      <c r="G27" s="14"/>
      <c r="I27" s="14"/>
      <c r="J27" s="14"/>
      <c r="K27" s="14"/>
      <c r="L27" s="14"/>
      <c r="M27" s="14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9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theme="9" tint="0.39997558519241921"/>
    <pageSetUpPr fitToPage="1"/>
  </sheetPr>
  <dimension ref="A1:N81"/>
  <sheetViews>
    <sheetView view="pageBreakPreview" zoomScaleSheetLayoutView="100" workbookViewId="0">
      <pane ySplit="7" topLeftCell="A60" activePane="bottomLeft" state="frozen"/>
      <selection activeCell="H18" sqref="H18"/>
      <selection pane="bottomLeft" activeCell="F14" sqref="F14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7.453125" style="1" customWidth="1"/>
    <col min="4" max="4" width="1.81640625" style="1" customWidth="1"/>
    <col min="5" max="5" width="11.90625" style="1" customWidth="1"/>
    <col min="6" max="6" width="1.81640625" style="1" customWidth="1"/>
    <col min="7" max="7" width="11.26953125" style="1" customWidth="1"/>
    <col min="8" max="8" width="12.7265625" style="1" customWidth="1"/>
    <col min="9" max="10" width="11.26953125" style="1" customWidth="1"/>
    <col min="11" max="11" width="12.54296875" style="1" customWidth="1"/>
    <col min="12" max="16384" width="9.1796875" style="1"/>
  </cols>
  <sheetData>
    <row r="1" spans="1:13" ht="15">
      <c r="A1" s="9" t="s">
        <v>0</v>
      </c>
      <c r="K1" s="194" t="s">
        <v>239</v>
      </c>
    </row>
    <row r="2" spans="1:13">
      <c r="A2" s="10" t="s">
        <v>240</v>
      </c>
      <c r="K2" s="195" t="str">
        <f>'Schedule 1'!$M$2</f>
        <v>2025-27 GRA CF</v>
      </c>
    </row>
    <row r="3" spans="1:13">
      <c r="A3" s="10" t="s">
        <v>7</v>
      </c>
    </row>
    <row r="4" spans="1:13">
      <c r="C4" s="64"/>
    </row>
    <row r="5" spans="1:13">
      <c r="C5" s="39"/>
    </row>
    <row r="6" spans="1:13" s="4" customFormat="1">
      <c r="C6" s="65"/>
      <c r="E6" s="11"/>
      <c r="G6" s="11"/>
      <c r="H6" s="11"/>
      <c r="I6" s="11"/>
      <c r="J6" s="11"/>
    </row>
    <row r="7" spans="1:13" s="13" customFormat="1" ht="25">
      <c r="A7" s="12" t="s">
        <v>8</v>
      </c>
      <c r="C7" s="12" t="s">
        <v>9</v>
      </c>
      <c r="E7" s="12" t="str">
        <f>'Schedule 1'!G7</f>
        <v>2024 GRA
Compliance</v>
      </c>
      <c r="G7" s="12" t="str">
        <f>'Schedule 1'!I7</f>
        <v>Actual 2023</v>
      </c>
      <c r="H7" s="12" t="str">
        <f>'Schedule 1'!J7</f>
        <v>Prlm. Actual 2024</v>
      </c>
      <c r="I7" s="12" t="str">
        <f>'Schedule 1'!K7</f>
        <v>Forecast 2025</v>
      </c>
      <c r="J7" s="12" t="str">
        <f>'Schedule 1'!L7</f>
        <v>Forecast 2026</v>
      </c>
      <c r="K7" s="12" t="str">
        <f>'Schedule 1'!M7</f>
        <v>Forecast 2027</v>
      </c>
    </row>
    <row r="8" spans="1:13">
      <c r="A8" s="1">
        <v>1</v>
      </c>
      <c r="C8" s="8" t="s">
        <v>241</v>
      </c>
      <c r="M8" s="66"/>
    </row>
    <row r="9" spans="1:13">
      <c r="A9" s="1">
        <v>2</v>
      </c>
      <c r="C9" s="67" t="s">
        <v>242</v>
      </c>
      <c r="E9" s="19">
        <v>1898.2087205643945</v>
      </c>
      <c r="G9" s="19">
        <v>1889.1666666666667</v>
      </c>
      <c r="H9" s="19">
        <v>1968.1666666666667</v>
      </c>
      <c r="I9" s="19">
        <v>2007.6549999999997</v>
      </c>
      <c r="J9" s="19">
        <v>2047.6480999999997</v>
      </c>
      <c r="K9" s="19">
        <v>2088.2410620000005</v>
      </c>
      <c r="M9" s="68"/>
    </row>
    <row r="10" spans="1:13">
      <c r="A10" s="1">
        <v>3</v>
      </c>
      <c r="C10" s="67" t="s">
        <v>243</v>
      </c>
      <c r="E10" s="19">
        <v>18090.339959899033</v>
      </c>
      <c r="G10" s="19">
        <v>17327.518319999999</v>
      </c>
      <c r="H10" s="19">
        <v>18988.966</v>
      </c>
      <c r="I10" s="19">
        <v>19368.745320000002</v>
      </c>
      <c r="J10" s="19">
        <v>19756.120226400002</v>
      </c>
      <c r="K10" s="19">
        <v>20151.242630927998</v>
      </c>
      <c r="M10" s="68"/>
    </row>
    <row r="11" spans="1:13">
      <c r="A11" s="1">
        <v>4</v>
      </c>
      <c r="C11" s="67" t="s">
        <v>244</v>
      </c>
      <c r="E11" s="69">
        <f>E10/E9</f>
        <v>9.5302164424364406</v>
      </c>
      <c r="G11" s="69">
        <f>G10/G9</f>
        <v>9.1720432218791341</v>
      </c>
      <c r="H11" s="69">
        <f>H10/H9</f>
        <v>9.6480477601829104</v>
      </c>
      <c r="I11" s="69">
        <f>I10/I9</f>
        <v>9.6474470563916626</v>
      </c>
      <c r="J11" s="69">
        <f>J10/J9</f>
        <v>9.6482008927217553</v>
      </c>
      <c r="K11" s="69">
        <f>K10/K9</f>
        <v>9.6498641836054428</v>
      </c>
      <c r="M11" s="68"/>
    </row>
    <row r="12" spans="1:13">
      <c r="A12" s="1">
        <v>5</v>
      </c>
      <c r="C12" s="67" t="s">
        <v>245</v>
      </c>
      <c r="D12" s="39"/>
      <c r="E12" s="19">
        <v>2610.7132577603902</v>
      </c>
      <c r="F12" s="39"/>
      <c r="G12" s="19">
        <v>2471.7111500000005</v>
      </c>
      <c r="H12" s="19">
        <v>2748.5566199999989</v>
      </c>
      <c r="I12" s="19">
        <v>2822.5968455111156</v>
      </c>
      <c r="J12" s="19">
        <v>2879.0487824213374</v>
      </c>
      <c r="K12" s="19">
        <v>2936.6297580697637</v>
      </c>
      <c r="M12" s="68"/>
    </row>
    <row r="13" spans="1:13">
      <c r="A13" s="1">
        <v>6</v>
      </c>
      <c r="C13" s="67" t="s">
        <v>246</v>
      </c>
      <c r="D13" s="64"/>
      <c r="E13" s="69">
        <f>E12/E10*100</f>
        <v>14.43153231806353</v>
      </c>
      <c r="F13" s="64"/>
      <c r="G13" s="69">
        <f>G12/G10*100</f>
        <v>14.264657548490767</v>
      </c>
      <c r="H13" s="69">
        <f>H12/H10*100</f>
        <v>14.474493345240594</v>
      </c>
      <c r="I13" s="69">
        <f>I12/I10*100</f>
        <v>14.572946253759278</v>
      </c>
      <c r="J13" s="69">
        <f>J12/J10*100</f>
        <v>14.572946253759275</v>
      </c>
      <c r="K13" s="69">
        <f>K12/K10*100</f>
        <v>14.572946253759275</v>
      </c>
      <c r="M13" s="68"/>
    </row>
    <row r="14" spans="1:13">
      <c r="A14" s="1">
        <v>7</v>
      </c>
      <c r="C14" s="8" t="s">
        <v>247</v>
      </c>
      <c r="E14" s="19"/>
      <c r="G14" s="19"/>
      <c r="H14" s="19"/>
      <c r="I14" s="19"/>
      <c r="J14" s="19"/>
      <c r="K14" s="19"/>
      <c r="M14" s="66"/>
    </row>
    <row r="15" spans="1:13">
      <c r="A15" s="1">
        <v>8</v>
      </c>
      <c r="C15" s="67" t="s">
        <v>242</v>
      </c>
      <c r="E15" s="19">
        <v>536.12350198263891</v>
      </c>
      <c r="G15" s="19">
        <v>560.66666666666663</v>
      </c>
      <c r="H15" s="19">
        <v>611.83333333333337</v>
      </c>
      <c r="I15" s="19">
        <v>618.39750000000004</v>
      </c>
      <c r="J15" s="19">
        <v>624.26980833333334</v>
      </c>
      <c r="K15" s="19">
        <v>630.20083974999977</v>
      </c>
      <c r="M15" s="68"/>
    </row>
    <row r="16" spans="1:13">
      <c r="A16" s="1">
        <v>9</v>
      </c>
      <c r="C16" s="67" t="s">
        <v>243</v>
      </c>
      <c r="E16" s="19">
        <v>44698.259126585959</v>
      </c>
      <c r="G16" s="19">
        <v>39502.035609999999</v>
      </c>
      <c r="H16" s="19">
        <v>39519.889000000003</v>
      </c>
      <c r="I16" s="19">
        <v>39780.75189</v>
      </c>
      <c r="J16" s="19">
        <v>40044.223408899998</v>
      </c>
      <c r="K16" s="19">
        <v>40310.329642989003</v>
      </c>
      <c r="M16" s="68"/>
    </row>
    <row r="17" spans="1:13">
      <c r="A17" s="1">
        <v>10</v>
      </c>
      <c r="C17" s="67" t="s">
        <v>244</v>
      </c>
      <c r="E17" s="69">
        <f>E16/E15</f>
        <v>83.373064156462604</v>
      </c>
      <c r="G17" s="69">
        <f>G16/G15</f>
        <v>70.455473739595718</v>
      </c>
      <c r="H17" s="69">
        <f>H16/H15</f>
        <v>64.592572596022876</v>
      </c>
      <c r="I17" s="69">
        <f>I16/I15</f>
        <v>64.328772173238079</v>
      </c>
      <c r="J17" s="69">
        <f>J16/J15</f>
        <v>64.145699302372947</v>
      </c>
      <c r="K17" s="69">
        <f>K16/K15</f>
        <v>63.96425885274936</v>
      </c>
      <c r="M17" s="68"/>
    </row>
    <row r="18" spans="1:13">
      <c r="A18" s="1">
        <v>11</v>
      </c>
      <c r="C18" s="67" t="s">
        <v>245</v>
      </c>
      <c r="E18" s="19">
        <v>7175.0888690444954</v>
      </c>
      <c r="G18" s="19">
        <v>6475.8341599999912</v>
      </c>
      <c r="H18" s="19">
        <v>6859.5120999999999</v>
      </c>
      <c r="I18" s="19">
        <v>6495.5549516763685</v>
      </c>
      <c r="J18" s="19">
        <v>6539.085131146453</v>
      </c>
      <c r="K18" s="19">
        <v>6583.0506124112408</v>
      </c>
      <c r="M18" s="68"/>
    </row>
    <row r="19" spans="1:13">
      <c r="A19" s="1">
        <v>12</v>
      </c>
      <c r="C19" s="67" t="s">
        <v>246</v>
      </c>
      <c r="E19" s="69">
        <f>E18/E16*100</f>
        <v>16.052278118314554</v>
      </c>
      <c r="G19" s="69">
        <f>G18/G16*100</f>
        <v>16.393672022209973</v>
      </c>
      <c r="H19" s="69">
        <f>H18/H16*100</f>
        <v>17.357113781367147</v>
      </c>
      <c r="I19" s="69">
        <f>I18/I16*100</f>
        <v>16.32838657659763</v>
      </c>
      <c r="J19" s="69">
        <f>J18/J16*100</f>
        <v>16.329658998189274</v>
      </c>
      <c r="K19" s="69">
        <f>K18/K16*100</f>
        <v>16.330927260368362</v>
      </c>
      <c r="M19" s="68"/>
    </row>
    <row r="20" spans="1:13">
      <c r="A20" s="1">
        <v>13</v>
      </c>
      <c r="C20" s="8" t="s">
        <v>248</v>
      </c>
      <c r="E20" s="19"/>
      <c r="G20" s="19"/>
      <c r="H20" s="19"/>
      <c r="I20" s="19"/>
      <c r="J20" s="19"/>
      <c r="K20" s="19"/>
      <c r="M20" s="66"/>
    </row>
    <row r="21" spans="1:13">
      <c r="A21" s="1">
        <v>14</v>
      </c>
      <c r="C21" s="67" t="s">
        <v>243</v>
      </c>
      <c r="E21" s="19">
        <v>69367.817880341725</v>
      </c>
      <c r="G21" s="19">
        <v>74498.325999999972</v>
      </c>
      <c r="H21" s="19">
        <v>46126.720000000016</v>
      </c>
      <c r="I21" s="19">
        <v>42795.943480341724</v>
      </c>
      <c r="J21" s="19">
        <v>42795.943480341724</v>
      </c>
      <c r="K21" s="19">
        <v>42795.943480341724</v>
      </c>
      <c r="M21" s="68"/>
    </row>
    <row r="22" spans="1:13">
      <c r="A22" s="1">
        <v>15</v>
      </c>
      <c r="C22" s="67" t="s">
        <v>245</v>
      </c>
      <c r="E22" s="19">
        <v>8808.7146814176231</v>
      </c>
      <c r="G22" s="19">
        <v>9585.901828459997</v>
      </c>
      <c r="H22" s="19">
        <v>6887.8961032000007</v>
      </c>
      <c r="I22" s="19">
        <v>5724.2993867967334</v>
      </c>
      <c r="J22" s="19">
        <v>5628.0217867967331</v>
      </c>
      <c r="K22" s="19">
        <v>5628.0217867967331</v>
      </c>
      <c r="M22" s="68"/>
    </row>
    <row r="23" spans="1:13">
      <c r="A23" s="1">
        <v>16</v>
      </c>
      <c r="C23" s="67" t="s">
        <v>246</v>
      </c>
      <c r="E23" s="69">
        <f>E22/E21*100</f>
        <v>12.698561019480966</v>
      </c>
      <c r="G23" s="69">
        <f>G22/G21*100</f>
        <v>12.867271445079185</v>
      </c>
      <c r="H23" s="69">
        <f>H22/H21*100</f>
        <v>14.93255124838705</v>
      </c>
      <c r="I23" s="69">
        <f>I22/I21*100</f>
        <v>13.375799015685178</v>
      </c>
      <c r="J23" s="69">
        <f>J22/J21*100</f>
        <v>13.150830029911504</v>
      </c>
      <c r="K23" s="69">
        <f>K22/K21*100</f>
        <v>13.150830029911504</v>
      </c>
      <c r="M23" s="68"/>
    </row>
    <row r="24" spans="1:13">
      <c r="A24" s="1">
        <v>17</v>
      </c>
      <c r="C24" s="8" t="s">
        <v>249</v>
      </c>
      <c r="E24" s="19"/>
      <c r="G24" s="19"/>
      <c r="H24" s="19"/>
      <c r="I24" s="19"/>
      <c r="J24" s="19"/>
      <c r="K24" s="19"/>
      <c r="M24" s="66"/>
    </row>
    <row r="25" spans="1:13">
      <c r="A25" s="1">
        <v>18</v>
      </c>
      <c r="C25" s="67" t="s">
        <v>243</v>
      </c>
      <c r="E25" s="19">
        <v>168.18</v>
      </c>
      <c r="G25" s="19">
        <v>167.70400000000001</v>
      </c>
      <c r="H25" s="19">
        <v>172.465</v>
      </c>
      <c r="I25" s="19">
        <v>171.29300000000001</v>
      </c>
      <c r="J25" s="19">
        <v>171.29300000000001</v>
      </c>
      <c r="K25" s="19">
        <v>171.29300000000001</v>
      </c>
      <c r="M25" s="68"/>
    </row>
    <row r="26" spans="1:13">
      <c r="A26" s="1">
        <v>19</v>
      </c>
      <c r="C26" s="67" t="s">
        <v>245</v>
      </c>
      <c r="D26" s="28"/>
      <c r="E26" s="19">
        <v>82.172530000000009</v>
      </c>
      <c r="F26" s="28"/>
      <c r="G26" s="19">
        <v>82.824780000000018</v>
      </c>
      <c r="H26" s="19">
        <v>83.222580000000008</v>
      </c>
      <c r="I26" s="19">
        <v>83.222580000000008</v>
      </c>
      <c r="J26" s="19">
        <v>83.222580000000008</v>
      </c>
      <c r="K26" s="19">
        <v>83.222580000000008</v>
      </c>
      <c r="M26" s="68"/>
    </row>
    <row r="27" spans="1:13">
      <c r="A27" s="1">
        <v>20</v>
      </c>
      <c r="C27" s="67" t="s">
        <v>246</v>
      </c>
      <c r="E27" s="69">
        <f>E26/E25*100</f>
        <v>48.859870376977049</v>
      </c>
      <c r="G27" s="69">
        <f>G26/G25*100</f>
        <v>49.387480322472939</v>
      </c>
      <c r="H27" s="69">
        <f>H26/H25*100</f>
        <v>48.254764734873746</v>
      </c>
      <c r="I27" s="69">
        <f>I26/I25*100</f>
        <v>48.584927580228033</v>
      </c>
      <c r="J27" s="69">
        <f>J26/J25*100</f>
        <v>48.584927580228033</v>
      </c>
      <c r="K27" s="69">
        <f>K26/K25*100</f>
        <v>48.584927580228033</v>
      </c>
      <c r="M27" s="68"/>
    </row>
    <row r="28" spans="1:13">
      <c r="A28" s="1">
        <v>21</v>
      </c>
      <c r="C28" s="8" t="s">
        <v>250</v>
      </c>
      <c r="E28" s="19"/>
      <c r="G28" s="19"/>
      <c r="H28" s="19"/>
      <c r="I28" s="19"/>
      <c r="J28" s="19"/>
      <c r="K28" s="19"/>
      <c r="M28" s="66"/>
    </row>
    <row r="29" spans="1:13">
      <c r="A29" s="1">
        <v>22</v>
      </c>
      <c r="C29" s="67" t="s">
        <v>243</v>
      </c>
      <c r="E29" s="19">
        <v>8.8439999999999994</v>
      </c>
      <c r="G29" s="19">
        <v>8.6440000000000001</v>
      </c>
      <c r="H29" s="19">
        <v>9.968</v>
      </c>
      <c r="I29" s="19">
        <v>9.82</v>
      </c>
      <c r="J29" s="19">
        <v>9.82</v>
      </c>
      <c r="K29" s="19">
        <v>9.82</v>
      </c>
      <c r="M29" s="68"/>
    </row>
    <row r="30" spans="1:13">
      <c r="A30" s="1">
        <v>23</v>
      </c>
      <c r="C30" s="67" t="s">
        <v>245</v>
      </c>
      <c r="E30" s="19">
        <v>2.4143700000000003</v>
      </c>
      <c r="G30" s="19">
        <v>2.5282800000000001</v>
      </c>
      <c r="H30" s="19">
        <v>2.6421199999999998</v>
      </c>
      <c r="I30" s="19">
        <v>2.6421199999999998</v>
      </c>
      <c r="J30" s="19">
        <v>2.6421199999999998</v>
      </c>
      <c r="K30" s="19">
        <v>2.6421199999999998</v>
      </c>
      <c r="M30" s="68"/>
    </row>
    <row r="31" spans="1:13">
      <c r="A31" s="1">
        <v>24</v>
      </c>
      <c r="C31" s="67" t="s">
        <v>246</v>
      </c>
      <c r="E31" s="69">
        <f>E30/E29*100</f>
        <v>27.299525101763916</v>
      </c>
      <c r="G31" s="69">
        <f>G30/G29*100</f>
        <v>29.248958815363256</v>
      </c>
      <c r="H31" s="69">
        <f>H30/H29*100</f>
        <v>26.506019261637238</v>
      </c>
      <c r="I31" s="69">
        <f>I30/I29*100</f>
        <v>26.905498981670057</v>
      </c>
      <c r="J31" s="69">
        <f>J30/J29*100</f>
        <v>26.905498981670057</v>
      </c>
      <c r="K31" s="69">
        <f>K30/K29*100</f>
        <v>26.905498981670057</v>
      </c>
      <c r="M31" s="68"/>
    </row>
    <row r="32" spans="1:13">
      <c r="A32" s="1">
        <v>25</v>
      </c>
      <c r="C32" s="8" t="s">
        <v>251</v>
      </c>
      <c r="E32" s="19"/>
      <c r="G32" s="19"/>
      <c r="H32" s="19"/>
      <c r="I32" s="19"/>
      <c r="J32" s="19"/>
      <c r="K32" s="19"/>
      <c r="M32" s="71"/>
    </row>
    <row r="33" spans="1:13">
      <c r="A33" s="1">
        <v>26</v>
      </c>
      <c r="C33" s="67" t="s">
        <v>242</v>
      </c>
      <c r="E33" s="72">
        <f t="shared" ref="E33" si="0">E9+E15</f>
        <v>2434.3322225470333</v>
      </c>
      <c r="G33" s="72">
        <f t="shared" ref="G33:H33" si="1">G9+G15</f>
        <v>2449.8333333333335</v>
      </c>
      <c r="H33" s="72">
        <f t="shared" si="1"/>
        <v>2580</v>
      </c>
      <c r="I33" s="72">
        <f t="shared" ref="I33:K33" si="2">I9+I15</f>
        <v>2626.0524999999998</v>
      </c>
      <c r="J33" s="72">
        <f t="shared" si="2"/>
        <v>2671.9179083333329</v>
      </c>
      <c r="K33" s="72">
        <f t="shared" si="2"/>
        <v>2718.4419017500004</v>
      </c>
      <c r="M33" s="68"/>
    </row>
    <row r="34" spans="1:13">
      <c r="A34" s="1">
        <v>27</v>
      </c>
      <c r="C34" s="67" t="s">
        <v>243</v>
      </c>
      <c r="E34" s="72">
        <f t="shared" ref="E34" si="3">E10+E16+E21+E25+E29</f>
        <v>132333.44096682672</v>
      </c>
      <c r="G34" s="72">
        <f t="shared" ref="G34:H34" si="4">G10+G16+G21+G25+G29</f>
        <v>131504.22792999996</v>
      </c>
      <c r="H34" s="72">
        <f t="shared" si="4"/>
        <v>104818.008</v>
      </c>
      <c r="I34" s="72">
        <f t="shared" ref="I34:K34" si="5">I10+I16+I21+I25+I29</f>
        <v>102126.55369034174</v>
      </c>
      <c r="J34" s="72">
        <f t="shared" si="5"/>
        <v>102777.40011564174</v>
      </c>
      <c r="K34" s="72">
        <f t="shared" si="5"/>
        <v>103438.62875425874</v>
      </c>
      <c r="M34" s="68"/>
    </row>
    <row r="35" spans="1:13">
      <c r="A35" s="1">
        <v>28</v>
      </c>
      <c r="C35" s="67" t="s">
        <v>245</v>
      </c>
      <c r="E35" s="72">
        <f t="shared" ref="E35" si="6">E12+E18+E22+E26+E30</f>
        <v>18679.103708222505</v>
      </c>
      <c r="G35" s="72">
        <f t="shared" ref="G35:H35" si="7">G12+G18+G22+G26+G30</f>
        <v>18618.800198459987</v>
      </c>
      <c r="H35" s="72">
        <f t="shared" si="7"/>
        <v>16581.829523200002</v>
      </c>
      <c r="I35" s="72">
        <f t="shared" ref="I35:K35" si="8">I12+I18+I22+I26+I30</f>
        <v>15128.315883984216</v>
      </c>
      <c r="J35" s="72">
        <f t="shared" si="8"/>
        <v>15132.020400364523</v>
      </c>
      <c r="K35" s="72">
        <f t="shared" si="8"/>
        <v>15233.566857277738</v>
      </c>
      <c r="M35" s="68"/>
    </row>
    <row r="36" spans="1:13">
      <c r="A36" s="1">
        <v>29</v>
      </c>
      <c r="C36" s="67" t="s">
        <v>246</v>
      </c>
      <c r="E36" s="90">
        <f t="shared" ref="E36" si="9">SUM(E35/E34)*100</f>
        <v>14.11518023845913</v>
      </c>
      <c r="G36" s="90">
        <f t="shared" ref="G36:H36" si="10">SUM(G35/G34)*100</f>
        <v>14.158328208558299</v>
      </c>
      <c r="H36" s="90">
        <f t="shared" si="10"/>
        <v>15.819638094248081</v>
      </c>
      <c r="I36" s="90">
        <f t="shared" ref="I36:K36" si="11">SUM(I35/I34)*100</f>
        <v>14.813303041493825</v>
      </c>
      <c r="J36" s="90">
        <f t="shared" si="11"/>
        <v>14.723100976808592</v>
      </c>
      <c r="K36" s="90">
        <f t="shared" si="11"/>
        <v>14.727154681708351</v>
      </c>
      <c r="M36" s="68"/>
    </row>
    <row r="37" spans="1:13">
      <c r="A37" s="1">
        <v>30</v>
      </c>
      <c r="C37" s="8" t="s">
        <v>252</v>
      </c>
      <c r="E37" s="19"/>
      <c r="G37" s="19"/>
      <c r="H37" s="19"/>
      <c r="I37" s="19"/>
      <c r="J37" s="19"/>
      <c r="K37" s="19"/>
      <c r="M37" s="66"/>
    </row>
    <row r="38" spans="1:13">
      <c r="A38" s="1">
        <v>31</v>
      </c>
      <c r="C38" s="67" t="s">
        <v>243</v>
      </c>
      <c r="E38" s="19">
        <v>362365.08968331735</v>
      </c>
      <c r="G38" s="19">
        <v>347703.94134344504</v>
      </c>
      <c r="H38" s="19">
        <v>374830.9191308131</v>
      </c>
      <c r="I38" s="19">
        <v>373661.72433434631</v>
      </c>
      <c r="J38" s="19">
        <v>381928.91553150013</v>
      </c>
      <c r="K38" s="19">
        <v>390419.54533434892</v>
      </c>
      <c r="M38" s="68"/>
    </row>
    <row r="39" spans="1:13">
      <c r="A39" s="1">
        <v>32</v>
      </c>
      <c r="C39" s="67" t="s">
        <v>245</v>
      </c>
      <c r="E39" s="19">
        <v>30069.055141921675</v>
      </c>
      <c r="G39" s="19">
        <v>28852.473052679074</v>
      </c>
      <c r="H39" s="19">
        <v>31103.469669474878</v>
      </c>
      <c r="I39" s="19">
        <v>31006.449885264057</v>
      </c>
      <c r="J39" s="19">
        <v>31692.46141080387</v>
      </c>
      <c r="K39" s="19">
        <v>32397.013871844272</v>
      </c>
      <c r="M39" s="68"/>
    </row>
    <row r="40" spans="1:13">
      <c r="A40" s="1">
        <v>33</v>
      </c>
      <c r="C40" s="67" t="s">
        <v>246</v>
      </c>
      <c r="E40" s="69">
        <f>E39/E38*100</f>
        <v>8.2980000000000018</v>
      </c>
      <c r="G40" s="69">
        <f>G39/G38*100</f>
        <v>8.2980000000000018</v>
      </c>
      <c r="H40" s="69">
        <f>H39/H38*100</f>
        <v>8.2980000000000018</v>
      </c>
      <c r="I40" s="69">
        <f>I39/I38*100</f>
        <v>8.298</v>
      </c>
      <c r="J40" s="69">
        <f>J39/J38*100</f>
        <v>8.2979999999999965</v>
      </c>
      <c r="K40" s="69">
        <f>K39/K38*100</f>
        <v>8.298</v>
      </c>
      <c r="M40" s="68"/>
    </row>
    <row r="41" spans="1:13">
      <c r="A41" s="1">
        <v>34</v>
      </c>
      <c r="C41" s="8" t="s">
        <v>253</v>
      </c>
      <c r="E41" s="19"/>
      <c r="G41" s="19"/>
      <c r="H41" s="19"/>
      <c r="I41" s="19"/>
      <c r="J41" s="19"/>
      <c r="K41" s="19"/>
      <c r="M41" s="71"/>
    </row>
    <row r="42" spans="1:13">
      <c r="A42" s="1">
        <v>35</v>
      </c>
      <c r="C42" s="67" t="s">
        <v>243</v>
      </c>
      <c r="E42" s="72">
        <f t="shared" ref="E42:E43" si="12">E34+E38</f>
        <v>494698.53065014409</v>
      </c>
      <c r="G42" s="72">
        <f t="shared" ref="G42:H42" si="13">G34+G38</f>
        <v>479208.16927344503</v>
      </c>
      <c r="H42" s="72">
        <f t="shared" si="13"/>
        <v>479648.92713081313</v>
      </c>
      <c r="I42" s="72">
        <f t="shared" ref="I42:K42" si="14">I34+I38</f>
        <v>475788.27802468801</v>
      </c>
      <c r="J42" s="72">
        <f t="shared" si="14"/>
        <v>484706.31564714189</v>
      </c>
      <c r="K42" s="72">
        <f t="shared" si="14"/>
        <v>493858.17408860766</v>
      </c>
      <c r="M42" s="68"/>
    </row>
    <row r="43" spans="1:13">
      <c r="A43" s="1">
        <v>36</v>
      </c>
      <c r="C43" s="67" t="s">
        <v>245</v>
      </c>
      <c r="E43" s="72">
        <f t="shared" si="12"/>
        <v>48748.15885014418</v>
      </c>
      <c r="G43" s="72">
        <f t="shared" ref="G43:H43" si="15">G35+G39</f>
        <v>47471.273251139064</v>
      </c>
      <c r="H43" s="72">
        <f t="shared" si="15"/>
        <v>47685.29919267488</v>
      </c>
      <c r="I43" s="72">
        <f t="shared" ref="I43:K43" si="16">I35+I39</f>
        <v>46134.765769248275</v>
      </c>
      <c r="J43" s="72">
        <f t="shared" si="16"/>
        <v>46824.481811168393</v>
      </c>
      <c r="K43" s="72">
        <f t="shared" si="16"/>
        <v>47630.580729122012</v>
      </c>
      <c r="M43" s="68"/>
    </row>
    <row r="44" spans="1:13">
      <c r="A44" s="1">
        <v>37</v>
      </c>
      <c r="C44" s="67" t="s">
        <v>246</v>
      </c>
      <c r="E44" s="70">
        <f t="shared" ref="E44" si="17">E43/E42*100</f>
        <v>9.8541143403191924</v>
      </c>
      <c r="G44" s="70">
        <f t="shared" ref="G44:H44" si="18">G43/G42*100</f>
        <v>9.90619031455849</v>
      </c>
      <c r="H44" s="70">
        <f t="shared" si="18"/>
        <v>9.9417087155643369</v>
      </c>
      <c r="I44" s="70">
        <f t="shared" ref="I44:K44" si="19">I43/I42*100</f>
        <v>9.6964906241036921</v>
      </c>
      <c r="J44" s="70">
        <f t="shared" si="19"/>
        <v>9.6603820291988587</v>
      </c>
      <c r="K44" s="70">
        <f t="shared" si="19"/>
        <v>9.6445868931950027</v>
      </c>
      <c r="M44" s="68"/>
    </row>
    <row r="45" spans="1:13">
      <c r="A45" s="1">
        <v>38</v>
      </c>
      <c r="C45" s="8" t="s">
        <v>254</v>
      </c>
      <c r="E45" s="19"/>
      <c r="G45" s="19"/>
      <c r="H45" s="19"/>
      <c r="I45" s="19"/>
      <c r="J45" s="19"/>
      <c r="K45" s="19"/>
      <c r="M45" s="66"/>
    </row>
    <row r="46" spans="1:13">
      <c r="A46" s="1">
        <v>39</v>
      </c>
      <c r="C46" s="67" t="s">
        <v>243</v>
      </c>
      <c r="E46" s="19">
        <v>2931.11</v>
      </c>
      <c r="G46" s="19">
        <v>2213.77</v>
      </c>
      <c r="H46" s="19">
        <v>3698.66</v>
      </c>
      <c r="I46" s="19">
        <v>2931.11</v>
      </c>
      <c r="J46" s="19">
        <v>2931.11</v>
      </c>
      <c r="K46" s="19">
        <v>2931.11</v>
      </c>
      <c r="M46" s="68"/>
    </row>
    <row r="47" spans="1:13">
      <c r="A47" s="1">
        <v>40</v>
      </c>
      <c r="C47" s="67" t="s">
        <v>245</v>
      </c>
      <c r="E47" s="19">
        <v>357.59541999999999</v>
      </c>
      <c r="G47" s="19">
        <v>226.66228999999998</v>
      </c>
      <c r="H47" s="19">
        <v>378.854805</v>
      </c>
      <c r="I47" s="19">
        <v>287.24878000000001</v>
      </c>
      <c r="J47" s="19">
        <v>287.24878000000001</v>
      </c>
      <c r="K47" s="19">
        <v>287.24878000000001</v>
      </c>
      <c r="M47" s="68"/>
    </row>
    <row r="48" spans="1:13">
      <c r="A48" s="1">
        <v>41</v>
      </c>
      <c r="C48" s="67" t="s">
        <v>246</v>
      </c>
      <c r="E48" s="70">
        <f>IFERROR(E47/E46*100,0)</f>
        <v>12.2</v>
      </c>
      <c r="G48" s="70">
        <f t="shared" ref="G48:H48" si="20">G47/G46*100</f>
        <v>10.238746120870731</v>
      </c>
      <c r="H48" s="70">
        <f t="shared" si="20"/>
        <v>10.243028691472048</v>
      </c>
      <c r="I48" s="70">
        <f t="shared" ref="I48:K48" si="21">I47/I46*100</f>
        <v>9.8000000000000007</v>
      </c>
      <c r="J48" s="70">
        <f t="shared" si="21"/>
        <v>9.8000000000000007</v>
      </c>
      <c r="K48" s="70">
        <f t="shared" si="21"/>
        <v>9.8000000000000007</v>
      </c>
      <c r="M48" s="68"/>
    </row>
    <row r="49" spans="1:14">
      <c r="A49" s="1">
        <v>42</v>
      </c>
      <c r="C49" s="8" t="s">
        <v>255</v>
      </c>
      <c r="E49" s="19"/>
      <c r="G49" s="19"/>
      <c r="H49" s="19"/>
      <c r="I49" s="19"/>
      <c r="J49" s="19"/>
      <c r="K49" s="19"/>
      <c r="M49" s="66"/>
    </row>
    <row r="50" spans="1:14">
      <c r="A50" s="1">
        <v>43</v>
      </c>
      <c r="C50" s="67" t="s">
        <v>243</v>
      </c>
      <c r="E50" s="19">
        <f t="shared" ref="E50:E51" si="22">E42+E46</f>
        <v>497629.64065014408</v>
      </c>
      <c r="G50" s="19">
        <f t="shared" ref="G50:H50" si="23">G42+G46</f>
        <v>481421.93927344505</v>
      </c>
      <c r="H50" s="19">
        <f t="shared" si="23"/>
        <v>483347.5871308131</v>
      </c>
      <c r="I50" s="19">
        <f t="shared" ref="I50:K50" si="24">I42+I46</f>
        <v>478719.388024688</v>
      </c>
      <c r="J50" s="19">
        <f t="shared" si="24"/>
        <v>487637.42564714188</v>
      </c>
      <c r="K50" s="19">
        <f t="shared" si="24"/>
        <v>496789.28408860764</v>
      </c>
      <c r="M50" s="68"/>
    </row>
    <row r="51" spans="1:14">
      <c r="A51" s="1">
        <v>44</v>
      </c>
      <c r="C51" s="67" t="s">
        <v>245</v>
      </c>
      <c r="E51" s="19">
        <f t="shared" si="22"/>
        <v>49105.754270144178</v>
      </c>
      <c r="G51" s="19">
        <f t="shared" ref="G51:H51" si="25">G43+G47</f>
        <v>47697.935541139064</v>
      </c>
      <c r="H51" s="19">
        <f t="shared" si="25"/>
        <v>48064.153997674883</v>
      </c>
      <c r="I51" s="19">
        <f t="shared" ref="I51:K51" si="26">I43+I47</f>
        <v>46422.014549248277</v>
      </c>
      <c r="J51" s="19">
        <f t="shared" si="26"/>
        <v>47111.730591168394</v>
      </c>
      <c r="K51" s="19">
        <f t="shared" si="26"/>
        <v>47917.829509122013</v>
      </c>
      <c r="M51" s="68"/>
    </row>
    <row r="52" spans="1:14">
      <c r="A52" s="1">
        <v>45</v>
      </c>
      <c r="C52" s="67" t="s">
        <v>246</v>
      </c>
      <c r="E52" s="70">
        <f t="shared" ref="E52" si="27">E51/E50*100</f>
        <v>9.8679319435209685</v>
      </c>
      <c r="G52" s="70">
        <f t="shared" ref="G52:H52" si="28">G51/G50*100</f>
        <v>9.9077195387322998</v>
      </c>
      <c r="H52" s="70">
        <f t="shared" si="28"/>
        <v>9.9440144685498986</v>
      </c>
      <c r="I52" s="70">
        <f t="shared" ref="I52:K52" si="29">I51/I50*100</f>
        <v>9.6971243928090605</v>
      </c>
      <c r="J52" s="70">
        <f t="shared" si="29"/>
        <v>9.661221250326836</v>
      </c>
      <c r="K52" s="70">
        <f t="shared" si="29"/>
        <v>9.6455038471754477</v>
      </c>
      <c r="M52" s="68"/>
    </row>
    <row r="53" spans="1:14">
      <c r="E53" s="19"/>
      <c r="G53" s="19"/>
      <c r="H53" s="19"/>
      <c r="I53" s="19"/>
      <c r="J53" s="19"/>
      <c r="K53" s="19"/>
    </row>
    <row r="54" spans="1:14">
      <c r="A54" s="1">
        <v>46</v>
      </c>
      <c r="C54" s="73" t="s">
        <v>256</v>
      </c>
      <c r="E54" s="19">
        <v>26194.153610012567</v>
      </c>
      <c r="G54" s="19">
        <v>25432.049412371605</v>
      </c>
      <c r="H54" s="19">
        <v>35153.561554530083</v>
      </c>
      <c r="I54" s="19">
        <v>40953.948779161503</v>
      </c>
      <c r="J54" s="19">
        <v>41680.714785191347</v>
      </c>
      <c r="K54" s="19">
        <v>42474.037484450637</v>
      </c>
    </row>
    <row r="55" spans="1:14" ht="4" customHeight="1">
      <c r="C55" s="73"/>
      <c r="E55" s="19"/>
      <c r="G55" s="19"/>
      <c r="H55" s="19"/>
      <c r="I55" s="19"/>
      <c r="J55" s="19"/>
      <c r="K55" s="19"/>
    </row>
    <row r="56" spans="1:14">
      <c r="A56" s="1">
        <f>A54+1</f>
        <v>47</v>
      </c>
      <c r="C56" s="73" t="s">
        <v>257</v>
      </c>
      <c r="E56" s="19">
        <v>15649.999999999998</v>
      </c>
      <c r="G56" s="19"/>
      <c r="H56" s="19"/>
      <c r="I56" s="19">
        <v>19567</v>
      </c>
      <c r="J56" s="19">
        <v>33900</v>
      </c>
      <c r="K56" s="19">
        <v>44558</v>
      </c>
    </row>
    <row r="57" spans="1:14">
      <c r="E57" s="19"/>
      <c r="G57" s="19"/>
      <c r="H57" s="19"/>
      <c r="I57" s="19"/>
      <c r="J57" s="19"/>
      <c r="K57" s="19"/>
    </row>
    <row r="58" spans="1:14" ht="13" thickBot="1">
      <c r="A58" s="1">
        <f>A56+1</f>
        <v>48</v>
      </c>
      <c r="C58" s="73" t="s">
        <v>258</v>
      </c>
      <c r="E58" s="74">
        <f t="shared" ref="E58:G58" si="30">E54+E51+E56</f>
        <v>90949.907880156738</v>
      </c>
      <c r="G58" s="74">
        <f t="shared" si="30"/>
        <v>73129.984953510662</v>
      </c>
      <c r="H58" s="74">
        <f>H54+H51+H56</f>
        <v>83217.715552204958</v>
      </c>
      <c r="I58" s="74">
        <f>I54+I51+I56</f>
        <v>106942.96332840978</v>
      </c>
      <c r="J58" s="74">
        <f t="shared" ref="J58:K58" si="31">J54+J51+J56</f>
        <v>122692.44537635974</v>
      </c>
      <c r="K58" s="74">
        <f t="shared" si="31"/>
        <v>134949.86699357265</v>
      </c>
      <c r="M58" s="19"/>
      <c r="N58" s="19"/>
    </row>
    <row r="59" spans="1:14">
      <c r="C59" s="73"/>
      <c r="E59" s="19"/>
      <c r="G59" s="19"/>
      <c r="H59" s="19"/>
      <c r="I59" s="19"/>
      <c r="J59" s="19"/>
      <c r="K59" s="19"/>
    </row>
    <row r="60" spans="1:14">
      <c r="A60" s="1">
        <f>A58+1</f>
        <v>49</v>
      </c>
      <c r="C60" s="73" t="s">
        <v>259</v>
      </c>
      <c r="E60" s="19">
        <v>394.26620666666668</v>
      </c>
      <c r="G60" s="19">
        <v>192.08391999999998</v>
      </c>
      <c r="H60" s="19">
        <v>510.46771000000001</v>
      </c>
      <c r="I60" s="19">
        <v>412.8</v>
      </c>
      <c r="J60" s="19">
        <v>412.8</v>
      </c>
      <c r="K60" s="19">
        <v>412.8</v>
      </c>
    </row>
    <row r="61" spans="1:14">
      <c r="C61" s="73"/>
      <c r="E61" s="19"/>
      <c r="G61" s="19"/>
      <c r="H61" s="19"/>
      <c r="I61" s="19"/>
      <c r="J61" s="19"/>
      <c r="K61" s="19"/>
    </row>
    <row r="62" spans="1:14">
      <c r="A62" s="1">
        <f>A60+1</f>
        <v>50</v>
      </c>
      <c r="C62" s="73" t="s">
        <v>260</v>
      </c>
      <c r="E62" s="19">
        <f t="shared" ref="E62" si="32">E58+E60</f>
        <v>91344.174086823405</v>
      </c>
      <c r="G62" s="19">
        <f t="shared" ref="G62" si="33">G58+G60</f>
        <v>73322.068873510667</v>
      </c>
      <c r="H62" s="19">
        <f t="shared" ref="H62:I62" si="34">H58+H60</f>
        <v>83728.183262204955</v>
      </c>
      <c r="I62" s="19">
        <f t="shared" si="34"/>
        <v>107355.76332840978</v>
      </c>
      <c r="J62" s="19">
        <f t="shared" ref="J62:K62" si="35">J58+J60</f>
        <v>123105.24537635974</v>
      </c>
      <c r="K62" s="19">
        <f t="shared" si="35"/>
        <v>135362.66699357264</v>
      </c>
      <c r="L62" s="19"/>
    </row>
    <row r="63" spans="1:14">
      <c r="C63" s="73"/>
      <c r="E63" s="19"/>
      <c r="G63" s="19"/>
      <c r="H63" s="19"/>
      <c r="I63" s="19"/>
    </row>
    <row r="64" spans="1:14" ht="14">
      <c r="B64" s="75"/>
      <c r="C64" s="73"/>
      <c r="E64" s="19"/>
      <c r="G64" s="19"/>
      <c r="H64" s="19"/>
      <c r="I64" s="19"/>
    </row>
    <row r="65" spans="2:10">
      <c r="C65" s="62"/>
      <c r="D65" s="62"/>
      <c r="E65" s="62"/>
      <c r="F65" s="62"/>
      <c r="G65" s="62"/>
      <c r="H65" s="62"/>
      <c r="I65" s="62"/>
      <c r="J65" s="62"/>
    </row>
    <row r="66" spans="2:10">
      <c r="C66" s="73"/>
      <c r="E66" s="19"/>
      <c r="G66" s="19"/>
      <c r="H66" s="19"/>
      <c r="I66" s="19"/>
      <c r="J66" s="19"/>
    </row>
    <row r="67" spans="2:10">
      <c r="C67" s="73"/>
      <c r="E67" s="44"/>
      <c r="G67" s="44"/>
      <c r="H67" s="44"/>
      <c r="I67" s="44"/>
      <c r="J67" s="44"/>
    </row>
    <row r="68" spans="2:10">
      <c r="C68" s="73"/>
      <c r="E68" s="44"/>
      <c r="G68" s="44"/>
      <c r="H68" s="44"/>
      <c r="I68" s="44"/>
      <c r="J68" s="44"/>
    </row>
    <row r="69" spans="2:10">
      <c r="C69" s="73"/>
      <c r="E69" s="44"/>
      <c r="G69" s="44"/>
      <c r="H69" s="44"/>
      <c r="I69" s="44"/>
      <c r="J69" s="44"/>
    </row>
    <row r="70" spans="2:10">
      <c r="C70" s="73"/>
      <c r="E70" s="44"/>
      <c r="G70" s="44"/>
      <c r="H70" s="44"/>
      <c r="I70" s="44"/>
      <c r="J70" s="44"/>
    </row>
    <row r="71" spans="2:10">
      <c r="C71" s="73"/>
      <c r="E71" s="44"/>
      <c r="G71" s="44"/>
      <c r="H71" s="44"/>
      <c r="I71" s="44"/>
      <c r="J71" s="44"/>
    </row>
    <row r="72" spans="2:10">
      <c r="C72" s="73"/>
      <c r="E72" s="44"/>
      <c r="G72" s="44"/>
      <c r="H72" s="44"/>
      <c r="I72" s="44"/>
      <c r="J72" s="44"/>
    </row>
    <row r="73" spans="2:10">
      <c r="C73" s="73"/>
      <c r="E73" s="44"/>
      <c r="G73" s="44"/>
      <c r="H73" s="44"/>
      <c r="I73" s="44"/>
      <c r="J73" s="44"/>
    </row>
    <row r="74" spans="2:10">
      <c r="C74" s="73"/>
      <c r="E74" s="44"/>
      <c r="G74" s="44"/>
      <c r="H74" s="44"/>
      <c r="I74" s="44"/>
      <c r="J74" s="44"/>
    </row>
    <row r="75" spans="2:10">
      <c r="C75" s="73"/>
      <c r="E75" s="44"/>
      <c r="G75" s="44"/>
      <c r="H75" s="44"/>
      <c r="I75" s="44"/>
      <c r="J75" s="44"/>
    </row>
    <row r="76" spans="2:10">
      <c r="C76" s="73"/>
      <c r="E76" s="44"/>
      <c r="G76" s="44"/>
      <c r="H76" s="44"/>
      <c r="I76" s="44"/>
      <c r="J76" s="44"/>
    </row>
    <row r="77" spans="2:10">
      <c r="B77" s="8"/>
      <c r="C77" s="73"/>
      <c r="E77" s="76"/>
      <c r="G77" s="76"/>
      <c r="H77" s="76"/>
      <c r="I77" s="76"/>
      <c r="J77" s="76"/>
    </row>
    <row r="78" spans="2:10">
      <c r="C78" s="73"/>
      <c r="E78" s="19"/>
      <c r="G78" s="19"/>
      <c r="H78" s="19"/>
      <c r="I78" s="19"/>
      <c r="J78" s="19"/>
    </row>
    <row r="79" spans="2:10">
      <c r="E79" s="19"/>
      <c r="G79" s="19"/>
      <c r="H79" s="19"/>
      <c r="I79" s="19"/>
      <c r="J79" s="19"/>
    </row>
    <row r="80" spans="2:10">
      <c r="C80" s="73"/>
      <c r="E80" s="19"/>
      <c r="G80" s="19"/>
      <c r="H80" s="19"/>
      <c r="I80" s="19"/>
      <c r="J80" s="19"/>
    </row>
    <row r="81" spans="3:10">
      <c r="C81" s="73"/>
      <c r="E81" s="19"/>
      <c r="G81" s="19"/>
      <c r="H81" s="19"/>
      <c r="I81" s="19"/>
      <c r="J81" s="19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4" orientation="portrait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theme="9" tint="0.39997558519241921"/>
    <pageSetUpPr fitToPage="1"/>
  </sheetPr>
  <dimension ref="A1:N49"/>
  <sheetViews>
    <sheetView showGridLines="0" view="pageBreakPreview" zoomScaleSheetLayoutView="100" workbookViewId="0">
      <pane xSplit="3" topLeftCell="D1" activePane="topRight" state="frozen"/>
      <selection activeCell="H18" sqref="H18"/>
      <selection pane="topRight" activeCell="G16" sqref="G16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7.453125" style="1" customWidth="1"/>
    <col min="4" max="4" width="1.81640625" style="1" customWidth="1"/>
    <col min="5" max="5" width="9.1796875" style="4"/>
    <col min="6" max="6" width="1.81640625" style="1" customWidth="1"/>
    <col min="7" max="7" width="11.81640625" style="1" customWidth="1"/>
    <col min="8" max="8" width="1.81640625" style="1" customWidth="1"/>
    <col min="9" max="9" width="11.26953125" style="1" customWidth="1"/>
    <col min="10" max="10" width="12.90625" style="1" customWidth="1"/>
    <col min="11" max="12" width="11.26953125" style="1" customWidth="1"/>
    <col min="13" max="13" width="13.1796875" style="1" customWidth="1"/>
    <col min="14" max="16384" width="9.1796875" style="1"/>
  </cols>
  <sheetData>
    <row r="1" spans="1:14" ht="15">
      <c r="A1" s="9" t="s">
        <v>0</v>
      </c>
      <c r="G1" s="5"/>
      <c r="I1" s="5"/>
      <c r="M1" s="194" t="s">
        <v>261</v>
      </c>
    </row>
    <row r="2" spans="1:14">
      <c r="A2" s="10" t="s">
        <v>262</v>
      </c>
      <c r="G2" s="11"/>
      <c r="I2" s="11"/>
      <c r="M2" s="195" t="str">
        <f>'Schedule 1'!$M$2</f>
        <v>2025-27 GRA CF</v>
      </c>
    </row>
    <row r="3" spans="1:14">
      <c r="A3" s="10" t="s">
        <v>7</v>
      </c>
      <c r="G3" s="11"/>
      <c r="I3" s="11"/>
    </row>
    <row r="6" spans="1:14" s="4" customFormat="1" ht="13.5" customHeight="1">
      <c r="G6" s="11"/>
      <c r="I6" s="11"/>
      <c r="J6" s="11"/>
      <c r="K6" s="8"/>
      <c r="L6" s="8"/>
      <c r="M6" s="8"/>
    </row>
    <row r="7" spans="1:14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2024 GRA
Compliance</v>
      </c>
      <c r="I7" s="12" t="str">
        <f>'Schedule 1'!I7</f>
        <v>Actual 2023</v>
      </c>
      <c r="J7" s="12" t="str">
        <f>'Schedule 1'!J7</f>
        <v>Prlm. Actual 2024</v>
      </c>
      <c r="K7" s="12" t="str">
        <f>'Schedule 1'!K7</f>
        <v>Forecast 2025</v>
      </c>
      <c r="L7" s="12" t="str">
        <f>'Schedule 1'!L7</f>
        <v>Forecast 2026</v>
      </c>
      <c r="M7" s="12" t="str">
        <f>'Schedule 1'!M7</f>
        <v>Forecast 2027</v>
      </c>
    </row>
    <row r="9" spans="1:14">
      <c r="A9" s="1">
        <v>1</v>
      </c>
      <c r="C9" s="8" t="s">
        <v>263</v>
      </c>
    </row>
    <row r="10" spans="1:14">
      <c r="A10" s="1">
        <v>2</v>
      </c>
      <c r="C10" s="1" t="s">
        <v>264</v>
      </c>
      <c r="G10" s="19">
        <v>15530.835240660923</v>
      </c>
      <c r="I10" s="19">
        <v>13589.77392</v>
      </c>
      <c r="J10" s="19">
        <v>16600.14804</v>
      </c>
      <c r="K10" s="19">
        <v>18852.240264903769</v>
      </c>
      <c r="L10" s="19">
        <v>19848.28161530061</v>
      </c>
      <c r="M10" s="19">
        <v>19327.897657608632</v>
      </c>
    </row>
    <row r="11" spans="1:14">
      <c r="A11" s="1">
        <v>3</v>
      </c>
      <c r="C11" s="1" t="s">
        <v>265</v>
      </c>
      <c r="G11" s="19">
        <v>3267.0841701040531</v>
      </c>
      <c r="I11" s="19">
        <v>2976.1960300000001</v>
      </c>
      <c r="J11" s="19">
        <v>3739.8827500000002</v>
      </c>
      <c r="K11" s="19">
        <v>2810.2579714055009</v>
      </c>
      <c r="L11" s="19">
        <v>3336.3119989966035</v>
      </c>
      <c r="M11" s="19">
        <v>3438.3506253926453</v>
      </c>
      <c r="N11" s="19"/>
    </row>
    <row r="12" spans="1:14">
      <c r="A12" s="1">
        <v>4</v>
      </c>
      <c r="C12" s="1" t="s">
        <v>266</v>
      </c>
      <c r="G12" s="19">
        <v>1615.1414537274632</v>
      </c>
      <c r="I12" s="19">
        <v>1923.0380600000003</v>
      </c>
      <c r="J12" s="19">
        <v>1979.91327</v>
      </c>
      <c r="K12" s="19">
        <v>1831.1419956004074</v>
      </c>
      <c r="L12" s="19">
        <v>1872.6999070575855</v>
      </c>
      <c r="M12" s="19">
        <v>1829.5988486625627</v>
      </c>
    </row>
    <row r="13" spans="1:14">
      <c r="A13" s="1">
        <v>5</v>
      </c>
      <c r="C13" s="1" t="s">
        <v>267</v>
      </c>
      <c r="G13" s="19">
        <v>13091.567143529081</v>
      </c>
      <c r="I13" s="19">
        <v>13059.859519999998</v>
      </c>
      <c r="J13" s="19">
        <v>13950.849579999998</v>
      </c>
      <c r="K13" s="19">
        <v>15975.749411499533</v>
      </c>
      <c r="L13" s="19">
        <v>16803.601579292226</v>
      </c>
      <c r="M13" s="19">
        <v>17329.102689352407</v>
      </c>
    </row>
    <row r="14" spans="1:14">
      <c r="A14" s="1">
        <v>6</v>
      </c>
      <c r="C14" s="1" t="s">
        <v>268</v>
      </c>
      <c r="G14" s="19">
        <v>2417.0457679504998</v>
      </c>
      <c r="I14" s="19">
        <v>2217.7380200000002</v>
      </c>
      <c r="J14" s="19">
        <v>2503.8041199999998</v>
      </c>
      <c r="K14" s="19">
        <v>2711.0507375000002</v>
      </c>
      <c r="L14" s="19">
        <v>3010.0518430833336</v>
      </c>
      <c r="M14" s="19">
        <v>3066.5017399450003</v>
      </c>
    </row>
    <row r="15" spans="1:14">
      <c r="A15" s="1">
        <v>7</v>
      </c>
      <c r="C15" s="1" t="s">
        <v>269</v>
      </c>
      <c r="G15" s="91">
        <f>SUM(G10:G14)</f>
        <v>35921.673775972013</v>
      </c>
      <c r="I15" s="91">
        <f>SUM(I10:I14)</f>
        <v>33766.605549999993</v>
      </c>
      <c r="J15" s="91">
        <f>SUM(J10:J14)</f>
        <v>38774.597760000004</v>
      </c>
      <c r="K15" s="91">
        <f>SUM(K10:K14)</f>
        <v>42180.440380909211</v>
      </c>
      <c r="L15" s="91">
        <f>SUM(L10:L14)</f>
        <v>44870.946943730356</v>
      </c>
      <c r="M15" s="91">
        <f>SUM(M10:M14)</f>
        <v>44991.451560961243</v>
      </c>
    </row>
    <row r="17" spans="1:13">
      <c r="A17" s="1">
        <v>8</v>
      </c>
      <c r="C17" s="1" t="s">
        <v>188</v>
      </c>
      <c r="G17" s="36">
        <f>-'Schedule 5'!G23</f>
        <v>120</v>
      </c>
      <c r="I17" s="36">
        <f>-'Schedule 5'!I23</f>
        <v>120.85194</v>
      </c>
      <c r="J17" s="36">
        <f>-'Schedule 5'!J23</f>
        <v>113.85104000000001</v>
      </c>
      <c r="K17" s="36">
        <f>-'Schedule 5'!K23</f>
        <v>119.99999999999987</v>
      </c>
      <c r="L17" s="36">
        <f>-'Schedule 5'!L23</f>
        <v>119.99999999999987</v>
      </c>
      <c r="M17" s="36">
        <f>-'Schedule 5'!M23</f>
        <v>122.39999999999986</v>
      </c>
    </row>
    <row r="19" spans="1:13">
      <c r="A19" s="1">
        <v>9</v>
      </c>
      <c r="C19" s="1" t="s">
        <v>269</v>
      </c>
      <c r="G19" s="91">
        <f>SUM(G17:G17)</f>
        <v>120</v>
      </c>
      <c r="I19" s="91">
        <f>SUM(I17:I17)</f>
        <v>120.85194</v>
      </c>
      <c r="J19" s="91">
        <f>SUM(J17:J17)</f>
        <v>113.85104000000001</v>
      </c>
      <c r="K19" s="91">
        <f>SUM(K17:K17)</f>
        <v>119.99999999999987</v>
      </c>
      <c r="L19" s="91">
        <f t="shared" ref="L19:M19" si="0">SUM(L17:L17)</f>
        <v>119.99999999999987</v>
      </c>
      <c r="M19" s="91">
        <f t="shared" si="0"/>
        <v>122.39999999999986</v>
      </c>
    </row>
    <row r="21" spans="1:13">
      <c r="A21" s="1">
        <v>10</v>
      </c>
      <c r="C21" s="1" t="s">
        <v>270</v>
      </c>
    </row>
    <row r="22" spans="1:13" ht="13" thickBot="1">
      <c r="A22" s="1">
        <v>11</v>
      </c>
      <c r="C22" s="1" t="s">
        <v>271</v>
      </c>
      <c r="G22" s="45">
        <f>SUM(G15+G19)</f>
        <v>36041.673775972013</v>
      </c>
      <c r="I22" s="45">
        <f>SUM(I15+I19)</f>
        <v>33887.457489999993</v>
      </c>
      <c r="J22" s="45">
        <f>SUM(J15+J19)</f>
        <v>38888.448800000006</v>
      </c>
      <c r="K22" s="45">
        <f>SUM(K15+K19)</f>
        <v>42300.440380909211</v>
      </c>
      <c r="L22" s="45">
        <f t="shared" ref="L22:M22" si="1">SUM(L15+L19)</f>
        <v>44990.946943730356</v>
      </c>
      <c r="M22" s="45">
        <f t="shared" si="1"/>
        <v>45113.851560961244</v>
      </c>
    </row>
    <row r="24" spans="1:13">
      <c r="A24" s="1">
        <v>12</v>
      </c>
      <c r="C24" s="1" t="s">
        <v>272</v>
      </c>
      <c r="G24" s="36">
        <v>15294.673706715501</v>
      </c>
      <c r="I24" s="36">
        <v>14367.171207565638</v>
      </c>
      <c r="J24" s="36">
        <v>14214.361525015625</v>
      </c>
      <c r="K24" s="36">
        <v>16801.913015061196</v>
      </c>
      <c r="L24" s="36">
        <v>18660.706898319415</v>
      </c>
      <c r="M24" s="36">
        <v>20627.162239023681</v>
      </c>
    </row>
    <row r="25" spans="1:13">
      <c r="A25" s="1">
        <v>13</v>
      </c>
      <c r="C25" s="1" t="s">
        <v>273</v>
      </c>
      <c r="G25" s="36">
        <v>2759.2370003535048</v>
      </c>
      <c r="I25" s="36">
        <v>368.33334000000002</v>
      </c>
      <c r="J25" s="36">
        <v>1707.46594</v>
      </c>
      <c r="K25" s="36">
        <v>3435.4129848795005</v>
      </c>
      <c r="L25" s="36">
        <v>3469.3795538722961</v>
      </c>
      <c r="M25" s="36">
        <v>3503.6857885550176</v>
      </c>
    </row>
    <row r="26" spans="1:13">
      <c r="A26" s="1">
        <v>14</v>
      </c>
      <c r="C26" s="1" t="s">
        <v>269</v>
      </c>
      <c r="G26" s="91">
        <f>SUM(G24:G25)</f>
        <v>18053.910707069004</v>
      </c>
      <c r="I26" s="91">
        <f>SUM(I24:I25)</f>
        <v>14735.504547565637</v>
      </c>
      <c r="J26" s="91">
        <f>SUM(J24:J25)</f>
        <v>15921.827465015625</v>
      </c>
      <c r="K26" s="91">
        <f>SUM(K24:K25)</f>
        <v>20237.325999940698</v>
      </c>
      <c r="L26" s="91">
        <f t="shared" ref="L26:M26" si="2">SUM(L24:L25)</f>
        <v>22130.08645219171</v>
      </c>
      <c r="M26" s="91">
        <f t="shared" si="2"/>
        <v>24130.848027578697</v>
      </c>
    </row>
    <row r="28" spans="1:13" ht="13" thickBot="1">
      <c r="A28" s="1">
        <v>15</v>
      </c>
      <c r="C28" s="1" t="s">
        <v>274</v>
      </c>
      <c r="E28" s="4" t="s">
        <v>180</v>
      </c>
      <c r="G28" s="45">
        <f>SUM(G15+G19+G26)</f>
        <v>54095.584483041021</v>
      </c>
      <c r="I28" s="45">
        <f>SUM(I15+I19+I26)</f>
        <v>48622.96203756563</v>
      </c>
      <c r="J28" s="45">
        <f>SUM(J15+J19+J26)</f>
        <v>54810.276265015629</v>
      </c>
      <c r="K28" s="45">
        <f>SUM(K15+K19+K26)</f>
        <v>62537.766380849906</v>
      </c>
      <c r="L28" s="45">
        <f t="shared" ref="L28:M28" si="3">SUM(L15+L19+L26)</f>
        <v>67121.033395922073</v>
      </c>
      <c r="M28" s="45">
        <f t="shared" si="3"/>
        <v>69244.699588539937</v>
      </c>
    </row>
    <row r="29" spans="1:13">
      <c r="G29" s="19"/>
      <c r="I29" s="19"/>
      <c r="J29" s="19"/>
      <c r="K29" s="19"/>
      <c r="L29" s="19"/>
      <c r="M29" s="19"/>
    </row>
    <row r="30" spans="1:13" s="34" customFormat="1">
      <c r="C30" s="58" t="s">
        <v>345</v>
      </c>
      <c r="E30" s="37"/>
      <c r="G30" s="77"/>
      <c r="I30" s="77"/>
      <c r="J30" s="77"/>
      <c r="K30" s="77"/>
      <c r="L30" s="77"/>
      <c r="M30" s="77"/>
    </row>
    <row r="31" spans="1:13" s="34" customFormat="1">
      <c r="A31" s="34">
        <v>16</v>
      </c>
      <c r="C31" s="34" t="s">
        <v>80</v>
      </c>
      <c r="E31" s="37"/>
      <c r="G31" s="77">
        <f>'Schedule 6'!G15</f>
        <v>615.80899999999997</v>
      </c>
      <c r="I31" s="77">
        <f>'Schedule 6'!I15</f>
        <v>615.80899999999997</v>
      </c>
      <c r="J31" s="77">
        <f>'Schedule 6'!J15</f>
        <v>615.80899999999997</v>
      </c>
      <c r="K31" s="77">
        <f>'Schedule 6'!K15</f>
        <v>1062.596</v>
      </c>
      <c r="L31" s="77">
        <f>'Schedule 6'!L15</f>
        <v>1062.596</v>
      </c>
      <c r="M31" s="77">
        <f>'Schedule 6'!M15</f>
        <v>1062.596</v>
      </c>
    </row>
    <row r="32" spans="1:13" s="34" customFormat="1">
      <c r="A32" s="34">
        <v>17</v>
      </c>
      <c r="C32" s="34" t="s">
        <v>275</v>
      </c>
      <c r="E32" s="37"/>
      <c r="G32" s="78">
        <f>'Schedule 6'!G13</f>
        <v>776.69908654176004</v>
      </c>
      <c r="I32" s="78">
        <f>'Schedule 6'!I13</f>
        <v>756.18791000000022</v>
      </c>
      <c r="J32" s="78">
        <f>'Schedule 6'!J13</f>
        <v>759.21225999999979</v>
      </c>
      <c r="K32" s="78">
        <f>'Schedule 6'!K13</f>
        <v>770.60046419999981</v>
      </c>
      <c r="L32" s="78">
        <f>'Schedule 6'!L13</f>
        <v>789.80853488399998</v>
      </c>
      <c r="M32" s="78">
        <f>'Schedule 6'!M13</f>
        <v>805.60470558168038</v>
      </c>
    </row>
    <row r="33" spans="1:13" s="34" customFormat="1">
      <c r="A33" s="34">
        <v>18</v>
      </c>
      <c r="C33" s="34" t="s">
        <v>276</v>
      </c>
      <c r="E33" s="37"/>
      <c r="G33" s="92">
        <f>-G17</f>
        <v>-120</v>
      </c>
      <c r="I33" s="92">
        <f>-I17</f>
        <v>-120.85194</v>
      </c>
      <c r="J33" s="92">
        <f>-J17</f>
        <v>-113.85104000000001</v>
      </c>
      <c r="K33" s="92">
        <f>-K17</f>
        <v>-119.99999999999987</v>
      </c>
      <c r="L33" s="92">
        <f t="shared" ref="L33:M33" si="4">-L17</f>
        <v>-119.99999999999987</v>
      </c>
      <c r="M33" s="92">
        <f t="shared" si="4"/>
        <v>-122.39999999999986</v>
      </c>
    </row>
    <row r="34" spans="1:13" s="34" customFormat="1">
      <c r="E34" s="37"/>
      <c r="G34" s="77"/>
      <c r="I34" s="77"/>
      <c r="J34" s="77"/>
      <c r="K34" s="77"/>
      <c r="L34" s="77"/>
      <c r="M34" s="77"/>
    </row>
    <row r="35" spans="1:13" s="34" customFormat="1">
      <c r="A35" s="34">
        <v>19</v>
      </c>
      <c r="C35" s="34" t="s">
        <v>277</v>
      </c>
      <c r="E35" s="37"/>
      <c r="G35" s="77">
        <f>G22+G33+G32+G31</f>
        <v>37314.181862513775</v>
      </c>
      <c r="I35" s="77">
        <f>I22+I33+I32+I31</f>
        <v>35138.602459999995</v>
      </c>
      <c r="J35" s="77">
        <f>J22+J33+J32+J31</f>
        <v>40149.619020000006</v>
      </c>
      <c r="K35" s="77">
        <f>K22+K33+K32+K31</f>
        <v>44013.636845109206</v>
      </c>
      <c r="L35" s="77">
        <f t="shared" ref="L35:M35" si="5">L22+L33+L32+L31</f>
        <v>46723.351478614357</v>
      </c>
      <c r="M35" s="77">
        <f t="shared" si="5"/>
        <v>46859.652266542922</v>
      </c>
    </row>
    <row r="36" spans="1:13">
      <c r="G36" s="19"/>
      <c r="I36" s="19"/>
      <c r="J36" s="19"/>
      <c r="K36" s="19"/>
    </row>
    <row r="37" spans="1:13">
      <c r="G37" s="19"/>
      <c r="I37" s="19"/>
      <c r="J37" s="19"/>
      <c r="K37" s="19"/>
    </row>
    <row r="38" spans="1:13" ht="18.75" customHeight="1">
      <c r="A38" s="57"/>
      <c r="C38" s="132"/>
      <c r="D38" s="132"/>
      <c r="E38" s="132"/>
      <c r="F38" s="132"/>
      <c r="G38" s="132"/>
      <c r="H38" s="132"/>
      <c r="I38" s="77"/>
      <c r="J38" s="77"/>
      <c r="K38" s="77"/>
      <c r="L38" s="77"/>
      <c r="M38" s="77"/>
    </row>
    <row r="39" spans="1:13" ht="18.75" customHeight="1">
      <c r="A39" s="57"/>
      <c r="C39" s="132"/>
      <c r="D39" s="132"/>
      <c r="E39" s="132"/>
      <c r="F39" s="132"/>
      <c r="G39" s="132"/>
      <c r="H39" s="132"/>
      <c r="I39" s="77"/>
      <c r="J39" s="77"/>
      <c r="K39" s="77"/>
      <c r="L39" s="77"/>
      <c r="M39" s="77"/>
    </row>
    <row r="40" spans="1:13">
      <c r="G40" s="35"/>
      <c r="I40" s="35"/>
      <c r="J40" s="35"/>
      <c r="K40" s="35"/>
    </row>
    <row r="43" spans="1:13">
      <c r="G43" s="79"/>
      <c r="I43" s="79"/>
      <c r="J43" s="79"/>
      <c r="K43" s="79"/>
    </row>
    <row r="45" spans="1:13">
      <c r="G45" s="80"/>
      <c r="I45" s="80"/>
      <c r="J45" s="80"/>
      <c r="K45" s="80"/>
    </row>
    <row r="47" spans="1:13">
      <c r="G47" s="60"/>
      <c r="I47" s="60"/>
      <c r="J47" s="60"/>
      <c r="K47" s="60"/>
    </row>
    <row r="49" spans="7:11">
      <c r="G49" s="80"/>
      <c r="I49" s="80"/>
      <c r="J49" s="80"/>
      <c r="K49" s="80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2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  <pageSetUpPr fitToPage="1"/>
  </sheetPr>
  <dimension ref="A1:AE58"/>
  <sheetViews>
    <sheetView tabSelected="1" view="pageBreakPreview" zoomScaleNormal="100" zoomScaleSheetLayoutView="100" workbookViewId="0">
      <pane ySplit="7" topLeftCell="A8" activePane="bottomLeft" state="frozen"/>
      <selection activeCell="H18" sqref="H18"/>
      <selection pane="bottomLeft" activeCell="J7" sqref="J7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42.26953125" style="1" customWidth="1"/>
    <col min="4" max="4" width="1.81640625" style="1" customWidth="1"/>
    <col min="5" max="5" width="9.1796875" style="4" customWidth="1"/>
    <col min="6" max="6" width="1.81640625" style="1" customWidth="1"/>
    <col min="7" max="7" width="12.6328125" style="1" customWidth="1"/>
    <col min="8" max="8" width="1.81640625" style="1" customWidth="1"/>
    <col min="9" max="9" width="11.26953125" style="1" customWidth="1"/>
    <col min="10" max="10" width="12.6328125" style="1" customWidth="1"/>
    <col min="11" max="12" width="11.26953125" style="1" customWidth="1"/>
    <col min="13" max="13" width="12.7265625" style="1" customWidth="1"/>
    <col min="19" max="20" width="9.1796875" style="1"/>
    <col min="21" max="21" width="10.26953125" style="1" bestFit="1" customWidth="1"/>
    <col min="22" max="16384" width="9.1796875" style="1"/>
  </cols>
  <sheetData>
    <row r="1" spans="1:13" ht="15">
      <c r="A1" s="9" t="s">
        <v>0</v>
      </c>
      <c r="M1" s="194" t="s">
        <v>5</v>
      </c>
    </row>
    <row r="2" spans="1:13">
      <c r="A2" s="10" t="s">
        <v>6</v>
      </c>
      <c r="M2" s="195" t="s">
        <v>551</v>
      </c>
    </row>
    <row r="3" spans="1:13">
      <c r="A3" s="10" t="s">
        <v>7</v>
      </c>
    </row>
    <row r="4" spans="1:13">
      <c r="A4" s="10"/>
    </row>
    <row r="5" spans="1:13">
      <c r="A5" s="10"/>
    </row>
    <row r="6" spans="1:13" s="4" customFormat="1">
      <c r="G6" s="11"/>
      <c r="I6" s="11"/>
      <c r="J6" s="11"/>
      <c r="K6" s="8"/>
      <c r="L6" s="8"/>
      <c r="M6" s="1"/>
    </row>
    <row r="7" spans="1:13" s="13" customFormat="1" ht="25">
      <c r="A7" s="12" t="s">
        <v>8</v>
      </c>
      <c r="C7" s="12" t="s">
        <v>9</v>
      </c>
      <c r="E7" s="12" t="s">
        <v>10</v>
      </c>
      <c r="G7" s="12" t="s">
        <v>432</v>
      </c>
      <c r="I7" s="12" t="s">
        <v>433</v>
      </c>
      <c r="J7" s="12" t="s">
        <v>552</v>
      </c>
      <c r="K7" s="12" t="s">
        <v>434</v>
      </c>
      <c r="L7" s="12" t="s">
        <v>435</v>
      </c>
      <c r="M7" s="12" t="s">
        <v>436</v>
      </c>
    </row>
    <row r="9" spans="1:13">
      <c r="A9" s="1">
        <v>1</v>
      </c>
      <c r="C9" s="8" t="s">
        <v>11</v>
      </c>
    </row>
    <row r="10" spans="1:13">
      <c r="A10" s="1">
        <f>A9+1</f>
        <v>2</v>
      </c>
      <c r="C10" s="1" t="s">
        <v>12</v>
      </c>
      <c r="E10" s="4" t="s">
        <v>315</v>
      </c>
      <c r="G10" s="14">
        <f>'Schedule 3'!G13</f>
        <v>891508.96603999985</v>
      </c>
      <c r="I10" s="14">
        <f>'Schedule 3'!I13</f>
        <v>796723.52518</v>
      </c>
      <c r="J10" s="14">
        <f>'Schedule 3'!J13</f>
        <v>843138.36502000003</v>
      </c>
      <c r="K10" s="14">
        <f>'Schedule 3'!K13</f>
        <v>946158.97946000006</v>
      </c>
      <c r="L10" s="14">
        <f>'Schedule 3'!L13</f>
        <v>1075805.7437200001</v>
      </c>
      <c r="M10" s="14">
        <f>'Schedule 3'!M13</f>
        <v>1198565.0779800001</v>
      </c>
    </row>
    <row r="11" spans="1:13">
      <c r="E11" s="4" t="s">
        <v>13</v>
      </c>
      <c r="G11" s="14"/>
      <c r="I11" s="14"/>
      <c r="J11" s="14"/>
      <c r="K11" s="14"/>
      <c r="L11" s="14"/>
      <c r="M11" s="14"/>
    </row>
    <row r="12" spans="1:13">
      <c r="C12" s="1" t="s">
        <v>14</v>
      </c>
      <c r="G12" s="14"/>
      <c r="I12" s="14"/>
      <c r="J12" s="14"/>
      <c r="K12" s="14"/>
      <c r="L12" s="14"/>
      <c r="M12" s="14"/>
    </row>
    <row r="13" spans="1:13">
      <c r="A13" s="1">
        <f>A10+1</f>
        <v>3</v>
      </c>
      <c r="C13" s="1" t="s">
        <v>15</v>
      </c>
      <c r="E13" s="4" t="s">
        <v>201</v>
      </c>
      <c r="G13" s="14">
        <f>'Schedule 3'!G19</f>
        <v>238671.18309000001</v>
      </c>
      <c r="I13" s="14">
        <f>'Schedule 3'!I19</f>
        <v>224234.18439000001</v>
      </c>
      <c r="J13" s="14">
        <f>'Schedule 3'!J19</f>
        <v>239951.13613</v>
      </c>
      <c r="K13" s="14">
        <f>'Schedule 3'!K19</f>
        <v>260507.38939999999</v>
      </c>
      <c r="L13" s="14">
        <f>'Schedule 3'!L19</f>
        <v>285017.33042999997</v>
      </c>
      <c r="M13" s="14">
        <f>'Schedule 3'!M19</f>
        <v>312853.71550999995</v>
      </c>
    </row>
    <row r="14" spans="1:13">
      <c r="G14" s="14"/>
      <c r="I14" s="14"/>
      <c r="J14" s="14"/>
      <c r="K14" s="14"/>
      <c r="L14" s="14"/>
      <c r="M14" s="14"/>
    </row>
    <row r="15" spans="1:13">
      <c r="A15" s="1">
        <f>A13+1</f>
        <v>4</v>
      </c>
      <c r="C15" s="1" t="s">
        <v>16</v>
      </c>
      <c r="E15" s="4" t="s">
        <v>19</v>
      </c>
      <c r="G15" s="14">
        <f>'Schedule 3'!G26</f>
        <v>116829.42595999998</v>
      </c>
      <c r="I15" s="14">
        <f>'Schedule 3'!I26</f>
        <v>68675.469869999986</v>
      </c>
      <c r="J15" s="14">
        <f>'Schedule 3'!J26</f>
        <v>100142.84435</v>
      </c>
      <c r="K15" s="14">
        <f>'Schedule 3'!K26</f>
        <v>108095.72901000002</v>
      </c>
      <c r="L15" s="14">
        <f>'Schedule 3'!L26</f>
        <v>78710.572460000025</v>
      </c>
      <c r="M15" s="14">
        <f>'Schedule 3'!M26</f>
        <v>119573.66015000001</v>
      </c>
    </row>
    <row r="16" spans="1:13">
      <c r="A16" s="1">
        <f>A15+1</f>
        <v>5</v>
      </c>
      <c r="C16" s="1" t="s">
        <v>18</v>
      </c>
      <c r="E16" s="4" t="s">
        <v>17</v>
      </c>
      <c r="G16" s="14">
        <f>'Schedule 3'!G24</f>
        <v>854.0401621111107</v>
      </c>
      <c r="I16" s="14">
        <f>'Schedule 3'!I24</f>
        <v>-140.50877341666705</v>
      </c>
      <c r="J16" s="14">
        <f>'Schedule 3'!J24</f>
        <v>1522.7241683222908</v>
      </c>
      <c r="K16" s="14">
        <f>'Schedule 3'!K24</f>
        <v>1455.2522670890264</v>
      </c>
      <c r="L16" s="14">
        <f>'Schedule 3'!L24</f>
        <v>1387.7803658557621</v>
      </c>
      <c r="M16" s="14">
        <f>'Schedule 3'!M24</f>
        <v>1320.3084646224977</v>
      </c>
    </row>
    <row r="17" spans="1:31">
      <c r="A17" s="1">
        <f>A16+1</f>
        <v>6</v>
      </c>
      <c r="C17" s="1" t="s">
        <v>20</v>
      </c>
      <c r="E17" s="4" t="s">
        <v>395</v>
      </c>
      <c r="G17" s="17">
        <f>'Schedule 3'!G32</f>
        <v>1750.8411599999995</v>
      </c>
      <c r="I17" s="17">
        <f>'Schedule 3'!I32</f>
        <v>2148.2762799999996</v>
      </c>
      <c r="J17" s="17">
        <f>'Schedule 3'!J32</f>
        <v>82.51127999999926</v>
      </c>
      <c r="K17" s="17">
        <f>'Schedule 3'!K32</f>
        <v>329.10727999999972</v>
      </c>
      <c r="L17" s="17">
        <f>'Schedule 3'!L32</f>
        <v>575.70327999999972</v>
      </c>
      <c r="M17" s="17">
        <f>'Schedule 3'!M32</f>
        <v>822.29927999999973</v>
      </c>
    </row>
    <row r="18" spans="1:31">
      <c r="A18" s="1">
        <f>A17+1</f>
        <v>7</v>
      </c>
      <c r="C18" s="1" t="s">
        <v>21</v>
      </c>
      <c r="G18" s="14">
        <f>SUM(G13:G17)</f>
        <v>358105.49037211109</v>
      </c>
      <c r="I18" s="14">
        <f>SUM(I13:I17)</f>
        <v>294917.42176658328</v>
      </c>
      <c r="J18" s="14">
        <f>SUM(J13:J17)</f>
        <v>341699.21592832229</v>
      </c>
      <c r="K18" s="14">
        <f>SUM(K13:K17)</f>
        <v>370387.47795708902</v>
      </c>
      <c r="L18" s="14">
        <f>SUM(L13:L17)</f>
        <v>365691.38653585583</v>
      </c>
      <c r="M18" s="14">
        <f>SUM(M13:M17)</f>
        <v>434569.98340462241</v>
      </c>
    </row>
    <row r="19" spans="1:31">
      <c r="G19" s="14"/>
      <c r="I19" s="14"/>
      <c r="J19" s="14"/>
      <c r="K19" s="14"/>
      <c r="L19" s="14"/>
      <c r="M19" s="14"/>
    </row>
    <row r="20" spans="1:31">
      <c r="C20" s="1" t="s">
        <v>22</v>
      </c>
      <c r="G20" s="14"/>
      <c r="I20" s="14"/>
      <c r="J20" s="14"/>
      <c r="K20" s="14"/>
      <c r="L20" s="14"/>
      <c r="M20" s="14"/>
      <c r="S20" s="14"/>
      <c r="T20" s="14"/>
      <c r="U20" s="14"/>
      <c r="V20" s="14"/>
      <c r="W20" s="14"/>
      <c r="X20" s="14"/>
      <c r="Y20" s="14"/>
      <c r="Z20" s="14"/>
      <c r="AA20" s="14"/>
      <c r="AC20" s="14"/>
      <c r="AD20" s="14"/>
      <c r="AE20" s="14"/>
    </row>
    <row r="21" spans="1:31">
      <c r="A21" s="1">
        <f>A18+1</f>
        <v>8</v>
      </c>
      <c r="C21" s="1" t="s">
        <v>387</v>
      </c>
      <c r="E21" s="4" t="s">
        <v>396</v>
      </c>
      <c r="G21" s="15">
        <f>'Schedule 3'!G106</f>
        <v>64819.315310999991</v>
      </c>
      <c r="I21" s="15">
        <f>'Schedule 3'!I106</f>
        <v>51591.04764099999</v>
      </c>
      <c r="J21" s="15">
        <f>'Schedule 3'!J106</f>
        <v>54407.587701000019</v>
      </c>
      <c r="K21" s="15">
        <f>'Schedule 3'!K106</f>
        <v>57724.301851000004</v>
      </c>
      <c r="L21" s="15">
        <f>'Schedule 3'!L106</f>
        <v>55192.618030999998</v>
      </c>
      <c r="M21" s="15">
        <f>'Schedule 3'!M106</f>
        <v>50473.61555100001</v>
      </c>
      <c r="S21" s="14"/>
      <c r="T21" s="14"/>
      <c r="U21" s="14"/>
      <c r="V21" s="14"/>
      <c r="W21" s="14"/>
      <c r="Y21" s="14"/>
      <c r="Z21" s="14"/>
      <c r="AA21" s="14"/>
      <c r="AC21" s="14"/>
      <c r="AD21" s="14"/>
      <c r="AE21" s="14"/>
    </row>
    <row r="22" spans="1:31">
      <c r="A22" s="1">
        <f>A21+1</f>
        <v>9</v>
      </c>
      <c r="C22" s="1" t="s">
        <v>388</v>
      </c>
      <c r="E22" s="4" t="s">
        <v>417</v>
      </c>
      <c r="G22" s="15">
        <f>'Schedule 3'!G108</f>
        <v>38780.100539999999</v>
      </c>
      <c r="I22" s="15">
        <f>'Schedule 3'!I108</f>
        <v>32680.026580000002</v>
      </c>
      <c r="J22" s="15">
        <f>'Schedule 3'!J108</f>
        <v>27207.2435</v>
      </c>
      <c r="K22" s="15">
        <f>'Schedule 3'!K108</f>
        <v>19701.1993</v>
      </c>
      <c r="L22" s="15">
        <f>'Schedule 3'!L108</f>
        <v>13229.773020000001</v>
      </c>
      <c r="M22" s="15">
        <f>'Schedule 3'!M108</f>
        <v>4975.2451700000001</v>
      </c>
      <c r="S22" s="14"/>
      <c r="T22" s="14"/>
      <c r="U22" s="14"/>
      <c r="V22" s="14"/>
      <c r="W22" s="14"/>
      <c r="Y22" s="14"/>
      <c r="Z22" s="14"/>
      <c r="AA22" s="14"/>
      <c r="AC22" s="14"/>
      <c r="AD22" s="14"/>
      <c r="AE22" s="14"/>
    </row>
    <row r="23" spans="1:31">
      <c r="A23" s="1">
        <f>A22+1</f>
        <v>10</v>
      </c>
      <c r="C23" s="1" t="s">
        <v>24</v>
      </c>
      <c r="G23" s="18">
        <f>G21-G22</f>
        <v>26039.214770999992</v>
      </c>
      <c r="I23" s="18">
        <f>I21-I22</f>
        <v>18911.021060999989</v>
      </c>
      <c r="J23" s="18">
        <f>J21-J22</f>
        <v>27200.344201000018</v>
      </c>
      <c r="K23" s="18">
        <f>K21-K22</f>
        <v>38023.102551000004</v>
      </c>
      <c r="L23" s="18">
        <f>L21-L22</f>
        <v>41962.845010999998</v>
      </c>
      <c r="M23" s="18">
        <f>M21-M22</f>
        <v>45498.370381000008</v>
      </c>
      <c r="S23" s="16"/>
      <c r="U23" s="16"/>
      <c r="V23" s="16"/>
      <c r="W23" s="16"/>
      <c r="Y23" s="16"/>
      <c r="Z23" s="16"/>
      <c r="AA23" s="16"/>
      <c r="AC23" s="16"/>
      <c r="AD23" s="16"/>
      <c r="AE23" s="16"/>
    </row>
    <row r="24" spans="1:31">
      <c r="G24" s="15"/>
      <c r="I24" s="15"/>
      <c r="J24" s="15"/>
      <c r="K24" s="15"/>
      <c r="L24" s="15"/>
      <c r="M24" s="15"/>
      <c r="S24" s="14"/>
      <c r="T24" s="14"/>
      <c r="U24" s="14"/>
      <c r="V24" s="14"/>
      <c r="W24" s="14"/>
      <c r="Y24" s="14"/>
      <c r="Z24" s="14"/>
      <c r="AA24" s="14"/>
      <c r="AC24" s="14"/>
      <c r="AD24" s="14"/>
      <c r="AE24" s="14"/>
    </row>
    <row r="25" spans="1:31">
      <c r="C25" s="8" t="s">
        <v>25</v>
      </c>
      <c r="G25" s="14"/>
      <c r="I25" s="14"/>
      <c r="J25" s="14"/>
      <c r="K25" s="14"/>
      <c r="L25" s="14"/>
      <c r="M25" s="14"/>
      <c r="Y25" s="16"/>
      <c r="Z25" s="16"/>
      <c r="AA25" s="16"/>
      <c r="AD25" s="16"/>
      <c r="AE25" s="16"/>
    </row>
    <row r="26" spans="1:31">
      <c r="A26" s="1">
        <f>A23+1</f>
        <v>11</v>
      </c>
      <c r="C26" s="1" t="s">
        <v>26</v>
      </c>
      <c r="E26" s="4" t="s">
        <v>418</v>
      </c>
      <c r="G26" s="14">
        <f>G10-G18+G23</f>
        <v>559442.69043888873</v>
      </c>
      <c r="I26" s="14">
        <f>I10-I18+I23</f>
        <v>520717.12447441672</v>
      </c>
      <c r="J26" s="14">
        <f>J10-J18+J23</f>
        <v>528639.4932926778</v>
      </c>
      <c r="K26" s="14">
        <f>K10-K18+K23</f>
        <v>613794.60405391105</v>
      </c>
      <c r="L26" s="14">
        <f>L10-L18+L23</f>
        <v>752077.20219514426</v>
      </c>
      <c r="M26" s="14">
        <f>M10-M18+M23</f>
        <v>809493.46495637763</v>
      </c>
      <c r="Y26" s="16"/>
      <c r="Z26" s="16"/>
      <c r="AA26" s="16"/>
      <c r="AB26" s="16"/>
      <c r="AC26" s="16"/>
      <c r="AD26" s="14"/>
      <c r="AE26" s="14"/>
    </row>
    <row r="27" spans="1:31">
      <c r="A27" s="1">
        <f>A26+1</f>
        <v>12</v>
      </c>
      <c r="C27" s="1" t="s">
        <v>27</v>
      </c>
      <c r="G27" s="17">
        <v>519440.24851144431</v>
      </c>
      <c r="I27" s="17">
        <v>478860.90882075269</v>
      </c>
      <c r="J27" s="17">
        <f>I26</f>
        <v>520717.12447441672</v>
      </c>
      <c r="K27" s="17">
        <f>J26</f>
        <v>528639.4932926778</v>
      </c>
      <c r="L27" s="17">
        <f>K26</f>
        <v>613794.60405391105</v>
      </c>
      <c r="M27" s="17">
        <f>L26</f>
        <v>752077.20219514426</v>
      </c>
      <c r="Y27" s="16"/>
      <c r="Z27" s="16"/>
      <c r="AA27" s="16"/>
    </row>
    <row r="28" spans="1:31">
      <c r="G28" s="14"/>
      <c r="I28" s="14"/>
      <c r="J28" s="14"/>
      <c r="K28" s="14"/>
      <c r="L28" s="14"/>
      <c r="M28" s="14"/>
    </row>
    <row r="29" spans="1:31">
      <c r="A29" s="1">
        <f>A27+1</f>
        <v>13</v>
      </c>
      <c r="C29" s="1" t="s">
        <v>29</v>
      </c>
      <c r="G29" s="14">
        <f>(G27+G26)/2</f>
        <v>539441.46947516652</v>
      </c>
      <c r="I29" s="14">
        <f>(I27+I26)/2</f>
        <v>499789.01664758474</v>
      </c>
      <c r="J29" s="14">
        <f>(J27+J26)/2</f>
        <v>524678.30888354732</v>
      </c>
      <c r="K29" s="14">
        <f>(K27+K26)/2</f>
        <v>571217.04867329448</v>
      </c>
      <c r="L29" s="14">
        <f>(L27+L26)/2</f>
        <v>682935.90312452766</v>
      </c>
      <c r="M29" s="14">
        <f>(M27+M26)/2</f>
        <v>780785.33357576095</v>
      </c>
    </row>
    <row r="30" spans="1:31">
      <c r="G30" s="14"/>
      <c r="I30" s="14"/>
      <c r="J30" s="14"/>
      <c r="K30" s="14"/>
      <c r="L30" s="14"/>
      <c r="M30" s="14"/>
    </row>
    <row r="31" spans="1:31">
      <c r="A31" s="1">
        <f>A29+1</f>
        <v>14</v>
      </c>
      <c r="C31" s="1" t="s">
        <v>30</v>
      </c>
      <c r="E31" s="4" t="s">
        <v>31</v>
      </c>
      <c r="G31" s="17">
        <f>'Schedule 2'!G21</f>
        <v>8696.8057530924252</v>
      </c>
      <c r="I31" s="17">
        <f>'Schedule 2'!I21</f>
        <v>8242.374903482023</v>
      </c>
      <c r="J31" s="17">
        <f>'Schedule 2'!J21</f>
        <v>8918.9740113573207</v>
      </c>
      <c r="K31" s="17">
        <f>'Schedule 2'!K21</f>
        <v>9636.4421784009519</v>
      </c>
      <c r="L31" s="17">
        <f>'Schedule 2'!L21</f>
        <v>9975.7534995390797</v>
      </c>
      <c r="M31" s="17">
        <f>'Schedule 2'!M21</f>
        <v>10059.837564770642</v>
      </c>
    </row>
    <row r="32" spans="1:31">
      <c r="G32" s="15"/>
      <c r="I32" s="15"/>
      <c r="J32" s="15"/>
      <c r="K32" s="15"/>
      <c r="L32" s="15"/>
      <c r="M32" s="15"/>
    </row>
    <row r="33" spans="1:27">
      <c r="G33" s="15"/>
      <c r="I33" s="15"/>
      <c r="J33" s="15"/>
      <c r="K33" s="15"/>
      <c r="L33" s="15"/>
      <c r="M33" s="15"/>
    </row>
    <row r="34" spans="1:27">
      <c r="A34" s="1">
        <f>A31+1</f>
        <v>15</v>
      </c>
      <c r="C34" s="8" t="s">
        <v>32</v>
      </c>
      <c r="G34" s="14">
        <f>G29+G31</f>
        <v>548138.27522825892</v>
      </c>
      <c r="I34" s="14">
        <f>I29+I31</f>
        <v>508031.39155106677</v>
      </c>
      <c r="J34" s="14">
        <f>J29+J31</f>
        <v>533597.28289490461</v>
      </c>
      <c r="K34" s="14">
        <f>K29+K31</f>
        <v>580853.49085169542</v>
      </c>
      <c r="L34" s="14">
        <f>L29+L31</f>
        <v>692911.65662406676</v>
      </c>
      <c r="M34" s="14">
        <f>M29+M31</f>
        <v>790845.17114053154</v>
      </c>
    </row>
    <row r="35" spans="1:27">
      <c r="G35" s="15"/>
      <c r="I35" s="15"/>
      <c r="J35" s="15"/>
      <c r="K35" s="15"/>
      <c r="L35" s="15"/>
      <c r="M35" s="15"/>
    </row>
    <row r="36" spans="1:27">
      <c r="C36" s="1" t="s">
        <v>14</v>
      </c>
      <c r="G36" s="14"/>
      <c r="I36" s="14"/>
      <c r="J36" s="14"/>
      <c r="K36" s="14"/>
      <c r="L36" s="14"/>
      <c r="M36" s="14"/>
      <c r="S36" s="16"/>
      <c r="U36" s="16"/>
      <c r="V36" s="16"/>
      <c r="W36" s="16"/>
      <c r="Y36" s="16"/>
      <c r="Z36" s="16"/>
      <c r="AA36" s="16"/>
    </row>
    <row r="37" spans="1:27">
      <c r="C37" s="8" t="s">
        <v>308</v>
      </c>
      <c r="G37" s="14"/>
      <c r="I37" s="14"/>
      <c r="J37" s="14"/>
      <c r="K37" s="14"/>
      <c r="L37" s="14"/>
      <c r="M37" s="14"/>
      <c r="S37" s="16"/>
      <c r="U37" s="19"/>
      <c r="V37" s="19"/>
      <c r="Y37" s="16"/>
      <c r="Z37" s="16"/>
      <c r="AA37" s="16"/>
    </row>
    <row r="38" spans="1:27">
      <c r="A38" s="1">
        <f>A34+1</f>
        <v>16</v>
      </c>
      <c r="C38" s="1" t="s">
        <v>26</v>
      </c>
      <c r="G38" s="14">
        <v>264508.87426000001</v>
      </c>
      <c r="I38" s="14">
        <v>258304.73963</v>
      </c>
      <c r="J38" s="14">
        <v>262396.45662999997</v>
      </c>
      <c r="K38" s="14">
        <v>265453.18183999998</v>
      </c>
      <c r="L38" s="14">
        <v>265853.18183999998</v>
      </c>
      <c r="M38" s="14">
        <v>266253.18183999998</v>
      </c>
      <c r="S38" s="16"/>
      <c r="U38" s="16"/>
      <c r="V38" s="16"/>
      <c r="W38" s="16"/>
      <c r="Y38" s="16"/>
      <c r="Z38" s="16"/>
      <c r="AA38" s="16"/>
    </row>
    <row r="39" spans="1:27">
      <c r="A39" s="1">
        <f>A38+1</f>
        <v>17</v>
      </c>
      <c r="C39" s="1" t="s">
        <v>33</v>
      </c>
      <c r="G39" s="17">
        <v>26515.609039999999</v>
      </c>
      <c r="I39" s="17">
        <v>18336.50923</v>
      </c>
      <c r="J39" s="17">
        <v>21395.648559999998</v>
      </c>
      <c r="K39" s="17">
        <v>16669.669710000002</v>
      </c>
      <c r="L39" s="17">
        <v>169.67</v>
      </c>
      <c r="M39" s="17">
        <v>169.67</v>
      </c>
    </row>
    <row r="40" spans="1:27">
      <c r="A40" s="1">
        <f>A39+1</f>
        <v>18</v>
      </c>
      <c r="C40" s="1" t="s">
        <v>34</v>
      </c>
      <c r="G40" s="14">
        <f>G38-G39</f>
        <v>237993.26522</v>
      </c>
      <c r="I40" s="14">
        <f>I38-I39</f>
        <v>239968.2304</v>
      </c>
      <c r="J40" s="14">
        <f>J38-J39</f>
        <v>241000.80806999997</v>
      </c>
      <c r="K40" s="14">
        <f>K38-K39</f>
        <v>248783.51212999999</v>
      </c>
      <c r="L40" s="14">
        <f>L38-L39</f>
        <v>265683.51183999999</v>
      </c>
      <c r="M40" s="14">
        <f>M38-M39</f>
        <v>266083.51183999999</v>
      </c>
    </row>
    <row r="41" spans="1:27">
      <c r="A41" s="1">
        <f>A40+1</f>
        <v>19</v>
      </c>
      <c r="C41" s="1" t="s">
        <v>35</v>
      </c>
      <c r="G41" s="17">
        <v>63971.36623</v>
      </c>
      <c r="I41" s="17">
        <v>59326.632490000004</v>
      </c>
      <c r="J41" s="17">
        <v>64784.582519999996</v>
      </c>
      <c r="K41" s="17">
        <v>71859.311620000008</v>
      </c>
      <c r="L41" s="17">
        <v>79445.111730000004</v>
      </c>
      <c r="M41" s="17">
        <v>87450.155339999998</v>
      </c>
      <c r="S41" s="19"/>
    </row>
    <row r="42" spans="1:27">
      <c r="A42" s="1">
        <f>A41+1</f>
        <v>20</v>
      </c>
      <c r="C42" s="1" t="s">
        <v>36</v>
      </c>
      <c r="G42" s="14">
        <f>G40-G41</f>
        <v>174021.89899000002</v>
      </c>
      <c r="I42" s="14">
        <f>I40-I41</f>
        <v>180641.59791000001</v>
      </c>
      <c r="J42" s="14">
        <f>J40-J41</f>
        <v>176216.22554999997</v>
      </c>
      <c r="K42" s="14">
        <f>K40-K41</f>
        <v>176924.20051</v>
      </c>
      <c r="L42" s="14">
        <f>L40-L41</f>
        <v>186238.40010999999</v>
      </c>
      <c r="M42" s="14">
        <f>M40-M41</f>
        <v>178633.35649999999</v>
      </c>
      <c r="S42" s="16"/>
      <c r="Z42" s="16"/>
      <c r="AA42" s="16"/>
    </row>
    <row r="43" spans="1:27">
      <c r="G43" s="14"/>
      <c r="I43" s="14"/>
      <c r="J43" s="14"/>
      <c r="K43" s="14"/>
      <c r="L43" s="14"/>
      <c r="M43" s="14"/>
      <c r="S43" s="20"/>
      <c r="Z43" s="16"/>
      <c r="AA43" s="16"/>
    </row>
    <row r="44" spans="1:27">
      <c r="A44" s="1">
        <f>A42+1</f>
        <v>21</v>
      </c>
      <c r="C44" s="1" t="s">
        <v>27</v>
      </c>
      <c r="G44" s="17">
        <v>178055.01205999998</v>
      </c>
      <c r="I44" s="155">
        <v>181613.43411</v>
      </c>
      <c r="J44" s="17">
        <f>I42</f>
        <v>180641.59791000001</v>
      </c>
      <c r="K44" s="17">
        <f>J42</f>
        <v>176216.22554999997</v>
      </c>
      <c r="L44" s="17">
        <f>K42</f>
        <v>176924.20051</v>
      </c>
      <c r="M44" s="17">
        <f>L42</f>
        <v>186238.40010999999</v>
      </c>
      <c r="S44" s="20"/>
    </row>
    <row r="45" spans="1:27">
      <c r="G45" s="14"/>
      <c r="I45" s="14"/>
      <c r="J45" s="14"/>
      <c r="K45" s="14"/>
      <c r="L45" s="14"/>
      <c r="M45" s="14"/>
    </row>
    <row r="46" spans="1:27">
      <c r="A46" s="1">
        <f>A44+1</f>
        <v>22</v>
      </c>
      <c r="C46" s="1" t="s">
        <v>29</v>
      </c>
      <c r="G46" s="17">
        <f>(G42+G44)/2</f>
        <v>176038.455525</v>
      </c>
      <c r="I46" s="17">
        <f>(I42+I44)/2</f>
        <v>181127.51601000002</v>
      </c>
      <c r="J46" s="17">
        <f>(J42+J44)/2</f>
        <v>178428.91172999999</v>
      </c>
      <c r="K46" s="17">
        <f>(K42+K44)/2</f>
        <v>176570.21302999998</v>
      </c>
      <c r="L46" s="17">
        <f>(L42+L44)/2</f>
        <v>181581.30030999999</v>
      </c>
      <c r="M46" s="17">
        <f>(M42+M44)/2</f>
        <v>182435.87830499999</v>
      </c>
      <c r="Z46" s="16"/>
      <c r="AA46" s="16"/>
    </row>
    <row r="47" spans="1:27">
      <c r="G47" s="14"/>
      <c r="I47" s="14"/>
      <c r="J47" s="14"/>
      <c r="K47" s="14"/>
      <c r="L47" s="14"/>
      <c r="M47" s="14"/>
    </row>
    <row r="48" spans="1:27" ht="13" thickBot="1">
      <c r="A48" s="1">
        <f>A46+1</f>
        <v>23</v>
      </c>
      <c r="C48" s="8" t="s">
        <v>37</v>
      </c>
      <c r="E48" s="4" t="s">
        <v>38</v>
      </c>
      <c r="G48" s="21">
        <f>G34-G46</f>
        <v>372099.81970325892</v>
      </c>
      <c r="I48" s="21">
        <f>I34-I46</f>
        <v>326903.87554106675</v>
      </c>
      <c r="J48" s="21">
        <f>J34-J46</f>
        <v>355168.37116490462</v>
      </c>
      <c r="K48" s="21">
        <f>K34-K46</f>
        <v>404283.27782169543</v>
      </c>
      <c r="L48" s="21">
        <f>L34-L46</f>
        <v>511330.3563140668</v>
      </c>
      <c r="M48" s="21">
        <f>M34-M46</f>
        <v>608409.29283553152</v>
      </c>
    </row>
    <row r="49" spans="3:13">
      <c r="G49" s="14"/>
      <c r="I49" s="14"/>
      <c r="J49" s="14"/>
      <c r="K49" s="14"/>
      <c r="L49" s="14"/>
    </row>
    <row r="50" spans="3:13">
      <c r="C50" s="1" t="s">
        <v>39</v>
      </c>
      <c r="G50" s="14"/>
      <c r="I50" s="14"/>
      <c r="J50" s="14"/>
      <c r="K50" s="14"/>
      <c r="L50" s="14"/>
    </row>
    <row r="51" spans="3:13" ht="31.5" customHeight="1">
      <c r="C51" s="232" t="s">
        <v>397</v>
      </c>
      <c r="D51" s="232"/>
      <c r="E51" s="232"/>
      <c r="F51" s="232"/>
      <c r="G51" s="232"/>
      <c r="H51" s="232"/>
      <c r="I51" s="232"/>
      <c r="J51" s="232"/>
      <c r="K51" s="232"/>
      <c r="L51" s="232"/>
      <c r="M51" s="232"/>
    </row>
    <row r="52" spans="3:13">
      <c r="C52" s="232"/>
      <c r="D52" s="232"/>
      <c r="E52" s="232"/>
      <c r="F52" s="232"/>
      <c r="G52" s="22"/>
      <c r="H52" s="22"/>
      <c r="I52" s="22"/>
      <c r="J52" s="22"/>
      <c r="K52" s="22"/>
      <c r="L52" s="22"/>
    </row>
    <row r="53" spans="3:13">
      <c r="G53" s="16"/>
      <c r="I53" s="16"/>
      <c r="J53" s="16"/>
      <c r="K53" s="16"/>
      <c r="L53" s="16"/>
      <c r="M53" s="16"/>
    </row>
    <row r="54" spans="3:13">
      <c r="G54" s="61"/>
      <c r="H54" s="61"/>
      <c r="I54" s="61"/>
      <c r="J54" s="61"/>
      <c r="K54" s="61"/>
      <c r="L54" s="61"/>
      <c r="M54" s="61"/>
    </row>
    <row r="55" spans="3:13">
      <c r="J55" s="16"/>
      <c r="L55" s="187"/>
      <c r="M55" s="187"/>
    </row>
    <row r="56" spans="3:13">
      <c r="I56" s="16"/>
      <c r="J56" s="16"/>
      <c r="K56" s="16"/>
      <c r="L56" s="16"/>
      <c r="M56" s="16"/>
    </row>
    <row r="57" spans="3:13">
      <c r="I57" s="16"/>
      <c r="J57" s="16"/>
      <c r="K57" s="16"/>
      <c r="L57" s="16"/>
      <c r="M57" s="16"/>
    </row>
    <row r="58" spans="3:13">
      <c r="I58" s="187"/>
    </row>
  </sheetData>
  <mergeCells count="2">
    <mergeCell ref="C52:F52"/>
    <mergeCell ref="C51:M51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3" orientation="portrait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  <pageSetUpPr fitToPage="1"/>
  </sheetPr>
  <dimension ref="A1:M44"/>
  <sheetViews>
    <sheetView showGridLines="0" view="pageBreakPreview" zoomScaleSheetLayoutView="100" workbookViewId="0">
      <selection activeCell="H3" sqref="H3"/>
    </sheetView>
  </sheetViews>
  <sheetFormatPr defaultColWidth="9.1796875" defaultRowHeight="12.5"/>
  <cols>
    <col min="1" max="1" width="5.26953125" style="94" customWidth="1"/>
    <col min="2" max="2" width="1.81640625" style="94" customWidth="1"/>
    <col min="3" max="3" width="22.54296875" style="94" customWidth="1"/>
    <col min="4" max="4" width="1.81640625" style="94" customWidth="1"/>
    <col min="5" max="5" width="14.7265625" style="95" bestFit="1" customWidth="1"/>
    <col min="6" max="6" width="1.81640625" style="94" customWidth="1"/>
    <col min="7" max="7" width="11.7265625" style="94" customWidth="1"/>
    <col min="8" max="8" width="1.81640625" style="94" customWidth="1"/>
    <col min="9" max="9" width="11.26953125" style="94" customWidth="1"/>
    <col min="10" max="10" width="13.1796875" style="94" customWidth="1"/>
    <col min="11" max="12" width="11.26953125" style="94" customWidth="1"/>
    <col min="13" max="13" width="12.453125" style="94" customWidth="1"/>
    <col min="14" max="16384" width="9.1796875" style="94"/>
  </cols>
  <sheetData>
    <row r="1" spans="1:13" ht="15">
      <c r="A1" s="93" t="s">
        <v>0</v>
      </c>
      <c r="G1" s="96"/>
      <c r="I1" s="96"/>
      <c r="M1" s="198" t="s">
        <v>278</v>
      </c>
    </row>
    <row r="2" spans="1:13">
      <c r="A2" s="97" t="s">
        <v>279</v>
      </c>
      <c r="G2" s="98"/>
      <c r="I2" s="98"/>
      <c r="M2" s="195" t="str">
        <f>'Schedule 1'!$M$2</f>
        <v>2025-27 GRA CF</v>
      </c>
    </row>
    <row r="3" spans="1:13">
      <c r="A3" s="97" t="s">
        <v>7</v>
      </c>
      <c r="G3" s="98"/>
      <c r="I3" s="98"/>
    </row>
    <row r="6" spans="1:13" s="95" customFormat="1" ht="13.5" customHeight="1">
      <c r="G6" s="98"/>
      <c r="I6" s="98"/>
      <c r="J6" s="11"/>
      <c r="K6" s="66"/>
      <c r="L6" s="66"/>
      <c r="M6" s="66"/>
    </row>
    <row r="7" spans="1:13" s="100" customFormat="1" ht="25">
      <c r="A7" s="99" t="s">
        <v>8</v>
      </c>
      <c r="C7" s="99" t="s">
        <v>9</v>
      </c>
      <c r="E7" s="99" t="s">
        <v>10</v>
      </c>
      <c r="G7" s="12" t="str">
        <f>'Schedule 1'!G7</f>
        <v>2024 GRA
Compliance</v>
      </c>
      <c r="I7" s="12" t="str">
        <f>'Schedule 1'!I7</f>
        <v>Actual 2023</v>
      </c>
      <c r="J7" s="12" t="str">
        <f>'Schedule 1'!J7</f>
        <v>Prlm. Actual 2024</v>
      </c>
      <c r="K7" s="12" t="str">
        <f>'Schedule 1'!K7</f>
        <v>Forecast 2025</v>
      </c>
      <c r="L7" s="12" t="str">
        <f>'Schedule 1'!L7</f>
        <v>Forecast 2026</v>
      </c>
      <c r="M7" s="12" t="str">
        <f>'Schedule 1'!M7</f>
        <v>Forecast 2027</v>
      </c>
    </row>
    <row r="9" spans="1:13">
      <c r="A9" s="94">
        <v>1</v>
      </c>
      <c r="C9" s="66" t="s">
        <v>318</v>
      </c>
      <c r="E9" s="95" t="s">
        <v>319</v>
      </c>
      <c r="G9" s="90">
        <v>119.8104326923077</v>
      </c>
      <c r="H9" s="90"/>
      <c r="I9" s="90">
        <v>113.66</v>
      </c>
      <c r="J9" s="90">
        <v>123.46000000000001</v>
      </c>
      <c r="K9" s="90">
        <v>128.94</v>
      </c>
      <c r="L9" s="90">
        <v>139.84</v>
      </c>
      <c r="M9" s="90">
        <v>144.44</v>
      </c>
    </row>
    <row r="11" spans="1:13">
      <c r="A11" s="94">
        <f>A9+1</f>
        <v>2</v>
      </c>
      <c r="C11" s="66" t="s">
        <v>320</v>
      </c>
      <c r="E11" s="94"/>
      <c r="G11" s="72">
        <f>SUM(G12:G13)</f>
        <v>19651.05678806212</v>
      </c>
      <c r="H11" s="72"/>
      <c r="I11" s="72">
        <f>SUM(I12:I13)</f>
        <v>18330.499100000001</v>
      </c>
      <c r="J11" s="72">
        <f>SUM(J12:J13)</f>
        <v>21108.165300000001</v>
      </c>
      <c r="K11" s="72">
        <f>SUM(K12:K13)</f>
        <v>23710.933728452183</v>
      </c>
      <c r="L11" s="72">
        <f>SUM(L12:L13)</f>
        <v>25589.023927204405</v>
      </c>
      <c r="M11" s="72">
        <f>SUM(M12:M13)</f>
        <v>26296.376394165447</v>
      </c>
    </row>
    <row r="12" spans="1:13">
      <c r="A12" s="94">
        <f>A11+1</f>
        <v>3</v>
      </c>
      <c r="C12" s="68" t="s">
        <v>322</v>
      </c>
      <c r="E12" s="95" t="s">
        <v>321</v>
      </c>
      <c r="G12" s="72">
        <f>G22</f>
        <v>16131.584517821524</v>
      </c>
      <c r="H12" s="72"/>
      <c r="I12" s="72">
        <f>I22</f>
        <v>15185.837019999999</v>
      </c>
      <c r="J12" s="72">
        <f>J22</f>
        <v>17057.763640000001</v>
      </c>
      <c r="K12" s="72">
        <f>K22</f>
        <v>18903.700643409207</v>
      </c>
      <c r="L12" s="72">
        <f>L22</f>
        <v>20176.03636064702</v>
      </c>
      <c r="M12" s="72">
        <f>M22</f>
        <v>20597.143385416239</v>
      </c>
    </row>
    <row r="13" spans="1:13">
      <c r="A13" s="94">
        <f>A12+1</f>
        <v>4</v>
      </c>
      <c r="C13" s="68" t="s">
        <v>323</v>
      </c>
      <c r="G13" s="154">
        <v>3519.4722702405975</v>
      </c>
      <c r="H13" s="154"/>
      <c r="I13" s="72">
        <v>3144.6620800000001</v>
      </c>
      <c r="J13" s="72">
        <v>4050.40166</v>
      </c>
      <c r="K13" s="72">
        <v>4807.2330850429735</v>
      </c>
      <c r="L13" s="72">
        <v>5412.9875665573845</v>
      </c>
      <c r="M13" s="72">
        <v>5699.2330087492082</v>
      </c>
    </row>
    <row r="14" spans="1:13">
      <c r="G14" s="72"/>
      <c r="H14" s="72"/>
      <c r="I14" s="72"/>
      <c r="J14" s="72"/>
      <c r="K14" s="72"/>
      <c r="L14" s="72"/>
      <c r="M14" s="72"/>
    </row>
    <row r="15" spans="1:13">
      <c r="C15" s="66" t="s">
        <v>280</v>
      </c>
    </row>
    <row r="16" spans="1:13">
      <c r="A16" s="94">
        <f>A13+1</f>
        <v>5</v>
      </c>
      <c r="C16" s="94" t="s">
        <v>264</v>
      </c>
      <c r="G16" s="72">
        <v>6040.0497404609259</v>
      </c>
      <c r="I16" s="72">
        <v>5939.4306199999992</v>
      </c>
      <c r="J16" s="72">
        <v>6669.0111500000003</v>
      </c>
      <c r="K16" s="72">
        <v>8101.852264903765</v>
      </c>
      <c r="L16" s="72">
        <v>8399.3058553006103</v>
      </c>
      <c r="M16" s="72">
        <v>8453.4223824086239</v>
      </c>
    </row>
    <row r="17" spans="1:13">
      <c r="A17" s="94">
        <f>A16+1</f>
        <v>6</v>
      </c>
      <c r="C17" s="94" t="s">
        <v>281</v>
      </c>
      <c r="G17" s="72">
        <v>666.4309920119349</v>
      </c>
      <c r="I17" s="72">
        <v>343.05559499999998</v>
      </c>
      <c r="J17" s="72">
        <v>636.53591999999992</v>
      </c>
      <c r="K17" s="72">
        <v>506.20896295491372</v>
      </c>
      <c r="L17" s="72">
        <v>639.02393999999993</v>
      </c>
      <c r="M17" s="72">
        <v>647.79393999999991</v>
      </c>
    </row>
    <row r="18" spans="1:13">
      <c r="A18" s="94">
        <f t="shared" ref="A18:A20" si="0">A17+1</f>
        <v>7</v>
      </c>
      <c r="C18" s="94" t="s">
        <v>282</v>
      </c>
      <c r="G18" s="72">
        <v>763.95617809211831</v>
      </c>
      <c r="I18" s="72">
        <v>652.91051500000003</v>
      </c>
      <c r="J18" s="72">
        <v>930.21657000000005</v>
      </c>
      <c r="K18" s="72">
        <v>723.76400845058731</v>
      </c>
      <c r="L18" s="72">
        <v>841.24139899660349</v>
      </c>
      <c r="M18" s="72">
        <v>866.87857139264554</v>
      </c>
    </row>
    <row r="19" spans="1:13">
      <c r="A19" s="94">
        <f t="shared" si="0"/>
        <v>8</v>
      </c>
      <c r="C19" s="94" t="s">
        <v>266</v>
      </c>
      <c r="G19" s="72">
        <v>349.97245372746323</v>
      </c>
      <c r="I19" s="72">
        <v>371.29205000000007</v>
      </c>
      <c r="J19" s="72">
        <v>425</v>
      </c>
      <c r="K19" s="72">
        <v>445.96399560040777</v>
      </c>
      <c r="L19" s="72">
        <v>459.99834705758593</v>
      </c>
      <c r="M19" s="72">
        <v>388.76325746256316</v>
      </c>
    </row>
    <row r="20" spans="1:13">
      <c r="A20" s="94">
        <f t="shared" si="0"/>
        <v>9</v>
      </c>
      <c r="C20" s="94" t="s">
        <v>283</v>
      </c>
      <c r="G20" s="72">
        <v>8311.1751535290823</v>
      </c>
      <c r="I20" s="72">
        <v>7879.1482400000004</v>
      </c>
      <c r="J20" s="72">
        <v>8397</v>
      </c>
      <c r="K20" s="72">
        <v>9125.9114114995318</v>
      </c>
      <c r="L20" s="72">
        <v>9836.46681929222</v>
      </c>
      <c r="M20" s="72">
        <v>10240.285234152405</v>
      </c>
    </row>
    <row r="21" spans="1:13">
      <c r="G21" s="72"/>
      <c r="I21" s="72"/>
      <c r="J21" s="72"/>
      <c r="K21" s="72"/>
      <c r="L21" s="72"/>
      <c r="M21" s="72"/>
    </row>
    <row r="22" spans="1:13">
      <c r="A22" s="94">
        <f>A20+1</f>
        <v>10</v>
      </c>
      <c r="C22" s="94" t="s">
        <v>284</v>
      </c>
      <c r="G22" s="101">
        <f>SUM(G16:G20)</f>
        <v>16131.584517821524</v>
      </c>
      <c r="I22" s="101">
        <f>SUM(I16:I20)</f>
        <v>15185.837019999999</v>
      </c>
      <c r="J22" s="101">
        <f>SUM(J16:J20)</f>
        <v>17057.763640000001</v>
      </c>
      <c r="K22" s="101">
        <f>SUM(K16:K20)</f>
        <v>18903.700643409207</v>
      </c>
      <c r="L22" s="101">
        <f>SUM(L16:L20)</f>
        <v>20176.03636064702</v>
      </c>
      <c r="M22" s="101">
        <f>SUM(M16:M20)</f>
        <v>20597.143385416239</v>
      </c>
    </row>
    <row r="24" spans="1:13">
      <c r="G24" s="72"/>
      <c r="I24" s="72"/>
      <c r="J24" s="72"/>
      <c r="K24" s="72"/>
    </row>
    <row r="25" spans="1:13" s="102" customFormat="1">
      <c r="E25" s="103"/>
      <c r="G25" s="104"/>
      <c r="I25" s="104"/>
      <c r="J25" s="104"/>
      <c r="K25" s="104"/>
      <c r="L25" s="104"/>
      <c r="M25" s="104"/>
    </row>
    <row r="26" spans="1:13" s="102" customFormat="1">
      <c r="E26" s="103"/>
      <c r="G26" s="104"/>
      <c r="I26" s="104"/>
      <c r="J26" s="104"/>
      <c r="K26" s="104"/>
      <c r="L26" s="104"/>
      <c r="M26" s="104"/>
    </row>
    <row r="27" spans="1:13" s="102" customFormat="1">
      <c r="E27" s="103"/>
      <c r="G27" s="104"/>
      <c r="I27" s="104"/>
      <c r="J27" s="104"/>
      <c r="K27" s="104"/>
      <c r="L27" s="104"/>
      <c r="M27" s="104"/>
    </row>
    <row r="28" spans="1:13" s="102" customFormat="1">
      <c r="E28" s="103"/>
      <c r="G28" s="104"/>
      <c r="I28" s="104"/>
      <c r="J28" s="104"/>
      <c r="K28" s="104"/>
      <c r="L28" s="104"/>
      <c r="M28" s="104"/>
    </row>
    <row r="29" spans="1:13" s="102" customFormat="1">
      <c r="E29" s="103"/>
      <c r="G29" s="104"/>
      <c r="I29" s="104"/>
      <c r="J29" s="104"/>
      <c r="K29" s="104"/>
      <c r="L29" s="104"/>
      <c r="M29" s="104"/>
    </row>
    <row r="30" spans="1:13" ht="18.75" customHeight="1">
      <c r="A30" s="105"/>
      <c r="C30" s="106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3" ht="18.75" customHeight="1">
      <c r="A31" s="105"/>
      <c r="C31" s="10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3" ht="18.75" customHeight="1">
      <c r="A32" s="105"/>
      <c r="C32" s="106"/>
      <c r="D32" s="106"/>
      <c r="E32" s="106"/>
      <c r="F32" s="106"/>
      <c r="G32" s="106"/>
      <c r="H32" s="106"/>
      <c r="I32" s="106"/>
      <c r="J32" s="106"/>
      <c r="K32" s="106"/>
      <c r="L32" s="106"/>
    </row>
    <row r="33" spans="1:12" ht="18.75" customHeight="1">
      <c r="A33" s="105"/>
      <c r="C33" s="106"/>
      <c r="D33" s="106"/>
      <c r="E33" s="106"/>
      <c r="F33" s="106"/>
      <c r="G33" s="106"/>
      <c r="H33" s="106"/>
      <c r="I33" s="106"/>
      <c r="J33" s="106"/>
      <c r="K33" s="106"/>
      <c r="L33" s="106"/>
    </row>
    <row r="34" spans="1:12" ht="18.75" customHeight="1">
      <c r="A34" s="105"/>
      <c r="C34" s="106"/>
      <c r="D34" s="106"/>
      <c r="E34" s="106"/>
      <c r="F34" s="106"/>
      <c r="G34" s="106"/>
      <c r="H34" s="106"/>
      <c r="I34" s="106"/>
      <c r="J34" s="106"/>
      <c r="K34" s="106"/>
      <c r="L34" s="106"/>
    </row>
    <row r="35" spans="1:12">
      <c r="G35" s="107"/>
      <c r="I35" s="107"/>
      <c r="J35" s="107"/>
      <c r="K35" s="107"/>
      <c r="L35" s="107"/>
    </row>
    <row r="38" spans="1:12">
      <c r="G38" s="108"/>
      <c r="I38" s="108"/>
      <c r="J38" s="108"/>
      <c r="K38" s="108"/>
      <c r="L38" s="108"/>
    </row>
    <row r="40" spans="1:12">
      <c r="G40" s="109"/>
      <c r="I40" s="109"/>
      <c r="J40" s="109"/>
      <c r="K40" s="109"/>
      <c r="L40" s="109"/>
    </row>
    <row r="42" spans="1:12">
      <c r="G42" s="110"/>
      <c r="I42" s="110"/>
      <c r="J42" s="110"/>
      <c r="K42" s="110"/>
      <c r="L42" s="110"/>
    </row>
    <row r="44" spans="1:12">
      <c r="G44" s="109"/>
      <c r="I44" s="109"/>
      <c r="J44" s="109"/>
      <c r="K44" s="109"/>
      <c r="L44" s="109"/>
    </row>
  </sheetData>
  <printOptions horizontalCentered="1"/>
  <pageMargins left="0.55118110236220474" right="0.31496062992125984" top="0.82677165354330717" bottom="0.9055118110236221" header="0.51181102362204722" footer="0.51181102362204722"/>
  <pageSetup scale="82" orientation="portrait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">
    <tabColor theme="9" tint="0.39997558519241921"/>
    <pageSetUpPr fitToPage="1"/>
  </sheetPr>
  <dimension ref="A1:S70"/>
  <sheetViews>
    <sheetView view="pageBreakPreview" zoomScaleSheetLayoutView="100" workbookViewId="0">
      <pane ySplit="7" topLeftCell="A8" activePane="bottomLeft" state="frozen"/>
      <selection activeCell="H18" sqref="H18"/>
      <selection pane="bottomLeft" activeCell="M2" sqref="M2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7.453125" style="1" customWidth="1"/>
    <col min="4" max="4" width="1.81640625" style="1" customWidth="1"/>
    <col min="5" max="5" width="9.1796875" style="4" customWidth="1"/>
    <col min="6" max="6" width="1.81640625" style="1" customWidth="1"/>
    <col min="7" max="7" width="12.26953125" style="1" customWidth="1"/>
    <col min="8" max="8" width="1.81640625" style="1" customWidth="1"/>
    <col min="9" max="9" width="11.26953125" style="1" customWidth="1"/>
    <col min="10" max="10" width="13.36328125" style="1" customWidth="1"/>
    <col min="11" max="12" width="11.26953125" style="1" customWidth="1"/>
    <col min="13" max="13" width="12.54296875" style="1" customWidth="1"/>
    <col min="20" max="16384" width="9.1796875" style="1"/>
  </cols>
  <sheetData>
    <row r="1" spans="1:13" ht="15">
      <c r="A1" s="9" t="s">
        <v>0</v>
      </c>
      <c r="M1" s="194" t="s">
        <v>285</v>
      </c>
    </row>
    <row r="2" spans="1:13">
      <c r="A2" s="10" t="s">
        <v>286</v>
      </c>
      <c r="M2" s="195" t="str">
        <f>'Schedule 1'!$M$2</f>
        <v>2025-27 GRA CF</v>
      </c>
    </row>
    <row r="3" spans="1:13">
      <c r="A3" s="10" t="s">
        <v>7</v>
      </c>
    </row>
    <row r="6" spans="1:13" s="4" customFormat="1">
      <c r="G6" s="11"/>
      <c r="I6" s="11"/>
      <c r="J6" s="11"/>
      <c r="K6" s="8"/>
      <c r="L6" s="8"/>
      <c r="M6" s="8"/>
    </row>
    <row r="7" spans="1:13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2024 GRA
Compliance</v>
      </c>
      <c r="I7" s="12" t="str">
        <f>'Schedule 1'!I7</f>
        <v>Actual 2023</v>
      </c>
      <c r="J7" s="12" t="str">
        <f>'Schedule 1'!J7</f>
        <v>Prlm. Actual 2024</v>
      </c>
      <c r="K7" s="12" t="str">
        <f>'Schedule 1'!K7</f>
        <v>Forecast 2025</v>
      </c>
      <c r="L7" s="12" t="str">
        <f>'Schedule 1'!L7</f>
        <v>Forecast 2026</v>
      </c>
      <c r="M7" s="12" t="str">
        <f>'Schedule 1'!M7</f>
        <v>Forecast 2027</v>
      </c>
    </row>
    <row r="9" spans="1:13" ht="12.75" customHeight="1">
      <c r="C9" s="8" t="s">
        <v>342</v>
      </c>
    </row>
    <row r="10" spans="1:13" ht="12.75" customHeight="1">
      <c r="C10" s="67"/>
      <c r="G10" s="19"/>
      <c r="I10" s="19"/>
      <c r="J10" s="19"/>
      <c r="K10" s="19"/>
      <c r="L10" s="19"/>
      <c r="M10" s="19"/>
    </row>
    <row r="11" spans="1:13" ht="12.75" customHeight="1">
      <c r="A11" s="1">
        <v>1</v>
      </c>
      <c r="C11" s="1" t="s">
        <v>287</v>
      </c>
      <c r="G11" s="19">
        <v>17520.00072</v>
      </c>
      <c r="I11" s="19">
        <v>17856.923719999999</v>
      </c>
      <c r="J11" s="19">
        <v>17520.00072</v>
      </c>
      <c r="K11" s="19">
        <v>17183.077719999997</v>
      </c>
      <c r="L11" s="19">
        <v>16846.154719999999</v>
      </c>
      <c r="M11" s="19">
        <v>16509.23172</v>
      </c>
    </row>
    <row r="12" spans="1:13" ht="12.75" customHeight="1">
      <c r="A12" s="1">
        <f t="shared" ref="A12:A31" si="0">A11+1</f>
        <v>2</v>
      </c>
      <c r="C12" s="1" t="s">
        <v>389</v>
      </c>
      <c r="G12" s="19">
        <v>6552.2169999999996</v>
      </c>
      <c r="I12" s="19">
        <v>6987.2510000000002</v>
      </c>
      <c r="J12" s="19">
        <v>6552.2169999999996</v>
      </c>
      <c r="K12" s="19">
        <v>6108.1279999999997</v>
      </c>
      <c r="L12" s="19">
        <v>5654.7939999999999</v>
      </c>
      <c r="M12" s="19">
        <v>5192.0240000000003</v>
      </c>
    </row>
    <row r="13" spans="1:13" ht="12.75" customHeight="1">
      <c r="A13" s="1">
        <f t="shared" si="0"/>
        <v>3</v>
      </c>
      <c r="C13" s="1" t="s">
        <v>391</v>
      </c>
      <c r="G13" s="19">
        <v>55620.473279999998</v>
      </c>
      <c r="I13" s="19">
        <v>59304.273280000001</v>
      </c>
      <c r="J13" s="19">
        <v>55620.473279999998</v>
      </c>
      <c r="K13" s="19">
        <v>51936.673280000003</v>
      </c>
      <c r="L13" s="19">
        <v>48252.87328</v>
      </c>
      <c r="M13" s="19">
        <v>44569.073280000004</v>
      </c>
    </row>
    <row r="14" spans="1:13" ht="12.75" customHeight="1">
      <c r="A14" s="1">
        <f t="shared" si="0"/>
        <v>4</v>
      </c>
      <c r="C14" s="1" t="s">
        <v>392</v>
      </c>
      <c r="G14" s="19">
        <v>5505</v>
      </c>
      <c r="I14" s="19">
        <v>5505</v>
      </c>
      <c r="J14" s="19">
        <v>5505</v>
      </c>
      <c r="K14" s="19">
        <v>5505</v>
      </c>
      <c r="L14" s="19">
        <v>5505</v>
      </c>
      <c r="M14" s="19">
        <v>5505</v>
      </c>
    </row>
    <row r="15" spans="1:13" ht="12.75" customHeight="1">
      <c r="A15" s="1">
        <f t="shared" si="0"/>
        <v>5</v>
      </c>
      <c r="C15" s="1" t="s">
        <v>393</v>
      </c>
      <c r="G15" s="19">
        <v>13430.018559999999</v>
      </c>
      <c r="I15" s="19">
        <v>14269.394719999998</v>
      </c>
      <c r="J15" s="19">
        <v>13430.018559999999</v>
      </c>
      <c r="K15" s="19">
        <v>12590.642399999999</v>
      </c>
      <c r="L15" s="19">
        <v>11751.266239999999</v>
      </c>
      <c r="M15" s="19">
        <v>10911.890079999997</v>
      </c>
    </row>
    <row r="16" spans="1:13" ht="12.75" customHeight="1">
      <c r="A16" s="1">
        <f t="shared" si="0"/>
        <v>6</v>
      </c>
      <c r="C16" s="1" t="s">
        <v>390</v>
      </c>
      <c r="G16" s="19">
        <v>12136</v>
      </c>
      <c r="I16" s="19">
        <v>12136</v>
      </c>
      <c r="J16" s="19">
        <v>12136</v>
      </c>
      <c r="K16" s="19">
        <v>12136</v>
      </c>
      <c r="L16" s="19">
        <v>12136</v>
      </c>
      <c r="M16" s="19">
        <v>12136</v>
      </c>
    </row>
    <row r="17" spans="1:13" ht="12.75" customHeight="1">
      <c r="A17" s="1">
        <f t="shared" si="0"/>
        <v>7</v>
      </c>
      <c r="C17" s="1" t="s">
        <v>389</v>
      </c>
      <c r="G17" s="19">
        <v>19402.978999999999</v>
      </c>
      <c r="I17" s="19">
        <v>20135.260999999999</v>
      </c>
      <c r="J17" s="19">
        <v>19402.978999999999</v>
      </c>
      <c r="K17" s="19">
        <v>18645.422999999999</v>
      </c>
      <c r="L17" s="19">
        <v>17861.721000000001</v>
      </c>
      <c r="M17" s="19">
        <v>17050.97</v>
      </c>
    </row>
    <row r="18" spans="1:13" ht="12.75" customHeight="1">
      <c r="A18" s="1">
        <f t="shared" si="0"/>
        <v>8</v>
      </c>
      <c r="C18" s="1" t="s">
        <v>389</v>
      </c>
      <c r="G18" s="19">
        <v>5658.8459999999995</v>
      </c>
      <c r="I18" s="19">
        <v>5876.6790000000001</v>
      </c>
      <c r="J18" s="19">
        <v>5658.8459999999995</v>
      </c>
      <c r="K18" s="19">
        <v>5435.1909999999998</v>
      </c>
      <c r="L18" s="19">
        <v>5205.5569999999998</v>
      </c>
      <c r="M18" s="19">
        <v>4969.7849999999999</v>
      </c>
    </row>
    <row r="19" spans="1:13" ht="12.75" customHeight="1">
      <c r="A19" s="1">
        <f t="shared" si="0"/>
        <v>9</v>
      </c>
      <c r="C19" s="1" t="s">
        <v>394</v>
      </c>
      <c r="G19" s="19">
        <v>2871</v>
      </c>
      <c r="I19" s="19">
        <v>2871</v>
      </c>
      <c r="J19" s="19">
        <v>2871</v>
      </c>
      <c r="K19" s="19">
        <v>2871</v>
      </c>
      <c r="L19" s="19">
        <v>2871</v>
      </c>
      <c r="M19" s="19">
        <v>2871</v>
      </c>
    </row>
    <row r="20" spans="1:13" ht="12.75" customHeight="1">
      <c r="A20" s="1">
        <f t="shared" si="0"/>
        <v>10</v>
      </c>
      <c r="C20" s="1" t="s">
        <v>336</v>
      </c>
      <c r="G20" s="19">
        <v>4175.0810000000001</v>
      </c>
      <c r="I20" s="19">
        <v>4333.2539999999999</v>
      </c>
      <c r="J20" s="19">
        <v>4175.0810000000001</v>
      </c>
      <c r="K20" s="19">
        <v>4013.6280000000002</v>
      </c>
      <c r="L20" s="19">
        <v>3848.8249999999998</v>
      </c>
      <c r="M20" s="19">
        <v>3680.6030000000001</v>
      </c>
    </row>
    <row r="21" spans="1:13" ht="12.75" customHeight="1">
      <c r="A21" s="1">
        <f t="shared" si="0"/>
        <v>11</v>
      </c>
      <c r="C21" s="1" t="s">
        <v>344</v>
      </c>
      <c r="G21" s="19">
        <v>3958.7449999999999</v>
      </c>
      <c r="I21" s="19">
        <v>3958.7449999999999</v>
      </c>
      <c r="J21" s="19">
        <v>3958.7449999999999</v>
      </c>
      <c r="K21" s="19">
        <v>3958.7449999999999</v>
      </c>
      <c r="L21" s="19">
        <v>3958.7449999999999</v>
      </c>
      <c r="M21" s="19">
        <v>3958.7449999999999</v>
      </c>
    </row>
    <row r="22" spans="1:13" ht="12.75" customHeight="1">
      <c r="A22" s="1">
        <f t="shared" si="0"/>
        <v>12</v>
      </c>
      <c r="C22" s="1" t="s">
        <v>337</v>
      </c>
      <c r="G22" s="19">
        <v>6849.5069999999996</v>
      </c>
      <c r="I22" s="19">
        <v>7078.6790000000001</v>
      </c>
      <c r="J22" s="19">
        <v>6849.5069999999996</v>
      </c>
      <c r="K22" s="19">
        <v>6613.64</v>
      </c>
      <c r="L22" s="19">
        <v>6370.8829999999998</v>
      </c>
      <c r="M22" s="19">
        <v>6121.0330000000004</v>
      </c>
    </row>
    <row r="23" spans="1:13" ht="12.75" customHeight="1">
      <c r="A23" s="1">
        <f t="shared" si="0"/>
        <v>13</v>
      </c>
      <c r="C23" s="1" t="s">
        <v>338</v>
      </c>
      <c r="G23" s="19">
        <v>17268.931</v>
      </c>
      <c r="I23" s="19">
        <v>17598.021000000001</v>
      </c>
      <c r="J23" s="19">
        <v>17268.931</v>
      </c>
      <c r="K23" s="19">
        <v>16926.181</v>
      </c>
      <c r="L23" s="19">
        <v>16569.204000000002</v>
      </c>
      <c r="M23" s="19">
        <v>16197.409</v>
      </c>
    </row>
    <row r="24" spans="1:13" ht="12.75" customHeight="1">
      <c r="A24" s="1">
        <f t="shared" si="0"/>
        <v>14</v>
      </c>
      <c r="C24" s="1" t="s">
        <v>437</v>
      </c>
      <c r="G24" s="19"/>
      <c r="I24" s="19">
        <v>6425</v>
      </c>
      <c r="J24" s="19">
        <v>6274.0893794367239</v>
      </c>
      <c r="K24" s="19">
        <v>6116.8956414252161</v>
      </c>
      <c r="L24" s="19">
        <v>5953.1571902956621</v>
      </c>
      <c r="M24" s="19">
        <v>5782.6015389226868</v>
      </c>
    </row>
    <row r="25" spans="1:13" ht="12.75" customHeight="1">
      <c r="A25" s="1">
        <f t="shared" si="0"/>
        <v>15</v>
      </c>
      <c r="C25" s="1" t="s">
        <v>438</v>
      </c>
      <c r="G25" s="19"/>
      <c r="I25" s="19">
        <v>1000</v>
      </c>
      <c r="J25" s="19">
        <v>1000</v>
      </c>
      <c r="K25" s="19">
        <v>1000</v>
      </c>
      <c r="L25" s="19">
        <v>1000</v>
      </c>
      <c r="M25" s="19">
        <v>1000</v>
      </c>
    </row>
    <row r="26" spans="1:13" ht="12.75" customHeight="1">
      <c r="A26" s="1">
        <f t="shared" si="0"/>
        <v>16</v>
      </c>
      <c r="C26" s="1" t="s">
        <v>339</v>
      </c>
      <c r="G26" s="19">
        <v>28873.613182975794</v>
      </c>
      <c r="I26" s="19"/>
      <c r="J26" s="19"/>
      <c r="K26" s="19"/>
      <c r="L26" s="19"/>
      <c r="M26" s="19"/>
    </row>
    <row r="27" spans="1:13" ht="12.75" customHeight="1">
      <c r="A27" s="1">
        <f t="shared" si="0"/>
        <v>17</v>
      </c>
      <c r="C27" s="1" t="s">
        <v>340</v>
      </c>
      <c r="G27" s="19">
        <v>33561.277350582997</v>
      </c>
      <c r="I27" s="19"/>
      <c r="J27" s="19">
        <v>27254</v>
      </c>
      <c r="K27" s="19">
        <v>26631.516509394503</v>
      </c>
      <c r="L27" s="19">
        <v>25981.831512652418</v>
      </c>
      <c r="M27" s="19">
        <v>25303.756348632891</v>
      </c>
    </row>
    <row r="28" spans="1:13" ht="12.75" customHeight="1">
      <c r="A28" s="1">
        <f t="shared" si="0"/>
        <v>18</v>
      </c>
      <c r="C28" s="1" t="s">
        <v>439</v>
      </c>
      <c r="G28" s="19"/>
      <c r="I28" s="19"/>
      <c r="J28" s="19"/>
      <c r="K28" s="19">
        <v>66911.335875476332</v>
      </c>
      <c r="L28" s="19">
        <v>66911.335875476332</v>
      </c>
      <c r="M28" s="19">
        <v>66911.335875476332</v>
      </c>
    </row>
    <row r="29" spans="1:13" ht="12.75" customHeight="1">
      <c r="A29" s="1">
        <f t="shared" si="0"/>
        <v>19</v>
      </c>
      <c r="C29" s="1" t="s">
        <v>440</v>
      </c>
      <c r="G29" s="19"/>
      <c r="I29" s="19"/>
      <c r="J29" s="19"/>
      <c r="K29" s="19"/>
      <c r="L29" s="19">
        <v>85489.681528611662</v>
      </c>
      <c r="M29" s="19">
        <v>85489.681528611662</v>
      </c>
    </row>
    <row r="30" spans="1:13" ht="12.75" customHeight="1">
      <c r="A30" s="1">
        <f t="shared" si="0"/>
        <v>20</v>
      </c>
      <c r="C30" s="1" t="s">
        <v>441</v>
      </c>
      <c r="G30" s="19"/>
      <c r="I30" s="19"/>
      <c r="J30" s="19"/>
      <c r="K30" s="19"/>
      <c r="L30" s="19"/>
      <c r="M30" s="19">
        <v>46774.496706897684</v>
      </c>
    </row>
    <row r="31" spans="1:13" ht="12.75" customHeight="1">
      <c r="A31" s="1">
        <f t="shared" si="0"/>
        <v>21</v>
      </c>
      <c r="C31" s="1" t="s">
        <v>288</v>
      </c>
      <c r="G31" s="19">
        <v>3086.8127297745518</v>
      </c>
      <c r="I31" s="19">
        <v>3028.5583300000003</v>
      </c>
      <c r="J31" s="19">
        <v>3181.8621712750564</v>
      </c>
      <c r="K31" s="19">
        <v>3320.9042600504417</v>
      </c>
      <c r="L31" s="19">
        <v>3320.9042600504417</v>
      </c>
      <c r="M31" s="19">
        <v>3617.4816692852637</v>
      </c>
    </row>
    <row r="32" spans="1:13">
      <c r="G32" s="19"/>
      <c r="I32" s="19"/>
      <c r="J32" s="19"/>
      <c r="K32" s="19"/>
      <c r="L32" s="19"/>
      <c r="M32" s="19"/>
    </row>
    <row r="33" spans="1:13" ht="12.75" customHeight="1">
      <c r="A33" s="1">
        <f>A31+1</f>
        <v>22</v>
      </c>
      <c r="C33" s="1" t="s">
        <v>26</v>
      </c>
      <c r="G33" s="19">
        <f>SUM(G11:G32)</f>
        <v>236470.50182333332</v>
      </c>
      <c r="I33" s="19">
        <f>SUM(I11:I32)</f>
        <v>188364.04005000001</v>
      </c>
      <c r="J33" s="19">
        <f>SUM(J11:J32)</f>
        <v>208658.75011071176</v>
      </c>
      <c r="K33" s="19">
        <f>SUM(K11:K32)</f>
        <v>267903.98168634652</v>
      </c>
      <c r="L33" s="19">
        <f>SUM(L11:L32)</f>
        <v>345488.93360708654</v>
      </c>
      <c r="M33" s="19">
        <f>SUM(M11:M32)</f>
        <v>384552.1177478265</v>
      </c>
    </row>
    <row r="34" spans="1:13" ht="12.75" customHeight="1">
      <c r="A34" s="1">
        <f>A33+1</f>
        <v>23</v>
      </c>
      <c r="C34" s="1" t="s">
        <v>27</v>
      </c>
      <c r="G34" s="43">
        <v>209760.46811086661</v>
      </c>
      <c r="I34" s="43">
        <v>187685.48979513653</v>
      </c>
      <c r="J34" s="43">
        <f>I33</f>
        <v>188364.04005000001</v>
      </c>
      <c r="K34" s="43">
        <f>J33</f>
        <v>208658.75011071176</v>
      </c>
      <c r="L34" s="43">
        <f>K33</f>
        <v>267903.98168634652</v>
      </c>
      <c r="M34" s="43">
        <f>L33</f>
        <v>345488.93360708654</v>
      </c>
    </row>
    <row r="35" spans="1:13">
      <c r="A35" s="1">
        <f>A34+1</f>
        <v>24</v>
      </c>
      <c r="C35" s="1" t="s">
        <v>289</v>
      </c>
      <c r="G35" s="19">
        <f>(G34+G33)/2</f>
        <v>223115.48496709997</v>
      </c>
      <c r="I35" s="19">
        <f>(I34+I33)/2</f>
        <v>188024.76492256828</v>
      </c>
      <c r="J35" s="19">
        <f>(J34+J33)/2</f>
        <v>198511.39508035587</v>
      </c>
      <c r="K35" s="19">
        <f>(K34+K33)/2</f>
        <v>238281.36589852913</v>
      </c>
      <c r="L35" s="19">
        <f>(L34+L33)/2</f>
        <v>306696.4576467165</v>
      </c>
      <c r="M35" s="19">
        <f>(M34+M33)/2</f>
        <v>365020.52567745652</v>
      </c>
    </row>
    <row r="37" spans="1:13">
      <c r="C37" s="81"/>
      <c r="D37" s="81"/>
      <c r="E37" s="82"/>
      <c r="F37" s="81"/>
      <c r="G37" s="83"/>
      <c r="H37" s="81"/>
      <c r="I37" s="83"/>
      <c r="J37" s="83"/>
      <c r="K37" s="83"/>
      <c r="L37" s="83"/>
      <c r="M37" s="83"/>
    </row>
    <row r="38" spans="1:13">
      <c r="C38" s="8" t="s">
        <v>343</v>
      </c>
      <c r="E38" s="1"/>
    </row>
    <row r="40" spans="1:13">
      <c r="A40" s="1">
        <f>A35+1</f>
        <v>25</v>
      </c>
      <c r="C40" s="1" t="str">
        <f t="shared" ref="C40:C46" si="1">C11</f>
        <v>YDC Mayo B Flexible Term Debt</v>
      </c>
      <c r="G40" s="19">
        <v>974.98800453599983</v>
      </c>
      <c r="I40" s="19">
        <v>993.38400415799993</v>
      </c>
      <c r="J40" s="19">
        <v>974.98800453599983</v>
      </c>
      <c r="K40" s="19">
        <v>956.59200491399986</v>
      </c>
      <c r="L40" s="19">
        <v>938.19600529199977</v>
      </c>
      <c r="M40" s="19">
        <v>919.80000566999979</v>
      </c>
    </row>
    <row r="41" spans="1:13">
      <c r="A41" s="1">
        <f t="shared" ref="A41:A61" si="2">A40+1</f>
        <v>26</v>
      </c>
      <c r="C41" s="1" t="str">
        <f t="shared" si="1"/>
        <v>TD Bank Swap</v>
      </c>
      <c r="G41" s="19">
        <v>139.98098698666666</v>
      </c>
      <c r="I41" s="19">
        <v>148.85198763833333</v>
      </c>
      <c r="J41" s="19">
        <v>139.98098698666666</v>
      </c>
      <c r="K41" s="19">
        <v>130.92531533333334</v>
      </c>
      <c r="L41" s="19">
        <v>121.681151105</v>
      </c>
      <c r="M41" s="19">
        <v>112.24455759999996</v>
      </c>
    </row>
    <row r="42" spans="1:13">
      <c r="A42" s="1">
        <f t="shared" si="2"/>
        <v>27</v>
      </c>
      <c r="C42" s="1" t="str">
        <f t="shared" si="1"/>
        <v>YDC $92.5M Debt</v>
      </c>
      <c r="G42" s="19">
        <v>1589.3545239040006</v>
      </c>
      <c r="I42" s="19">
        <v>1688.080363904</v>
      </c>
      <c r="J42" s="19">
        <v>1589.3545239040006</v>
      </c>
      <c r="K42" s="19">
        <v>2265.9780814271999</v>
      </c>
      <c r="L42" s="19">
        <v>2115.9000694271999</v>
      </c>
      <c r="M42" s="19">
        <v>1965.8220574271998</v>
      </c>
    </row>
    <row r="43" spans="1:13">
      <c r="A43" s="1">
        <f t="shared" si="2"/>
        <v>28</v>
      </c>
      <c r="C43" s="1" t="str">
        <f t="shared" si="1"/>
        <v>YDC $5.5M Debt</v>
      </c>
      <c r="G43" s="19">
        <v>132.12</v>
      </c>
      <c r="I43" s="19">
        <v>132.12</v>
      </c>
      <c r="J43" s="19">
        <v>132.12</v>
      </c>
      <c r="K43" s="19">
        <v>132.12</v>
      </c>
      <c r="L43" s="19">
        <v>132.12</v>
      </c>
      <c r="M43" s="19">
        <v>132.12</v>
      </c>
    </row>
    <row r="44" spans="1:13">
      <c r="A44" s="1">
        <f t="shared" si="2"/>
        <v>29</v>
      </c>
      <c r="C44" s="1" t="str">
        <f t="shared" si="1"/>
        <v>YDC $21.0M Debt</v>
      </c>
      <c r="G44" s="19">
        <v>315.35362331200002</v>
      </c>
      <c r="I44" s="19">
        <v>333.90383644799999</v>
      </c>
      <c r="J44" s="19">
        <v>315.35362331200002</v>
      </c>
      <c r="K44" s="19">
        <v>296.803410176</v>
      </c>
      <c r="L44" s="19">
        <v>278.25319703999998</v>
      </c>
      <c r="M44" s="19">
        <v>259.70298390400001</v>
      </c>
    </row>
    <row r="45" spans="1:13">
      <c r="A45" s="1">
        <f t="shared" si="2"/>
        <v>30</v>
      </c>
      <c r="C45" s="1" t="str">
        <f t="shared" si="1"/>
        <v>YDC $12.1M Debt</v>
      </c>
      <c r="G45" s="19">
        <v>358.99285479452055</v>
      </c>
      <c r="I45" s="19">
        <v>358.012</v>
      </c>
      <c r="J45" s="19">
        <v>358.012</v>
      </c>
      <c r="K45" s="19">
        <v>358.012</v>
      </c>
      <c r="L45" s="19">
        <v>358.012</v>
      </c>
      <c r="M45" s="19">
        <v>358.012</v>
      </c>
    </row>
    <row r="46" spans="1:13">
      <c r="A46" s="1">
        <f t="shared" si="2"/>
        <v>31</v>
      </c>
      <c r="C46" s="1" t="str">
        <f t="shared" si="1"/>
        <v>TD Bank Swap</v>
      </c>
      <c r="G46" s="19">
        <v>672.86135824000007</v>
      </c>
      <c r="I46" s="19">
        <v>697.2925444816666</v>
      </c>
      <c r="J46" s="19">
        <v>672.86135824000007</v>
      </c>
      <c r="K46" s="19">
        <v>647.58720697166677</v>
      </c>
      <c r="L46" s="19">
        <v>621.44074946000012</v>
      </c>
      <c r="M46" s="19">
        <v>594.39186526666674</v>
      </c>
    </row>
    <row r="47" spans="1:13">
      <c r="A47" s="1">
        <f t="shared" si="2"/>
        <v>32</v>
      </c>
      <c r="C47" s="1" t="s">
        <v>389</v>
      </c>
      <c r="G47" s="19">
        <v>152.57887374416666</v>
      </c>
      <c r="I47" s="19">
        <v>158.25098402250003</v>
      </c>
      <c r="J47" s="19">
        <v>152.57887374416666</v>
      </c>
      <c r="K47" s="19">
        <v>146.75577025833334</v>
      </c>
      <c r="L47" s="19">
        <v>140.77701503583336</v>
      </c>
      <c r="M47" s="19">
        <v>134.63842869416669</v>
      </c>
    </row>
    <row r="48" spans="1:13">
      <c r="A48" s="1">
        <f t="shared" si="2"/>
        <v>33</v>
      </c>
      <c r="C48" s="1" t="s">
        <v>394</v>
      </c>
      <c r="G48" s="19">
        <v>83.230289999999997</v>
      </c>
      <c r="I48" s="19">
        <v>83.230289999999997</v>
      </c>
      <c r="J48" s="19">
        <v>83.230289999999997</v>
      </c>
      <c r="K48" s="19">
        <v>83.230289999999997</v>
      </c>
      <c r="L48" s="19">
        <v>83.230289999999997</v>
      </c>
      <c r="M48" s="19">
        <v>83.230289999999997</v>
      </c>
    </row>
    <row r="49" spans="1:13">
      <c r="A49" s="1">
        <f t="shared" si="2"/>
        <v>34</v>
      </c>
      <c r="C49" s="1" t="s">
        <v>336</v>
      </c>
      <c r="G49" s="19">
        <v>87.564097999999973</v>
      </c>
      <c r="I49" s="19">
        <v>90.778648875000016</v>
      </c>
      <c r="J49" s="19">
        <v>87.564097999999973</v>
      </c>
      <c r="K49" s="19">
        <v>84.282862375000008</v>
      </c>
      <c r="L49" s="19">
        <v>80.933563437499998</v>
      </c>
      <c r="M49" s="19">
        <v>77.514781525000004</v>
      </c>
    </row>
    <row r="50" spans="1:13">
      <c r="A50" s="1">
        <f t="shared" si="2"/>
        <v>35</v>
      </c>
      <c r="C50" s="1" t="s">
        <v>344</v>
      </c>
      <c r="G50" s="19">
        <v>61.756422000000001</v>
      </c>
      <c r="I50" s="19">
        <v>61.756422000000001</v>
      </c>
      <c r="J50" s="19">
        <v>61.756422000000001</v>
      </c>
      <c r="K50" s="19">
        <v>61.756422000000001</v>
      </c>
      <c r="L50" s="19">
        <v>61.756422000000001</v>
      </c>
      <c r="M50" s="19">
        <v>61.756422000000001</v>
      </c>
    </row>
    <row r="51" spans="1:13">
      <c r="A51" s="1">
        <f t="shared" si="2"/>
        <v>36</v>
      </c>
      <c r="C51" s="1" t="s">
        <v>337</v>
      </c>
      <c r="G51" s="19">
        <v>201.06583763749995</v>
      </c>
      <c r="I51" s="19">
        <v>207.57127702750003</v>
      </c>
      <c r="J51" s="19">
        <v>201.06583763749995</v>
      </c>
      <c r="K51" s="19">
        <v>194.37080770500003</v>
      </c>
      <c r="L51" s="19">
        <v>187.48018544249999</v>
      </c>
      <c r="M51" s="19">
        <v>180.38826491250001</v>
      </c>
    </row>
    <row r="52" spans="1:13">
      <c r="A52" s="1">
        <f t="shared" si="2"/>
        <v>37</v>
      </c>
      <c r="C52" s="1" t="s">
        <v>338</v>
      </c>
      <c r="G52" s="19">
        <v>710.84356546000004</v>
      </c>
      <c r="I52" s="19">
        <v>723.96016482500011</v>
      </c>
      <c r="J52" s="19">
        <v>710.84356546000004</v>
      </c>
      <c r="K52" s="19">
        <v>697.18326013000012</v>
      </c>
      <c r="L52" s="19">
        <v>682.95591850500023</v>
      </c>
      <c r="M52" s="19">
        <v>668.13802002500006</v>
      </c>
    </row>
    <row r="53" spans="1:13">
      <c r="A53" s="1">
        <f t="shared" si="2"/>
        <v>38</v>
      </c>
      <c r="C53" s="1" t="s">
        <v>437</v>
      </c>
      <c r="G53" s="19"/>
      <c r="I53" s="19">
        <v>0</v>
      </c>
      <c r="J53" s="19">
        <v>261.1244665540903</v>
      </c>
      <c r="K53" s="19">
        <v>254.84134910585757</v>
      </c>
      <c r="L53" s="19">
        <v>248.29663598781093</v>
      </c>
      <c r="M53" s="19">
        <v>241.4794357443904</v>
      </c>
    </row>
    <row r="54" spans="1:13">
      <c r="A54" s="1">
        <f t="shared" si="2"/>
        <v>39</v>
      </c>
      <c r="C54" s="1" t="s">
        <v>438</v>
      </c>
      <c r="G54" s="19"/>
      <c r="I54" s="19">
        <v>37.846027397260272</v>
      </c>
      <c r="J54" s="19">
        <v>70.194269666262855</v>
      </c>
      <c r="K54" s="19">
        <v>35.5292139733616</v>
      </c>
      <c r="L54" s="19">
        <v>36.73376148401627</v>
      </c>
      <c r="M54" s="19">
        <v>40.276004368039352</v>
      </c>
    </row>
    <row r="55" spans="1:13">
      <c r="A55" s="1">
        <f t="shared" si="2"/>
        <v>40</v>
      </c>
      <c r="C55" s="1" t="s">
        <v>339</v>
      </c>
      <c r="G55" s="19">
        <v>1221.353837639876</v>
      </c>
      <c r="I55" s="19"/>
      <c r="J55" s="19"/>
      <c r="K55" s="19"/>
      <c r="L55" s="19"/>
      <c r="M55" s="19"/>
    </row>
    <row r="56" spans="1:13">
      <c r="A56" s="1">
        <f t="shared" si="2"/>
        <v>41</v>
      </c>
      <c r="C56" s="1" t="s">
        <v>340</v>
      </c>
      <c r="G56" s="19">
        <v>832.33806803547213</v>
      </c>
      <c r="I56" s="19">
        <v>0</v>
      </c>
      <c r="J56" s="19">
        <v>244.01663561643835</v>
      </c>
      <c r="K56" s="19">
        <v>1178.3624123242366</v>
      </c>
      <c r="L56" s="19">
        <v>1128.4197111865465</v>
      </c>
      <c r="M56" s="19">
        <v>1090.8089710981903</v>
      </c>
    </row>
    <row r="57" spans="1:13">
      <c r="A57" s="1">
        <f t="shared" si="2"/>
        <v>42</v>
      </c>
      <c r="C57" s="1" t="s">
        <v>439</v>
      </c>
      <c r="G57" s="19"/>
      <c r="I57" s="19">
        <v>0</v>
      </c>
      <c r="J57" s="19">
        <v>0</v>
      </c>
      <c r="K57" s="19">
        <v>767.37219719107929</v>
      </c>
      <c r="L57" s="19">
        <v>3044.4657823341731</v>
      </c>
      <c r="M57" s="19">
        <v>3044.4657823341731</v>
      </c>
    </row>
    <row r="58" spans="1:13">
      <c r="A58" s="1">
        <f t="shared" si="2"/>
        <v>43</v>
      </c>
      <c r="C58" s="1" t="s">
        <v>440</v>
      </c>
      <c r="G58" s="19"/>
      <c r="I58" s="19">
        <v>0</v>
      </c>
      <c r="J58" s="19">
        <v>0</v>
      </c>
      <c r="K58" s="19">
        <v>0</v>
      </c>
      <c r="L58" s="19">
        <v>980.43782706511911</v>
      </c>
      <c r="M58" s="19">
        <v>3889.7805095518306</v>
      </c>
    </row>
    <row r="59" spans="1:13">
      <c r="A59" s="1">
        <f t="shared" si="2"/>
        <v>44</v>
      </c>
      <c r="C59" s="1" t="s">
        <v>441</v>
      </c>
      <c r="G59" s="19"/>
      <c r="I59" s="19">
        <v>0</v>
      </c>
      <c r="J59" s="19">
        <v>0</v>
      </c>
      <c r="K59" s="19">
        <v>0</v>
      </c>
      <c r="L59" s="19">
        <v>0</v>
      </c>
      <c r="M59" s="19">
        <v>536.43299510979091</v>
      </c>
    </row>
    <row r="60" spans="1:13">
      <c r="A60" s="1">
        <f t="shared" si="2"/>
        <v>45</v>
      </c>
      <c r="C60" s="1" t="str">
        <f>C31</f>
        <v>Minto Decommissioning Reserve</v>
      </c>
      <c r="G60" s="19">
        <v>110.43952188375452</v>
      </c>
      <c r="I60" s="19">
        <v>153.42141486345278</v>
      </c>
      <c r="J60" s="19">
        <v>153.30384127505636</v>
      </c>
      <c r="K60" s="19">
        <v>139.04208877538517</v>
      </c>
      <c r="L60" s="19">
        <v>0</v>
      </c>
      <c r="M60" s="19">
        <v>296.5774092348218</v>
      </c>
    </row>
    <row r="61" spans="1:13">
      <c r="A61" s="1">
        <f t="shared" si="2"/>
        <v>46</v>
      </c>
      <c r="C61" s="1" t="s">
        <v>341</v>
      </c>
      <c r="G61" s="19">
        <v>4.7264925790540762</v>
      </c>
      <c r="I61" s="19">
        <v>17.123062510861075</v>
      </c>
      <c r="J61" s="19">
        <v>44.513653495539842</v>
      </c>
      <c r="K61" s="19">
        <v>35.204942213254569</v>
      </c>
      <c r="L61" s="19">
        <v>25.024238384481677</v>
      </c>
      <c r="M61" s="19">
        <v>13.987502143486768</v>
      </c>
    </row>
    <row r="62" spans="1:13">
      <c r="C62" s="84"/>
      <c r="G62" s="19"/>
      <c r="I62" s="19"/>
      <c r="J62" s="19"/>
      <c r="K62" s="19"/>
      <c r="L62" s="19"/>
      <c r="M62" s="19"/>
    </row>
    <row r="63" spans="1:13">
      <c r="A63" s="1">
        <f>A61+1</f>
        <v>47</v>
      </c>
      <c r="C63" s="8" t="s">
        <v>290</v>
      </c>
      <c r="G63" s="19">
        <f>SUM(G40:G62)</f>
        <v>7649.5483587530107</v>
      </c>
      <c r="I63" s="19">
        <f>SUM(I40:I62)</f>
        <v>5885.5830281515764</v>
      </c>
      <c r="J63" s="19">
        <f>SUM(J40:J62)</f>
        <v>6252.8624504277213</v>
      </c>
      <c r="K63" s="19">
        <f>SUM(K40:K62)</f>
        <v>8465.9496348737102</v>
      </c>
      <c r="L63" s="19">
        <f>SUM(L40:L62)</f>
        <v>11266.114523187181</v>
      </c>
      <c r="M63" s="19">
        <f>SUM(M40:M62)</f>
        <v>14701.568286609259</v>
      </c>
    </row>
    <row r="65" spans="1:19">
      <c r="A65" s="1">
        <f>A63+1</f>
        <v>48</v>
      </c>
      <c r="C65" s="1" t="s">
        <v>291</v>
      </c>
      <c r="G65" s="86">
        <f>G63/G35</f>
        <v>3.4285152193183691E-2</v>
      </c>
      <c r="I65" s="86">
        <f>I63/I35</f>
        <v>3.1302169321021922E-2</v>
      </c>
      <c r="J65" s="86">
        <f>J63/J35</f>
        <v>3.1498758284866271E-2</v>
      </c>
      <c r="K65" s="86">
        <f>K63/K35</f>
        <v>3.5529213973361604E-2</v>
      </c>
      <c r="L65" s="86">
        <f>L63/L35</f>
        <v>3.6733761484016268E-2</v>
      </c>
      <c r="M65" s="86">
        <f>M63/M35</f>
        <v>4.0276004368039353E-2</v>
      </c>
    </row>
    <row r="66" spans="1:19">
      <c r="G66" s="85"/>
      <c r="I66" s="85"/>
      <c r="J66" s="86"/>
      <c r="K66" s="86"/>
      <c r="L66" s="85"/>
      <c r="M66" s="85"/>
    </row>
    <row r="67" spans="1:19">
      <c r="N67" s="1"/>
      <c r="O67" s="1"/>
      <c r="P67" s="1"/>
      <c r="Q67" s="1"/>
      <c r="R67" s="1"/>
      <c r="S67" s="1"/>
    </row>
    <row r="68" spans="1:19">
      <c r="N68" s="1"/>
      <c r="O68" s="1"/>
      <c r="P68" s="1"/>
      <c r="Q68" s="1"/>
      <c r="R68" s="1"/>
      <c r="S68" s="1"/>
    </row>
    <row r="69" spans="1:19">
      <c r="N69" s="1"/>
      <c r="O69" s="1"/>
      <c r="P69" s="1"/>
      <c r="Q69" s="1"/>
      <c r="R69" s="1"/>
      <c r="S69" s="1"/>
    </row>
    <row r="70" spans="1:19">
      <c r="N70" s="1"/>
      <c r="O70" s="1"/>
      <c r="P70" s="1"/>
      <c r="Q70" s="1"/>
      <c r="R70" s="1"/>
      <c r="S70" s="1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1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  <pageSetUpPr fitToPage="1"/>
  </sheetPr>
  <dimension ref="A1:M25"/>
  <sheetViews>
    <sheetView view="pageBreakPreview" zoomScaleSheetLayoutView="100" workbookViewId="0">
      <selection activeCell="I9" sqref="I9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7.54296875" style="1" customWidth="1"/>
    <col min="4" max="4" width="1.81640625" style="1" customWidth="1"/>
    <col min="5" max="5" width="9.1796875" style="4"/>
    <col min="6" max="6" width="1.81640625" style="1" customWidth="1"/>
    <col min="7" max="7" width="12.81640625" style="1" customWidth="1"/>
    <col min="8" max="8" width="1.81640625" style="1" customWidth="1"/>
    <col min="9" max="9" width="11.26953125" style="1" customWidth="1"/>
    <col min="10" max="10" width="13.26953125" style="1" customWidth="1"/>
    <col min="11" max="12" width="11.26953125" style="1" customWidth="1"/>
    <col min="13" max="13" width="12.90625" style="1" customWidth="1"/>
    <col min="14" max="16384" width="9.1796875" style="1"/>
  </cols>
  <sheetData>
    <row r="1" spans="1:13" ht="15">
      <c r="A1" s="9" t="s">
        <v>0</v>
      </c>
      <c r="M1" s="194" t="s">
        <v>40</v>
      </c>
    </row>
    <row r="2" spans="1:13" ht="14">
      <c r="A2" s="23" t="s">
        <v>41</v>
      </c>
      <c r="E2" s="24"/>
      <c r="F2" s="25"/>
      <c r="H2" s="25"/>
      <c r="M2" s="195" t="str">
        <f>'Schedule 1'!$M$2</f>
        <v>2025-27 GRA CF</v>
      </c>
    </row>
    <row r="3" spans="1:13">
      <c r="A3" s="10" t="s">
        <v>7</v>
      </c>
    </row>
    <row r="6" spans="1:13" s="4" customFormat="1">
      <c r="G6" s="11"/>
      <c r="I6" s="11"/>
      <c r="J6" s="11"/>
      <c r="K6" s="8"/>
      <c r="L6" s="8"/>
      <c r="M6" s="8"/>
    </row>
    <row r="7" spans="1:13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2024 GRA
Compliance</v>
      </c>
      <c r="I7" s="12" t="str">
        <f>'Schedule 1'!I7</f>
        <v>Actual 2023</v>
      </c>
      <c r="J7" s="12" t="str">
        <f>'Schedule 1'!J7</f>
        <v>Prlm. Actual 2024</v>
      </c>
      <c r="K7" s="12" t="str">
        <f>'Schedule 1'!K7</f>
        <v>Forecast 2025</v>
      </c>
      <c r="L7" s="12" t="str">
        <f>'Schedule 1'!L7</f>
        <v>Forecast 2026</v>
      </c>
      <c r="M7" s="12" t="str">
        <f>'Schedule 1'!M7</f>
        <v>Forecast 2027</v>
      </c>
    </row>
    <row r="9" spans="1:13">
      <c r="A9" s="1">
        <v>1</v>
      </c>
      <c r="C9" s="1" t="s">
        <v>42</v>
      </c>
      <c r="E9" s="4" t="s">
        <v>43</v>
      </c>
      <c r="G9" s="14">
        <f>'Schedule 5'!G16</f>
        <v>54095.584483041021</v>
      </c>
      <c r="I9" s="14">
        <f>'Schedule 5'!I16</f>
        <v>48622.96203756563</v>
      </c>
      <c r="J9" s="14">
        <f>'Schedule 5'!J16</f>
        <v>54810.276265015629</v>
      </c>
      <c r="K9" s="14">
        <f>'Schedule 5'!K16</f>
        <v>62537.766380849906</v>
      </c>
      <c r="L9" s="14">
        <f>'Schedule 5'!L16</f>
        <v>67121.033395922073</v>
      </c>
      <c r="M9" s="14">
        <f>'Schedule 5'!M16</f>
        <v>69244.699588539937</v>
      </c>
    </row>
    <row r="10" spans="1:13">
      <c r="A10" s="1">
        <v>2</v>
      </c>
      <c r="C10" s="1" t="s">
        <v>44</v>
      </c>
      <c r="E10" s="4" t="s">
        <v>45</v>
      </c>
      <c r="G10" s="14">
        <f>'Schedule 5'!G17</f>
        <v>776.69908654176004</v>
      </c>
      <c r="I10" s="14">
        <f>'Schedule 5'!I17</f>
        <v>756.18791000000022</v>
      </c>
      <c r="J10" s="14">
        <f>'Schedule 5'!J17</f>
        <v>759.21225999999979</v>
      </c>
      <c r="K10" s="14">
        <f>'Schedule 5'!K17</f>
        <v>770.60046419999981</v>
      </c>
      <c r="L10" s="14">
        <f>'Schedule 5'!L17</f>
        <v>789.80853488399998</v>
      </c>
      <c r="M10" s="14">
        <f>'Schedule 5'!M17</f>
        <v>805.60470558168038</v>
      </c>
    </row>
    <row r="11" spans="1:13">
      <c r="A11" s="1">
        <v>3</v>
      </c>
      <c r="C11" s="1" t="s">
        <v>46</v>
      </c>
      <c r="E11" s="4" t="s">
        <v>236</v>
      </c>
      <c r="G11" s="14">
        <v>-120.00024999999994</v>
      </c>
      <c r="I11" s="14">
        <f>'Schedule 5'!I23</f>
        <v>-120.85194</v>
      </c>
      <c r="J11" s="14">
        <f>'Schedule 5'!J23</f>
        <v>-113.85104000000001</v>
      </c>
      <c r="K11" s="14">
        <f>'Schedule 5'!K23</f>
        <v>-119.99999999999987</v>
      </c>
      <c r="L11" s="14">
        <f>'Schedule 5'!L23</f>
        <v>-119.99999999999987</v>
      </c>
      <c r="M11" s="14">
        <f>'Schedule 5'!M23</f>
        <v>-122.39999999999986</v>
      </c>
    </row>
    <row r="12" spans="1:13">
      <c r="G12" s="14"/>
      <c r="I12" s="14"/>
      <c r="J12" s="14"/>
      <c r="K12" s="14"/>
      <c r="L12" s="14"/>
      <c r="M12" s="14"/>
    </row>
    <row r="13" spans="1:13">
      <c r="A13" s="1">
        <v>4</v>
      </c>
      <c r="C13" s="1" t="s">
        <v>47</v>
      </c>
      <c r="G13" s="14">
        <f>SUM(G9:G11)</f>
        <v>54752.283319582784</v>
      </c>
      <c r="I13" s="14">
        <f>SUM(I9:I11)</f>
        <v>49258.298007565631</v>
      </c>
      <c r="J13" s="14">
        <f>SUM(J9:J11)</f>
        <v>55455.637485015628</v>
      </c>
      <c r="K13" s="14">
        <f>SUM(K9:K11)</f>
        <v>63188.366845049903</v>
      </c>
      <c r="L13" s="14">
        <f>SUM(L9:L11)</f>
        <v>67790.841930806069</v>
      </c>
      <c r="M13" s="14">
        <f>SUM(M9:M11)</f>
        <v>69927.904294121618</v>
      </c>
    </row>
    <row r="14" spans="1:13">
      <c r="G14" s="26"/>
      <c r="I14" s="26"/>
      <c r="J14" s="26"/>
      <c r="K14" s="26"/>
      <c r="L14" s="26"/>
      <c r="M14" s="26"/>
    </row>
    <row r="15" spans="1:13">
      <c r="A15" s="1">
        <v>5</v>
      </c>
      <c r="C15" s="1" t="s">
        <v>48</v>
      </c>
      <c r="G15" s="26">
        <f>G13*27/365</f>
        <v>4050.1689030924249</v>
      </c>
      <c r="I15" s="26">
        <f>I13*27/365</f>
        <v>3643.7645101486901</v>
      </c>
      <c r="J15" s="26">
        <f>J13*27/365</f>
        <v>4102.1978413573206</v>
      </c>
      <c r="K15" s="26">
        <f>K13*27/365</f>
        <v>4674.2079584009516</v>
      </c>
      <c r="L15" s="26">
        <f>L13*27/365</f>
        <v>5014.6650195390794</v>
      </c>
      <c r="M15" s="26">
        <f>M13*27/365</f>
        <v>5172.7490847706404</v>
      </c>
    </row>
    <row r="16" spans="1:13">
      <c r="G16" s="14"/>
      <c r="I16" s="14"/>
      <c r="J16" s="14"/>
      <c r="K16" s="14"/>
      <c r="L16" s="14"/>
      <c r="M16" s="14"/>
    </row>
    <row r="17" spans="1:13">
      <c r="A17" s="1">
        <v>6</v>
      </c>
      <c r="C17" s="1" t="s">
        <v>49</v>
      </c>
      <c r="G17" s="14">
        <v>4816.6368499999999</v>
      </c>
      <c r="I17" s="14">
        <v>4789.6103933333334</v>
      </c>
      <c r="J17" s="14">
        <v>5078.7761700000001</v>
      </c>
      <c r="K17" s="14">
        <v>5171.2342200000003</v>
      </c>
      <c r="L17" s="14">
        <v>5221.0884800000003</v>
      </c>
      <c r="M17" s="14">
        <v>5221.0884800000003</v>
      </c>
    </row>
    <row r="18" spans="1:13">
      <c r="G18" s="14"/>
      <c r="I18" s="14"/>
      <c r="J18" s="14"/>
      <c r="K18" s="14"/>
      <c r="L18" s="14"/>
      <c r="M18" s="14"/>
    </row>
    <row r="19" spans="1:13">
      <c r="A19" s="1">
        <v>7</v>
      </c>
      <c r="C19" s="1" t="s">
        <v>50</v>
      </c>
      <c r="E19" s="4" t="s">
        <v>51</v>
      </c>
      <c r="G19" s="17">
        <f>'Schedule 2A'!G30</f>
        <v>-170</v>
      </c>
      <c r="I19" s="17">
        <f>'Schedule 2A'!I30</f>
        <v>-191</v>
      </c>
      <c r="J19" s="17">
        <f>'Schedule 2A'!J30</f>
        <v>-262</v>
      </c>
      <c r="K19" s="17">
        <f>'Schedule 2A'!K30</f>
        <v>-209</v>
      </c>
      <c r="L19" s="17">
        <f>'Schedule 2A'!L30</f>
        <v>-260</v>
      </c>
      <c r="M19" s="17">
        <f>'Schedule 2A'!M30</f>
        <v>-334</v>
      </c>
    </row>
    <row r="20" spans="1:13">
      <c r="G20" s="14"/>
      <c r="I20" s="14"/>
      <c r="J20" s="14"/>
      <c r="K20" s="14"/>
      <c r="L20" s="14"/>
      <c r="M20" s="14"/>
    </row>
    <row r="21" spans="1:13" ht="13" thickBot="1">
      <c r="A21" s="1">
        <v>8</v>
      </c>
      <c r="C21" s="1" t="s">
        <v>30</v>
      </c>
      <c r="E21" s="4" t="s">
        <v>419</v>
      </c>
      <c r="G21" s="29">
        <f>G15+G17+G19</f>
        <v>8696.8057530924252</v>
      </c>
      <c r="I21" s="29">
        <f>I15+I17+I19</f>
        <v>8242.374903482023</v>
      </c>
      <c r="J21" s="29">
        <f>J15+J17+J19</f>
        <v>8918.9740113573207</v>
      </c>
      <c r="K21" s="29">
        <f>K15+K17+K19</f>
        <v>9636.4421784009519</v>
      </c>
      <c r="L21" s="29">
        <f>L15+L17+L19</f>
        <v>9975.7534995390797</v>
      </c>
      <c r="M21" s="29">
        <f>M15+M17+M19</f>
        <v>10059.837564770642</v>
      </c>
    </row>
    <row r="22" spans="1:13">
      <c r="G22" s="14"/>
      <c r="I22" s="14"/>
      <c r="J22" s="14"/>
      <c r="K22" s="14"/>
    </row>
    <row r="23" spans="1:13">
      <c r="C23" s="28" t="s">
        <v>13</v>
      </c>
      <c r="G23" s="14"/>
      <c r="I23" s="14"/>
      <c r="J23" s="14"/>
      <c r="K23" s="14"/>
    </row>
    <row r="25" spans="1:13">
      <c r="E25" s="11"/>
      <c r="F25" s="8"/>
      <c r="G25" s="30"/>
      <c r="H25" s="8"/>
      <c r="I25" s="30"/>
      <c r="J25" s="30"/>
      <c r="K25" s="30"/>
      <c r="L25" s="30"/>
      <c r="M25" s="30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1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39997558519241921"/>
    <pageSetUpPr fitToPage="1"/>
  </sheetPr>
  <dimension ref="A1:M30"/>
  <sheetViews>
    <sheetView view="pageBreakPreview" zoomScaleSheetLayoutView="100" workbookViewId="0">
      <selection activeCell="I9" sqref="I9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35.26953125" style="1" customWidth="1"/>
    <col min="4" max="4" width="1.81640625" style="1" customWidth="1"/>
    <col min="5" max="5" width="9.1796875" style="1"/>
    <col min="6" max="6" width="1.81640625" style="1" customWidth="1"/>
    <col min="7" max="7" width="12.26953125" style="1" customWidth="1"/>
    <col min="8" max="8" width="1.81640625" style="1" customWidth="1"/>
    <col min="9" max="9" width="11.26953125" style="1" customWidth="1"/>
    <col min="10" max="10" width="12.7265625" style="1" customWidth="1"/>
    <col min="11" max="12" width="11.26953125" style="1" customWidth="1"/>
    <col min="13" max="13" width="13.1796875" style="1" customWidth="1"/>
    <col min="14" max="16384" width="9.1796875" style="1"/>
  </cols>
  <sheetData>
    <row r="1" spans="1:13" ht="15">
      <c r="A1" s="9" t="s">
        <v>0</v>
      </c>
      <c r="M1" s="194" t="s">
        <v>52</v>
      </c>
    </row>
    <row r="2" spans="1:13">
      <c r="A2" s="10" t="s">
        <v>53</v>
      </c>
      <c r="M2" s="195" t="str">
        <f>'Schedule 1'!$M$2</f>
        <v>2025-27 GRA CF</v>
      </c>
    </row>
    <row r="3" spans="1:13">
      <c r="A3" s="10" t="s">
        <v>7</v>
      </c>
    </row>
    <row r="6" spans="1:13" s="4" customFormat="1">
      <c r="G6" s="11"/>
      <c r="I6" s="11"/>
      <c r="J6" s="11"/>
      <c r="K6" s="8"/>
      <c r="L6" s="8"/>
      <c r="M6" s="8"/>
    </row>
    <row r="7" spans="1:13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2024 GRA
Compliance</v>
      </c>
      <c r="I7" s="12" t="str">
        <f>'Schedule 1'!I7</f>
        <v>Actual 2023</v>
      </c>
      <c r="J7" s="12" t="str">
        <f>'Schedule 1'!J7</f>
        <v>Prlm. Actual 2024</v>
      </c>
      <c r="K7" s="12" t="str">
        <f>'Schedule 1'!K7</f>
        <v>Forecast 2025</v>
      </c>
      <c r="L7" s="12" t="str">
        <f>'Schedule 1'!L7</f>
        <v>Forecast 2026</v>
      </c>
      <c r="M7" s="12" t="str">
        <f>'Schedule 1'!M7</f>
        <v>Forecast 2027</v>
      </c>
    </row>
    <row r="9" spans="1:13">
      <c r="A9" s="1">
        <v>1</v>
      </c>
      <c r="C9" s="1" t="s">
        <v>54</v>
      </c>
      <c r="G9" s="16">
        <v>139615.18510921171</v>
      </c>
      <c r="I9" s="16">
        <v>97302.683870000037</v>
      </c>
      <c r="J9" s="16">
        <v>91852.711799940254</v>
      </c>
      <c r="K9" s="16">
        <v>159458.89679765323</v>
      </c>
      <c r="L9" s="16">
        <v>171870.38050682045</v>
      </c>
      <c r="M9" s="16">
        <v>164394.8095855822</v>
      </c>
    </row>
    <row r="11" spans="1:13">
      <c r="A11" s="1">
        <v>2</v>
      </c>
      <c r="C11" s="1" t="s">
        <v>55</v>
      </c>
      <c r="G11" s="31">
        <v>0.05</v>
      </c>
      <c r="I11" s="31">
        <v>0.05</v>
      </c>
      <c r="J11" s="31">
        <v>0.05</v>
      </c>
      <c r="K11" s="31">
        <v>0.05</v>
      </c>
      <c r="L11" s="31">
        <v>0.05</v>
      </c>
      <c r="M11" s="31">
        <v>0.05</v>
      </c>
    </row>
    <row r="13" spans="1:13">
      <c r="A13" s="1">
        <v>3</v>
      </c>
      <c r="C13" s="1" t="s">
        <v>56</v>
      </c>
      <c r="G13" s="14">
        <f>G11*G9</f>
        <v>6980.7592554605862</v>
      </c>
      <c r="I13" s="14">
        <f>I11*I9</f>
        <v>4865.1341935000019</v>
      </c>
      <c r="J13" s="14">
        <f>J11*J9</f>
        <v>4592.6355899970131</v>
      </c>
      <c r="K13" s="14">
        <f>K11*K9</f>
        <v>7972.9448398826617</v>
      </c>
      <c r="L13" s="14">
        <f>L11*L9</f>
        <v>8593.5190253410237</v>
      </c>
      <c r="M13" s="14">
        <f>M11*M9</f>
        <v>8219.7404792791112</v>
      </c>
    </row>
    <row r="15" spans="1:13">
      <c r="A15" s="1">
        <v>4</v>
      </c>
      <c r="C15" s="1" t="s">
        <v>57</v>
      </c>
      <c r="G15" s="17">
        <v>14</v>
      </c>
      <c r="I15" s="17">
        <v>14</v>
      </c>
      <c r="J15" s="17">
        <v>14</v>
      </c>
      <c r="K15" s="17">
        <v>14</v>
      </c>
      <c r="L15" s="17">
        <v>14</v>
      </c>
      <c r="M15" s="17">
        <v>14</v>
      </c>
    </row>
    <row r="17" spans="1:13">
      <c r="A17" s="1">
        <v>5</v>
      </c>
      <c r="C17" s="1" t="s">
        <v>58</v>
      </c>
      <c r="G17" s="17">
        <f>ROUND(G13*G15/365,0)</f>
        <v>268</v>
      </c>
      <c r="I17" s="17">
        <f>ROUND(I13*I15/365,0)</f>
        <v>187</v>
      </c>
      <c r="J17" s="17">
        <f>ROUND(J13*J15/365,0)</f>
        <v>176</v>
      </c>
      <c r="K17" s="17">
        <f>ROUND(K13*K15/365,0)</f>
        <v>306</v>
      </c>
      <c r="L17" s="17">
        <f>ROUND(L13*L15/365,0)</f>
        <v>330</v>
      </c>
      <c r="M17" s="17">
        <f>ROUND(M13*M15/365,0)</f>
        <v>315</v>
      </c>
    </row>
    <row r="20" spans="1:13">
      <c r="A20" s="1">
        <v>6</v>
      </c>
      <c r="C20" s="1" t="s">
        <v>59</v>
      </c>
      <c r="G20" s="14">
        <v>91344.174086823419</v>
      </c>
      <c r="I20" s="16">
        <v>78933.845731058202</v>
      </c>
      <c r="J20" s="16">
        <v>91292.311665779489</v>
      </c>
      <c r="K20" s="16">
        <v>107355.76332840978</v>
      </c>
      <c r="L20" s="16">
        <v>123105.24537635974</v>
      </c>
      <c r="M20" s="16">
        <v>135362.66699357264</v>
      </c>
    </row>
    <row r="22" spans="1:13">
      <c r="A22" s="1">
        <v>7</v>
      </c>
      <c r="C22" s="1" t="s">
        <v>354</v>
      </c>
      <c r="G22" s="31">
        <v>0.05</v>
      </c>
      <c r="I22" s="31">
        <v>0.05</v>
      </c>
      <c r="J22" s="31">
        <v>0.05</v>
      </c>
      <c r="K22" s="31">
        <v>0.05</v>
      </c>
      <c r="L22" s="31">
        <v>0.05</v>
      </c>
      <c r="M22" s="31">
        <v>0.05</v>
      </c>
    </row>
    <row r="24" spans="1:13">
      <c r="A24" s="1">
        <v>8</v>
      </c>
      <c r="C24" s="1" t="s">
        <v>60</v>
      </c>
      <c r="G24" s="14">
        <f>G22*G20</f>
        <v>4567.2087043411711</v>
      </c>
      <c r="I24" s="14">
        <f>I22*I20</f>
        <v>3946.6922865529104</v>
      </c>
      <c r="J24" s="14">
        <f>J22*J20</f>
        <v>4564.6155832889744</v>
      </c>
      <c r="K24" s="14">
        <f>K22*K20</f>
        <v>5367.7881664204897</v>
      </c>
      <c r="L24" s="14">
        <f>L22*L20</f>
        <v>6155.2622688179872</v>
      </c>
      <c r="M24" s="14">
        <f>M22*M20</f>
        <v>6768.1333496786319</v>
      </c>
    </row>
    <row r="26" spans="1:13">
      <c r="A26" s="1">
        <v>9</v>
      </c>
      <c r="C26" s="1" t="s">
        <v>61</v>
      </c>
      <c r="F26" s="1" t="s">
        <v>13</v>
      </c>
      <c r="G26" s="17">
        <v>35</v>
      </c>
      <c r="H26" s="1" t="s">
        <v>13</v>
      </c>
      <c r="I26" s="17">
        <v>35</v>
      </c>
      <c r="J26" s="17">
        <v>35</v>
      </c>
      <c r="K26" s="17">
        <v>35</v>
      </c>
      <c r="L26" s="17">
        <v>35</v>
      </c>
      <c r="M26" s="17">
        <v>35</v>
      </c>
    </row>
    <row r="28" spans="1:13">
      <c r="A28" s="1">
        <v>10</v>
      </c>
      <c r="C28" s="1" t="s">
        <v>62</v>
      </c>
      <c r="G28" s="17">
        <f>ROUND(G24*G26/365,0)</f>
        <v>438</v>
      </c>
      <c r="I28" s="17">
        <f>ROUND(I24*I26/365,0)</f>
        <v>378</v>
      </c>
      <c r="J28" s="17">
        <f>ROUND(J24*J26/365,0)</f>
        <v>438</v>
      </c>
      <c r="K28" s="17">
        <f>ROUND(K24*K26/365,0)</f>
        <v>515</v>
      </c>
      <c r="L28" s="17">
        <f>ROUND(L24*L26/365,0)</f>
        <v>590</v>
      </c>
      <c r="M28" s="17">
        <f>ROUND(M24*M26/365,0)</f>
        <v>649</v>
      </c>
    </row>
    <row r="30" spans="1:13" ht="13" thickBot="1">
      <c r="A30" s="1">
        <v>11</v>
      </c>
      <c r="C30" s="1" t="s">
        <v>63</v>
      </c>
      <c r="E30" s="1" t="s">
        <v>64</v>
      </c>
      <c r="G30" s="33">
        <f>G17-G28</f>
        <v>-170</v>
      </c>
      <c r="I30" s="33">
        <f>I17-I28</f>
        <v>-191</v>
      </c>
      <c r="J30" s="33">
        <f>J17-J28</f>
        <v>-262</v>
      </c>
      <c r="K30" s="33">
        <f>K17-K28</f>
        <v>-209</v>
      </c>
      <c r="L30" s="33">
        <f>L17-L28</f>
        <v>-260</v>
      </c>
      <c r="M30" s="33">
        <f>M17-M28</f>
        <v>-334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6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0.39997558519241921"/>
  </sheetPr>
  <dimension ref="A1:Q209"/>
  <sheetViews>
    <sheetView view="pageBreakPreview" zoomScaleSheetLayoutView="100" workbookViewId="0">
      <pane ySplit="7" topLeftCell="A8" activePane="bottomLeft" state="frozen"/>
      <selection activeCell="H18" sqref="H18"/>
      <selection pane="bottomLeft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55" style="1" customWidth="1"/>
    <col min="4" max="4" width="1.81640625" style="1" customWidth="1"/>
    <col min="5" max="5" width="9.1796875" style="4" customWidth="1"/>
    <col min="6" max="6" width="1.81640625" style="1" customWidth="1"/>
    <col min="7" max="7" width="12.6328125" style="1" customWidth="1"/>
    <col min="8" max="8" width="1.81640625" style="1" customWidth="1"/>
    <col min="9" max="9" width="11.26953125" style="1" customWidth="1"/>
    <col min="10" max="10" width="12.1796875" style="1" customWidth="1"/>
    <col min="11" max="12" width="11.1796875" style="1" customWidth="1"/>
    <col min="13" max="13" width="13.08984375" style="1" customWidth="1"/>
    <col min="18" max="16384" width="9.1796875" style="1"/>
  </cols>
  <sheetData>
    <row r="1" spans="1:13" ht="15">
      <c r="A1" s="9" t="s">
        <v>0</v>
      </c>
      <c r="M1" s="194" t="s">
        <v>65</v>
      </c>
    </row>
    <row r="2" spans="1:13">
      <c r="A2" s="10" t="s">
        <v>328</v>
      </c>
      <c r="M2" s="195" t="str">
        <f>'Schedule 1'!$M$2</f>
        <v>2025-27 GRA CF</v>
      </c>
    </row>
    <row r="3" spans="1:13">
      <c r="A3" s="10" t="s">
        <v>7</v>
      </c>
    </row>
    <row r="6" spans="1:13" s="4" customFormat="1">
      <c r="E6" s="4" t="s">
        <v>13</v>
      </c>
      <c r="G6" s="11"/>
      <c r="I6" s="11"/>
      <c r="J6" s="11"/>
      <c r="K6" s="8"/>
      <c r="L6" s="8"/>
      <c r="M6" s="8"/>
    </row>
    <row r="7" spans="1:13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2024 GRA
Compliance</v>
      </c>
      <c r="I7" s="12" t="str">
        <f>'Schedule 1'!I7</f>
        <v>Actual 2023</v>
      </c>
      <c r="J7" s="12" t="str">
        <f>'Schedule 1'!J7</f>
        <v>Prlm. Actual 2024</v>
      </c>
      <c r="K7" s="12" t="str">
        <f>'Schedule 1'!K7</f>
        <v>Forecast 2025</v>
      </c>
      <c r="L7" s="12" t="str">
        <f>'Schedule 1'!L7</f>
        <v>Forecast 2026</v>
      </c>
      <c r="M7" s="12" t="str">
        <f>'Schedule 1'!M7</f>
        <v>Forecast 2027</v>
      </c>
    </row>
    <row r="9" spans="1:13">
      <c r="C9" s="8" t="s">
        <v>11</v>
      </c>
    </row>
    <row r="10" spans="1:13">
      <c r="A10" s="1">
        <v>1</v>
      </c>
      <c r="C10" s="1" t="s">
        <v>66</v>
      </c>
      <c r="F10" s="34"/>
      <c r="G10" s="14">
        <v>799031.29677999986</v>
      </c>
      <c r="H10" s="34"/>
      <c r="I10" s="14">
        <v>735254.06200000003</v>
      </c>
      <c r="J10" s="14">
        <f>I13</f>
        <v>796723.52518</v>
      </c>
      <c r="K10" s="14">
        <f>J13</f>
        <v>843138.36502000003</v>
      </c>
      <c r="L10" s="14">
        <f>K13</f>
        <v>946158.97946000006</v>
      </c>
      <c r="M10" s="14">
        <f>L13</f>
        <v>1075805.7437200001</v>
      </c>
    </row>
    <row r="11" spans="1:13">
      <c r="A11" s="1">
        <f>A10+1</f>
        <v>2</v>
      </c>
      <c r="C11" s="1" t="s">
        <v>67</v>
      </c>
      <c r="F11" s="34"/>
      <c r="G11" s="14">
        <v>92477.66926000001</v>
      </c>
      <c r="H11" s="34"/>
      <c r="I11" s="14">
        <v>65714.950319999989</v>
      </c>
      <c r="J11" s="14">
        <v>46414.839839999993</v>
      </c>
      <c r="K11" s="14">
        <v>103020.61444000002</v>
      </c>
      <c r="L11" s="14">
        <v>129646.76426000001</v>
      </c>
      <c r="M11" s="14">
        <v>122759.33425999997</v>
      </c>
    </row>
    <row r="12" spans="1:13">
      <c r="A12" s="1">
        <f>A11+1</f>
        <v>3</v>
      </c>
      <c r="C12" s="1" t="s">
        <v>68</v>
      </c>
      <c r="F12" s="34"/>
      <c r="G12" s="17">
        <v>0</v>
      </c>
      <c r="H12" s="34"/>
      <c r="I12" s="17">
        <v>-4245.4871399999784</v>
      </c>
      <c r="J12" s="17">
        <v>0</v>
      </c>
      <c r="K12" s="17">
        <v>0</v>
      </c>
      <c r="L12" s="17">
        <v>0</v>
      </c>
      <c r="M12" s="17">
        <v>0</v>
      </c>
    </row>
    <row r="13" spans="1:13">
      <c r="A13" s="1">
        <f>A12+1</f>
        <v>4</v>
      </c>
      <c r="C13" s="1" t="s">
        <v>69</v>
      </c>
      <c r="E13" s="4" t="s">
        <v>70</v>
      </c>
      <c r="F13" s="34"/>
      <c r="G13" s="14">
        <f>G10+G11+G12</f>
        <v>891508.96603999985</v>
      </c>
      <c r="H13" s="34"/>
      <c r="I13" s="14">
        <f>I10+I11+I12</f>
        <v>796723.52518</v>
      </c>
      <c r="J13" s="14">
        <f>J10+J11+J12</f>
        <v>843138.36502000003</v>
      </c>
      <c r="K13" s="14">
        <f>K10+K11+K12</f>
        <v>946158.97946000006</v>
      </c>
      <c r="L13" s="14">
        <f>L10+L11+L12</f>
        <v>1075805.7437200001</v>
      </c>
      <c r="M13" s="14">
        <f>M10+M11+M12</f>
        <v>1198565.0779800001</v>
      </c>
    </row>
    <row r="14" spans="1:13">
      <c r="F14" s="34"/>
      <c r="H14" s="34"/>
    </row>
    <row r="15" spans="1:13">
      <c r="C15" s="8" t="s">
        <v>71</v>
      </c>
    </row>
    <row r="16" spans="1:13">
      <c r="A16" s="1">
        <f>A13+1</f>
        <v>5</v>
      </c>
      <c r="C16" s="1" t="s">
        <v>66</v>
      </c>
      <c r="G16" s="14">
        <v>223323.00612999999</v>
      </c>
      <c r="I16" s="14">
        <v>211204.98300000001</v>
      </c>
      <c r="J16" s="14">
        <f>I19</f>
        <v>224234.18439000001</v>
      </c>
      <c r="K16" s="14">
        <f>J19</f>
        <v>239951.13613</v>
      </c>
      <c r="L16" s="14">
        <f>K19</f>
        <v>260507.38939999999</v>
      </c>
      <c r="M16" s="14">
        <f>L19</f>
        <v>285017.33042999997</v>
      </c>
    </row>
    <row r="17" spans="1:13">
      <c r="A17" s="1">
        <f>A16+1</f>
        <v>6</v>
      </c>
      <c r="C17" s="1" t="s">
        <v>72</v>
      </c>
      <c r="E17" s="4" t="s">
        <v>73</v>
      </c>
      <c r="G17" s="14">
        <v>15348.176959999999</v>
      </c>
      <c r="I17" s="14">
        <v>16003.778729999998</v>
      </c>
      <c r="J17" s="14">
        <v>15716.951740000002</v>
      </c>
      <c r="K17" s="14">
        <v>20556.253270000001</v>
      </c>
      <c r="L17" s="14">
        <v>24509.941030000005</v>
      </c>
      <c r="M17" s="14">
        <v>27836.385080000004</v>
      </c>
    </row>
    <row r="18" spans="1:13">
      <c r="A18" s="1">
        <f>A17+1</f>
        <v>7</v>
      </c>
      <c r="C18" s="1" t="s">
        <v>68</v>
      </c>
      <c r="G18" s="17">
        <v>0</v>
      </c>
      <c r="I18" s="17">
        <v>-2974.5773399999998</v>
      </c>
      <c r="J18" s="17">
        <v>0</v>
      </c>
      <c r="K18" s="17">
        <v>0</v>
      </c>
      <c r="L18" s="17">
        <v>0</v>
      </c>
      <c r="M18" s="17">
        <v>0</v>
      </c>
    </row>
    <row r="19" spans="1:13">
      <c r="A19" s="1">
        <f>A18+1</f>
        <v>8</v>
      </c>
      <c r="C19" s="1" t="s">
        <v>69</v>
      </c>
      <c r="E19" s="4" t="s">
        <v>292</v>
      </c>
      <c r="G19" s="16">
        <f>SUM(G16:G18)</f>
        <v>238671.18309000001</v>
      </c>
      <c r="I19" s="16">
        <f>SUM(I16:I18)</f>
        <v>224234.18439000001</v>
      </c>
      <c r="J19" s="16">
        <f>SUM(J16:J18)</f>
        <v>239951.13613</v>
      </c>
      <c r="K19" s="16">
        <f>SUM(K16:K18)</f>
        <v>260507.38939999999</v>
      </c>
      <c r="L19" s="16">
        <f>SUM(L16:L18)</f>
        <v>285017.33042999997</v>
      </c>
      <c r="M19" s="16">
        <f>SUM(M16:M18)</f>
        <v>312853.71550999995</v>
      </c>
    </row>
    <row r="20" spans="1:13">
      <c r="G20" s="16"/>
      <c r="I20" s="16"/>
      <c r="J20" s="16"/>
      <c r="K20" s="16"/>
      <c r="L20" s="16"/>
      <c r="M20" s="16"/>
    </row>
    <row r="21" spans="1:13">
      <c r="C21" s="1" t="s">
        <v>74</v>
      </c>
    </row>
    <row r="22" spans="1:13">
      <c r="A22" s="1">
        <f>A19+1</f>
        <v>9</v>
      </c>
      <c r="C22" s="1" t="s">
        <v>18</v>
      </c>
      <c r="G22" s="14">
        <v>1388.4635799999996</v>
      </c>
      <c r="I22" s="14">
        <v>1388.4635799999996</v>
      </c>
      <c r="J22" s="14">
        <v>2073.4635799999996</v>
      </c>
      <c r="K22" s="14">
        <v>2073.4635799999996</v>
      </c>
      <c r="L22" s="14">
        <v>2073.4635799999996</v>
      </c>
      <c r="M22" s="14">
        <v>2073.4635799999996</v>
      </c>
    </row>
    <row r="23" spans="1:13">
      <c r="A23" s="1">
        <f>A22+1</f>
        <v>10</v>
      </c>
      <c r="C23" s="1" t="s">
        <v>23</v>
      </c>
      <c r="G23" s="17">
        <v>-534.42341788888893</v>
      </c>
      <c r="I23" s="17">
        <v>-1528.9723534166667</v>
      </c>
      <c r="J23" s="17">
        <v>-550.73941167770886</v>
      </c>
      <c r="K23" s="17">
        <v>-618.21131291097322</v>
      </c>
      <c r="L23" s="17">
        <v>-685.68321414423758</v>
      </c>
      <c r="M23" s="17">
        <v>-753.15511537750194</v>
      </c>
    </row>
    <row r="24" spans="1:13">
      <c r="A24" s="1">
        <f>A23+1</f>
        <v>11</v>
      </c>
      <c r="C24" s="1" t="s">
        <v>77</v>
      </c>
      <c r="E24" s="4" t="s">
        <v>75</v>
      </c>
      <c r="G24" s="15">
        <f>SUM(G22:G23)</f>
        <v>854.0401621111107</v>
      </c>
      <c r="I24" s="15">
        <f>SUM(I22:I23)</f>
        <v>-140.50877341666705</v>
      </c>
      <c r="J24" s="15">
        <f>SUM(J22:J23)</f>
        <v>1522.7241683222908</v>
      </c>
      <c r="K24" s="15">
        <f>SUM(K22:K23)</f>
        <v>1455.2522670890264</v>
      </c>
      <c r="L24" s="15">
        <f>SUM(L22:L23)</f>
        <v>1387.7803658557621</v>
      </c>
      <c r="M24" s="15">
        <f>SUM(M22:M23)</f>
        <v>1320.3084646224977</v>
      </c>
    </row>
    <row r="26" spans="1:13">
      <c r="A26" s="1">
        <f>A24+1</f>
        <v>12</v>
      </c>
      <c r="C26" s="1" t="s">
        <v>16</v>
      </c>
      <c r="E26" s="4" t="s">
        <v>78</v>
      </c>
      <c r="G26" s="26">
        <v>116829.42595999998</v>
      </c>
      <c r="I26" s="26">
        <v>68675.469869999986</v>
      </c>
      <c r="J26" s="26">
        <v>100142.84435</v>
      </c>
      <c r="K26" s="26">
        <v>108095.72901000002</v>
      </c>
      <c r="L26" s="26">
        <v>78710.572460000025</v>
      </c>
      <c r="M26" s="26">
        <v>119573.66015000001</v>
      </c>
    </row>
    <row r="27" spans="1:13">
      <c r="G27" s="14"/>
      <c r="I27" s="14"/>
      <c r="J27" s="14"/>
      <c r="K27" s="14"/>
      <c r="L27" s="14"/>
      <c r="M27" s="14"/>
    </row>
    <row r="28" spans="1:13">
      <c r="C28" s="1" t="s">
        <v>79</v>
      </c>
      <c r="G28" s="14"/>
      <c r="I28" s="14"/>
      <c r="J28" s="14"/>
      <c r="K28" s="14"/>
      <c r="L28" s="14"/>
      <c r="M28" s="14"/>
    </row>
    <row r="29" spans="1:13">
      <c r="A29" s="1">
        <f>A26+1</f>
        <v>13</v>
      </c>
      <c r="C29" s="128" t="s">
        <v>331</v>
      </c>
      <c r="G29" s="14">
        <v>3132.2389999999996</v>
      </c>
      <c r="I29" s="14">
        <v>3394.2389999999996</v>
      </c>
      <c r="J29" s="14">
        <v>3132.2389999999996</v>
      </c>
      <c r="K29" s="14">
        <v>2870.2389999999996</v>
      </c>
      <c r="L29" s="14">
        <v>2608.2389999999996</v>
      </c>
      <c r="M29" s="14">
        <v>2346.2389999999996</v>
      </c>
    </row>
    <row r="30" spans="1:13">
      <c r="A30" s="1">
        <f>A29+1</f>
        <v>14</v>
      </c>
      <c r="C30" s="128" t="s">
        <v>80</v>
      </c>
      <c r="G30" s="14">
        <v>-3347.3319999999999</v>
      </c>
      <c r="I30" s="14">
        <v>-3282.1970000000001</v>
      </c>
      <c r="J30" s="14">
        <v>-5085.9620000000004</v>
      </c>
      <c r="K30" s="14">
        <v>-4577.366</v>
      </c>
      <c r="L30" s="14">
        <v>-4068.77</v>
      </c>
      <c r="M30" s="14">
        <v>-3560.174</v>
      </c>
    </row>
    <row r="31" spans="1:13">
      <c r="A31" s="1">
        <f>A30+1</f>
        <v>15</v>
      </c>
      <c r="C31" s="128" t="s">
        <v>81</v>
      </c>
      <c r="G31" s="17">
        <v>1965.9341599999998</v>
      </c>
      <c r="I31" s="17">
        <v>2036.2342800000001</v>
      </c>
      <c r="J31" s="17">
        <v>2036.2342800000001</v>
      </c>
      <c r="K31" s="17">
        <v>2036.2342800000001</v>
      </c>
      <c r="L31" s="17">
        <v>2036.2342800000001</v>
      </c>
      <c r="M31" s="17">
        <v>2036.2342800000001</v>
      </c>
    </row>
    <row r="32" spans="1:13">
      <c r="A32" s="1">
        <f>A31+1</f>
        <v>16</v>
      </c>
      <c r="C32" s="1" t="s">
        <v>309</v>
      </c>
      <c r="E32" s="4" t="s">
        <v>82</v>
      </c>
      <c r="G32" s="15">
        <f>SUM(G29:G31)</f>
        <v>1750.8411599999995</v>
      </c>
      <c r="I32" s="15">
        <f>SUM(I29:I31)</f>
        <v>2148.2762799999996</v>
      </c>
      <c r="J32" s="15">
        <f>SUM(J29:J31)</f>
        <v>82.51127999999926</v>
      </c>
      <c r="K32" s="15">
        <f>SUM(K29:K31)</f>
        <v>329.10727999999972</v>
      </c>
      <c r="L32" s="15">
        <f>SUM(L29:L31)</f>
        <v>575.70327999999972</v>
      </c>
      <c r="M32" s="15">
        <f>SUM(M29:M31)</f>
        <v>822.29927999999973</v>
      </c>
    </row>
    <row r="33" spans="1:13">
      <c r="G33" s="14"/>
      <c r="I33" s="14"/>
      <c r="J33" s="14"/>
      <c r="K33" s="14"/>
      <c r="L33" s="14"/>
      <c r="M33" s="14"/>
    </row>
    <row r="34" spans="1:13">
      <c r="A34" s="1">
        <f>A32+1</f>
        <v>17</v>
      </c>
      <c r="C34" s="1" t="s">
        <v>83</v>
      </c>
      <c r="G34" s="17">
        <f>G24+G26+G32</f>
        <v>119434.30728211108</v>
      </c>
      <c r="I34" s="17">
        <f>I24+I26+I32</f>
        <v>70683.237376583318</v>
      </c>
      <c r="J34" s="17">
        <f>J24+J26+J32</f>
        <v>101748.0797983223</v>
      </c>
      <c r="K34" s="17">
        <f>K24+K26+K32</f>
        <v>109880.08855708905</v>
      </c>
      <c r="L34" s="17">
        <f>L24+L26+L32</f>
        <v>80674.056105855794</v>
      </c>
      <c r="M34" s="17">
        <f>M24+M26+M32</f>
        <v>121716.26789462252</v>
      </c>
    </row>
    <row r="35" spans="1:13">
      <c r="G35" s="14"/>
      <c r="I35" s="14"/>
      <c r="J35" s="14"/>
      <c r="K35" s="14"/>
      <c r="L35" s="14"/>
      <c r="M35" s="14"/>
    </row>
    <row r="36" spans="1:13" ht="13" thickBot="1">
      <c r="A36" s="1">
        <f>A34+1</f>
        <v>18</v>
      </c>
      <c r="C36" s="1" t="s">
        <v>84</v>
      </c>
      <c r="G36" s="21">
        <f>G13-G19-G34</f>
        <v>533403.47566788876</v>
      </c>
      <c r="I36" s="21">
        <f>I13-I19-I34</f>
        <v>501806.10341341671</v>
      </c>
      <c r="J36" s="21">
        <f>J13-J19-J34</f>
        <v>501439.14909167774</v>
      </c>
      <c r="K36" s="21">
        <f>K13-K19-K34</f>
        <v>575771.50150291098</v>
      </c>
      <c r="L36" s="21">
        <f>L13-L19-L34</f>
        <v>710114.35718414444</v>
      </c>
      <c r="M36" s="21">
        <f>M13-M19-M34</f>
        <v>763995.09457537753</v>
      </c>
    </row>
    <row r="37" spans="1:13">
      <c r="G37" s="14"/>
      <c r="I37" s="14"/>
      <c r="J37" s="14"/>
      <c r="K37" s="14"/>
      <c r="L37" s="14"/>
      <c r="M37" s="14"/>
    </row>
    <row r="38" spans="1:13">
      <c r="C38" s="1" t="s">
        <v>22</v>
      </c>
    </row>
    <row r="39" spans="1:13">
      <c r="A39" s="1">
        <f>A36+1</f>
        <v>19</v>
      </c>
      <c r="C39" s="1" t="s">
        <v>327</v>
      </c>
      <c r="G39" s="14"/>
      <c r="I39" s="14"/>
      <c r="J39" s="14"/>
      <c r="K39" s="14"/>
      <c r="L39" s="14"/>
      <c r="M39" s="14"/>
    </row>
    <row r="40" spans="1:13">
      <c r="A40" s="1">
        <f t="shared" ref="A40:A45" si="0">A39+1</f>
        <v>20</v>
      </c>
      <c r="C40" s="128" t="s">
        <v>85</v>
      </c>
      <c r="G40" s="14"/>
      <c r="I40" s="14"/>
      <c r="J40" s="14"/>
      <c r="K40" s="14"/>
      <c r="L40" s="14"/>
      <c r="M40" s="14"/>
    </row>
    <row r="41" spans="1:13">
      <c r="A41" s="1">
        <f t="shared" si="0"/>
        <v>21</v>
      </c>
      <c r="C41" s="129" t="s">
        <v>86</v>
      </c>
      <c r="G41" s="14">
        <v>11541.019820000001</v>
      </c>
      <c r="I41" s="14">
        <v>13764.835939999999</v>
      </c>
      <c r="J41" s="14">
        <f>I44</f>
        <v>14201.454519999999</v>
      </c>
      <c r="K41" s="14">
        <f>J44</f>
        <v>12004.44471</v>
      </c>
      <c r="L41" s="14">
        <f>K44</f>
        <v>10077.296719999998</v>
      </c>
      <c r="M41" s="14">
        <f>L44</f>
        <v>8101.4557399999985</v>
      </c>
    </row>
    <row r="42" spans="1:13">
      <c r="A42" s="1">
        <f t="shared" si="0"/>
        <v>22</v>
      </c>
      <c r="C42" s="130" t="s">
        <v>87</v>
      </c>
      <c r="G42" s="14">
        <v>1175.0000000000005</v>
      </c>
      <c r="I42" s="14">
        <f>I44-I41-I43</f>
        <v>1510.3823700000003</v>
      </c>
      <c r="J42" s="14">
        <f>J44-J41-J43</f>
        <v>1059.8237500000005</v>
      </c>
      <c r="K42" s="14">
        <f>K44-K41-K43</f>
        <v>394.99999999999909</v>
      </c>
      <c r="L42" s="14">
        <f>L44-L41-L43</f>
        <v>350</v>
      </c>
      <c r="M42" s="14">
        <f>M44-M41-M43</f>
        <v>0</v>
      </c>
    </row>
    <row r="43" spans="1:13">
      <c r="A43" s="1">
        <f t="shared" si="0"/>
        <v>23</v>
      </c>
      <c r="C43" s="130" t="s">
        <v>88</v>
      </c>
      <c r="G43" s="17">
        <v>-2133.7426</v>
      </c>
      <c r="I43" s="17">
        <v>-1073.76379</v>
      </c>
      <c r="J43" s="17">
        <v>-3256.83356</v>
      </c>
      <c r="K43" s="17">
        <v>-2322.1479900000004</v>
      </c>
      <c r="L43" s="17">
        <v>-2325.8409799999999</v>
      </c>
      <c r="M43" s="17">
        <v>-1745.34194</v>
      </c>
    </row>
    <row r="44" spans="1:13">
      <c r="A44" s="1">
        <f t="shared" si="0"/>
        <v>24</v>
      </c>
      <c r="C44" s="129" t="s">
        <v>89</v>
      </c>
      <c r="G44" s="14">
        <v>10582.277220000002</v>
      </c>
      <c r="I44" s="14">
        <v>14201.454519999999</v>
      </c>
      <c r="J44" s="14">
        <v>12004.44471</v>
      </c>
      <c r="K44" s="14">
        <v>10077.296719999998</v>
      </c>
      <c r="L44" s="14">
        <v>8101.4557399999985</v>
      </c>
      <c r="M44" s="14">
        <v>6356.1137999999992</v>
      </c>
    </row>
    <row r="45" spans="1:13">
      <c r="A45" s="1">
        <f t="shared" si="0"/>
        <v>25</v>
      </c>
      <c r="C45" s="128" t="s">
        <v>346</v>
      </c>
      <c r="G45" s="14">
        <v>785</v>
      </c>
      <c r="I45" s="14">
        <v>10617.40214</v>
      </c>
      <c r="J45" s="14">
        <v>2203.4210200000002</v>
      </c>
      <c r="K45" s="14">
        <v>0</v>
      </c>
      <c r="L45" s="14">
        <v>350</v>
      </c>
      <c r="M45" s="14">
        <v>350</v>
      </c>
    </row>
    <row r="46" spans="1:13">
      <c r="C46" s="129"/>
      <c r="G46" s="14"/>
      <c r="I46" s="14"/>
      <c r="J46" s="14"/>
      <c r="K46" s="14"/>
      <c r="L46" s="14"/>
      <c r="M46" s="14"/>
    </row>
    <row r="47" spans="1:13">
      <c r="A47" s="1">
        <f>A45+1</f>
        <v>26</v>
      </c>
      <c r="C47" s="128" t="s">
        <v>90</v>
      </c>
      <c r="G47" s="14"/>
      <c r="I47" s="14"/>
      <c r="J47" s="14"/>
      <c r="K47" s="14"/>
      <c r="L47" s="14"/>
      <c r="M47" s="14"/>
    </row>
    <row r="48" spans="1:13">
      <c r="A48" s="1">
        <f>A47+1</f>
        <v>27</v>
      </c>
      <c r="C48" s="129" t="s">
        <v>86</v>
      </c>
      <c r="G48" s="14">
        <v>26961.318859999999</v>
      </c>
      <c r="I48" s="14">
        <v>17088.781999999999</v>
      </c>
      <c r="J48" s="14">
        <f>I51</f>
        <v>22917.287059999999</v>
      </c>
      <c r="K48" s="14">
        <f>J51</f>
        <v>26873.877339999999</v>
      </c>
      <c r="L48" s="14">
        <f>K51</f>
        <v>29527.903910000001</v>
      </c>
      <c r="M48" s="14">
        <f>L51</f>
        <v>28545.547729999998</v>
      </c>
    </row>
    <row r="49" spans="1:13">
      <c r="A49" s="1">
        <f>A48+1</f>
        <v>28</v>
      </c>
      <c r="C49" s="130" t="s">
        <v>87</v>
      </c>
      <c r="G49" s="14">
        <v>7326.7949999999983</v>
      </c>
      <c r="I49" s="14">
        <f>I51-I48-I50</f>
        <v>6648.0631999999996</v>
      </c>
      <c r="J49" s="14">
        <f>J51-J48-J50</f>
        <v>4769.0534100000004</v>
      </c>
      <c r="K49" s="14">
        <f>K51-K48-K50</f>
        <v>4105.858000000002</v>
      </c>
      <c r="L49" s="14">
        <f>L51-L48-L50</f>
        <v>1449.9999999999977</v>
      </c>
      <c r="M49" s="14">
        <f>M51-M48-M50</f>
        <v>904.99999999999591</v>
      </c>
    </row>
    <row r="50" spans="1:13">
      <c r="A50" s="1">
        <f>A49+1</f>
        <v>29</v>
      </c>
      <c r="C50" s="130" t="s">
        <v>88</v>
      </c>
      <c r="G50" s="17">
        <v>-812.46312</v>
      </c>
      <c r="I50" s="17">
        <v>-819.55813999999998</v>
      </c>
      <c r="J50" s="17">
        <v>-812.46312999999998</v>
      </c>
      <c r="K50" s="17">
        <v>-1451.83143</v>
      </c>
      <c r="L50" s="17">
        <v>-2432.3561800000002</v>
      </c>
      <c r="M50" s="17">
        <v>-3355.4511699999998</v>
      </c>
    </row>
    <row r="51" spans="1:13">
      <c r="A51" s="1">
        <f>A50+1</f>
        <v>30</v>
      </c>
      <c r="C51" s="129" t="s">
        <v>89</v>
      </c>
      <c r="G51" s="14">
        <v>33475.650739999997</v>
      </c>
      <c r="I51" s="14">
        <v>22917.287059999999</v>
      </c>
      <c r="J51" s="14">
        <v>26873.877339999999</v>
      </c>
      <c r="K51" s="14">
        <v>29527.903910000001</v>
      </c>
      <c r="L51" s="14">
        <v>28545.547729999998</v>
      </c>
      <c r="M51" s="14">
        <v>26095.096559999994</v>
      </c>
    </row>
    <row r="52" spans="1:13">
      <c r="A52" s="1">
        <f>A51+1</f>
        <v>31</v>
      </c>
      <c r="C52" s="128" t="s">
        <v>347</v>
      </c>
      <c r="G52" s="14">
        <v>29867.4228</v>
      </c>
      <c r="I52" s="14">
        <v>19713.993149999998</v>
      </c>
      <c r="J52" s="14">
        <v>21245.020379999998</v>
      </c>
      <c r="K52" s="14">
        <v>14669.374039999999</v>
      </c>
      <c r="L52" s="14">
        <v>8824.5278500000004</v>
      </c>
      <c r="M52" s="14">
        <v>0</v>
      </c>
    </row>
    <row r="53" spans="1:13">
      <c r="C53" s="129"/>
      <c r="G53" s="14"/>
      <c r="I53" s="14"/>
      <c r="J53" s="14"/>
      <c r="K53" s="14"/>
      <c r="L53" s="14"/>
      <c r="M53" s="14"/>
    </row>
    <row r="54" spans="1:13">
      <c r="A54" s="1">
        <f>A52+1</f>
        <v>32</v>
      </c>
      <c r="C54" s="128" t="s">
        <v>91</v>
      </c>
      <c r="G54" s="14"/>
      <c r="I54" s="14"/>
      <c r="J54" s="14"/>
      <c r="K54" s="14"/>
      <c r="L54" s="14"/>
      <c r="M54" s="14"/>
    </row>
    <row r="55" spans="1:13">
      <c r="A55" s="1">
        <f>A54+1</f>
        <v>33</v>
      </c>
      <c r="C55" s="129" t="s">
        <v>86</v>
      </c>
      <c r="G55" s="14">
        <v>126.89604</v>
      </c>
      <c r="I55" s="14">
        <v>177.79390999999998</v>
      </c>
      <c r="J55" s="14">
        <f>I58</f>
        <v>126.89604</v>
      </c>
      <c r="K55" s="14">
        <f>J58</f>
        <v>95.773559999999989</v>
      </c>
      <c r="L55" s="14">
        <f>K58</f>
        <v>200.39814999999996</v>
      </c>
      <c r="M55" s="14">
        <f>L58</f>
        <v>136.34276999999997</v>
      </c>
    </row>
    <row r="56" spans="1:13">
      <c r="A56" s="1">
        <f>A55+1</f>
        <v>34</v>
      </c>
      <c r="C56" s="130" t="s">
        <v>87</v>
      </c>
      <c r="G56" s="14">
        <v>0</v>
      </c>
      <c r="I56" s="14">
        <f>I58-I55-I57</f>
        <v>0</v>
      </c>
      <c r="J56" s="14">
        <f>J58-J55-J57</f>
        <v>19.775389999999994</v>
      </c>
      <c r="K56" s="14">
        <f>K58-K55-K57</f>
        <v>174.99999999999997</v>
      </c>
      <c r="L56" s="14">
        <f>L58-L55-L57</f>
        <v>0</v>
      </c>
      <c r="M56" s="14">
        <f>M58-M55-M57</f>
        <v>0</v>
      </c>
    </row>
    <row r="57" spans="1:13">
      <c r="A57" s="1">
        <f>A56+1</f>
        <v>35</v>
      </c>
      <c r="C57" s="130" t="s">
        <v>88</v>
      </c>
      <c r="G57" s="17">
        <v>-50.897870000000005</v>
      </c>
      <c r="I57" s="17">
        <v>-50.897870000000005</v>
      </c>
      <c r="J57" s="17">
        <v>-50.897870000000005</v>
      </c>
      <c r="K57" s="17">
        <v>-70.375410000000002</v>
      </c>
      <c r="L57" s="17">
        <v>-64.05538</v>
      </c>
      <c r="M57" s="17">
        <v>-38.955080000000002</v>
      </c>
    </row>
    <row r="58" spans="1:13">
      <c r="A58" s="1">
        <f>A57+1</f>
        <v>36</v>
      </c>
      <c r="C58" s="129" t="s">
        <v>89</v>
      </c>
      <c r="G58" s="14">
        <v>75.998169999999988</v>
      </c>
      <c r="I58" s="14">
        <v>126.89604</v>
      </c>
      <c r="J58" s="14">
        <v>95.773559999999989</v>
      </c>
      <c r="K58" s="14">
        <v>200.39814999999996</v>
      </c>
      <c r="L58" s="14">
        <v>136.34276999999997</v>
      </c>
      <c r="M58" s="14">
        <v>97.387689999999949</v>
      </c>
    </row>
    <row r="59" spans="1:13">
      <c r="A59" s="1">
        <f>A58+1</f>
        <v>37</v>
      </c>
      <c r="C59" s="128" t="s">
        <v>348</v>
      </c>
      <c r="G59" s="14">
        <v>0</v>
      </c>
      <c r="I59" s="14">
        <v>0</v>
      </c>
      <c r="J59" s="14">
        <v>19.775389999999998</v>
      </c>
      <c r="K59" s="14">
        <v>0</v>
      </c>
      <c r="L59" s="14">
        <v>0</v>
      </c>
      <c r="M59" s="14">
        <v>0</v>
      </c>
    </row>
    <row r="60" spans="1:13">
      <c r="C60" s="129"/>
      <c r="G60" s="14"/>
      <c r="I60" s="14"/>
      <c r="J60" s="14"/>
      <c r="K60" s="14"/>
      <c r="L60" s="14"/>
      <c r="M60" s="14"/>
    </row>
    <row r="61" spans="1:13">
      <c r="A61" s="1">
        <f>A59+1</f>
        <v>38</v>
      </c>
      <c r="C61" s="128" t="s">
        <v>350</v>
      </c>
      <c r="G61" s="14"/>
      <c r="I61" s="14"/>
      <c r="J61" s="14"/>
      <c r="K61" s="14"/>
      <c r="L61" s="14"/>
      <c r="M61" s="14"/>
    </row>
    <row r="62" spans="1:13">
      <c r="A62" s="1">
        <f>A61+1</f>
        <v>39</v>
      </c>
      <c r="C62" s="129" t="s">
        <v>86</v>
      </c>
      <c r="G62" s="14">
        <v>664.59255099999814</v>
      </c>
      <c r="I62" s="14">
        <v>886.12359099999958</v>
      </c>
      <c r="J62" s="14">
        <f>I65</f>
        <v>664.59255099999962</v>
      </c>
      <c r="K62" s="14">
        <f>J65</f>
        <v>443.06151099999965</v>
      </c>
      <c r="L62" s="14">
        <f>K65</f>
        <v>221.53047099999972</v>
      </c>
      <c r="M62" s="14">
        <f>L65</f>
        <v>-2.4890000003665591E-3</v>
      </c>
    </row>
    <row r="63" spans="1:13">
      <c r="A63" s="1">
        <f>A62+1</f>
        <v>40</v>
      </c>
      <c r="C63" s="130" t="s">
        <v>87</v>
      </c>
      <c r="G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</row>
    <row r="64" spans="1:13">
      <c r="A64" s="1">
        <f>A63+1</f>
        <v>41</v>
      </c>
      <c r="C64" s="130" t="s">
        <v>88</v>
      </c>
      <c r="G64" s="17">
        <v>-221.53103999999993</v>
      </c>
      <c r="I64" s="17">
        <v>-221.53103999999993</v>
      </c>
      <c r="J64" s="17">
        <v>-221.53103999999993</v>
      </c>
      <c r="K64" s="17">
        <v>-221.53103999999993</v>
      </c>
      <c r="L64" s="17">
        <v>-221.53296000000009</v>
      </c>
      <c r="M64" s="17">
        <v>0</v>
      </c>
    </row>
    <row r="65" spans="1:13">
      <c r="A65" s="1">
        <f>A64+1</f>
        <v>42</v>
      </c>
      <c r="C65" s="129" t="s">
        <v>89</v>
      </c>
      <c r="G65" s="14">
        <v>443.06151099999818</v>
      </c>
      <c r="I65" s="14">
        <f>SUM(I62:I64)</f>
        <v>664.59255099999962</v>
      </c>
      <c r="J65" s="14">
        <f>SUM(J62:J64)</f>
        <v>443.06151099999965</v>
      </c>
      <c r="K65" s="14">
        <f>SUM(K62:K64)</f>
        <v>221.53047099999972</v>
      </c>
      <c r="L65" s="14">
        <f>SUM(L62:L64)</f>
        <v>-2.4890000003665591E-3</v>
      </c>
      <c r="M65" s="14">
        <f>SUM(M62:M64)</f>
        <v>-2.4890000003665591E-3</v>
      </c>
    </row>
    <row r="66" spans="1:13">
      <c r="A66" s="1">
        <f>A65+1</f>
        <v>43</v>
      </c>
      <c r="C66" s="128" t="s">
        <v>349</v>
      </c>
      <c r="G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</row>
    <row r="67" spans="1:13">
      <c r="C67" s="129"/>
      <c r="G67" s="14"/>
      <c r="I67" s="14"/>
      <c r="J67" s="14"/>
      <c r="K67" s="14"/>
      <c r="L67" s="14"/>
      <c r="M67" s="14"/>
    </row>
    <row r="68" spans="1:13">
      <c r="A68" s="1">
        <f>A66+1</f>
        <v>44</v>
      </c>
      <c r="C68" s="128" t="s">
        <v>92</v>
      </c>
      <c r="G68" s="14"/>
      <c r="I68" s="14"/>
      <c r="J68" s="14"/>
      <c r="K68" s="14"/>
      <c r="L68" s="14"/>
      <c r="M68" s="14"/>
    </row>
    <row r="69" spans="1:13">
      <c r="A69" s="1">
        <f>A68+1</f>
        <v>45</v>
      </c>
      <c r="C69" s="129" t="s">
        <v>86</v>
      </c>
      <c r="G69" s="14">
        <v>9840.0845800000006</v>
      </c>
      <c r="I69" s="14">
        <v>4582.3754600000011</v>
      </c>
      <c r="J69" s="14">
        <f>I72</f>
        <v>4424.2910099999981</v>
      </c>
      <c r="K69" s="14">
        <f>J72</f>
        <v>4915.9551700000002</v>
      </c>
      <c r="L69" s="14">
        <f>J72</f>
        <v>4915.9551700000002</v>
      </c>
      <c r="M69" s="14">
        <f>K72</f>
        <v>6047.4376699999984</v>
      </c>
    </row>
    <row r="70" spans="1:13">
      <c r="A70" s="1">
        <f>A69+1</f>
        <v>46</v>
      </c>
      <c r="C70" s="130" t="s">
        <v>87</v>
      </c>
      <c r="G70" s="14">
        <v>4830</v>
      </c>
      <c r="I70" s="14">
        <f>I72-I69-I71</f>
        <v>567.80190999999695</v>
      </c>
      <c r="J70" s="14">
        <f>J72-J69-J71</f>
        <v>1210.0228100000022</v>
      </c>
      <c r="K70" s="14">
        <f>K72-K69-K71</f>
        <v>1984.9999999999982</v>
      </c>
      <c r="L70" s="14">
        <f>L72-L69-L71</f>
        <v>2021.4824999999994</v>
      </c>
      <c r="M70" s="14">
        <f>M72-M69-M71</f>
        <v>791.92885000000069</v>
      </c>
    </row>
    <row r="71" spans="1:13">
      <c r="A71" s="1">
        <f>A70+1</f>
        <v>47</v>
      </c>
      <c r="C71" s="130" t="s">
        <v>88</v>
      </c>
      <c r="G71" s="17">
        <v>-1280.6828700000001</v>
      </c>
      <c r="I71" s="17">
        <v>-725.88635999999997</v>
      </c>
      <c r="J71" s="17">
        <v>-718.35865000000001</v>
      </c>
      <c r="K71" s="17">
        <v>-853.51750000000004</v>
      </c>
      <c r="L71" s="17">
        <v>-938.07114999999999</v>
      </c>
      <c r="M71" s="17">
        <v>-999.84114</v>
      </c>
    </row>
    <row r="72" spans="1:13">
      <c r="A72" s="1">
        <f>A71+1</f>
        <v>48</v>
      </c>
      <c r="C72" s="129" t="s">
        <v>89</v>
      </c>
      <c r="G72" s="14">
        <v>13389.40171</v>
      </c>
      <c r="I72" s="14">
        <v>4424.2910099999981</v>
      </c>
      <c r="J72" s="14">
        <v>4915.9551700000002</v>
      </c>
      <c r="K72" s="14">
        <v>6047.4376699999984</v>
      </c>
      <c r="L72" s="14">
        <v>5999.3665199999996</v>
      </c>
      <c r="M72" s="14">
        <v>5839.5253799999991</v>
      </c>
    </row>
    <row r="73" spans="1:13">
      <c r="A73" s="1">
        <f>A72+1</f>
        <v>49</v>
      </c>
      <c r="C73" s="128" t="s">
        <v>351</v>
      </c>
      <c r="G73" s="14">
        <v>4624.81232</v>
      </c>
      <c r="I73" s="14">
        <v>446.65201000000002</v>
      </c>
      <c r="J73" s="14">
        <v>954.79232000000002</v>
      </c>
      <c r="K73" s="14">
        <v>600</v>
      </c>
      <c r="L73" s="14">
        <v>580</v>
      </c>
      <c r="M73" s="14">
        <v>750</v>
      </c>
    </row>
    <row r="74" spans="1:13">
      <c r="C74" s="129"/>
      <c r="G74" s="14"/>
      <c r="I74" s="14"/>
      <c r="J74" s="14"/>
      <c r="K74" s="14"/>
      <c r="L74" s="14"/>
      <c r="M74" s="14"/>
    </row>
    <row r="75" spans="1:13">
      <c r="A75" s="1">
        <f>A73+1</f>
        <v>50</v>
      </c>
      <c r="C75" s="128" t="s">
        <v>314</v>
      </c>
      <c r="G75" s="14"/>
      <c r="I75" s="14"/>
      <c r="J75" s="14"/>
      <c r="K75" s="14"/>
      <c r="L75" s="14"/>
      <c r="M75" s="14"/>
    </row>
    <row r="76" spans="1:13">
      <c r="A76" s="1">
        <f>A75+1</f>
        <v>51</v>
      </c>
      <c r="C76" s="129" t="s">
        <v>86</v>
      </c>
      <c r="G76" s="14">
        <v>1856.5061900982544</v>
      </c>
      <c r="I76" s="14">
        <v>1121.361264098254</v>
      </c>
      <c r="J76" s="14">
        <f>I79</f>
        <v>1509.8699307602858</v>
      </c>
      <c r="K76" s="14">
        <f>J79</f>
        <v>1933.1117107602859</v>
      </c>
      <c r="L76" s="14">
        <f>K79</f>
        <v>2349.5355877602856</v>
      </c>
      <c r="M76" s="14">
        <f>L79</f>
        <v>2428.2594647602859</v>
      </c>
    </row>
    <row r="77" spans="1:13">
      <c r="A77" s="1">
        <f>A76+1</f>
        <v>52</v>
      </c>
      <c r="C77" s="130" t="s">
        <v>87</v>
      </c>
      <c r="G77" s="14">
        <v>1160.0000000000002</v>
      </c>
      <c r="I77" s="14">
        <f>I79-I76-I78</f>
        <v>519.54001000000005</v>
      </c>
      <c r="J77" s="14">
        <f>J79-J76-J78</f>
        <v>643.66061000000002</v>
      </c>
      <c r="K77" s="14">
        <f>K79-K76-K78</f>
        <v>746.99999999999955</v>
      </c>
      <c r="L77" s="14">
        <f>L79-L76-L78</f>
        <v>484.00000000000051</v>
      </c>
      <c r="M77" s="14">
        <f>M79-M76-M78</f>
        <v>443.99999999999926</v>
      </c>
    </row>
    <row r="78" spans="1:13">
      <c r="A78" s="1">
        <f>A77+1</f>
        <v>53</v>
      </c>
      <c r="C78" s="130" t="s">
        <v>88</v>
      </c>
      <c r="G78" s="17">
        <v>-254.758464</v>
      </c>
      <c r="I78" s="17">
        <v>-131.03134333796822</v>
      </c>
      <c r="J78" s="17">
        <v>-220.41882999999996</v>
      </c>
      <c r="K78" s="17">
        <v>-330.57612299999988</v>
      </c>
      <c r="L78" s="17">
        <v>-405.27612300000015</v>
      </c>
      <c r="M78" s="17">
        <v>-453.6761229999999</v>
      </c>
    </row>
    <row r="79" spans="1:13">
      <c r="A79" s="1">
        <f>A78+1</f>
        <v>54</v>
      </c>
      <c r="C79" s="129" t="s">
        <v>89</v>
      </c>
      <c r="G79" s="14">
        <v>2761.7477260982546</v>
      </c>
      <c r="I79" s="14">
        <v>1509.8699307602858</v>
      </c>
      <c r="J79" s="14">
        <v>1933.1117107602859</v>
      </c>
      <c r="K79" s="14">
        <v>2349.5355877602856</v>
      </c>
      <c r="L79" s="14">
        <v>2428.2594647602859</v>
      </c>
      <c r="M79" s="14">
        <v>2418.5833417602853</v>
      </c>
    </row>
    <row r="80" spans="1:13">
      <c r="A80" s="1">
        <f>A79+1</f>
        <v>55</v>
      </c>
      <c r="C80" s="128" t="s">
        <v>352</v>
      </c>
      <c r="G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</row>
    <row r="81" spans="1:13">
      <c r="C81" s="129"/>
      <c r="G81" s="14"/>
      <c r="I81" s="14"/>
      <c r="J81" s="14"/>
      <c r="K81" s="14"/>
      <c r="L81" s="14"/>
      <c r="M81" s="14"/>
    </row>
    <row r="82" spans="1:13">
      <c r="A82" s="1">
        <f>A80+1</f>
        <v>56</v>
      </c>
      <c r="C82" s="128" t="s">
        <v>371</v>
      </c>
      <c r="G82" s="14"/>
      <c r="I82" s="14"/>
      <c r="J82" s="14"/>
      <c r="K82" s="14"/>
      <c r="L82" s="14"/>
      <c r="M82" s="14"/>
    </row>
    <row r="83" spans="1:13">
      <c r="A83" s="1">
        <f>A82+1</f>
        <v>57</v>
      </c>
      <c r="C83" s="129" t="s">
        <v>86</v>
      </c>
      <c r="G83" s="14">
        <f>1668.05440190174+1016.431208</f>
        <v>2684.4856099017397</v>
      </c>
      <c r="I83" s="14">
        <v>6096.5622559017456</v>
      </c>
      <c r="J83" s="14">
        <v>7807.3795292397153</v>
      </c>
      <c r="K83" s="14">
        <v>8138.6926992397148</v>
      </c>
      <c r="L83" s="14">
        <v>9297.5283422397151</v>
      </c>
      <c r="M83" s="14">
        <v>9978.9772952397143</v>
      </c>
    </row>
    <row r="84" spans="1:13">
      <c r="A84" s="1">
        <f>A83+1</f>
        <v>58</v>
      </c>
      <c r="C84" s="130" t="s">
        <v>87</v>
      </c>
      <c r="G84" s="14">
        <v>1599.9999999999998</v>
      </c>
      <c r="I84" s="14">
        <v>1900.7505600000013</v>
      </c>
      <c r="J84" s="14">
        <v>1015.1778599999997</v>
      </c>
      <c r="K84" s="14">
        <v>1855</v>
      </c>
      <c r="L84" s="14">
        <v>1374.9999999999991</v>
      </c>
      <c r="M84" s="14">
        <v>400.00000000000028</v>
      </c>
    </row>
    <row r="85" spans="1:13">
      <c r="A85" s="1">
        <f>A84+1</f>
        <v>59</v>
      </c>
      <c r="C85" s="130" t="s">
        <v>88</v>
      </c>
      <c r="G85" s="14">
        <f>-130.907376</f>
        <v>-130.907376</v>
      </c>
      <c r="I85" s="14">
        <v>-189.93328666203183</v>
      </c>
      <c r="J85" s="14">
        <v>-683.86469</v>
      </c>
      <c r="K85" s="14">
        <v>-696.16435700000011</v>
      </c>
      <c r="L85" s="14">
        <v>-693.55104699999993</v>
      </c>
      <c r="M85" s="14">
        <v>-714.7370269999999</v>
      </c>
    </row>
    <row r="86" spans="1:13" ht="3" customHeight="1">
      <c r="C86" s="130"/>
      <c r="G86" s="17"/>
      <c r="I86" s="17"/>
      <c r="J86" s="17"/>
      <c r="K86" s="17"/>
      <c r="L86" s="17"/>
      <c r="M86" s="17"/>
    </row>
    <row r="87" spans="1:13">
      <c r="A87" s="1">
        <f>A85+1</f>
        <v>60</v>
      </c>
      <c r="C87" s="129" t="s">
        <v>89</v>
      </c>
      <c r="G87" s="14">
        <f>3387.14698590174+766.431248</f>
        <v>4153.5782339017405</v>
      </c>
      <c r="I87" s="14">
        <f>SUM(I83:I86)</f>
        <v>7807.3795292397153</v>
      </c>
      <c r="J87" s="14">
        <f>SUM(J83:J86)</f>
        <v>8138.6926992397148</v>
      </c>
      <c r="K87" s="14">
        <f>SUM(K83:K86)</f>
        <v>9297.5283422397151</v>
      </c>
      <c r="L87" s="14">
        <f>SUM(L83:L86)</f>
        <v>9978.9772952397143</v>
      </c>
      <c r="M87" s="14">
        <f>SUM(M83:M86)</f>
        <v>9664.2402682397151</v>
      </c>
    </row>
    <row r="88" spans="1:13">
      <c r="A88" s="1">
        <f>A87+1</f>
        <v>61</v>
      </c>
      <c r="C88" s="128" t="s">
        <v>355</v>
      </c>
      <c r="G88" s="14">
        <v>3858.6516299999998</v>
      </c>
      <c r="I88" s="14">
        <v>1901.9792800000002</v>
      </c>
      <c r="J88" s="14">
        <v>2784.2343900000001</v>
      </c>
      <c r="K88" s="14">
        <v>4431.8252599999996</v>
      </c>
      <c r="L88" s="14">
        <v>3475.2451700000001</v>
      </c>
      <c r="M88" s="14">
        <v>3875.2451700000001</v>
      </c>
    </row>
    <row r="89" spans="1:13">
      <c r="C89" s="128"/>
      <c r="G89" s="14"/>
      <c r="I89" s="14"/>
      <c r="J89" s="14"/>
      <c r="K89" s="14"/>
      <c r="L89" s="14"/>
      <c r="M89" s="14"/>
    </row>
    <row r="90" spans="1:13">
      <c r="A90" s="1">
        <f>A88+1</f>
        <v>62</v>
      </c>
      <c r="C90" s="128" t="s">
        <v>384</v>
      </c>
      <c r="G90" s="14"/>
      <c r="I90" s="14"/>
      <c r="J90" s="14"/>
      <c r="K90" s="14"/>
      <c r="L90" s="14"/>
      <c r="M90" s="14"/>
    </row>
    <row r="91" spans="1:13">
      <c r="A91" s="1">
        <f>A90+1</f>
        <v>63</v>
      </c>
      <c r="C91" s="129" t="s">
        <v>86</v>
      </c>
      <c r="G91" s="14">
        <v>0</v>
      </c>
      <c r="I91" s="14">
        <v>25.876999999999999</v>
      </c>
      <c r="J91" s="14">
        <f>I94</f>
        <v>25.876999999999999</v>
      </c>
      <c r="K91" s="14">
        <f>J94</f>
        <v>67.370999999999995</v>
      </c>
      <c r="L91" s="14">
        <f>K94</f>
        <v>67.370999999999995</v>
      </c>
      <c r="M91" s="14">
        <f>L94</f>
        <v>67.370999999999995</v>
      </c>
    </row>
    <row r="92" spans="1:13">
      <c r="A92" s="1">
        <f>A91+1</f>
        <v>64</v>
      </c>
      <c r="C92" s="130" t="s">
        <v>87</v>
      </c>
      <c r="G92" s="14">
        <v>0</v>
      </c>
      <c r="I92" s="14">
        <v>0</v>
      </c>
      <c r="J92" s="14">
        <v>41.494</v>
      </c>
      <c r="K92" s="14">
        <v>0</v>
      </c>
      <c r="L92" s="14">
        <v>0</v>
      </c>
      <c r="M92" s="14">
        <v>0</v>
      </c>
    </row>
    <row r="93" spans="1:13">
      <c r="A93" s="1">
        <f>A92+1</f>
        <v>65</v>
      </c>
      <c r="C93" s="130" t="s">
        <v>88</v>
      </c>
      <c r="G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</row>
    <row r="94" spans="1:13">
      <c r="A94" s="1">
        <f>A93+1</f>
        <v>66</v>
      </c>
      <c r="C94" s="129" t="s">
        <v>89</v>
      </c>
      <c r="G94" s="14">
        <v>0</v>
      </c>
      <c r="I94" s="14">
        <f>SUM(I91:I93)</f>
        <v>25.876999999999999</v>
      </c>
      <c r="J94" s="14">
        <f>SUM(J91:J93)</f>
        <v>67.370999999999995</v>
      </c>
      <c r="K94" s="14">
        <f>SUM(K91:K93)</f>
        <v>67.370999999999995</v>
      </c>
      <c r="L94" s="14">
        <f>SUM(L91:L93)</f>
        <v>67.370999999999995</v>
      </c>
      <c r="M94" s="14">
        <f>SUM(M91:M93)</f>
        <v>67.370999999999995</v>
      </c>
    </row>
    <row r="95" spans="1:13">
      <c r="C95" s="128"/>
      <c r="G95" s="14"/>
      <c r="I95" s="14"/>
      <c r="J95" s="14"/>
      <c r="K95" s="14"/>
      <c r="L95" s="14"/>
      <c r="M95" s="14"/>
    </row>
    <row r="96" spans="1:13">
      <c r="A96" s="1">
        <f>A94+1</f>
        <v>67</v>
      </c>
      <c r="C96" s="128" t="s">
        <v>385</v>
      </c>
      <c r="G96" s="14"/>
      <c r="I96" s="14"/>
      <c r="J96" s="14"/>
      <c r="K96" s="14"/>
      <c r="L96" s="14"/>
      <c r="M96" s="14"/>
    </row>
    <row r="97" spans="1:13">
      <c r="A97" s="1">
        <f>A96+1</f>
        <v>68</v>
      </c>
      <c r="C97" s="129" t="s">
        <v>86</v>
      </c>
      <c r="G97" s="14">
        <v>-62.4</v>
      </c>
      <c r="I97" s="14">
        <v>-62.4</v>
      </c>
      <c r="J97" s="14">
        <f>I100</f>
        <v>-86.6</v>
      </c>
      <c r="K97" s="14">
        <f>J100</f>
        <v>-64.699999999999989</v>
      </c>
      <c r="L97" s="14">
        <f>K100</f>
        <v>-64.699999999999989</v>
      </c>
      <c r="M97" s="14">
        <f>L100</f>
        <v>-64.699999999999989</v>
      </c>
    </row>
    <row r="98" spans="1:13">
      <c r="A98" s="1">
        <f>A97+1</f>
        <v>69</v>
      </c>
      <c r="C98" s="130" t="s">
        <v>87</v>
      </c>
      <c r="G98" s="14">
        <v>0</v>
      </c>
      <c r="I98" s="14">
        <v>-24.2</v>
      </c>
      <c r="J98" s="14">
        <v>21.9</v>
      </c>
      <c r="K98" s="14">
        <v>0</v>
      </c>
      <c r="L98" s="14">
        <v>0</v>
      </c>
      <c r="M98" s="14">
        <v>0</v>
      </c>
    </row>
    <row r="99" spans="1:13">
      <c r="A99" s="1">
        <f>A98+1</f>
        <v>70</v>
      </c>
      <c r="C99" s="130" t="s">
        <v>88</v>
      </c>
      <c r="G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</row>
    <row r="100" spans="1:13">
      <c r="A100" s="1">
        <f>A99+1</f>
        <v>71</v>
      </c>
      <c r="C100" s="129" t="s">
        <v>89</v>
      </c>
      <c r="G100" s="14">
        <v>-62.4</v>
      </c>
      <c r="I100" s="14">
        <f>SUM(I97:I99)</f>
        <v>-86.6</v>
      </c>
      <c r="J100" s="14">
        <f>SUM(J97:J99)</f>
        <v>-64.699999999999989</v>
      </c>
      <c r="K100" s="14">
        <f>SUM(K97:K99)</f>
        <v>-64.699999999999989</v>
      </c>
      <c r="L100" s="14">
        <f>SUM(L97:L99)</f>
        <v>-64.699999999999989</v>
      </c>
      <c r="M100" s="14">
        <f>SUM(M97:M99)</f>
        <v>-64.699999999999989</v>
      </c>
    </row>
    <row r="101" spans="1:13">
      <c r="C101" s="128"/>
      <c r="G101" s="14"/>
      <c r="I101" s="14"/>
      <c r="J101" s="14"/>
      <c r="K101" s="14"/>
      <c r="L101" s="14"/>
      <c r="M101" s="14"/>
    </row>
    <row r="102" spans="1:13">
      <c r="A102" s="1">
        <f>A100+1</f>
        <v>72</v>
      </c>
      <c r="C102" s="1" t="s">
        <v>325</v>
      </c>
      <c r="G102" s="14"/>
      <c r="I102" s="14"/>
      <c r="J102" s="14"/>
      <c r="K102" s="14"/>
      <c r="L102" s="14"/>
      <c r="M102" s="14"/>
    </row>
    <row r="103" spans="1:13">
      <c r="A103" s="1">
        <f>A102+1</f>
        <v>73</v>
      </c>
      <c r="C103" s="128" t="s">
        <v>86</v>
      </c>
      <c r="G103" s="14">
        <f>G41+G48+G55+G62+G69+G76+G83+G91+G97</f>
        <v>53612.503650999999</v>
      </c>
      <c r="I103" s="14">
        <f t="shared" ref="I103:M104" si="1">I41+I48+I55+I62+I69+I76+I83+I91+I97</f>
        <v>43681.311420999991</v>
      </c>
      <c r="J103" s="14">
        <f t="shared" si="1"/>
        <v>51591.047641000012</v>
      </c>
      <c r="K103" s="14">
        <f t="shared" si="1"/>
        <v>54407.587701000004</v>
      </c>
      <c r="L103" s="14">
        <f t="shared" si="1"/>
        <v>56592.819350999998</v>
      </c>
      <c r="M103" s="14">
        <f t="shared" si="1"/>
        <v>55240.689181000009</v>
      </c>
    </row>
    <row r="104" spans="1:13">
      <c r="A104" s="1">
        <f>A103+1</f>
        <v>74</v>
      </c>
      <c r="C104" s="131" t="s">
        <v>87</v>
      </c>
      <c r="G104" s="14">
        <f>G42+G49+G56+G63+G70+G77+G84+G92+G98</f>
        <v>16091.794999999998</v>
      </c>
      <c r="I104" s="14">
        <f t="shared" si="1"/>
        <v>11122.338049999998</v>
      </c>
      <c r="J104" s="14">
        <f t="shared" si="1"/>
        <v>8780.9078300000019</v>
      </c>
      <c r="K104" s="14">
        <f t="shared" si="1"/>
        <v>9262.8579999999984</v>
      </c>
      <c r="L104" s="14">
        <f t="shared" si="1"/>
        <v>5680.4824999999973</v>
      </c>
      <c r="M104" s="14">
        <f t="shared" si="1"/>
        <v>2540.9288499999961</v>
      </c>
    </row>
    <row r="105" spans="1:13">
      <c r="A105" s="1">
        <f>A104+1</f>
        <v>75</v>
      </c>
      <c r="C105" s="131" t="s">
        <v>88</v>
      </c>
      <c r="G105" s="17">
        <f>G43+G50+G57+G64+G71+G78+G93+G99+G85</f>
        <v>-4884.9833399999998</v>
      </c>
      <c r="I105" s="17">
        <f>I43+I50+I57+I64+I71+I78+I86+I93+I99+I85</f>
        <v>-3212.6018300000005</v>
      </c>
      <c r="J105" s="17">
        <f>J43+J50+J57+J64+J71+J78+J86+J93+J99+J85</f>
        <v>-5964.3677699999998</v>
      </c>
      <c r="K105" s="17">
        <f>K43+K50+K57+K64+K71+K78+K86+K93+K99+K85</f>
        <v>-5946.1438500000004</v>
      </c>
      <c r="L105" s="17">
        <f>L43+L50+L57+L64+L71+L78+L86+L93+L99+L85</f>
        <v>-7080.6838200000002</v>
      </c>
      <c r="M105" s="17">
        <f>M43+M50+M57+M64+M71+M78+M86+M93+M99+M85</f>
        <v>-7308.0024799999992</v>
      </c>
    </row>
    <row r="106" spans="1:13">
      <c r="A106" s="1">
        <f>A105+1</f>
        <v>76</v>
      </c>
      <c r="C106" s="128" t="s">
        <v>89</v>
      </c>
      <c r="E106" s="4" t="s">
        <v>316</v>
      </c>
      <c r="G106" s="14">
        <f>SUM(G103:G105)</f>
        <v>64819.315310999991</v>
      </c>
      <c r="I106" s="14">
        <f>SUM(I103:I105)</f>
        <v>51591.04764099999</v>
      </c>
      <c r="J106" s="14">
        <f>SUM(J103:J105)</f>
        <v>54407.587701000019</v>
      </c>
      <c r="K106" s="14">
        <f>SUM(K103:K105)</f>
        <v>57724.301851000004</v>
      </c>
      <c r="L106" s="14">
        <f>SUM(L103:L105)</f>
        <v>55192.618030999998</v>
      </c>
      <c r="M106" s="14">
        <f>SUM(M103:M105)</f>
        <v>50473.61555100001</v>
      </c>
    </row>
    <row r="107" spans="1:13">
      <c r="C107" s="128"/>
      <c r="G107" s="14"/>
      <c r="I107" s="14"/>
      <c r="J107" s="14"/>
      <c r="K107" s="14"/>
      <c r="L107" s="14"/>
      <c r="M107" s="14"/>
    </row>
    <row r="108" spans="1:13">
      <c r="A108" s="1">
        <f>A106+1</f>
        <v>77</v>
      </c>
      <c r="C108" s="1" t="s">
        <v>386</v>
      </c>
      <c r="E108" s="4" t="s">
        <v>93</v>
      </c>
      <c r="G108" s="15">
        <v>38780.100539999999</v>
      </c>
      <c r="I108" s="15">
        <f>SUM(I45,I52,I59,I66,I73,I80,I88)</f>
        <v>32680.026580000002</v>
      </c>
      <c r="J108" s="15">
        <f>SUM(J45,J52,J59,J66,J73,J80,J88)</f>
        <v>27207.2435</v>
      </c>
      <c r="K108" s="15">
        <f>SUM(K45,K52,K59,K66,K73,K80,K88)</f>
        <v>19701.1993</v>
      </c>
      <c r="L108" s="15">
        <f>SUM(L45,L52,L59,L66,L73,L80,L88)</f>
        <v>13229.773020000001</v>
      </c>
      <c r="M108" s="15">
        <f>SUM(M45,M52,M59,M66,M73,M80,M88)</f>
        <v>4975.2451700000001</v>
      </c>
    </row>
    <row r="109" spans="1:13">
      <c r="G109" s="14"/>
      <c r="I109" s="14"/>
      <c r="J109" s="14"/>
      <c r="K109" s="14"/>
      <c r="L109" s="14"/>
      <c r="M109" s="14"/>
    </row>
    <row r="110" spans="1:13">
      <c r="A110" s="1">
        <f>A108+1</f>
        <v>78</v>
      </c>
      <c r="C110" s="1" t="s">
        <v>326</v>
      </c>
      <c r="G110" s="17">
        <f>G106-G108</f>
        <v>26039.214770999992</v>
      </c>
      <c r="I110" s="17">
        <f>I106-I108</f>
        <v>18911.021060999989</v>
      </c>
      <c r="J110" s="17">
        <f>J106-J108</f>
        <v>27200.344201000018</v>
      </c>
      <c r="K110" s="17">
        <f>K106-K108</f>
        <v>38023.102551000004</v>
      </c>
      <c r="L110" s="17">
        <f>L106-L108</f>
        <v>41962.845010999998</v>
      </c>
      <c r="M110" s="17">
        <f>M106-M108</f>
        <v>45498.370381000008</v>
      </c>
    </row>
    <row r="112" spans="1:13" ht="13" thickBot="1">
      <c r="A112" s="1">
        <f>A110+1</f>
        <v>79</v>
      </c>
      <c r="C112" s="1" t="s">
        <v>329</v>
      </c>
      <c r="E112" s="4" t="s">
        <v>76</v>
      </c>
      <c r="G112" s="33">
        <f>G36+G110</f>
        <v>559442.69043888873</v>
      </c>
      <c r="I112" s="33">
        <f>I36+I110</f>
        <v>520717.12447441672</v>
      </c>
      <c r="J112" s="33">
        <f>J36+J110</f>
        <v>528639.4932926778</v>
      </c>
      <c r="K112" s="33">
        <f>K36+K110</f>
        <v>613794.60405391094</v>
      </c>
      <c r="L112" s="33">
        <f>L36+L110</f>
        <v>752077.20219514449</v>
      </c>
      <c r="M112" s="33">
        <f>M36+M110</f>
        <v>809493.46495637752</v>
      </c>
    </row>
    <row r="113" spans="3:17">
      <c r="G113" s="16"/>
      <c r="I113" s="16"/>
      <c r="J113" s="16"/>
      <c r="K113" s="16"/>
      <c r="L113" s="16"/>
      <c r="M113" s="16"/>
    </row>
    <row r="114" spans="3:17">
      <c r="G114" s="14"/>
      <c r="I114" s="14"/>
      <c r="J114" s="14"/>
      <c r="K114" s="14"/>
      <c r="L114" s="14"/>
      <c r="M114" s="14"/>
    </row>
    <row r="115" spans="3:17">
      <c r="G115" s="14"/>
      <c r="I115" s="14"/>
      <c r="J115" s="14"/>
      <c r="K115" s="14"/>
      <c r="L115" s="14"/>
      <c r="M115" s="14"/>
    </row>
    <row r="116" spans="3:17">
      <c r="C116" s="129"/>
      <c r="G116" s="14"/>
      <c r="I116" s="14"/>
      <c r="J116" s="14"/>
      <c r="K116" s="14"/>
      <c r="L116" s="14"/>
      <c r="M116" s="14"/>
    </row>
    <row r="117" spans="3:17">
      <c r="G117" s="14"/>
      <c r="I117" s="14"/>
      <c r="J117" s="14"/>
      <c r="K117" s="14"/>
      <c r="L117" s="14"/>
      <c r="M117" s="14"/>
    </row>
    <row r="118" spans="3:17">
      <c r="E118" s="111"/>
      <c r="G118" s="16"/>
      <c r="I118" s="16"/>
      <c r="J118" s="16"/>
      <c r="K118" s="16"/>
    </row>
    <row r="119" spans="3:17">
      <c r="N119" s="1"/>
      <c r="O119" s="1"/>
      <c r="P119" s="1"/>
      <c r="Q119" s="1"/>
    </row>
    <row r="120" spans="3:17">
      <c r="N120" s="1"/>
      <c r="O120" s="1"/>
      <c r="P120" s="1"/>
      <c r="Q120" s="1"/>
    </row>
    <row r="121" spans="3:17">
      <c r="N121" s="1"/>
      <c r="O121" s="1"/>
      <c r="P121" s="1"/>
      <c r="Q121" s="1"/>
    </row>
    <row r="122" spans="3:17">
      <c r="N122" s="1"/>
      <c r="O122" s="1"/>
      <c r="P122" s="1"/>
      <c r="Q122" s="1"/>
    </row>
    <row r="123" spans="3:17">
      <c r="N123" s="1"/>
      <c r="O123" s="1"/>
      <c r="P123" s="1"/>
      <c r="Q123" s="1"/>
    </row>
    <row r="124" spans="3:17">
      <c r="N124" s="1"/>
      <c r="O124" s="1"/>
      <c r="P124" s="1"/>
      <c r="Q124" s="1"/>
    </row>
    <row r="125" spans="3:17">
      <c r="N125" s="1"/>
      <c r="O125" s="1"/>
      <c r="P125" s="1"/>
      <c r="Q125" s="1"/>
    </row>
    <row r="126" spans="3:17">
      <c r="N126" s="1"/>
      <c r="O126" s="1"/>
      <c r="P126" s="1"/>
      <c r="Q126" s="1"/>
    </row>
    <row r="127" spans="3:17">
      <c r="N127" s="1"/>
      <c r="O127" s="1"/>
      <c r="P127" s="1"/>
      <c r="Q127" s="1"/>
    </row>
    <row r="128" spans="3:17">
      <c r="N128" s="1"/>
      <c r="O128" s="1"/>
      <c r="P128" s="1"/>
      <c r="Q128" s="1"/>
    </row>
    <row r="129" spans="14:17">
      <c r="N129" s="1"/>
      <c r="O129" s="1"/>
      <c r="P129" s="1"/>
      <c r="Q129" s="1"/>
    </row>
    <row r="130" spans="14:17">
      <c r="N130" s="1"/>
      <c r="O130" s="1"/>
      <c r="P130" s="1"/>
      <c r="Q130" s="1"/>
    </row>
    <row r="131" spans="14:17">
      <c r="N131" s="1"/>
      <c r="O131" s="1"/>
      <c r="P131" s="1"/>
      <c r="Q131" s="1"/>
    </row>
    <row r="132" spans="14:17">
      <c r="N132" s="1"/>
      <c r="O132" s="1"/>
      <c r="P132" s="1"/>
      <c r="Q132" s="1"/>
    </row>
    <row r="133" spans="14:17">
      <c r="N133" s="1"/>
      <c r="O133" s="1"/>
      <c r="P133" s="1"/>
      <c r="Q133" s="1"/>
    </row>
    <row r="134" spans="14:17">
      <c r="N134" s="1"/>
      <c r="O134" s="1"/>
      <c r="P134" s="1"/>
      <c r="Q134" s="1"/>
    </row>
    <row r="135" spans="14:17">
      <c r="N135" s="1"/>
      <c r="O135" s="1"/>
      <c r="P135" s="1"/>
      <c r="Q135" s="1"/>
    </row>
    <row r="136" spans="14:17">
      <c r="N136" s="1"/>
      <c r="O136" s="1"/>
      <c r="P136" s="1"/>
      <c r="Q136" s="1"/>
    </row>
    <row r="137" spans="14:17">
      <c r="N137" s="1"/>
      <c r="O137" s="1"/>
      <c r="P137" s="1"/>
      <c r="Q137" s="1"/>
    </row>
    <row r="138" spans="14:17">
      <c r="N138" s="1"/>
      <c r="O138" s="1"/>
      <c r="P138" s="1"/>
      <c r="Q138" s="1"/>
    </row>
    <row r="139" spans="14:17">
      <c r="N139" s="1"/>
      <c r="O139" s="1"/>
      <c r="P139" s="1"/>
      <c r="Q139" s="1"/>
    </row>
    <row r="140" spans="14:17">
      <c r="N140" s="1"/>
      <c r="O140" s="1"/>
      <c r="P140" s="1"/>
      <c r="Q140" s="1"/>
    </row>
    <row r="141" spans="14:17">
      <c r="N141" s="1"/>
      <c r="O141" s="1"/>
      <c r="P141" s="1"/>
      <c r="Q141" s="1"/>
    </row>
    <row r="142" spans="14:17">
      <c r="N142" s="1"/>
      <c r="O142" s="1"/>
      <c r="P142" s="1"/>
      <c r="Q142" s="1"/>
    </row>
    <row r="143" spans="14:17">
      <c r="N143" s="1"/>
      <c r="O143" s="1"/>
      <c r="P143" s="1"/>
      <c r="Q143" s="1"/>
    </row>
    <row r="144" spans="14:17">
      <c r="N144" s="1"/>
      <c r="O144" s="1"/>
      <c r="P144" s="1"/>
      <c r="Q144" s="1"/>
    </row>
    <row r="145" spans="14:17">
      <c r="N145" s="1"/>
      <c r="O145" s="1"/>
      <c r="P145" s="1"/>
      <c r="Q145" s="1"/>
    </row>
    <row r="146" spans="14:17">
      <c r="N146" s="1"/>
      <c r="O146" s="1"/>
      <c r="P146" s="1"/>
      <c r="Q146" s="1"/>
    </row>
    <row r="147" spans="14:17">
      <c r="N147" s="1"/>
      <c r="O147" s="1"/>
      <c r="P147" s="1"/>
      <c r="Q147" s="1"/>
    </row>
    <row r="148" spans="14:17">
      <c r="N148" s="1"/>
      <c r="O148" s="1"/>
      <c r="P148" s="1"/>
      <c r="Q148" s="1"/>
    </row>
    <row r="149" spans="14:17">
      <c r="N149" s="1"/>
      <c r="O149" s="1"/>
      <c r="P149" s="1"/>
      <c r="Q149" s="1"/>
    </row>
    <row r="150" spans="14:17">
      <c r="N150" s="1"/>
      <c r="O150" s="1"/>
      <c r="P150" s="1"/>
      <c r="Q150" s="1"/>
    </row>
    <row r="151" spans="14:17">
      <c r="N151" s="1"/>
      <c r="O151" s="1"/>
      <c r="P151" s="1"/>
      <c r="Q151" s="1"/>
    </row>
    <row r="152" spans="14:17">
      <c r="N152" s="1"/>
      <c r="O152" s="1"/>
      <c r="P152" s="1"/>
      <c r="Q152" s="1"/>
    </row>
    <row r="153" spans="14:17">
      <c r="N153" s="1"/>
      <c r="O153" s="1"/>
      <c r="P153" s="1"/>
      <c r="Q153" s="1"/>
    </row>
    <row r="154" spans="14:17">
      <c r="N154" s="1"/>
      <c r="O154" s="1"/>
      <c r="P154" s="1"/>
      <c r="Q154" s="1"/>
    </row>
    <row r="155" spans="14:17">
      <c r="N155" s="1"/>
      <c r="O155" s="1"/>
      <c r="P155" s="1"/>
      <c r="Q155" s="1"/>
    </row>
    <row r="156" spans="14:17">
      <c r="N156" s="1"/>
      <c r="O156" s="1"/>
      <c r="P156" s="1"/>
      <c r="Q156" s="1"/>
    </row>
    <row r="157" spans="14:17">
      <c r="N157" s="1"/>
      <c r="O157" s="1"/>
      <c r="P157" s="1"/>
      <c r="Q157" s="1"/>
    </row>
    <row r="158" spans="14:17">
      <c r="N158" s="1"/>
      <c r="O158" s="1"/>
      <c r="P158" s="1"/>
      <c r="Q158" s="1"/>
    </row>
    <row r="159" spans="14:17">
      <c r="N159" s="1"/>
      <c r="O159" s="1"/>
      <c r="P159" s="1"/>
      <c r="Q159" s="1"/>
    </row>
    <row r="160" spans="14:17">
      <c r="N160" s="1"/>
      <c r="O160" s="1"/>
      <c r="P160" s="1"/>
      <c r="Q160" s="1"/>
    </row>
    <row r="161" spans="14:17">
      <c r="N161" s="1"/>
      <c r="O161" s="1"/>
      <c r="P161" s="1"/>
      <c r="Q161" s="1"/>
    </row>
    <row r="162" spans="14:17">
      <c r="N162" s="1"/>
      <c r="O162" s="1"/>
      <c r="P162" s="1"/>
      <c r="Q162" s="1"/>
    </row>
    <row r="163" spans="14:17">
      <c r="N163" s="1"/>
      <c r="O163" s="1"/>
      <c r="P163" s="1"/>
      <c r="Q163" s="1"/>
    </row>
    <row r="164" spans="14:17">
      <c r="N164" s="1"/>
      <c r="O164" s="1"/>
      <c r="P164" s="1"/>
      <c r="Q164" s="1"/>
    </row>
    <row r="165" spans="14:17">
      <c r="N165" s="1"/>
      <c r="O165" s="1"/>
      <c r="P165" s="1"/>
      <c r="Q165" s="1"/>
    </row>
    <row r="166" spans="14:17">
      <c r="N166" s="1"/>
      <c r="O166" s="1"/>
      <c r="P166" s="1"/>
      <c r="Q166" s="1"/>
    </row>
    <row r="167" spans="14:17">
      <c r="N167" s="1"/>
      <c r="O167" s="1"/>
      <c r="P167" s="1"/>
      <c r="Q167" s="1"/>
    </row>
    <row r="168" spans="14:17">
      <c r="N168" s="1"/>
      <c r="O168" s="1"/>
      <c r="P168" s="1"/>
      <c r="Q168" s="1"/>
    </row>
    <row r="169" spans="14:17">
      <c r="N169" s="1"/>
      <c r="O169" s="1"/>
      <c r="P169" s="1"/>
      <c r="Q169" s="1"/>
    </row>
    <row r="170" spans="14:17">
      <c r="N170" s="1"/>
      <c r="O170" s="1"/>
      <c r="P170" s="1"/>
      <c r="Q170" s="1"/>
    </row>
    <row r="171" spans="14:17">
      <c r="N171" s="1"/>
      <c r="O171" s="1"/>
      <c r="P171" s="1"/>
      <c r="Q171" s="1"/>
    </row>
    <row r="172" spans="14:17">
      <c r="N172" s="1"/>
      <c r="O172" s="1"/>
      <c r="P172" s="1"/>
      <c r="Q172" s="1"/>
    </row>
    <row r="173" spans="14:17">
      <c r="N173" s="1"/>
      <c r="O173" s="1"/>
      <c r="P173" s="1"/>
      <c r="Q173" s="1"/>
    </row>
    <row r="174" spans="14:17">
      <c r="N174" s="1"/>
      <c r="O174" s="1"/>
      <c r="P174" s="1"/>
      <c r="Q174" s="1"/>
    </row>
    <row r="175" spans="14:17">
      <c r="N175" s="1"/>
      <c r="O175" s="1"/>
      <c r="P175" s="1"/>
      <c r="Q175" s="1"/>
    </row>
    <row r="176" spans="14:17">
      <c r="N176" s="1"/>
      <c r="O176" s="1"/>
      <c r="P176" s="1"/>
      <c r="Q176" s="1"/>
    </row>
    <row r="177" spans="14:17">
      <c r="N177" s="1"/>
      <c r="O177" s="1"/>
      <c r="P177" s="1"/>
      <c r="Q177" s="1"/>
    </row>
    <row r="178" spans="14:17">
      <c r="N178" s="1"/>
      <c r="O178" s="1"/>
      <c r="P178" s="1"/>
      <c r="Q178" s="1"/>
    </row>
    <row r="179" spans="14:17">
      <c r="N179" s="1"/>
      <c r="O179" s="1"/>
      <c r="P179" s="1"/>
      <c r="Q179" s="1"/>
    </row>
    <row r="180" spans="14:17">
      <c r="N180" s="1"/>
      <c r="O180" s="1"/>
      <c r="P180" s="1"/>
      <c r="Q180" s="1"/>
    </row>
    <row r="181" spans="14:17">
      <c r="N181" s="1"/>
      <c r="O181" s="1"/>
      <c r="P181" s="1"/>
      <c r="Q181" s="1"/>
    </row>
    <row r="182" spans="14:17">
      <c r="N182" s="1"/>
      <c r="O182" s="1"/>
      <c r="P182" s="1"/>
      <c r="Q182" s="1"/>
    </row>
    <row r="183" spans="14:17">
      <c r="N183" s="1"/>
      <c r="O183" s="1"/>
      <c r="P183" s="1"/>
      <c r="Q183" s="1"/>
    </row>
    <row r="184" spans="14:17">
      <c r="N184" s="1"/>
      <c r="O184" s="1"/>
      <c r="P184" s="1"/>
      <c r="Q184" s="1"/>
    </row>
    <row r="185" spans="14:17">
      <c r="N185" s="1"/>
      <c r="O185" s="1"/>
      <c r="P185" s="1"/>
      <c r="Q185" s="1"/>
    </row>
    <row r="186" spans="14:17">
      <c r="N186" s="1"/>
      <c r="O186" s="1"/>
      <c r="P186" s="1"/>
      <c r="Q186" s="1"/>
    </row>
    <row r="187" spans="14:17">
      <c r="N187" s="1"/>
      <c r="O187" s="1"/>
      <c r="P187" s="1"/>
      <c r="Q187" s="1"/>
    </row>
    <row r="188" spans="14:17">
      <c r="N188" s="1"/>
      <c r="O188" s="1"/>
      <c r="P188" s="1"/>
      <c r="Q188" s="1"/>
    </row>
    <row r="189" spans="14:17">
      <c r="N189" s="1"/>
      <c r="O189" s="1"/>
      <c r="P189" s="1"/>
      <c r="Q189" s="1"/>
    </row>
    <row r="190" spans="14:17">
      <c r="N190" s="1"/>
      <c r="O190" s="1"/>
      <c r="P190" s="1"/>
      <c r="Q190" s="1"/>
    </row>
    <row r="191" spans="14:17">
      <c r="N191" s="1"/>
      <c r="O191" s="1"/>
      <c r="P191" s="1"/>
      <c r="Q191" s="1"/>
    </row>
    <row r="192" spans="14:17">
      <c r="N192" s="1"/>
      <c r="O192" s="1"/>
      <c r="P192" s="1"/>
      <c r="Q192" s="1"/>
    </row>
    <row r="193" spans="14:17">
      <c r="N193" s="1"/>
      <c r="O193" s="1"/>
      <c r="P193" s="1"/>
      <c r="Q193" s="1"/>
    </row>
    <row r="194" spans="14:17">
      <c r="N194" s="1"/>
      <c r="O194" s="1"/>
      <c r="P194" s="1"/>
      <c r="Q194" s="1"/>
    </row>
    <row r="195" spans="14:17">
      <c r="N195" s="1"/>
      <c r="O195" s="1"/>
      <c r="P195" s="1"/>
      <c r="Q195" s="1"/>
    </row>
    <row r="196" spans="14:17">
      <c r="N196" s="1"/>
      <c r="O196" s="1"/>
      <c r="P196" s="1"/>
      <c r="Q196" s="1"/>
    </row>
    <row r="197" spans="14:17">
      <c r="N197" s="1"/>
      <c r="O197" s="1"/>
      <c r="P197" s="1"/>
      <c r="Q197" s="1"/>
    </row>
    <row r="198" spans="14:17">
      <c r="N198" s="1"/>
      <c r="O198" s="1"/>
      <c r="P198" s="1"/>
      <c r="Q198" s="1"/>
    </row>
    <row r="199" spans="14:17">
      <c r="N199" s="1"/>
      <c r="O199" s="1"/>
      <c r="P199" s="1"/>
      <c r="Q199" s="1"/>
    </row>
    <row r="200" spans="14:17">
      <c r="N200" s="1"/>
      <c r="O200" s="1"/>
      <c r="P200" s="1"/>
      <c r="Q200" s="1"/>
    </row>
    <row r="201" spans="14:17">
      <c r="N201" s="1"/>
      <c r="O201" s="1"/>
      <c r="P201" s="1"/>
      <c r="Q201" s="1"/>
    </row>
    <row r="202" spans="14:17">
      <c r="N202" s="1"/>
      <c r="O202" s="1"/>
      <c r="P202" s="1"/>
      <c r="Q202" s="1"/>
    </row>
    <row r="203" spans="14:17">
      <c r="N203" s="1"/>
      <c r="O203" s="1"/>
      <c r="P203" s="1"/>
      <c r="Q203" s="1"/>
    </row>
    <row r="204" spans="14:17">
      <c r="N204" s="1"/>
      <c r="O204" s="1"/>
      <c r="P204" s="1"/>
      <c r="Q204" s="1"/>
    </row>
    <row r="205" spans="14:17">
      <c r="N205" s="1"/>
      <c r="O205" s="1"/>
      <c r="P205" s="1"/>
      <c r="Q205" s="1"/>
    </row>
    <row r="206" spans="14:17">
      <c r="N206" s="1"/>
      <c r="O206" s="1"/>
      <c r="P206" s="1"/>
      <c r="Q206" s="1"/>
    </row>
    <row r="207" spans="14:17">
      <c r="N207" s="1"/>
      <c r="O207" s="1"/>
      <c r="P207" s="1"/>
      <c r="Q207" s="1"/>
    </row>
    <row r="208" spans="14:17">
      <c r="N208" s="1"/>
      <c r="O208" s="1"/>
      <c r="P208" s="1"/>
      <c r="Q208" s="1"/>
    </row>
    <row r="209" spans="14:17">
      <c r="N209" s="1"/>
      <c r="O209" s="1"/>
      <c r="P209" s="1"/>
      <c r="Q209" s="1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67" fitToHeight="2" orientation="portrait" blackAndWhite="1" r:id="rId1"/>
  <headerFooter alignWithMargins="0"/>
  <rowBreaks count="1" manualBreakCount="1">
    <brk id="67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U151"/>
  <sheetViews>
    <sheetView view="pageBreakPreview" zoomScale="85" zoomScaleNormal="100" zoomScaleSheetLayoutView="85" workbookViewId="0">
      <pane ySplit="6" topLeftCell="A7" activePane="bottomLeft" state="frozen"/>
      <selection activeCell="H18" sqref="H18"/>
      <selection pane="bottomLeft" activeCell="B141" sqref="B141"/>
    </sheetView>
  </sheetViews>
  <sheetFormatPr defaultColWidth="9.1796875" defaultRowHeight="12.5"/>
  <cols>
    <col min="1" max="1" width="5.7265625" style="113" customWidth="1"/>
    <col min="2" max="2" width="31.1796875" style="113" customWidth="1"/>
    <col min="3" max="4" width="14.54296875" style="114" customWidth="1"/>
    <col min="5" max="5" width="12.54296875" style="114" bestFit="1" customWidth="1"/>
    <col min="6" max="6" width="14.54296875" style="114" customWidth="1"/>
    <col min="7" max="7" width="15.26953125" style="115" customWidth="1"/>
    <col min="8" max="8" width="17" style="114" customWidth="1"/>
    <col min="22" max="16384" width="9.1796875" style="113"/>
  </cols>
  <sheetData>
    <row r="1" spans="1:8" s="133" customFormat="1" ht="15.75" customHeight="1">
      <c r="A1" s="137" t="s">
        <v>0</v>
      </c>
      <c r="B1" s="134"/>
      <c r="C1" s="134"/>
      <c r="D1" s="134"/>
      <c r="E1" s="138"/>
      <c r="F1" s="134"/>
      <c r="H1" s="196" t="s">
        <v>456</v>
      </c>
    </row>
    <row r="2" spans="1:8" s="133" customFormat="1" ht="15.75" customHeight="1">
      <c r="A2" s="139" t="s">
        <v>457</v>
      </c>
      <c r="B2" s="134"/>
      <c r="C2" s="134"/>
      <c r="D2" s="134"/>
      <c r="E2" s="138"/>
      <c r="F2" s="134"/>
      <c r="H2" s="195" t="str">
        <f>'Schedule 1'!$M$2</f>
        <v>2025-27 GRA CF</v>
      </c>
    </row>
    <row r="3" spans="1:8" s="133" customFormat="1" ht="15.75" customHeight="1">
      <c r="A3" s="153" t="s">
        <v>332</v>
      </c>
      <c r="B3" s="134"/>
      <c r="C3" s="134"/>
      <c r="D3" s="134"/>
      <c r="E3" s="138"/>
      <c r="F3" s="134"/>
      <c r="G3" s="134"/>
      <c r="H3" s="134"/>
    </row>
    <row r="4" spans="1:8" s="133" customFormat="1" ht="15.75" customHeight="1">
      <c r="A4" s="135"/>
      <c r="B4" s="135"/>
      <c r="C4" s="135"/>
      <c r="D4" s="135"/>
      <c r="E4" s="135"/>
      <c r="F4" s="135"/>
      <c r="G4" s="135"/>
      <c r="H4" s="135"/>
    </row>
    <row r="5" spans="1:8" s="133" customFormat="1" ht="13" thickBot="1">
      <c r="A5" s="140"/>
      <c r="B5" s="140"/>
      <c r="C5" s="136"/>
      <c r="D5" s="136"/>
      <c r="E5" s="136"/>
      <c r="F5" s="136"/>
      <c r="G5" s="141"/>
      <c r="H5" s="136"/>
    </row>
    <row r="6" spans="1:8" s="142" customFormat="1" ht="50.5" thickBot="1">
      <c r="A6" s="140"/>
      <c r="B6" s="190" t="s">
        <v>9</v>
      </c>
      <c r="C6" s="191" t="s">
        <v>335</v>
      </c>
      <c r="D6" s="191" t="s">
        <v>445</v>
      </c>
      <c r="E6" s="192" t="s">
        <v>446</v>
      </c>
      <c r="F6" s="191" t="s">
        <v>447</v>
      </c>
      <c r="G6" s="193" t="s">
        <v>422</v>
      </c>
      <c r="H6" s="191" t="s">
        <v>454</v>
      </c>
    </row>
    <row r="7" spans="1:8" s="142" customFormat="1">
      <c r="A7" s="140"/>
      <c r="B7" s="200" t="s">
        <v>448</v>
      </c>
      <c r="C7" s="201" t="s">
        <v>449</v>
      </c>
      <c r="D7" s="201" t="s">
        <v>450</v>
      </c>
      <c r="E7" s="202" t="s">
        <v>451</v>
      </c>
      <c r="F7" s="201" t="s">
        <v>452</v>
      </c>
      <c r="G7" s="203" t="s">
        <v>453</v>
      </c>
      <c r="H7" s="201" t="s">
        <v>455</v>
      </c>
    </row>
    <row r="8" spans="1:8">
      <c r="A8" s="112" t="s">
        <v>95</v>
      </c>
    </row>
    <row r="9" spans="1:8">
      <c r="A9" s="116"/>
      <c r="B9" s="117" t="s">
        <v>96</v>
      </c>
      <c r="C9" s="148">
        <v>444911.51999999996</v>
      </c>
      <c r="D9" s="148">
        <v>0</v>
      </c>
      <c r="E9" s="148"/>
      <c r="F9" s="148">
        <f t="shared" ref="F9:F14" si="0">C9+D9-E9</f>
        <v>444911.51999999996</v>
      </c>
      <c r="G9" s="143">
        <v>0</v>
      </c>
      <c r="H9" s="148">
        <f t="shared" ref="H9:H14" si="1">IFERROR(C9/G9+D9/G9/2,0)</f>
        <v>0</v>
      </c>
    </row>
    <row r="10" spans="1:8">
      <c r="A10" s="116"/>
      <c r="B10" s="117" t="s">
        <v>97</v>
      </c>
      <c r="C10" s="148">
        <v>27680.47</v>
      </c>
      <c r="D10" s="148">
        <v>0</v>
      </c>
      <c r="E10" s="148"/>
      <c r="F10" s="148">
        <f t="shared" si="0"/>
        <v>27680.47</v>
      </c>
      <c r="G10" s="143">
        <v>0</v>
      </c>
      <c r="H10" s="148">
        <f t="shared" si="1"/>
        <v>0</v>
      </c>
    </row>
    <row r="11" spans="1:8">
      <c r="A11" s="116"/>
      <c r="B11" s="117" t="s">
        <v>98</v>
      </c>
      <c r="C11" s="148">
        <v>576862.49</v>
      </c>
      <c r="D11" s="148">
        <v>0</v>
      </c>
      <c r="E11" s="148"/>
      <c r="F11" s="148">
        <f t="shared" si="0"/>
        <v>576862.49</v>
      </c>
      <c r="G11" s="143">
        <v>0</v>
      </c>
      <c r="H11" s="148">
        <f t="shared" si="1"/>
        <v>0</v>
      </c>
    </row>
    <row r="12" spans="1:8">
      <c r="A12" s="116"/>
      <c r="B12" s="117" t="s">
        <v>132</v>
      </c>
      <c r="C12" s="148">
        <v>17775.009999999998</v>
      </c>
      <c r="D12" s="148">
        <v>0</v>
      </c>
      <c r="E12" s="148"/>
      <c r="F12" s="148">
        <f t="shared" si="0"/>
        <v>17775.009999999998</v>
      </c>
      <c r="G12" s="143">
        <v>0</v>
      </c>
      <c r="H12" s="148">
        <f t="shared" si="1"/>
        <v>0</v>
      </c>
    </row>
    <row r="13" spans="1:8">
      <c r="A13" s="116"/>
      <c r="B13" s="117" t="s">
        <v>99</v>
      </c>
      <c r="C13" s="148">
        <v>547992.46000000008</v>
      </c>
      <c r="D13" s="148">
        <v>0</v>
      </c>
      <c r="E13" s="148"/>
      <c r="F13" s="148">
        <f t="shared" si="0"/>
        <v>547992.46000000008</v>
      </c>
      <c r="G13" s="143">
        <v>0</v>
      </c>
      <c r="H13" s="148">
        <f t="shared" si="1"/>
        <v>0</v>
      </c>
    </row>
    <row r="14" spans="1:8">
      <c r="A14" s="116"/>
      <c r="B14" s="117" t="s">
        <v>100</v>
      </c>
      <c r="C14" s="148">
        <v>78435.600000000006</v>
      </c>
      <c r="D14" s="148">
        <v>0</v>
      </c>
      <c r="E14" s="148">
        <f>H14</f>
        <v>1568.7120000000002</v>
      </c>
      <c r="F14" s="148">
        <f t="shared" si="0"/>
        <v>76866.888000000006</v>
      </c>
      <c r="G14" s="143">
        <v>50</v>
      </c>
      <c r="H14" s="148">
        <f t="shared" si="1"/>
        <v>1568.7120000000002</v>
      </c>
    </row>
    <row r="15" spans="1:8">
      <c r="A15" s="116"/>
      <c r="B15" s="117" t="s">
        <v>313</v>
      </c>
      <c r="C15" s="149"/>
      <c r="D15" s="149"/>
      <c r="E15" s="149"/>
      <c r="F15" s="149"/>
      <c r="G15" s="118"/>
      <c r="H15" s="149">
        <v>-12.96</v>
      </c>
    </row>
    <row r="16" spans="1:8" s="121" customFormat="1" ht="18.75" customHeight="1">
      <c r="A16" s="112" t="s">
        <v>101</v>
      </c>
      <c r="B16" s="112"/>
      <c r="C16" s="150">
        <f>SUBTOTAL(9,C9:C15)</f>
        <v>1693657.5500000003</v>
      </c>
      <c r="D16" s="150">
        <f>SUBTOTAL(9,D9:D15)</f>
        <v>0</v>
      </c>
      <c r="E16" s="150">
        <f>SUBTOTAL(9,E9:E15)</f>
        <v>1568.7120000000002</v>
      </c>
      <c r="F16" s="150">
        <f>SUBTOTAL(9,F9:F15)</f>
        <v>1692088.8380000002</v>
      </c>
      <c r="G16" s="120"/>
      <c r="H16" s="150">
        <f>SUBTOTAL(9,H9:H15)</f>
        <v>1555.7520000000002</v>
      </c>
    </row>
    <row r="17" spans="1:8">
      <c r="C17" s="151"/>
      <c r="D17" s="151"/>
      <c r="E17" s="151"/>
      <c r="F17" s="151"/>
      <c r="G17" s="122"/>
      <c r="H17" s="151"/>
    </row>
    <row r="18" spans="1:8">
      <c r="A18" s="112" t="s">
        <v>102</v>
      </c>
      <c r="C18" s="151"/>
      <c r="D18" s="151"/>
      <c r="E18" s="151"/>
      <c r="F18" s="151"/>
      <c r="G18" s="122"/>
      <c r="H18" s="151"/>
    </row>
    <row r="19" spans="1:8">
      <c r="A19" s="123"/>
      <c r="B19" s="117" t="s">
        <v>103</v>
      </c>
      <c r="C19" s="148">
        <v>54829037.689999998</v>
      </c>
      <c r="D19" s="148">
        <v>6479004.79</v>
      </c>
      <c r="E19" s="148"/>
      <c r="F19" s="148">
        <f t="shared" ref="F19:F28" si="2">C19+D19-E19</f>
        <v>61308042.479999997</v>
      </c>
      <c r="G19" s="143">
        <v>72</v>
      </c>
      <c r="H19" s="148">
        <f t="shared" ref="H19:H28" si="3">IFERROR(C19/G19+D19/G19/2,0)</f>
        <v>806507.50118055544</v>
      </c>
    </row>
    <row r="20" spans="1:8">
      <c r="A20" s="123"/>
      <c r="B20" s="117" t="s">
        <v>110</v>
      </c>
      <c r="C20" s="148">
        <v>10278688.460000001</v>
      </c>
      <c r="D20" s="148">
        <v>0</v>
      </c>
      <c r="E20" s="148"/>
      <c r="F20" s="148">
        <f t="shared" si="2"/>
        <v>10278688.460000001</v>
      </c>
      <c r="G20" s="143">
        <v>40</v>
      </c>
      <c r="H20" s="148">
        <f t="shared" si="3"/>
        <v>256967.21150000003</v>
      </c>
    </row>
    <row r="21" spans="1:8">
      <c r="A21" s="123"/>
      <c r="B21" s="117" t="s">
        <v>104</v>
      </c>
      <c r="C21" s="148">
        <v>167340009.76000002</v>
      </c>
      <c r="D21" s="148">
        <v>300000</v>
      </c>
      <c r="E21" s="148">
        <v>0</v>
      </c>
      <c r="F21" s="148">
        <f t="shared" si="2"/>
        <v>167640009.76000002</v>
      </c>
      <c r="G21" s="143">
        <v>103</v>
      </c>
      <c r="H21" s="148">
        <f t="shared" si="3"/>
        <v>1626116.5996116507</v>
      </c>
    </row>
    <row r="22" spans="1:8">
      <c r="A22" s="123"/>
      <c r="B22" s="117" t="s">
        <v>353</v>
      </c>
      <c r="C22" s="148">
        <v>6711437.5</v>
      </c>
      <c r="D22" s="148">
        <v>0</v>
      </c>
      <c r="E22" s="148"/>
      <c r="F22" s="148">
        <f t="shared" si="2"/>
        <v>6711437.5</v>
      </c>
      <c r="G22" s="143">
        <v>103</v>
      </c>
      <c r="H22" s="148">
        <f t="shared" si="3"/>
        <v>65159.587378640776</v>
      </c>
    </row>
    <row r="23" spans="1:8">
      <c r="A23" s="123"/>
      <c r="B23" s="117" t="s">
        <v>293</v>
      </c>
      <c r="C23" s="148">
        <v>13677670.189999999</v>
      </c>
      <c r="D23" s="148">
        <v>0</v>
      </c>
      <c r="E23" s="148"/>
      <c r="F23" s="148">
        <f t="shared" si="2"/>
        <v>13677670.189999999</v>
      </c>
      <c r="G23" s="143">
        <v>10</v>
      </c>
      <c r="H23" s="148">
        <f t="shared" si="3"/>
        <v>1367767.0189999999</v>
      </c>
    </row>
    <row r="24" spans="1:8">
      <c r="A24" s="123"/>
      <c r="B24" s="117" t="s">
        <v>105</v>
      </c>
      <c r="C24" s="148">
        <v>28222837.399999995</v>
      </c>
      <c r="D24" s="148">
        <v>0</v>
      </c>
      <c r="E24" s="148"/>
      <c r="F24" s="148">
        <f t="shared" si="2"/>
        <v>28222837.399999995</v>
      </c>
      <c r="G24" s="143">
        <v>85</v>
      </c>
      <c r="H24" s="148">
        <f t="shared" si="3"/>
        <v>332033.38117647055</v>
      </c>
    </row>
    <row r="25" spans="1:8">
      <c r="A25" s="123"/>
      <c r="B25" s="117" t="s">
        <v>106</v>
      </c>
      <c r="C25" s="148">
        <v>27401092.300000001</v>
      </c>
      <c r="D25" s="148">
        <v>0</v>
      </c>
      <c r="E25" s="148"/>
      <c r="F25" s="148">
        <f t="shared" si="2"/>
        <v>27401092.300000001</v>
      </c>
      <c r="G25" s="143">
        <v>40</v>
      </c>
      <c r="H25" s="148">
        <f t="shared" si="3"/>
        <v>685027.3075</v>
      </c>
    </row>
    <row r="26" spans="1:8">
      <c r="A26" s="123"/>
      <c r="B26" s="117" t="s">
        <v>311</v>
      </c>
      <c r="C26" s="148">
        <v>858680.05</v>
      </c>
      <c r="D26" s="148">
        <v>0</v>
      </c>
      <c r="E26" s="148"/>
      <c r="F26" s="148">
        <f t="shared" si="2"/>
        <v>858680.05</v>
      </c>
      <c r="G26" s="143">
        <v>20</v>
      </c>
      <c r="H26" s="148">
        <f t="shared" si="3"/>
        <v>42934.002500000002</v>
      </c>
    </row>
    <row r="27" spans="1:8">
      <c r="A27" s="123"/>
      <c r="B27" s="117" t="s">
        <v>107</v>
      </c>
      <c r="C27" s="148">
        <v>13324218.880000003</v>
      </c>
      <c r="D27" s="148">
        <v>337766.82</v>
      </c>
      <c r="E27" s="148"/>
      <c r="F27" s="148">
        <f t="shared" si="2"/>
        <v>13661985.700000003</v>
      </c>
      <c r="G27" s="143">
        <v>30</v>
      </c>
      <c r="H27" s="148">
        <f t="shared" si="3"/>
        <v>449770.07633333339</v>
      </c>
    </row>
    <row r="28" spans="1:8">
      <c r="A28" s="123"/>
      <c r="B28" s="117" t="s">
        <v>108</v>
      </c>
      <c r="C28" s="148">
        <v>107086</v>
      </c>
      <c r="D28" s="148">
        <v>0</v>
      </c>
      <c r="E28" s="148"/>
      <c r="F28" s="148">
        <f t="shared" si="2"/>
        <v>107086</v>
      </c>
      <c r="G28" s="143">
        <v>30</v>
      </c>
      <c r="H28" s="148">
        <f t="shared" si="3"/>
        <v>3569.5333333333333</v>
      </c>
    </row>
    <row r="29" spans="1:8">
      <c r="A29" s="123"/>
      <c r="B29" s="117" t="s">
        <v>313</v>
      </c>
      <c r="C29" s="149"/>
      <c r="D29" s="149"/>
      <c r="E29" s="149"/>
      <c r="F29" s="149"/>
      <c r="G29" s="144"/>
      <c r="H29" s="149">
        <v>-140295.96</v>
      </c>
    </row>
    <row r="30" spans="1:8" s="121" customFormat="1">
      <c r="A30" s="112" t="s">
        <v>109</v>
      </c>
      <c r="B30" s="112"/>
      <c r="C30" s="150">
        <f>SUBTOTAL(9,C19:C29)</f>
        <v>322750758.23000002</v>
      </c>
      <c r="D30" s="150">
        <f>SUBTOTAL(9,D19:D29)</f>
        <v>7116771.6100000003</v>
      </c>
      <c r="E30" s="150">
        <f>SUBTOTAL(9,E19:E29)</f>
        <v>0</v>
      </c>
      <c r="F30" s="150">
        <f>SUBTOTAL(9,F19:F29)</f>
        <v>329867529.84000003</v>
      </c>
      <c r="G30" s="119"/>
      <c r="H30" s="150">
        <f>SUBTOTAL(9,H19:H29)</f>
        <v>5495556.2595139844</v>
      </c>
    </row>
    <row r="31" spans="1:8">
      <c r="C31" s="151"/>
      <c r="D31" s="151"/>
      <c r="E31" s="151"/>
      <c r="F31" s="151"/>
      <c r="G31" s="122"/>
      <c r="H31" s="151"/>
    </row>
    <row r="32" spans="1:8">
      <c r="A32" s="112" t="s">
        <v>97</v>
      </c>
      <c r="C32" s="151"/>
      <c r="D32" s="151"/>
      <c r="E32" s="151"/>
      <c r="F32" s="151"/>
      <c r="G32" s="122"/>
      <c r="H32" s="151"/>
    </row>
    <row r="33" spans="1:8">
      <c r="A33" s="123"/>
      <c r="B33" s="117" t="s">
        <v>103</v>
      </c>
      <c r="C33" s="148">
        <v>6848082.21</v>
      </c>
      <c r="D33" s="148">
        <v>0</v>
      </c>
      <c r="E33" s="148"/>
      <c r="F33" s="148">
        <f t="shared" ref="F33:F40" si="4">C33+D33-E33</f>
        <v>6848082.21</v>
      </c>
      <c r="G33" s="143">
        <v>72</v>
      </c>
      <c r="H33" s="148">
        <f t="shared" ref="H33:H40" si="5">IFERROR(C33/G33+D33/G33/2,0)</f>
        <v>95112.252916666665</v>
      </c>
    </row>
    <row r="34" spans="1:8">
      <c r="A34" s="123"/>
      <c r="B34" s="117" t="s">
        <v>110</v>
      </c>
      <c r="C34" s="148">
        <v>474668.13</v>
      </c>
      <c r="D34" s="148">
        <v>0</v>
      </c>
      <c r="E34" s="148"/>
      <c r="F34" s="148">
        <f t="shared" si="4"/>
        <v>474668.13</v>
      </c>
      <c r="G34" s="143">
        <v>55</v>
      </c>
      <c r="H34" s="148">
        <f t="shared" si="5"/>
        <v>8630.3296363636364</v>
      </c>
    </row>
    <row r="35" spans="1:8">
      <c r="A35" s="123"/>
      <c r="B35" s="117" t="s">
        <v>111</v>
      </c>
      <c r="C35" s="148">
        <v>2735507.95</v>
      </c>
      <c r="D35" s="148">
        <v>0</v>
      </c>
      <c r="E35" s="148"/>
      <c r="F35" s="148">
        <f t="shared" si="4"/>
        <v>2735507.95</v>
      </c>
      <c r="G35" s="143">
        <v>40</v>
      </c>
      <c r="H35" s="148">
        <f t="shared" si="5"/>
        <v>68387.69875000001</v>
      </c>
    </row>
    <row r="36" spans="1:8">
      <c r="A36" s="123"/>
      <c r="B36" s="117" t="s">
        <v>112</v>
      </c>
      <c r="C36" s="148">
        <v>14262845.489999998</v>
      </c>
      <c r="D36" s="148">
        <v>62592145.109999999</v>
      </c>
      <c r="E36" s="148">
        <v>991394.21</v>
      </c>
      <c r="F36" s="148">
        <f t="shared" si="4"/>
        <v>75863596.390000001</v>
      </c>
      <c r="G36" s="143">
        <v>40</v>
      </c>
      <c r="H36" s="148">
        <f t="shared" si="5"/>
        <v>1138972.9511249999</v>
      </c>
    </row>
    <row r="37" spans="1:8">
      <c r="A37" s="123"/>
      <c r="B37" s="117" t="s">
        <v>293</v>
      </c>
      <c r="C37" s="148">
        <v>2962780.46</v>
      </c>
      <c r="D37" s="148">
        <v>975000</v>
      </c>
      <c r="E37" s="148"/>
      <c r="F37" s="148">
        <f t="shared" si="4"/>
        <v>3937780.46</v>
      </c>
      <c r="G37" s="143">
        <v>5</v>
      </c>
      <c r="H37" s="148">
        <f t="shared" si="5"/>
        <v>690056.09199999995</v>
      </c>
    </row>
    <row r="38" spans="1:8">
      <c r="A38" s="123"/>
      <c r="B38" s="117" t="s">
        <v>312</v>
      </c>
      <c r="C38" s="148">
        <v>243547.65000000002</v>
      </c>
      <c r="D38" s="148">
        <v>0</v>
      </c>
      <c r="E38" s="148"/>
      <c r="F38" s="148">
        <f t="shared" si="4"/>
        <v>243547.65000000002</v>
      </c>
      <c r="G38" s="143">
        <v>12</v>
      </c>
      <c r="H38" s="148">
        <f t="shared" si="5"/>
        <v>20295.637500000001</v>
      </c>
    </row>
    <row r="39" spans="1:8">
      <c r="A39" s="123"/>
      <c r="B39" s="117" t="s">
        <v>106</v>
      </c>
      <c r="C39" s="148">
        <v>9040987.5399999991</v>
      </c>
      <c r="D39" s="148">
        <v>0</v>
      </c>
      <c r="E39" s="148"/>
      <c r="F39" s="148">
        <f t="shared" si="4"/>
        <v>9040987.5399999991</v>
      </c>
      <c r="G39" s="143">
        <v>45</v>
      </c>
      <c r="H39" s="148">
        <f t="shared" si="5"/>
        <v>200910.83422222221</v>
      </c>
    </row>
    <row r="40" spans="1:8">
      <c r="A40" s="123"/>
      <c r="B40" s="117" t="s">
        <v>107</v>
      </c>
      <c r="C40" s="148">
        <v>1874382.7200000002</v>
      </c>
      <c r="D40" s="148">
        <v>75000</v>
      </c>
      <c r="E40" s="148"/>
      <c r="F40" s="148">
        <f t="shared" si="4"/>
        <v>1949382.7200000002</v>
      </c>
      <c r="G40" s="143">
        <v>30</v>
      </c>
      <c r="H40" s="148">
        <f t="shared" si="5"/>
        <v>63729.424000000006</v>
      </c>
    </row>
    <row r="41" spans="1:8">
      <c r="A41" s="123"/>
      <c r="B41" s="117" t="s">
        <v>313</v>
      </c>
      <c r="C41" s="149"/>
      <c r="D41" s="149"/>
      <c r="E41" s="149"/>
      <c r="F41" s="149"/>
      <c r="G41" s="118"/>
      <c r="H41" s="149">
        <v>-66276.72</v>
      </c>
    </row>
    <row r="42" spans="1:8" s="121" customFormat="1" ht="18.75" customHeight="1">
      <c r="A42" s="112" t="s">
        <v>113</v>
      </c>
      <c r="B42" s="112"/>
      <c r="C42" s="150">
        <f>SUBTOTAL(9,C33:C41)</f>
        <v>38442802.149999991</v>
      </c>
      <c r="D42" s="150">
        <f>SUBTOTAL(9,D33:D41)</f>
        <v>63642145.109999999</v>
      </c>
      <c r="E42" s="150">
        <f>SUBTOTAL(9,E33:E41)</f>
        <v>991394.21</v>
      </c>
      <c r="F42" s="150">
        <f>SUBTOTAL(9,F33:F41)</f>
        <v>101093553.05000001</v>
      </c>
      <c r="G42" s="120"/>
      <c r="H42" s="150">
        <f>SUBTOTAL(9,H33:H41)</f>
        <v>2219818.5001502521</v>
      </c>
    </row>
    <row r="43" spans="1:8">
      <c r="C43" s="151"/>
      <c r="D43" s="151"/>
      <c r="E43" s="151"/>
      <c r="F43" s="151"/>
      <c r="G43" s="122"/>
      <c r="H43" s="151"/>
    </row>
    <row r="44" spans="1:8">
      <c r="A44" s="112" t="s">
        <v>114</v>
      </c>
      <c r="C44" s="151"/>
      <c r="D44" s="151"/>
      <c r="E44" s="151"/>
      <c r="F44" s="151"/>
      <c r="G44" s="122"/>
      <c r="H44" s="151"/>
    </row>
    <row r="45" spans="1:8">
      <c r="A45" s="123"/>
      <c r="B45" s="117" t="s">
        <v>114</v>
      </c>
      <c r="C45" s="149">
        <v>0</v>
      </c>
      <c r="D45" s="149">
        <v>0</v>
      </c>
      <c r="E45" s="149"/>
      <c r="F45" s="149">
        <f>C45+D45-E45</f>
        <v>0</v>
      </c>
      <c r="G45" s="144">
        <v>0</v>
      </c>
      <c r="H45" s="149">
        <v>0</v>
      </c>
    </row>
    <row r="46" spans="1:8" s="121" customFormat="1" ht="18.75" customHeight="1">
      <c r="A46" s="112" t="s">
        <v>115</v>
      </c>
      <c r="B46" s="112"/>
      <c r="C46" s="150">
        <f>C45</f>
        <v>0</v>
      </c>
      <c r="D46" s="150">
        <f>D45</f>
        <v>0</v>
      </c>
      <c r="E46" s="150">
        <f>E45</f>
        <v>0</v>
      </c>
      <c r="F46" s="150">
        <f>F45</f>
        <v>0</v>
      </c>
      <c r="G46" s="120"/>
      <c r="H46" s="150">
        <f>SUBTOTAL(9,H45)</f>
        <v>0</v>
      </c>
    </row>
    <row r="47" spans="1:8">
      <c r="C47" s="151"/>
      <c r="D47" s="151"/>
      <c r="E47" s="151"/>
      <c r="F47" s="151"/>
      <c r="G47" s="122"/>
      <c r="H47" s="151"/>
    </row>
    <row r="48" spans="1:8">
      <c r="A48" s="112" t="s">
        <v>98</v>
      </c>
      <c r="C48" s="151"/>
      <c r="D48" s="151"/>
      <c r="E48" s="151"/>
      <c r="F48" s="151"/>
      <c r="G48" s="122"/>
      <c r="H48" s="151"/>
    </row>
    <row r="49" spans="1:8">
      <c r="A49" s="123"/>
      <c r="B49" s="117" t="s">
        <v>116</v>
      </c>
      <c r="C49" s="148">
        <v>83695107.349999964</v>
      </c>
      <c r="D49" s="148">
        <v>712992.66</v>
      </c>
      <c r="E49" s="148"/>
      <c r="F49" s="148">
        <f t="shared" ref="F49:F59" si="6">C49+D49-E49</f>
        <v>84408100.009999961</v>
      </c>
      <c r="G49" s="143">
        <v>65</v>
      </c>
      <c r="H49" s="148">
        <f t="shared" ref="H49:H59" si="7">IFERROR(C49/G49+D49/G49/2,0)</f>
        <v>1293101.5950769223</v>
      </c>
    </row>
    <row r="50" spans="1:8">
      <c r="A50" s="123"/>
      <c r="B50" s="117" t="s">
        <v>117</v>
      </c>
      <c r="C50" s="148">
        <v>16756318.379999999</v>
      </c>
      <c r="D50" s="148">
        <v>0</v>
      </c>
      <c r="E50" s="148"/>
      <c r="F50" s="148">
        <f t="shared" si="6"/>
        <v>16756318.379999999</v>
      </c>
      <c r="G50" s="143">
        <v>60</v>
      </c>
      <c r="H50" s="148">
        <f t="shared" si="7"/>
        <v>279271.973</v>
      </c>
    </row>
    <row r="51" spans="1:8">
      <c r="A51" s="123"/>
      <c r="B51" s="117" t="s">
        <v>118</v>
      </c>
      <c r="C51" s="148">
        <v>4297239.04</v>
      </c>
      <c r="D51" s="148">
        <v>0</v>
      </c>
      <c r="E51" s="148"/>
      <c r="F51" s="148">
        <f t="shared" si="6"/>
        <v>4297239.04</v>
      </c>
      <c r="G51" s="143">
        <v>60</v>
      </c>
      <c r="H51" s="148">
        <f t="shared" si="7"/>
        <v>71620.650666666668</v>
      </c>
    </row>
    <row r="52" spans="1:8">
      <c r="A52" s="123"/>
      <c r="B52" s="117" t="s">
        <v>119</v>
      </c>
      <c r="C52" s="148">
        <v>21925657.629999995</v>
      </c>
      <c r="D52" s="148">
        <v>120000</v>
      </c>
      <c r="E52" s="148"/>
      <c r="F52" s="148">
        <f t="shared" si="6"/>
        <v>22045657.629999995</v>
      </c>
      <c r="G52" s="143">
        <v>60</v>
      </c>
      <c r="H52" s="148">
        <f t="shared" si="7"/>
        <v>366427.62716666661</v>
      </c>
    </row>
    <row r="53" spans="1:8">
      <c r="A53" s="123"/>
      <c r="B53" s="117" t="s">
        <v>120</v>
      </c>
      <c r="C53" s="148">
        <v>277975</v>
      </c>
      <c r="D53" s="148">
        <v>0</v>
      </c>
      <c r="E53" s="148"/>
      <c r="F53" s="148">
        <f t="shared" si="6"/>
        <v>277975</v>
      </c>
      <c r="G53" s="143">
        <v>60</v>
      </c>
      <c r="H53" s="148">
        <f t="shared" si="7"/>
        <v>4632.916666666667</v>
      </c>
    </row>
    <row r="54" spans="1:8">
      <c r="A54" s="123"/>
      <c r="B54" s="117" t="s">
        <v>121</v>
      </c>
      <c r="C54" s="148">
        <v>75844443.219999969</v>
      </c>
      <c r="D54" s="148">
        <v>802403.9</v>
      </c>
      <c r="E54" s="148"/>
      <c r="F54" s="148">
        <f t="shared" si="6"/>
        <v>76646847.119999975</v>
      </c>
      <c r="G54" s="143">
        <v>54</v>
      </c>
      <c r="H54" s="148">
        <f t="shared" si="7"/>
        <v>1411956.3920370364</v>
      </c>
    </row>
    <row r="55" spans="1:8">
      <c r="A55" s="123"/>
      <c r="B55" s="117" t="s">
        <v>330</v>
      </c>
      <c r="C55" s="148">
        <v>10688553.15</v>
      </c>
      <c r="D55" s="148">
        <v>0</v>
      </c>
      <c r="E55" s="148"/>
      <c r="F55" s="148">
        <f t="shared" si="6"/>
        <v>10688553.15</v>
      </c>
      <c r="G55" s="143">
        <v>10</v>
      </c>
      <c r="H55" s="148">
        <f t="shared" si="7"/>
        <v>1068855.3149999999</v>
      </c>
    </row>
    <row r="56" spans="1:8">
      <c r="A56" s="123"/>
      <c r="B56" s="117" t="s">
        <v>333</v>
      </c>
      <c r="C56" s="148">
        <v>13991451.050000001</v>
      </c>
      <c r="D56" s="148">
        <v>0</v>
      </c>
      <c r="E56" s="148"/>
      <c r="F56" s="148">
        <f t="shared" si="6"/>
        <v>13991451.050000001</v>
      </c>
      <c r="G56" s="143">
        <v>10</v>
      </c>
      <c r="H56" s="148">
        <f t="shared" si="7"/>
        <v>1399145.105</v>
      </c>
    </row>
    <row r="57" spans="1:8">
      <c r="A57" s="123"/>
      <c r="B57" s="117" t="s">
        <v>334</v>
      </c>
      <c r="C57" s="148">
        <v>848040.31</v>
      </c>
      <c r="D57" s="148">
        <v>0</v>
      </c>
      <c r="E57" s="148"/>
      <c r="F57" s="148">
        <f t="shared" si="6"/>
        <v>848040.31</v>
      </c>
      <c r="G57" s="143">
        <v>10</v>
      </c>
      <c r="H57" s="148">
        <f t="shared" si="7"/>
        <v>84804.031000000003</v>
      </c>
    </row>
    <row r="58" spans="1:8">
      <c r="A58" s="123"/>
      <c r="B58" s="117" t="s">
        <v>122</v>
      </c>
      <c r="C58" s="148">
        <v>8907593.5500000007</v>
      </c>
      <c r="D58" s="148">
        <v>0</v>
      </c>
      <c r="E58" s="148"/>
      <c r="F58" s="148">
        <f t="shared" si="6"/>
        <v>8907593.5500000007</v>
      </c>
      <c r="G58" s="143">
        <v>55</v>
      </c>
      <c r="H58" s="148">
        <f t="shared" si="7"/>
        <v>161956.24636363637</v>
      </c>
    </row>
    <row r="59" spans="1:8">
      <c r="A59" s="123"/>
      <c r="B59" s="117" t="s">
        <v>123</v>
      </c>
      <c r="C59" s="148">
        <v>274477.45</v>
      </c>
      <c r="D59" s="148">
        <v>0</v>
      </c>
      <c r="E59" s="148"/>
      <c r="F59" s="148">
        <f t="shared" si="6"/>
        <v>274477.45</v>
      </c>
      <c r="G59" s="143">
        <v>30</v>
      </c>
      <c r="H59" s="148">
        <f t="shared" si="7"/>
        <v>9149.248333333333</v>
      </c>
    </row>
    <row r="60" spans="1:8">
      <c r="A60" s="123"/>
      <c r="B60" s="117" t="s">
        <v>313</v>
      </c>
      <c r="C60" s="149"/>
      <c r="D60" s="149"/>
      <c r="E60" s="149"/>
      <c r="F60" s="149"/>
      <c r="G60" s="144"/>
      <c r="H60" s="149">
        <v>-79596.960000000006</v>
      </c>
    </row>
    <row r="61" spans="1:8" s="121" customFormat="1" ht="18" customHeight="1">
      <c r="A61" s="112" t="s">
        <v>124</v>
      </c>
      <c r="B61" s="112"/>
      <c r="C61" s="150">
        <f>SUBTOTAL(9,C49:C60)</f>
        <v>237506856.12999997</v>
      </c>
      <c r="D61" s="150">
        <f>SUBTOTAL(9,D49:D60)</f>
        <v>1635396.56</v>
      </c>
      <c r="E61" s="150">
        <f>SUBTOTAL(9,E49:E60)</f>
        <v>0</v>
      </c>
      <c r="F61" s="150">
        <f>SUBTOTAL(9,F49:F60)</f>
        <v>239142252.68999997</v>
      </c>
      <c r="G61" s="120"/>
      <c r="H61" s="150">
        <f>SUBTOTAL(9,H49:H60)</f>
        <v>6071324.1403109282</v>
      </c>
    </row>
    <row r="62" spans="1:8">
      <c r="C62" s="151"/>
      <c r="D62" s="151"/>
      <c r="E62" s="151"/>
      <c r="F62" s="151"/>
      <c r="G62" s="122"/>
      <c r="H62" s="151"/>
    </row>
    <row r="63" spans="1:8">
      <c r="A63" s="112" t="s">
        <v>125</v>
      </c>
      <c r="C63" s="151"/>
      <c r="D63" s="151"/>
      <c r="E63" s="151"/>
      <c r="F63" s="151"/>
      <c r="G63" s="122"/>
      <c r="H63" s="151"/>
    </row>
    <row r="64" spans="1:8">
      <c r="A64" s="123"/>
      <c r="B64" s="117" t="s">
        <v>116</v>
      </c>
      <c r="C64" s="148">
        <v>4640086.0399999991</v>
      </c>
      <c r="D64" s="148">
        <v>0</v>
      </c>
      <c r="E64" s="148"/>
      <c r="F64" s="148">
        <f t="shared" ref="F64:F74" si="8">C64+D64-E64</f>
        <v>4640086.0399999991</v>
      </c>
      <c r="G64" s="143">
        <v>65</v>
      </c>
      <c r="H64" s="148">
        <f t="shared" ref="H64:H74" si="9">IFERROR(C64/G64+D64/G64/2,0)</f>
        <v>71385.939076923067</v>
      </c>
    </row>
    <row r="65" spans="1:8">
      <c r="A65" s="123"/>
      <c r="B65" s="117" t="s">
        <v>126</v>
      </c>
      <c r="C65" s="148">
        <v>2646131.54</v>
      </c>
      <c r="D65" s="148">
        <v>0</v>
      </c>
      <c r="E65" s="148"/>
      <c r="F65" s="148">
        <f t="shared" si="8"/>
        <v>2646131.54</v>
      </c>
      <c r="G65" s="143">
        <v>12</v>
      </c>
      <c r="H65" s="148">
        <f t="shared" si="9"/>
        <v>220510.96166666667</v>
      </c>
    </row>
    <row r="66" spans="1:8">
      <c r="A66" s="123"/>
      <c r="B66" s="117" t="s">
        <v>127</v>
      </c>
      <c r="C66" s="148">
        <v>41597.199999999997</v>
      </c>
      <c r="D66" s="148">
        <v>0</v>
      </c>
      <c r="E66" s="148"/>
      <c r="F66" s="148">
        <f t="shared" si="8"/>
        <v>41597.199999999997</v>
      </c>
      <c r="G66" s="143">
        <v>60</v>
      </c>
      <c r="H66" s="148">
        <f t="shared" si="9"/>
        <v>693.28666666666663</v>
      </c>
    </row>
    <row r="67" spans="1:8">
      <c r="A67" s="123"/>
      <c r="B67" s="117" t="s">
        <v>294</v>
      </c>
      <c r="C67" s="148">
        <v>432532.51</v>
      </c>
      <c r="D67" s="148">
        <v>0</v>
      </c>
      <c r="E67" s="148"/>
      <c r="F67" s="148">
        <f t="shared" si="8"/>
        <v>432532.51</v>
      </c>
      <c r="G67" s="143">
        <v>12</v>
      </c>
      <c r="H67" s="148">
        <f t="shared" si="9"/>
        <v>36044.375833333332</v>
      </c>
    </row>
    <row r="68" spans="1:8">
      <c r="A68" s="123"/>
      <c r="B68" s="117" t="s">
        <v>128</v>
      </c>
      <c r="C68" s="148">
        <v>0</v>
      </c>
      <c r="D68" s="148">
        <v>0</v>
      </c>
      <c r="E68" s="148"/>
      <c r="F68" s="148">
        <f t="shared" si="8"/>
        <v>0</v>
      </c>
      <c r="G68" s="143">
        <v>60</v>
      </c>
      <c r="H68" s="148">
        <f t="shared" si="9"/>
        <v>0</v>
      </c>
    </row>
    <row r="69" spans="1:8">
      <c r="A69" s="123"/>
      <c r="B69" s="117" t="s">
        <v>295</v>
      </c>
      <c r="C69" s="148">
        <v>95136.43</v>
      </c>
      <c r="D69" s="148">
        <v>0</v>
      </c>
      <c r="E69" s="148"/>
      <c r="F69" s="148">
        <f t="shared" si="8"/>
        <v>95136.43</v>
      </c>
      <c r="G69" s="143">
        <v>12</v>
      </c>
      <c r="H69" s="148">
        <f t="shared" si="9"/>
        <v>7928.0358333333324</v>
      </c>
    </row>
    <row r="70" spans="1:8">
      <c r="A70" s="123"/>
      <c r="B70" s="117" t="s">
        <v>129</v>
      </c>
      <c r="C70" s="148">
        <v>1837887.92</v>
      </c>
      <c r="D70" s="148">
        <v>0</v>
      </c>
      <c r="E70" s="148"/>
      <c r="F70" s="148">
        <f t="shared" si="8"/>
        <v>1837887.92</v>
      </c>
      <c r="G70" s="143">
        <v>60</v>
      </c>
      <c r="H70" s="148">
        <f t="shared" si="9"/>
        <v>30631.465333333334</v>
      </c>
    </row>
    <row r="71" spans="1:8">
      <c r="A71" s="123"/>
      <c r="B71" s="117" t="s">
        <v>130</v>
      </c>
      <c r="C71" s="148">
        <v>78813.429999999993</v>
      </c>
      <c r="D71" s="148">
        <v>0</v>
      </c>
      <c r="E71" s="148"/>
      <c r="F71" s="148">
        <f t="shared" si="8"/>
        <v>78813.429999999993</v>
      </c>
      <c r="G71" s="143">
        <v>45</v>
      </c>
      <c r="H71" s="148">
        <f t="shared" si="9"/>
        <v>1751.4095555555555</v>
      </c>
    </row>
    <row r="72" spans="1:8">
      <c r="A72" s="123"/>
      <c r="B72" s="117" t="s">
        <v>296</v>
      </c>
      <c r="C72" s="148">
        <v>920692.5</v>
      </c>
      <c r="D72" s="148">
        <v>0</v>
      </c>
      <c r="E72" s="148"/>
      <c r="F72" s="148">
        <f t="shared" si="8"/>
        <v>920692.5</v>
      </c>
      <c r="G72" s="143">
        <v>12</v>
      </c>
      <c r="H72" s="148">
        <f t="shared" si="9"/>
        <v>76724.375</v>
      </c>
    </row>
    <row r="73" spans="1:8">
      <c r="A73" s="123"/>
      <c r="B73" s="117" t="s">
        <v>297</v>
      </c>
      <c r="C73" s="148">
        <v>8158949.7799999993</v>
      </c>
      <c r="D73" s="148">
        <v>234648.59</v>
      </c>
      <c r="E73" s="148"/>
      <c r="F73" s="148">
        <f t="shared" si="8"/>
        <v>8393598.3699999992</v>
      </c>
      <c r="G73" s="143">
        <v>54</v>
      </c>
      <c r="H73" s="148">
        <f t="shared" si="9"/>
        <v>153264.33472222221</v>
      </c>
    </row>
    <row r="74" spans="1:8">
      <c r="A74" s="123"/>
      <c r="B74" s="117" t="s">
        <v>298</v>
      </c>
      <c r="C74" s="148">
        <v>7111245.04</v>
      </c>
      <c r="D74" s="148">
        <v>0</v>
      </c>
      <c r="E74" s="148"/>
      <c r="F74" s="148">
        <f t="shared" si="8"/>
        <v>7111245.04</v>
      </c>
      <c r="G74" s="143">
        <v>12</v>
      </c>
      <c r="H74" s="148">
        <f t="shared" si="9"/>
        <v>592603.7533333333</v>
      </c>
    </row>
    <row r="75" spans="1:8">
      <c r="A75" s="123"/>
      <c r="B75" s="117" t="s">
        <v>313</v>
      </c>
      <c r="C75" s="149"/>
      <c r="D75" s="149"/>
      <c r="E75" s="149"/>
      <c r="F75" s="149"/>
      <c r="G75" s="144"/>
      <c r="H75" s="149">
        <v>-36367.199999999997</v>
      </c>
    </row>
    <row r="76" spans="1:8" s="121" customFormat="1">
      <c r="A76" s="112" t="s">
        <v>131</v>
      </c>
      <c r="B76" s="112"/>
      <c r="C76" s="150">
        <f>SUBTOTAL(9,C64:C75)</f>
        <v>25963072.389999997</v>
      </c>
      <c r="D76" s="150">
        <f>SUBTOTAL(9,D64:D75)</f>
        <v>234648.59</v>
      </c>
      <c r="E76" s="150">
        <f>SUBTOTAL(9,E64:E75)</f>
        <v>0</v>
      </c>
      <c r="F76" s="150">
        <f>SUBTOTAL(9,F64:F75)</f>
        <v>26197720.979999997</v>
      </c>
      <c r="G76" s="120"/>
      <c r="H76" s="150">
        <f>SUBTOTAL(9,H64:H75)</f>
        <v>1155170.7370213675</v>
      </c>
    </row>
    <row r="77" spans="1:8">
      <c r="C77" s="151"/>
      <c r="D77" s="151"/>
      <c r="E77" s="151"/>
      <c r="F77" s="151"/>
      <c r="G77" s="122"/>
      <c r="H77" s="151"/>
    </row>
    <row r="78" spans="1:8">
      <c r="A78" s="112" t="s">
        <v>132</v>
      </c>
      <c r="C78" s="151"/>
      <c r="D78" s="151"/>
      <c r="E78" s="151"/>
      <c r="F78" s="151"/>
      <c r="G78" s="122"/>
      <c r="H78" s="151"/>
    </row>
    <row r="79" spans="1:8">
      <c r="A79" s="123"/>
      <c r="B79" s="117" t="s">
        <v>116</v>
      </c>
      <c r="C79" s="148">
        <v>12461233.399999997</v>
      </c>
      <c r="D79" s="148">
        <v>9569187.5199999996</v>
      </c>
      <c r="E79" s="148"/>
      <c r="F79" s="148">
        <f t="shared" ref="F79:F94" si="10">C79+D79-E79</f>
        <v>22030420.919999994</v>
      </c>
      <c r="G79" s="143">
        <v>40</v>
      </c>
      <c r="H79" s="148">
        <f t="shared" ref="H79:H94" si="11">IFERROR(C79/G79+D79/G79/2,0)</f>
        <v>431145.67899999989</v>
      </c>
    </row>
    <row r="80" spans="1:8">
      <c r="A80" s="123"/>
      <c r="B80" s="117" t="s">
        <v>117</v>
      </c>
      <c r="C80" s="148">
        <v>44763.01</v>
      </c>
      <c r="D80" s="148">
        <v>0</v>
      </c>
      <c r="E80" s="148"/>
      <c r="F80" s="148">
        <f t="shared" si="10"/>
        <v>44763.01</v>
      </c>
      <c r="G80" s="143">
        <v>50</v>
      </c>
      <c r="H80" s="148">
        <f t="shared" si="11"/>
        <v>895.26020000000005</v>
      </c>
    </row>
    <row r="81" spans="1:8">
      <c r="A81" s="123"/>
      <c r="B81" s="117" t="s">
        <v>128</v>
      </c>
      <c r="C81" s="148">
        <v>662900.07999999984</v>
      </c>
      <c r="D81" s="148">
        <v>0</v>
      </c>
      <c r="E81" s="148"/>
      <c r="F81" s="148">
        <f t="shared" si="10"/>
        <v>662900.07999999984</v>
      </c>
      <c r="G81" s="143">
        <v>50</v>
      </c>
      <c r="H81" s="148">
        <f t="shared" si="11"/>
        <v>13258.001599999996</v>
      </c>
    </row>
    <row r="82" spans="1:8">
      <c r="A82" s="123"/>
      <c r="B82" s="117" t="s">
        <v>133</v>
      </c>
      <c r="C82" s="148">
        <v>285794.73</v>
      </c>
      <c r="D82" s="148">
        <v>6192619.2999999998</v>
      </c>
      <c r="E82" s="148"/>
      <c r="F82" s="148">
        <f t="shared" si="10"/>
        <v>6478414.0299999993</v>
      </c>
      <c r="G82" s="143">
        <v>50</v>
      </c>
      <c r="H82" s="148">
        <f t="shared" si="11"/>
        <v>67642.087599999999</v>
      </c>
    </row>
    <row r="83" spans="1:8">
      <c r="A83" s="123"/>
      <c r="B83" s="117" t="s">
        <v>134</v>
      </c>
      <c r="C83" s="148">
        <v>2619726.4199999981</v>
      </c>
      <c r="D83" s="148">
        <v>0</v>
      </c>
      <c r="E83" s="148"/>
      <c r="F83" s="148">
        <f t="shared" si="10"/>
        <v>2619726.4199999981</v>
      </c>
      <c r="G83" s="143">
        <v>40</v>
      </c>
      <c r="H83" s="148">
        <f t="shared" si="11"/>
        <v>65493.160499999954</v>
      </c>
    </row>
    <row r="84" spans="1:8">
      <c r="A84" s="123"/>
      <c r="B84" s="117" t="s">
        <v>135</v>
      </c>
      <c r="C84" s="148">
        <v>385154.92</v>
      </c>
      <c r="D84" s="148">
        <v>0</v>
      </c>
      <c r="E84" s="148"/>
      <c r="F84" s="148">
        <f t="shared" si="10"/>
        <v>385154.92</v>
      </c>
      <c r="G84" s="143">
        <v>40</v>
      </c>
      <c r="H84" s="148">
        <f t="shared" si="11"/>
        <v>9628.8729999999996</v>
      </c>
    </row>
    <row r="85" spans="1:8">
      <c r="A85" s="123"/>
      <c r="B85" s="117" t="s">
        <v>310</v>
      </c>
      <c r="C85" s="148">
        <v>43376.77</v>
      </c>
      <c r="D85" s="148">
        <v>0</v>
      </c>
      <c r="E85" s="148"/>
      <c r="F85" s="148">
        <f t="shared" si="10"/>
        <v>43376.77</v>
      </c>
      <c r="G85" s="143">
        <v>40</v>
      </c>
      <c r="H85" s="148">
        <f t="shared" si="11"/>
        <v>1084.4192499999999</v>
      </c>
    </row>
    <row r="86" spans="1:8">
      <c r="A86" s="123"/>
      <c r="B86" s="117" t="s">
        <v>136</v>
      </c>
      <c r="C86" s="148">
        <v>0</v>
      </c>
      <c r="D86" s="148">
        <v>0</v>
      </c>
      <c r="E86" s="148"/>
      <c r="F86" s="148">
        <f t="shared" si="10"/>
        <v>0</v>
      </c>
      <c r="G86" s="143">
        <v>0</v>
      </c>
      <c r="H86" s="148">
        <f t="shared" si="11"/>
        <v>0</v>
      </c>
    </row>
    <row r="87" spans="1:8">
      <c r="A87" s="123"/>
      <c r="B87" s="117" t="s">
        <v>137</v>
      </c>
      <c r="C87" s="148">
        <v>312632.61</v>
      </c>
      <c r="D87" s="148">
        <v>0</v>
      </c>
      <c r="E87" s="148"/>
      <c r="F87" s="148">
        <f t="shared" si="10"/>
        <v>312632.61</v>
      </c>
      <c r="G87" s="143">
        <v>16</v>
      </c>
      <c r="H87" s="148">
        <f t="shared" si="11"/>
        <v>19539.538124999999</v>
      </c>
    </row>
    <row r="88" spans="1:8">
      <c r="A88" s="123"/>
      <c r="B88" s="117" t="s">
        <v>138</v>
      </c>
      <c r="C88" s="148">
        <v>288392.19</v>
      </c>
      <c r="D88" s="148">
        <v>0</v>
      </c>
      <c r="E88" s="148"/>
      <c r="F88" s="148">
        <f t="shared" si="10"/>
        <v>288392.19</v>
      </c>
      <c r="G88" s="143">
        <v>16</v>
      </c>
      <c r="H88" s="148">
        <f t="shared" si="11"/>
        <v>18024.511875</v>
      </c>
    </row>
    <row r="89" spans="1:8">
      <c r="A89" s="123"/>
      <c r="B89" s="117" t="s">
        <v>121</v>
      </c>
      <c r="C89" s="148">
        <v>2202066.91</v>
      </c>
      <c r="D89" s="148">
        <v>0</v>
      </c>
      <c r="E89" s="148"/>
      <c r="F89" s="148">
        <f t="shared" si="10"/>
        <v>2202066.91</v>
      </c>
      <c r="G89" s="143">
        <v>40</v>
      </c>
      <c r="H89" s="148">
        <f t="shared" si="11"/>
        <v>55051.672750000005</v>
      </c>
    </row>
    <row r="90" spans="1:8">
      <c r="A90" s="123"/>
      <c r="B90" s="117" t="s">
        <v>122</v>
      </c>
      <c r="C90" s="148">
        <v>64798.340000000004</v>
      </c>
      <c r="D90" s="148">
        <v>0</v>
      </c>
      <c r="E90" s="148"/>
      <c r="F90" s="148">
        <f t="shared" si="10"/>
        <v>64798.340000000004</v>
      </c>
      <c r="G90" s="143">
        <v>55</v>
      </c>
      <c r="H90" s="148">
        <f t="shared" si="11"/>
        <v>1178.1516363636365</v>
      </c>
    </row>
    <row r="91" spans="1:8">
      <c r="A91" s="123"/>
      <c r="B91" s="117" t="s">
        <v>123</v>
      </c>
      <c r="C91" s="148">
        <v>100328.43</v>
      </c>
      <c r="D91" s="148">
        <v>0</v>
      </c>
      <c r="E91" s="148"/>
      <c r="F91" s="148">
        <f t="shared" si="10"/>
        <v>100328.43</v>
      </c>
      <c r="G91" s="143">
        <v>30</v>
      </c>
      <c r="H91" s="148">
        <f t="shared" si="11"/>
        <v>3344.2809999999999</v>
      </c>
    </row>
    <row r="92" spans="1:8">
      <c r="A92" s="123"/>
      <c r="B92" s="117" t="s">
        <v>139</v>
      </c>
      <c r="C92" s="148">
        <v>603366.85</v>
      </c>
      <c r="D92" s="148">
        <v>0</v>
      </c>
      <c r="E92" s="148"/>
      <c r="F92" s="148">
        <f t="shared" si="10"/>
        <v>603366.85</v>
      </c>
      <c r="G92" s="143">
        <v>40</v>
      </c>
      <c r="H92" s="148">
        <f t="shared" si="11"/>
        <v>15084.171249999999</v>
      </c>
    </row>
    <row r="93" spans="1:8">
      <c r="A93" s="123"/>
      <c r="B93" s="117" t="s">
        <v>140</v>
      </c>
      <c r="C93" s="148">
        <v>4042479.1899999995</v>
      </c>
      <c r="D93" s="148">
        <v>0</v>
      </c>
      <c r="E93" s="148"/>
      <c r="F93" s="148">
        <f t="shared" si="10"/>
        <v>4042479.1899999995</v>
      </c>
      <c r="G93" s="143">
        <v>35</v>
      </c>
      <c r="H93" s="148">
        <f t="shared" si="11"/>
        <v>115499.40542857141</v>
      </c>
    </row>
    <row r="94" spans="1:8">
      <c r="A94" s="123"/>
      <c r="B94" s="117" t="s">
        <v>141</v>
      </c>
      <c r="C94" s="148">
        <v>36442.910000000003</v>
      </c>
      <c r="D94" s="148">
        <v>0</v>
      </c>
      <c r="E94" s="148"/>
      <c r="F94" s="148">
        <f t="shared" si="10"/>
        <v>36442.910000000003</v>
      </c>
      <c r="G94" s="143">
        <v>30</v>
      </c>
      <c r="H94" s="148">
        <f t="shared" si="11"/>
        <v>1214.7636666666667</v>
      </c>
    </row>
    <row r="95" spans="1:8">
      <c r="A95" s="123"/>
      <c r="B95" s="117" t="s">
        <v>313</v>
      </c>
      <c r="C95" s="149"/>
      <c r="D95" s="149"/>
      <c r="E95" s="149"/>
      <c r="F95" s="149"/>
      <c r="G95" s="118"/>
      <c r="H95" s="149">
        <v>49978.92</v>
      </c>
    </row>
    <row r="96" spans="1:8" s="121" customFormat="1" ht="18" customHeight="1">
      <c r="A96" s="112" t="s">
        <v>142</v>
      </c>
      <c r="B96" s="112"/>
      <c r="C96" s="150">
        <f>SUBTOTAL(9,C79:C95)</f>
        <v>24153456.759999994</v>
      </c>
      <c r="D96" s="150">
        <f>SUBTOTAL(9,D79:D95)</f>
        <v>15761806.82</v>
      </c>
      <c r="E96" s="150">
        <f>SUBTOTAL(9,E79:E95)</f>
        <v>0</v>
      </c>
      <c r="F96" s="150">
        <f>SUBTOTAL(9,F79:F95)</f>
        <v>39915263.579999991</v>
      </c>
      <c r="G96" s="120"/>
      <c r="H96" s="150">
        <f>SUBTOTAL(9,H79:H95)</f>
        <v>868062.89688160166</v>
      </c>
    </row>
    <row r="97" spans="1:8">
      <c r="C97" s="152"/>
      <c r="D97" s="152"/>
      <c r="E97" s="152"/>
      <c r="F97" s="152"/>
      <c r="G97" s="124"/>
      <c r="H97" s="152"/>
    </row>
    <row r="98" spans="1:8">
      <c r="A98" s="112" t="s">
        <v>143</v>
      </c>
      <c r="C98" s="151"/>
      <c r="D98" s="151"/>
      <c r="E98" s="151"/>
      <c r="F98" s="151"/>
      <c r="G98" s="122"/>
      <c r="H98" s="151"/>
    </row>
    <row r="99" spans="1:8">
      <c r="A99" s="123"/>
      <c r="B99" s="117" t="s">
        <v>144</v>
      </c>
      <c r="C99" s="148">
        <v>4320.91</v>
      </c>
      <c r="D99" s="148">
        <v>0</v>
      </c>
      <c r="E99" s="148"/>
      <c r="F99" s="148">
        <f t="shared" ref="F99:F111" si="12">C99+D99-E99</f>
        <v>4320.91</v>
      </c>
      <c r="G99" s="143">
        <v>50</v>
      </c>
      <c r="H99" s="148">
        <f t="shared" ref="H99:H111" si="13">IFERROR(C99/G99+D99/G99/2,0)</f>
        <v>86.418199999999999</v>
      </c>
    </row>
    <row r="100" spans="1:8">
      <c r="A100" s="123"/>
      <c r="B100" s="117" t="s">
        <v>145</v>
      </c>
      <c r="C100" s="148">
        <v>5938453.1499999994</v>
      </c>
      <c r="D100" s="148">
        <v>0</v>
      </c>
      <c r="E100" s="148"/>
      <c r="F100" s="148">
        <f t="shared" si="12"/>
        <v>5938453.1499999994</v>
      </c>
      <c r="G100" s="143">
        <v>50</v>
      </c>
      <c r="H100" s="148">
        <f t="shared" si="13"/>
        <v>118769.06299999999</v>
      </c>
    </row>
    <row r="101" spans="1:8">
      <c r="A101" s="123"/>
      <c r="B101" s="117" t="s">
        <v>146</v>
      </c>
      <c r="C101" s="148">
        <v>11488539.590000004</v>
      </c>
      <c r="D101" s="148">
        <v>1187996.6399999999</v>
      </c>
      <c r="E101" s="148"/>
      <c r="F101" s="148">
        <f t="shared" si="12"/>
        <v>12676536.230000004</v>
      </c>
      <c r="G101" s="143">
        <v>55</v>
      </c>
      <c r="H101" s="148">
        <f t="shared" si="13"/>
        <v>219682.5074545455</v>
      </c>
    </row>
    <row r="102" spans="1:8">
      <c r="A102" s="123"/>
      <c r="B102" s="117" t="s">
        <v>147</v>
      </c>
      <c r="C102" s="148">
        <v>2028554.5099999998</v>
      </c>
      <c r="D102" s="148">
        <v>40000</v>
      </c>
      <c r="E102" s="148"/>
      <c r="F102" s="148">
        <f t="shared" si="12"/>
        <v>2068554.5099999998</v>
      </c>
      <c r="G102" s="143">
        <v>20</v>
      </c>
      <c r="H102" s="148">
        <f t="shared" si="13"/>
        <v>102427.72549999999</v>
      </c>
    </row>
    <row r="103" spans="1:8">
      <c r="A103" s="123"/>
      <c r="B103" s="117" t="s">
        <v>148</v>
      </c>
      <c r="C103" s="148">
        <v>19296.990000000002</v>
      </c>
      <c r="D103" s="148">
        <v>0</v>
      </c>
      <c r="E103" s="148"/>
      <c r="F103" s="148">
        <f t="shared" si="12"/>
        <v>19296.990000000002</v>
      </c>
      <c r="G103" s="143">
        <v>40</v>
      </c>
      <c r="H103" s="148">
        <f t="shared" si="13"/>
        <v>482.42475000000002</v>
      </c>
    </row>
    <row r="104" spans="1:8">
      <c r="A104" s="123"/>
      <c r="B104" s="117" t="s">
        <v>149</v>
      </c>
      <c r="C104" s="148">
        <v>149953.85999999999</v>
      </c>
      <c r="D104" s="148">
        <v>25000</v>
      </c>
      <c r="E104" s="148"/>
      <c r="F104" s="148">
        <f t="shared" si="12"/>
        <v>174953.86</v>
      </c>
      <c r="G104" s="143">
        <v>30</v>
      </c>
      <c r="H104" s="148">
        <f t="shared" si="13"/>
        <v>5415.1286666666665</v>
      </c>
    </row>
    <row r="105" spans="1:8">
      <c r="A105" s="123"/>
      <c r="B105" s="117" t="s">
        <v>150</v>
      </c>
      <c r="C105" s="148">
        <v>2351678.3200000003</v>
      </c>
      <c r="D105" s="148">
        <v>360000</v>
      </c>
      <c r="E105" s="148"/>
      <c r="F105" s="148">
        <f t="shared" si="12"/>
        <v>2711678.3200000003</v>
      </c>
      <c r="G105" s="143">
        <v>7</v>
      </c>
      <c r="H105" s="148">
        <f t="shared" si="13"/>
        <v>361668.33142857149</v>
      </c>
    </row>
    <row r="106" spans="1:8">
      <c r="A106" s="123"/>
      <c r="B106" s="117" t="s">
        <v>151</v>
      </c>
      <c r="C106" s="148">
        <v>0</v>
      </c>
      <c r="D106" s="148">
        <v>0</v>
      </c>
      <c r="E106" s="148"/>
      <c r="F106" s="148">
        <f t="shared" si="12"/>
        <v>0</v>
      </c>
      <c r="G106" s="143">
        <v>5</v>
      </c>
      <c r="H106" s="148">
        <f t="shared" si="13"/>
        <v>0</v>
      </c>
    </row>
    <row r="107" spans="1:8">
      <c r="A107" s="123"/>
      <c r="B107" s="117" t="s">
        <v>152</v>
      </c>
      <c r="C107" s="148">
        <v>3707198.109999998</v>
      </c>
      <c r="D107" s="148">
        <v>678726.21</v>
      </c>
      <c r="E107" s="148"/>
      <c r="F107" s="148">
        <f t="shared" si="12"/>
        <v>4385924.3199999984</v>
      </c>
      <c r="G107" s="143">
        <v>20</v>
      </c>
      <c r="H107" s="148">
        <f t="shared" si="13"/>
        <v>202328.06074999992</v>
      </c>
    </row>
    <row r="108" spans="1:8">
      <c r="A108" s="123"/>
      <c r="B108" s="117" t="s">
        <v>136</v>
      </c>
      <c r="C108" s="148">
        <v>0</v>
      </c>
      <c r="D108" s="148">
        <v>0</v>
      </c>
      <c r="E108" s="148"/>
      <c r="F108" s="148">
        <f t="shared" si="12"/>
        <v>0</v>
      </c>
      <c r="G108" s="143">
        <v>15</v>
      </c>
      <c r="H108" s="148">
        <f t="shared" si="13"/>
        <v>0</v>
      </c>
    </row>
    <row r="109" spans="1:8">
      <c r="A109" s="123"/>
      <c r="B109" s="117" t="s">
        <v>153</v>
      </c>
      <c r="C109" s="148">
        <v>5793772.7699999977</v>
      </c>
      <c r="D109" s="148">
        <v>0</v>
      </c>
      <c r="E109" s="148"/>
      <c r="F109" s="148">
        <f t="shared" si="12"/>
        <v>5793772.7699999977</v>
      </c>
      <c r="G109" s="143">
        <v>20</v>
      </c>
      <c r="H109" s="148">
        <f t="shared" si="13"/>
        <v>289688.63849999988</v>
      </c>
    </row>
    <row r="110" spans="1:8">
      <c r="A110" s="123"/>
      <c r="B110" s="117" t="s">
        <v>154</v>
      </c>
      <c r="C110" s="148">
        <v>59031.369999999995</v>
      </c>
      <c r="D110" s="148">
        <v>0</v>
      </c>
      <c r="E110" s="148"/>
      <c r="F110" s="148">
        <f t="shared" si="12"/>
        <v>59031.369999999995</v>
      </c>
      <c r="G110" s="143">
        <v>40</v>
      </c>
      <c r="H110" s="148">
        <f t="shared" si="13"/>
        <v>1475.7842499999999</v>
      </c>
    </row>
    <row r="111" spans="1:8">
      <c r="A111" s="123"/>
      <c r="B111" s="117" t="s">
        <v>155</v>
      </c>
      <c r="C111" s="148">
        <v>2152408.6399999997</v>
      </c>
      <c r="D111" s="148">
        <v>0</v>
      </c>
      <c r="E111" s="148"/>
      <c r="F111" s="148">
        <f t="shared" si="12"/>
        <v>2152408.6399999997</v>
      </c>
      <c r="G111" s="143">
        <v>40</v>
      </c>
      <c r="H111" s="148">
        <f t="shared" si="13"/>
        <v>53810.215999999993</v>
      </c>
    </row>
    <row r="112" spans="1:8">
      <c r="A112" s="123"/>
      <c r="B112" s="117" t="s">
        <v>313</v>
      </c>
      <c r="C112" s="149"/>
      <c r="D112" s="149"/>
      <c r="E112" s="149"/>
      <c r="F112" s="149"/>
      <c r="G112" s="144"/>
      <c r="H112" s="149">
        <v>-67343.759999999995</v>
      </c>
    </row>
    <row r="113" spans="1:8" s="121" customFormat="1" ht="18" customHeight="1">
      <c r="A113" s="112" t="s">
        <v>156</v>
      </c>
      <c r="B113" s="112"/>
      <c r="C113" s="150">
        <f>SUBTOTAL(9,C99:C112)</f>
        <v>33693208.219999999</v>
      </c>
      <c r="D113" s="150">
        <f>SUBTOTAL(9,D99:D112)</f>
        <v>2291722.8499999996</v>
      </c>
      <c r="E113" s="150">
        <f>SUBTOTAL(9,E99:E112)</f>
        <v>0</v>
      </c>
      <c r="F113" s="150">
        <f>SUBTOTAL(9,F99:F112)</f>
        <v>35984931.069999993</v>
      </c>
      <c r="G113" s="120"/>
      <c r="H113" s="150">
        <f>SUBTOTAL(9,H99:H112)</f>
        <v>1288490.5384997835</v>
      </c>
    </row>
    <row r="114" spans="1:8">
      <c r="C114" s="152"/>
      <c r="D114" s="152"/>
      <c r="E114" s="152"/>
      <c r="F114" s="152"/>
      <c r="G114" s="126"/>
      <c r="H114" s="152"/>
    </row>
    <row r="115" spans="1:8">
      <c r="A115" s="112" t="s">
        <v>157</v>
      </c>
      <c r="C115" s="151"/>
      <c r="D115" s="151"/>
      <c r="E115" s="151"/>
      <c r="F115" s="151"/>
      <c r="G115" s="122"/>
      <c r="H115" s="151"/>
    </row>
    <row r="116" spans="1:8">
      <c r="A116" s="123"/>
      <c r="B116" s="117" t="s">
        <v>158</v>
      </c>
      <c r="C116" s="148">
        <v>408414.00999999995</v>
      </c>
      <c r="D116" s="148">
        <v>50000</v>
      </c>
      <c r="E116" s="148"/>
      <c r="F116" s="148">
        <f t="shared" ref="F116:F122" si="14">C116+D116-E116</f>
        <v>458414.00999999995</v>
      </c>
      <c r="G116" s="143">
        <v>8</v>
      </c>
      <c r="H116" s="148">
        <f t="shared" ref="H116:H122" si="15">IFERROR(C116/G116+D116/G116/2,0)</f>
        <v>54176.751249999994</v>
      </c>
    </row>
    <row r="117" spans="1:8">
      <c r="A117" s="123"/>
      <c r="B117" s="117" t="s">
        <v>159</v>
      </c>
      <c r="C117" s="148">
        <v>211681.52</v>
      </c>
      <c r="D117" s="148">
        <v>0</v>
      </c>
      <c r="E117" s="148"/>
      <c r="F117" s="148">
        <f t="shared" si="14"/>
        <v>211681.52</v>
      </c>
      <c r="G117" s="143">
        <v>11</v>
      </c>
      <c r="H117" s="148">
        <f t="shared" si="15"/>
        <v>19243.774545454544</v>
      </c>
    </row>
    <row r="118" spans="1:8">
      <c r="A118" s="123"/>
      <c r="B118" s="117" t="s">
        <v>299</v>
      </c>
      <c r="C118" s="148">
        <v>71771.58</v>
      </c>
      <c r="D118" s="148">
        <v>0</v>
      </c>
      <c r="E118" s="148"/>
      <c r="F118" s="148">
        <f t="shared" si="14"/>
        <v>71771.58</v>
      </c>
      <c r="G118" s="143">
        <v>25</v>
      </c>
      <c r="H118" s="148">
        <f t="shared" si="15"/>
        <v>2870.8632000000002</v>
      </c>
    </row>
    <row r="119" spans="1:8">
      <c r="A119" s="123"/>
      <c r="B119" s="117" t="s">
        <v>160</v>
      </c>
      <c r="C119" s="148">
        <v>53710.58</v>
      </c>
      <c r="D119" s="148">
        <v>0</v>
      </c>
      <c r="E119" s="148"/>
      <c r="F119" s="148">
        <f t="shared" si="14"/>
        <v>53710.58</v>
      </c>
      <c r="G119" s="143">
        <v>25</v>
      </c>
      <c r="H119" s="148">
        <f t="shared" si="15"/>
        <v>2148.4232000000002</v>
      </c>
    </row>
    <row r="120" spans="1:8">
      <c r="A120" s="123"/>
      <c r="B120" s="117" t="s">
        <v>161</v>
      </c>
      <c r="C120" s="148">
        <v>4758154.22</v>
      </c>
      <c r="D120" s="148">
        <v>675000</v>
      </c>
      <c r="E120" s="148"/>
      <c r="F120" s="148">
        <f t="shared" si="14"/>
        <v>5433154.2199999997</v>
      </c>
      <c r="G120" s="143">
        <v>9</v>
      </c>
      <c r="H120" s="148">
        <f t="shared" si="15"/>
        <v>566183.80222222221</v>
      </c>
    </row>
    <row r="121" spans="1:8">
      <c r="A121" s="123"/>
      <c r="B121" s="117" t="s">
        <v>162</v>
      </c>
      <c r="C121" s="148">
        <v>2666730.69</v>
      </c>
      <c r="D121" s="148">
        <v>0</v>
      </c>
      <c r="E121" s="148"/>
      <c r="F121" s="148">
        <f t="shared" si="14"/>
        <v>2666730.69</v>
      </c>
      <c r="G121" s="143">
        <v>20</v>
      </c>
      <c r="H121" s="148">
        <f t="shared" si="15"/>
        <v>133336.53450000001</v>
      </c>
    </row>
    <row r="122" spans="1:8">
      <c r="A122" s="123"/>
      <c r="B122" s="117" t="s">
        <v>300</v>
      </c>
      <c r="C122" s="148">
        <v>1003858.15</v>
      </c>
      <c r="D122" s="148">
        <v>0</v>
      </c>
      <c r="E122" s="148"/>
      <c r="F122" s="148">
        <f t="shared" si="14"/>
        <v>1003858.15</v>
      </c>
      <c r="G122" s="145">
        <v>20</v>
      </c>
      <c r="H122" s="148">
        <f t="shared" si="15"/>
        <v>50192.907500000001</v>
      </c>
    </row>
    <row r="123" spans="1:8">
      <c r="A123" s="123"/>
      <c r="B123" s="117" t="s">
        <v>313</v>
      </c>
      <c r="C123" s="149"/>
      <c r="D123" s="149"/>
      <c r="E123" s="149"/>
      <c r="F123" s="149"/>
      <c r="G123" s="146"/>
      <c r="H123" s="149">
        <v>19267.32</v>
      </c>
    </row>
    <row r="124" spans="1:8" s="121" customFormat="1" ht="18" customHeight="1">
      <c r="A124" s="112" t="s">
        <v>163</v>
      </c>
      <c r="B124" s="112"/>
      <c r="C124" s="150">
        <f>SUBTOTAL(9,C116:C123)</f>
        <v>9174320.75</v>
      </c>
      <c r="D124" s="150">
        <f>SUBTOTAL(9,D116:D123)</f>
        <v>725000</v>
      </c>
      <c r="E124" s="150">
        <f>SUBTOTAL(9,E116:E123)</f>
        <v>0</v>
      </c>
      <c r="F124" s="150">
        <f>SUBTOTAL(9,F116:F123)</f>
        <v>9899320.75</v>
      </c>
      <c r="G124" s="119"/>
      <c r="H124" s="150">
        <f>SUBTOTAL(9,H116:H123)</f>
        <v>847420.3764176768</v>
      </c>
    </row>
    <row r="125" spans="1:8">
      <c r="C125" s="152"/>
      <c r="D125" s="152"/>
      <c r="E125" s="152"/>
      <c r="F125" s="152"/>
      <c r="H125" s="152"/>
    </row>
    <row r="126" spans="1:8">
      <c r="A126" s="112" t="s">
        <v>301</v>
      </c>
      <c r="C126" s="151"/>
      <c r="D126" s="151"/>
      <c r="E126" s="151"/>
      <c r="F126" s="151"/>
      <c r="G126" s="122"/>
      <c r="H126" s="151"/>
    </row>
    <row r="127" spans="1:8">
      <c r="A127" s="123"/>
      <c r="B127" s="117" t="s">
        <v>301</v>
      </c>
      <c r="C127" s="149">
        <v>1165687.07</v>
      </c>
      <c r="D127" s="149">
        <v>0</v>
      </c>
      <c r="E127" s="149"/>
      <c r="F127" s="149">
        <f>C127+D127-E127</f>
        <v>1165687.07</v>
      </c>
      <c r="G127" s="144">
        <v>0</v>
      </c>
      <c r="H127" s="149">
        <v>0</v>
      </c>
    </row>
    <row r="128" spans="1:8" s="121" customFormat="1" ht="18.75" customHeight="1">
      <c r="A128" s="112" t="s">
        <v>302</v>
      </c>
      <c r="B128" s="112"/>
      <c r="C128" s="150">
        <f>SUBTOTAL(9,C127)</f>
        <v>1165687.07</v>
      </c>
      <c r="D128" s="150">
        <f>SUBTOTAL(9,D127)</f>
        <v>0</v>
      </c>
      <c r="E128" s="150">
        <f>SUBTOTAL(9,E127)</f>
        <v>0</v>
      </c>
      <c r="F128" s="150">
        <f>SUBTOTAL(9,F127)</f>
        <v>1165687.07</v>
      </c>
      <c r="G128" s="120"/>
      <c r="H128" s="150">
        <f>SUBTOTAL(9,H127)</f>
        <v>0</v>
      </c>
    </row>
    <row r="129" spans="1:8" s="121" customFormat="1" ht="18.75" customHeight="1">
      <c r="A129" s="112"/>
      <c r="B129" s="112"/>
      <c r="C129" s="150"/>
      <c r="D129" s="150"/>
      <c r="E129" s="150"/>
      <c r="F129" s="150"/>
      <c r="G129" s="120"/>
      <c r="H129" s="150"/>
    </row>
    <row r="130" spans="1:8">
      <c r="A130" s="112" t="s">
        <v>303</v>
      </c>
      <c r="C130" s="151"/>
      <c r="D130" s="151"/>
      <c r="E130" s="151"/>
      <c r="F130" s="151"/>
      <c r="G130" s="122"/>
      <c r="H130" s="151"/>
    </row>
    <row r="131" spans="1:8">
      <c r="A131" s="123"/>
      <c r="B131" s="117" t="s">
        <v>103</v>
      </c>
      <c r="C131" s="148">
        <v>6184735</v>
      </c>
      <c r="D131" s="148">
        <v>0</v>
      </c>
      <c r="E131" s="148"/>
      <c r="F131" s="148">
        <f t="shared" ref="F131:F137" si="16">C131+D131-E131</f>
        <v>6184735</v>
      </c>
      <c r="G131" s="143">
        <v>72</v>
      </c>
      <c r="H131" s="148">
        <f t="shared" ref="H131:H137" si="17">IFERROR(C131/G131+D131/G131/2,0)</f>
        <v>85899.097222222219</v>
      </c>
    </row>
    <row r="132" spans="1:8">
      <c r="A132" s="123"/>
      <c r="B132" s="117" t="s">
        <v>304</v>
      </c>
      <c r="C132" s="148">
        <v>13200669.02</v>
      </c>
      <c r="D132" s="148">
        <v>0</v>
      </c>
      <c r="E132" s="148"/>
      <c r="F132" s="148">
        <f t="shared" si="16"/>
        <v>13200669.02</v>
      </c>
      <c r="G132" s="143">
        <v>60</v>
      </c>
      <c r="H132" s="148">
        <f t="shared" si="17"/>
        <v>220011.15033333332</v>
      </c>
    </row>
    <row r="133" spans="1:8">
      <c r="A133" s="123"/>
      <c r="B133" s="117" t="s">
        <v>305</v>
      </c>
      <c r="C133" s="148">
        <v>20890968.260000002</v>
      </c>
      <c r="D133" s="148">
        <v>0</v>
      </c>
      <c r="E133" s="148"/>
      <c r="F133" s="148">
        <f t="shared" si="16"/>
        <v>20890968.260000002</v>
      </c>
      <c r="G133" s="143">
        <v>40</v>
      </c>
      <c r="H133" s="148">
        <f t="shared" si="17"/>
        <v>522274.20650000003</v>
      </c>
    </row>
    <row r="134" spans="1:8">
      <c r="A134" s="123"/>
      <c r="B134" s="117" t="s">
        <v>293</v>
      </c>
      <c r="C134" s="148">
        <v>1692147.0399999998</v>
      </c>
      <c r="D134" s="148">
        <v>2080235.3</v>
      </c>
      <c r="E134" s="148"/>
      <c r="F134" s="148">
        <f t="shared" si="16"/>
        <v>3772382.34</v>
      </c>
      <c r="G134" s="143">
        <v>2</v>
      </c>
      <c r="H134" s="148">
        <f t="shared" si="17"/>
        <v>1366132.345</v>
      </c>
    </row>
    <row r="135" spans="1:8">
      <c r="A135" s="123"/>
      <c r="B135" s="117" t="s">
        <v>106</v>
      </c>
      <c r="C135" s="148">
        <v>3655939.21</v>
      </c>
      <c r="D135" s="148">
        <v>0</v>
      </c>
      <c r="E135" s="148"/>
      <c r="F135" s="148">
        <f t="shared" si="16"/>
        <v>3655939.21</v>
      </c>
      <c r="G135" s="143">
        <v>45</v>
      </c>
      <c r="H135" s="148">
        <f t="shared" si="17"/>
        <v>81243.093555555548</v>
      </c>
    </row>
    <row r="136" spans="1:8">
      <c r="A136" s="123"/>
      <c r="B136" s="117" t="s">
        <v>107</v>
      </c>
      <c r="C136" s="148">
        <v>2890672.94</v>
      </c>
      <c r="D136" s="148">
        <v>53348.34</v>
      </c>
      <c r="E136" s="148"/>
      <c r="F136" s="148">
        <f t="shared" si="16"/>
        <v>2944021.28</v>
      </c>
      <c r="G136" s="143">
        <v>30</v>
      </c>
      <c r="H136" s="148">
        <f t="shared" si="17"/>
        <v>97244.903666666665</v>
      </c>
    </row>
    <row r="137" spans="1:8">
      <c r="A137" s="123"/>
      <c r="B137" s="113" t="s">
        <v>306</v>
      </c>
      <c r="C137" s="148">
        <v>779651</v>
      </c>
      <c r="D137" s="148">
        <v>0</v>
      </c>
      <c r="E137" s="148"/>
      <c r="F137" s="148">
        <f t="shared" si="16"/>
        <v>779651</v>
      </c>
      <c r="G137" s="143">
        <v>30</v>
      </c>
      <c r="H137" s="148">
        <f t="shared" si="17"/>
        <v>25988.366666666665</v>
      </c>
    </row>
    <row r="138" spans="1:8">
      <c r="A138" s="123"/>
      <c r="B138" s="117" t="s">
        <v>313</v>
      </c>
      <c r="C138" s="149"/>
      <c r="D138" s="149"/>
      <c r="E138" s="149"/>
      <c r="F138" s="149"/>
      <c r="G138" s="144"/>
      <c r="H138" s="149">
        <v>-13981.32</v>
      </c>
    </row>
    <row r="139" spans="1:8" s="121" customFormat="1" ht="18" customHeight="1">
      <c r="A139" s="112" t="s">
        <v>307</v>
      </c>
      <c r="B139" s="112"/>
      <c r="C139" s="150">
        <f>SUBTOTAL(9,C131:C138)</f>
        <v>49294782.469999999</v>
      </c>
      <c r="D139" s="150">
        <f>SUBTOTAL(9,D131:D138)</f>
        <v>2133583.64</v>
      </c>
      <c r="E139" s="150">
        <f>SUBTOTAL(9,E131:E138)</f>
        <v>0</v>
      </c>
      <c r="F139" s="150">
        <f>SUBTOTAL(9,F131:F138)</f>
        <v>51428366.110000007</v>
      </c>
      <c r="G139" s="127"/>
      <c r="H139" s="150">
        <f>SUBTOTAL(9,H131:H138)</f>
        <v>2384811.8429444451</v>
      </c>
    </row>
    <row r="140" spans="1:8">
      <c r="C140" s="152"/>
      <c r="D140" s="152"/>
      <c r="E140" s="152"/>
      <c r="F140" s="152"/>
      <c r="H140" s="152"/>
    </row>
    <row r="141" spans="1:8">
      <c r="A141" s="121" t="s">
        <v>458</v>
      </c>
      <c r="C141" s="152"/>
      <c r="D141" s="152"/>
      <c r="E141" s="152"/>
      <c r="F141" s="152"/>
      <c r="H141" s="152"/>
    </row>
    <row r="142" spans="1:8">
      <c r="B142" s="113" t="s">
        <v>458</v>
      </c>
      <c r="C142" s="149">
        <v>0</v>
      </c>
      <c r="D142" s="149">
        <v>0</v>
      </c>
      <c r="E142" s="149"/>
      <c r="F142" s="149">
        <f>C142+D142</f>
        <v>0</v>
      </c>
      <c r="G142" s="144"/>
      <c r="H142" s="149">
        <f>IFERROR(C142/G142+D142/G142/2,0)</f>
        <v>0</v>
      </c>
    </row>
    <row r="143" spans="1:8">
      <c r="A143" s="121" t="s">
        <v>459</v>
      </c>
      <c r="C143" s="150">
        <f>SUBTOTAL(9,C142)</f>
        <v>0</v>
      </c>
      <c r="D143" s="150">
        <f>SUBTOTAL(9,D142)</f>
        <v>0</v>
      </c>
      <c r="E143" s="150">
        <f>SUBTOTAL(9,E142)</f>
        <v>0</v>
      </c>
      <c r="F143" s="150">
        <f>SUBTOTAL(9,F142)</f>
        <v>0</v>
      </c>
      <c r="G143" s="156"/>
      <c r="H143" s="150">
        <f>SUBTOTAL(9,H142)</f>
        <v>0</v>
      </c>
    </row>
    <row r="144" spans="1:8">
      <c r="C144" s="152"/>
      <c r="D144" s="152"/>
      <c r="E144" s="152"/>
      <c r="F144" s="152"/>
      <c r="H144" s="152"/>
    </row>
    <row r="145" spans="1:8">
      <c r="C145" s="152"/>
      <c r="D145" s="152"/>
      <c r="E145" s="152"/>
      <c r="F145" s="152"/>
      <c r="H145" s="152"/>
    </row>
    <row r="146" spans="1:8">
      <c r="A146" s="121" t="s">
        <v>356</v>
      </c>
      <c r="C146" s="152"/>
      <c r="D146" s="152"/>
      <c r="E146" s="152"/>
      <c r="F146" s="152"/>
      <c r="H146" s="152"/>
    </row>
    <row r="147" spans="1:8">
      <c r="B147" s="113" t="s">
        <v>356</v>
      </c>
      <c r="C147" s="149">
        <v>1930990.1099999999</v>
      </c>
      <c r="D147" s="149">
        <v>0</v>
      </c>
      <c r="E147" s="149"/>
      <c r="F147" s="149">
        <f>C147+D147</f>
        <v>1930990.1099999999</v>
      </c>
      <c r="G147" s="144"/>
      <c r="H147" s="149">
        <v>225597.91</v>
      </c>
    </row>
    <row r="148" spans="1:8">
      <c r="A148" s="121" t="s">
        <v>357</v>
      </c>
      <c r="C148" s="150">
        <f>SUBTOTAL(9,C147)</f>
        <v>1930990.1099999999</v>
      </c>
      <c r="D148" s="150">
        <f>SUBTOTAL(9,D147)</f>
        <v>0</v>
      </c>
      <c r="E148" s="150">
        <f>SUBTOTAL(9,E147)</f>
        <v>0</v>
      </c>
      <c r="F148" s="150">
        <f>SUBTOTAL(9,F147)</f>
        <v>1930990.1099999999</v>
      </c>
      <c r="G148" s="156"/>
      <c r="H148" s="150">
        <f>SUBTOTAL(9,H147)</f>
        <v>225597.91</v>
      </c>
    </row>
    <row r="149" spans="1:8">
      <c r="C149" s="152"/>
      <c r="D149" s="152"/>
      <c r="E149" s="152"/>
      <c r="F149" s="152"/>
      <c r="H149" s="152"/>
    </row>
    <row r="150" spans="1:8" s="121" customFormat="1" ht="18" customHeight="1">
      <c r="A150" s="112" t="s">
        <v>28</v>
      </c>
      <c r="B150" s="112"/>
      <c r="C150" s="150">
        <f>SUBTOTAL(9,C9:C148)</f>
        <v>745769591.8299998</v>
      </c>
      <c r="D150" s="150">
        <f>SUBTOTAL(9,D9:D148)</f>
        <v>93541075.179999992</v>
      </c>
      <c r="E150" s="150">
        <f>SUBTOTAL(9,E9:E148)</f>
        <v>992962.92200000002</v>
      </c>
      <c r="F150" s="150">
        <f>SUBTOTAL(9,F9:F148)</f>
        <v>838317704.0879997</v>
      </c>
      <c r="G150" s="127"/>
      <c r="H150" s="150">
        <f>SUBTOTAL(9,H9:H148)</f>
        <v>20557808.953740031</v>
      </c>
    </row>
    <row r="151" spans="1:8">
      <c r="C151" s="125"/>
      <c r="D151" s="125"/>
      <c r="E151" s="125"/>
      <c r="F151" s="125"/>
      <c r="H151" s="125"/>
    </row>
  </sheetData>
  <printOptions horizontalCentered="1"/>
  <pageMargins left="0.55118110236220474" right="0.31496062992125984" top="0.82677165354330717" bottom="0.9055118110236221" header="0.51181102362204722" footer="0.51181102362204722"/>
  <pageSetup scale="59" fitToHeight="2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B34E-96A4-4293-B4F8-731641B7EBA1}">
  <sheetPr>
    <tabColor theme="9" tint="0.39997558519241921"/>
    <pageSetUpPr fitToPage="1"/>
  </sheetPr>
  <dimension ref="A1:V151"/>
  <sheetViews>
    <sheetView view="pageBreakPreview" zoomScale="85" zoomScaleNormal="100" zoomScaleSheetLayoutView="85" workbookViewId="0">
      <pane ySplit="6" topLeftCell="A145" activePane="bottomLeft" state="frozen"/>
      <selection activeCell="I1" sqref="I1"/>
      <selection pane="bottomLeft" activeCell="A149" sqref="A149"/>
    </sheetView>
  </sheetViews>
  <sheetFormatPr defaultColWidth="9.1796875" defaultRowHeight="12.5"/>
  <cols>
    <col min="1" max="1" width="5.7265625" style="113" customWidth="1"/>
    <col min="2" max="2" width="31.1796875" style="113" customWidth="1"/>
    <col min="3" max="4" width="14.54296875" style="114" customWidth="1"/>
    <col min="5" max="5" width="12.54296875" style="114" bestFit="1" customWidth="1"/>
    <col min="6" max="6" width="14.54296875" style="114" customWidth="1"/>
    <col min="7" max="7" width="15.26953125" style="115" customWidth="1"/>
    <col min="8" max="8" width="17" style="114" customWidth="1"/>
    <col min="23" max="16384" width="9.1796875" style="113"/>
  </cols>
  <sheetData>
    <row r="1" spans="1:8" s="133" customFormat="1" ht="15.75" customHeight="1">
      <c r="A1" s="137" t="s">
        <v>0</v>
      </c>
      <c r="B1" s="134"/>
      <c r="C1" s="134"/>
      <c r="D1" s="134"/>
      <c r="E1" s="138"/>
      <c r="F1" s="134"/>
      <c r="H1" s="196" t="s">
        <v>460</v>
      </c>
    </row>
    <row r="2" spans="1:8" s="133" customFormat="1" ht="15.75" customHeight="1">
      <c r="A2" s="139" t="s">
        <v>461</v>
      </c>
      <c r="B2" s="134"/>
      <c r="C2" s="134"/>
      <c r="D2" s="134"/>
      <c r="E2" s="138"/>
      <c r="F2" s="134"/>
      <c r="H2" s="195" t="str">
        <f>'Schedule 1'!$M$2</f>
        <v>2025-27 GRA CF</v>
      </c>
    </row>
    <row r="3" spans="1:8" s="133" customFormat="1" ht="15.75" customHeight="1">
      <c r="A3" s="153" t="s">
        <v>332</v>
      </c>
      <c r="B3" s="134"/>
      <c r="C3" s="134"/>
      <c r="D3" s="134"/>
      <c r="E3" s="138"/>
      <c r="F3" s="134"/>
      <c r="G3" s="134"/>
      <c r="H3" s="134"/>
    </row>
    <row r="4" spans="1:8" s="133" customFormat="1" ht="15.75" customHeight="1">
      <c r="A4" s="135"/>
      <c r="B4" s="135"/>
      <c r="C4" s="135"/>
      <c r="D4" s="135"/>
      <c r="E4" s="135"/>
      <c r="F4" s="135"/>
      <c r="G4" s="135"/>
      <c r="H4" s="135"/>
    </row>
    <row r="5" spans="1:8" s="133" customFormat="1" ht="13" thickBot="1">
      <c r="A5" s="140"/>
      <c r="B5" s="140"/>
      <c r="C5" s="136"/>
      <c r="D5" s="136"/>
      <c r="E5" s="136"/>
      <c r="F5" s="136"/>
      <c r="G5" s="141"/>
      <c r="H5" s="136"/>
    </row>
    <row r="6" spans="1:8" s="142" customFormat="1" ht="50.5" thickBot="1">
      <c r="A6" s="140"/>
      <c r="B6" s="190" t="s">
        <v>9</v>
      </c>
      <c r="C6" s="191" t="s">
        <v>447</v>
      </c>
      <c r="D6" s="191" t="s">
        <v>462</v>
      </c>
      <c r="E6" s="192" t="s">
        <v>463</v>
      </c>
      <c r="F6" s="191" t="s">
        <v>464</v>
      </c>
      <c r="G6" s="193" t="s">
        <v>422</v>
      </c>
      <c r="H6" s="191" t="s">
        <v>465</v>
      </c>
    </row>
    <row r="7" spans="1:8" s="142" customFormat="1">
      <c r="A7" s="140"/>
      <c r="B7" s="200" t="s">
        <v>448</v>
      </c>
      <c r="C7" s="201" t="s">
        <v>449</v>
      </c>
      <c r="D7" s="201" t="s">
        <v>450</v>
      </c>
      <c r="E7" s="202" t="s">
        <v>451</v>
      </c>
      <c r="F7" s="201" t="s">
        <v>452</v>
      </c>
      <c r="G7" s="203" t="s">
        <v>453</v>
      </c>
      <c r="H7" s="201" t="s">
        <v>455</v>
      </c>
    </row>
    <row r="8" spans="1:8">
      <c r="A8" s="112" t="s">
        <v>95</v>
      </c>
    </row>
    <row r="9" spans="1:8">
      <c r="A9" s="116"/>
      <c r="B9" s="117" t="s">
        <v>96</v>
      </c>
      <c r="C9" s="148">
        <f>'Schedule 3A - 2025'!F9</f>
        <v>444911.51999999996</v>
      </c>
      <c r="D9" s="148">
        <v>0</v>
      </c>
      <c r="E9" s="148"/>
      <c r="F9" s="148">
        <f t="shared" ref="F9:F14" si="0">C9+D9-E9</f>
        <v>444911.51999999996</v>
      </c>
      <c r="G9" s="143">
        <v>0</v>
      </c>
      <c r="H9" s="148">
        <f t="shared" ref="H9:H14" si="1">IFERROR(C9/G9+D9/G9/2,0)</f>
        <v>0</v>
      </c>
    </row>
    <row r="10" spans="1:8">
      <c r="A10" s="116"/>
      <c r="B10" s="117" t="s">
        <v>97</v>
      </c>
      <c r="C10" s="148">
        <f>'Schedule 3A - 2025'!F10</f>
        <v>27680.47</v>
      </c>
      <c r="D10" s="148">
        <v>0</v>
      </c>
      <c r="E10" s="148"/>
      <c r="F10" s="148">
        <f t="shared" si="0"/>
        <v>27680.47</v>
      </c>
      <c r="G10" s="143">
        <v>0</v>
      </c>
      <c r="H10" s="148">
        <f t="shared" si="1"/>
        <v>0</v>
      </c>
    </row>
    <row r="11" spans="1:8">
      <c r="A11" s="116"/>
      <c r="B11" s="117" t="s">
        <v>98</v>
      </c>
      <c r="C11" s="148">
        <f>'Schedule 3A - 2025'!F11</f>
        <v>576862.49</v>
      </c>
      <c r="D11" s="148">
        <v>0</v>
      </c>
      <c r="E11" s="148"/>
      <c r="F11" s="148">
        <f t="shared" si="0"/>
        <v>576862.49</v>
      </c>
      <c r="G11" s="143">
        <v>0</v>
      </c>
      <c r="H11" s="148">
        <f t="shared" si="1"/>
        <v>0</v>
      </c>
    </row>
    <row r="12" spans="1:8">
      <c r="A12" s="116"/>
      <c r="B12" s="117" t="s">
        <v>132</v>
      </c>
      <c r="C12" s="148">
        <f>'Schedule 3A - 2025'!F12</f>
        <v>17775.009999999998</v>
      </c>
      <c r="D12" s="148">
        <v>0</v>
      </c>
      <c r="E12" s="148"/>
      <c r="F12" s="148">
        <f t="shared" si="0"/>
        <v>17775.009999999998</v>
      </c>
      <c r="G12" s="143">
        <v>0</v>
      </c>
      <c r="H12" s="148">
        <f t="shared" si="1"/>
        <v>0</v>
      </c>
    </row>
    <row r="13" spans="1:8">
      <c r="A13" s="116"/>
      <c r="B13" s="117" t="s">
        <v>99</v>
      </c>
      <c r="C13" s="148">
        <f>'Schedule 3A - 2025'!F13</f>
        <v>547992.46000000008</v>
      </c>
      <c r="D13" s="148">
        <v>0</v>
      </c>
      <c r="E13" s="148"/>
      <c r="F13" s="148">
        <f t="shared" si="0"/>
        <v>547992.46000000008</v>
      </c>
      <c r="G13" s="143">
        <v>0</v>
      </c>
      <c r="H13" s="148">
        <f t="shared" si="1"/>
        <v>0</v>
      </c>
    </row>
    <row r="14" spans="1:8">
      <c r="A14" s="116"/>
      <c r="B14" s="117" t="s">
        <v>100</v>
      </c>
      <c r="C14" s="148">
        <f>'Schedule 3A - 2025'!F14</f>
        <v>76866.888000000006</v>
      </c>
      <c r="D14" s="148">
        <v>0</v>
      </c>
      <c r="E14" s="148">
        <f>H14</f>
        <v>1537.3377600000001</v>
      </c>
      <c r="F14" s="148">
        <f t="shared" si="0"/>
        <v>75329.550240000011</v>
      </c>
      <c r="G14" s="143">
        <v>50</v>
      </c>
      <c r="H14" s="148">
        <f t="shared" si="1"/>
        <v>1537.3377600000001</v>
      </c>
    </row>
    <row r="15" spans="1:8">
      <c r="A15" s="116"/>
      <c r="B15" s="117" t="s">
        <v>313</v>
      </c>
      <c r="C15" s="149"/>
      <c r="D15" s="149"/>
      <c r="E15" s="149"/>
      <c r="F15" s="149"/>
      <c r="G15" s="118"/>
      <c r="H15" s="149">
        <v>-12.96</v>
      </c>
    </row>
    <row r="16" spans="1:8" s="121" customFormat="1" ht="18.75" customHeight="1">
      <c r="A16" s="112" t="s">
        <v>101</v>
      </c>
      <c r="B16" s="112"/>
      <c r="C16" s="150">
        <f>SUBTOTAL(9,C9:C15)</f>
        <v>1692088.8380000002</v>
      </c>
      <c r="D16" s="150">
        <f>SUBTOTAL(9,D9:D15)</f>
        <v>0</v>
      </c>
      <c r="E16" s="150">
        <f>SUBTOTAL(9,E9:E15)</f>
        <v>1537.3377600000001</v>
      </c>
      <c r="F16" s="150">
        <f>SUBTOTAL(9,F9:F15)</f>
        <v>1690551.5002400002</v>
      </c>
      <c r="G16" s="120"/>
      <c r="H16" s="150">
        <f>SUBTOTAL(9,H9:H15)</f>
        <v>1524.3777600000001</v>
      </c>
    </row>
    <row r="17" spans="1:8">
      <c r="C17" s="151"/>
      <c r="D17" s="151"/>
      <c r="E17" s="151"/>
      <c r="F17" s="151"/>
      <c r="G17" s="122"/>
      <c r="H17" s="151"/>
    </row>
    <row r="18" spans="1:8">
      <c r="A18" s="112" t="s">
        <v>102</v>
      </c>
      <c r="C18" s="151"/>
      <c r="D18" s="151"/>
      <c r="E18" s="151"/>
      <c r="F18" s="151"/>
      <c r="G18" s="122"/>
      <c r="H18" s="151"/>
    </row>
    <row r="19" spans="1:8">
      <c r="A19" s="123"/>
      <c r="B19" s="117" t="s">
        <v>103</v>
      </c>
      <c r="C19" s="148">
        <f>'Schedule 3A - 2025'!F19</f>
        <v>61308042.479999997</v>
      </c>
      <c r="D19" s="148">
        <v>109763162.62</v>
      </c>
      <c r="E19" s="148"/>
      <c r="F19" s="148">
        <f t="shared" ref="F19:F28" si="2">C19+D19-E19</f>
        <v>171071205.09999999</v>
      </c>
      <c r="G19" s="143">
        <v>72</v>
      </c>
      <c r="H19" s="148">
        <f t="shared" ref="H19:H28" si="3">IFERROR(C19/G19+D19/G19/2,0)</f>
        <v>1613744.7748611111</v>
      </c>
    </row>
    <row r="20" spans="1:8">
      <c r="A20" s="123"/>
      <c r="B20" s="117" t="s">
        <v>110</v>
      </c>
      <c r="C20" s="148">
        <f>'Schedule 3A - 2025'!F20</f>
        <v>10278688.460000001</v>
      </c>
      <c r="D20" s="148">
        <v>0</v>
      </c>
      <c r="E20" s="148"/>
      <c r="F20" s="148">
        <f t="shared" si="2"/>
        <v>10278688.460000001</v>
      </c>
      <c r="G20" s="143">
        <v>40</v>
      </c>
      <c r="H20" s="148">
        <f t="shared" si="3"/>
        <v>256967.21150000003</v>
      </c>
    </row>
    <row r="21" spans="1:8">
      <c r="A21" s="123"/>
      <c r="B21" s="117" t="s">
        <v>104</v>
      </c>
      <c r="C21" s="148">
        <f>'Schedule 3A - 2025'!F21</f>
        <v>167640009.76000002</v>
      </c>
      <c r="D21" s="148">
        <v>1200000</v>
      </c>
      <c r="E21" s="148"/>
      <c r="F21" s="148">
        <f t="shared" si="2"/>
        <v>168840009.76000002</v>
      </c>
      <c r="G21" s="143">
        <v>103</v>
      </c>
      <c r="H21" s="148">
        <f t="shared" si="3"/>
        <v>1633398.153009709</v>
      </c>
    </row>
    <row r="22" spans="1:8">
      <c r="A22" s="123"/>
      <c r="B22" s="117" t="s">
        <v>353</v>
      </c>
      <c r="C22" s="148">
        <f>'Schedule 3A - 2025'!F22</f>
        <v>6711437.5</v>
      </c>
      <c r="D22" s="148">
        <v>0</v>
      </c>
      <c r="E22" s="148"/>
      <c r="F22" s="148">
        <f t="shared" si="2"/>
        <v>6711437.5</v>
      </c>
      <c r="G22" s="143">
        <v>103</v>
      </c>
      <c r="H22" s="148">
        <f t="shared" si="3"/>
        <v>65159.587378640776</v>
      </c>
    </row>
    <row r="23" spans="1:8">
      <c r="A23" s="123"/>
      <c r="B23" s="117" t="s">
        <v>293</v>
      </c>
      <c r="C23" s="148">
        <f>'Schedule 3A - 2025'!F23</f>
        <v>13677670.189999999</v>
      </c>
      <c r="D23" s="148">
        <v>0</v>
      </c>
      <c r="E23" s="148"/>
      <c r="F23" s="148">
        <f t="shared" si="2"/>
        <v>13677670.189999999</v>
      </c>
      <c r="G23" s="143">
        <v>10</v>
      </c>
      <c r="H23" s="148">
        <f t="shared" si="3"/>
        <v>1367767.0189999999</v>
      </c>
    </row>
    <row r="24" spans="1:8">
      <c r="A24" s="123"/>
      <c r="B24" s="117" t="s">
        <v>105</v>
      </c>
      <c r="C24" s="148">
        <f>'Schedule 3A - 2025'!F24</f>
        <v>28222837.399999995</v>
      </c>
      <c r="D24" s="148">
        <v>0</v>
      </c>
      <c r="E24" s="148"/>
      <c r="F24" s="148">
        <f t="shared" si="2"/>
        <v>28222837.399999995</v>
      </c>
      <c r="G24" s="143">
        <v>85</v>
      </c>
      <c r="H24" s="148">
        <f t="shared" si="3"/>
        <v>332033.38117647055</v>
      </c>
    </row>
    <row r="25" spans="1:8">
      <c r="A25" s="123"/>
      <c r="B25" s="117" t="s">
        <v>106</v>
      </c>
      <c r="C25" s="148">
        <f>'Schedule 3A - 2025'!F25</f>
        <v>27401092.300000001</v>
      </c>
      <c r="D25" s="148">
        <v>0</v>
      </c>
      <c r="E25" s="148"/>
      <c r="F25" s="148">
        <f t="shared" si="2"/>
        <v>27401092.300000001</v>
      </c>
      <c r="G25" s="143">
        <v>40</v>
      </c>
      <c r="H25" s="148">
        <f t="shared" si="3"/>
        <v>685027.3075</v>
      </c>
    </row>
    <row r="26" spans="1:8">
      <c r="A26" s="123"/>
      <c r="B26" s="117" t="s">
        <v>311</v>
      </c>
      <c r="C26" s="148">
        <f>'Schedule 3A - 2025'!F26</f>
        <v>858680.05</v>
      </c>
      <c r="D26" s="148">
        <v>0</v>
      </c>
      <c r="E26" s="148"/>
      <c r="F26" s="148">
        <f t="shared" si="2"/>
        <v>858680.05</v>
      </c>
      <c r="G26" s="143">
        <v>20</v>
      </c>
      <c r="H26" s="148">
        <f t="shared" si="3"/>
        <v>42934.002500000002</v>
      </c>
    </row>
    <row r="27" spans="1:8">
      <c r="A27" s="123"/>
      <c r="B27" s="117" t="s">
        <v>107</v>
      </c>
      <c r="C27" s="148">
        <f>'Schedule 3A - 2025'!F27</f>
        <v>13661985.700000003</v>
      </c>
      <c r="D27" s="148">
        <v>1531955.54</v>
      </c>
      <c r="E27" s="148"/>
      <c r="F27" s="148">
        <f t="shared" si="2"/>
        <v>15193941.240000002</v>
      </c>
      <c r="G27" s="143">
        <v>30</v>
      </c>
      <c r="H27" s="148">
        <f t="shared" si="3"/>
        <v>480932.11566666677</v>
      </c>
    </row>
    <row r="28" spans="1:8">
      <c r="A28" s="123"/>
      <c r="B28" s="117" t="s">
        <v>108</v>
      </c>
      <c r="C28" s="148">
        <f>'Schedule 3A - 2025'!F28</f>
        <v>107086</v>
      </c>
      <c r="D28" s="148">
        <v>0</v>
      </c>
      <c r="E28" s="148"/>
      <c r="F28" s="148">
        <f t="shared" si="2"/>
        <v>107086</v>
      </c>
      <c r="G28" s="143">
        <v>30</v>
      </c>
      <c r="H28" s="148">
        <f t="shared" si="3"/>
        <v>3569.5333333333333</v>
      </c>
    </row>
    <row r="29" spans="1:8">
      <c r="A29" s="123"/>
      <c r="B29" s="117" t="s">
        <v>313</v>
      </c>
      <c r="C29" s="149"/>
      <c r="D29" s="149"/>
      <c r="E29" s="149"/>
      <c r="F29" s="149"/>
      <c r="G29" s="144"/>
      <c r="H29" s="149">
        <v>-140295.96</v>
      </c>
    </row>
    <row r="30" spans="1:8" s="121" customFormat="1">
      <c r="A30" s="112" t="s">
        <v>109</v>
      </c>
      <c r="B30" s="112"/>
      <c r="C30" s="150">
        <f>SUBTOTAL(9,C19:C29)</f>
        <v>329867529.84000003</v>
      </c>
      <c r="D30" s="150">
        <f>SUBTOTAL(9,D19:D29)</f>
        <v>112495118.16000001</v>
      </c>
      <c r="E30" s="150">
        <f>SUBTOTAL(9,E19:E29)</f>
        <v>0</v>
      </c>
      <c r="F30" s="150">
        <f>SUBTOTAL(9,F19:F29)</f>
        <v>442362648.00000006</v>
      </c>
      <c r="G30" s="119"/>
      <c r="H30" s="150">
        <f>SUBTOTAL(9,H19:H29)</f>
        <v>6341237.1259259321</v>
      </c>
    </row>
    <row r="31" spans="1:8">
      <c r="C31" s="151"/>
      <c r="D31" s="151"/>
      <c r="E31" s="151"/>
      <c r="F31" s="151"/>
      <c r="G31" s="122"/>
      <c r="H31" s="151"/>
    </row>
    <row r="32" spans="1:8">
      <c r="A32" s="112" t="s">
        <v>97</v>
      </c>
      <c r="C32" s="151"/>
      <c r="D32" s="151"/>
      <c r="E32" s="151"/>
      <c r="F32" s="151"/>
      <c r="G32" s="122"/>
      <c r="H32" s="151"/>
    </row>
    <row r="33" spans="1:8">
      <c r="A33" s="123"/>
      <c r="B33" s="117" t="s">
        <v>103</v>
      </c>
      <c r="C33" s="148">
        <f>'Schedule 3A - 2025'!F33</f>
        <v>6848082.21</v>
      </c>
      <c r="D33" s="148">
        <v>0</v>
      </c>
      <c r="E33" s="148"/>
      <c r="F33" s="148">
        <f t="shared" ref="F33:F40" si="4">C33+D33-E33</f>
        <v>6848082.21</v>
      </c>
      <c r="G33" s="143">
        <v>72</v>
      </c>
      <c r="H33" s="148">
        <f t="shared" ref="H33:H40" si="5">IFERROR(C33/G33+D33/G33/2,0)</f>
        <v>95112.252916666665</v>
      </c>
    </row>
    <row r="34" spans="1:8">
      <c r="A34" s="123"/>
      <c r="B34" s="117" t="s">
        <v>110</v>
      </c>
      <c r="C34" s="148">
        <f>'Schedule 3A - 2025'!F34</f>
        <v>474668.13</v>
      </c>
      <c r="D34" s="148">
        <v>0</v>
      </c>
      <c r="E34" s="148"/>
      <c r="F34" s="148">
        <f t="shared" si="4"/>
        <v>474668.13</v>
      </c>
      <c r="G34" s="143">
        <v>55</v>
      </c>
      <c r="H34" s="148">
        <f t="shared" si="5"/>
        <v>8630.3296363636364</v>
      </c>
    </row>
    <row r="35" spans="1:8">
      <c r="A35" s="123"/>
      <c r="B35" s="117" t="s">
        <v>111</v>
      </c>
      <c r="C35" s="148">
        <f>'Schedule 3A - 2025'!F35</f>
        <v>2735507.95</v>
      </c>
      <c r="D35" s="148">
        <v>100000</v>
      </c>
      <c r="E35" s="148"/>
      <c r="F35" s="148">
        <f t="shared" si="4"/>
        <v>2835507.95</v>
      </c>
      <c r="G35" s="143">
        <v>40</v>
      </c>
      <c r="H35" s="148">
        <f t="shared" si="5"/>
        <v>69637.69875000001</v>
      </c>
    </row>
    <row r="36" spans="1:8">
      <c r="A36" s="123"/>
      <c r="B36" s="117" t="s">
        <v>112</v>
      </c>
      <c r="C36" s="148">
        <f>'Schedule 3A - 2025'!F36</f>
        <v>75863596.390000001</v>
      </c>
      <c r="D36" s="148">
        <v>190000</v>
      </c>
      <c r="E36" s="148"/>
      <c r="F36" s="148">
        <f t="shared" si="4"/>
        <v>76053596.390000001</v>
      </c>
      <c r="G36" s="143">
        <v>40</v>
      </c>
      <c r="H36" s="148">
        <f t="shared" si="5"/>
        <v>1898964.9097500001</v>
      </c>
    </row>
    <row r="37" spans="1:8">
      <c r="A37" s="123"/>
      <c r="B37" s="117" t="s">
        <v>293</v>
      </c>
      <c r="C37" s="148">
        <f>'Schedule 3A - 2025'!F37</f>
        <v>3937780.46</v>
      </c>
      <c r="D37" s="148">
        <v>0</v>
      </c>
      <c r="E37" s="148"/>
      <c r="F37" s="148">
        <f t="shared" si="4"/>
        <v>3937780.46</v>
      </c>
      <c r="G37" s="143">
        <v>5</v>
      </c>
      <c r="H37" s="148">
        <f t="shared" si="5"/>
        <v>787556.09199999995</v>
      </c>
    </row>
    <row r="38" spans="1:8">
      <c r="A38" s="123"/>
      <c r="B38" s="117" t="s">
        <v>312</v>
      </c>
      <c r="C38" s="148">
        <f>'Schedule 3A - 2025'!F38</f>
        <v>243547.65000000002</v>
      </c>
      <c r="D38" s="148">
        <v>0</v>
      </c>
      <c r="E38" s="148"/>
      <c r="F38" s="148">
        <f t="shared" si="4"/>
        <v>243547.65000000002</v>
      </c>
      <c r="G38" s="143">
        <v>12</v>
      </c>
      <c r="H38" s="148">
        <f t="shared" si="5"/>
        <v>20295.637500000001</v>
      </c>
    </row>
    <row r="39" spans="1:8">
      <c r="A39" s="123"/>
      <c r="B39" s="117" t="s">
        <v>106</v>
      </c>
      <c r="C39" s="148">
        <f>'Schedule 3A - 2025'!F39</f>
        <v>9040987.5399999991</v>
      </c>
      <c r="D39" s="148">
        <v>0</v>
      </c>
      <c r="E39" s="148"/>
      <c r="F39" s="148">
        <f t="shared" si="4"/>
        <v>9040987.5399999991</v>
      </c>
      <c r="G39" s="143">
        <v>45</v>
      </c>
      <c r="H39" s="148">
        <f t="shared" si="5"/>
        <v>200910.83422222221</v>
      </c>
    </row>
    <row r="40" spans="1:8">
      <c r="A40" s="123"/>
      <c r="B40" s="117" t="s">
        <v>107</v>
      </c>
      <c r="C40" s="148">
        <f>'Schedule 3A - 2025'!F40</f>
        <v>1949382.7200000002</v>
      </c>
      <c r="D40" s="148">
        <v>0</v>
      </c>
      <c r="E40" s="148"/>
      <c r="F40" s="148">
        <f t="shared" si="4"/>
        <v>1949382.7200000002</v>
      </c>
      <c r="G40" s="143">
        <v>30</v>
      </c>
      <c r="H40" s="148">
        <f t="shared" si="5"/>
        <v>64979.424000000006</v>
      </c>
    </row>
    <row r="41" spans="1:8">
      <c r="A41" s="123"/>
      <c r="B41" s="117" t="s">
        <v>313</v>
      </c>
      <c r="C41" s="149"/>
      <c r="D41" s="149"/>
      <c r="E41" s="149"/>
      <c r="F41" s="149"/>
      <c r="G41" s="118"/>
      <c r="H41" s="149">
        <v>-66276.72</v>
      </c>
    </row>
    <row r="42" spans="1:8" s="121" customFormat="1" ht="18.75" customHeight="1">
      <c r="A42" s="112" t="s">
        <v>113</v>
      </c>
      <c r="B42" s="112"/>
      <c r="C42" s="150">
        <f>SUBTOTAL(9,C33:C41)</f>
        <v>101093553.05000001</v>
      </c>
      <c r="D42" s="150">
        <f>SUBTOTAL(9,D33:D41)</f>
        <v>290000</v>
      </c>
      <c r="E42" s="150">
        <f>SUBTOTAL(9,E33:E41)</f>
        <v>0</v>
      </c>
      <c r="F42" s="150">
        <f>SUBTOTAL(9,F33:F41)</f>
        <v>101383553.05000001</v>
      </c>
      <c r="G42" s="120"/>
      <c r="H42" s="150">
        <f>SUBTOTAL(9,H33:H41)</f>
        <v>3079810.4587752526</v>
      </c>
    </row>
    <row r="43" spans="1:8">
      <c r="C43" s="151"/>
      <c r="D43" s="151"/>
      <c r="E43" s="151"/>
      <c r="F43" s="151"/>
      <c r="G43" s="122"/>
      <c r="H43" s="151"/>
    </row>
    <row r="44" spans="1:8">
      <c r="A44" s="112" t="s">
        <v>114</v>
      </c>
      <c r="C44" s="151"/>
      <c r="D44" s="151"/>
      <c r="E44" s="151"/>
      <c r="F44" s="151"/>
      <c r="G44" s="122"/>
      <c r="H44" s="151"/>
    </row>
    <row r="45" spans="1:8">
      <c r="A45" s="123"/>
      <c r="B45" s="117" t="s">
        <v>114</v>
      </c>
      <c r="C45" s="149">
        <f>'Schedule 3A - 2025'!F45</f>
        <v>0</v>
      </c>
      <c r="D45" s="149">
        <v>0</v>
      </c>
      <c r="E45" s="149"/>
      <c r="F45" s="149">
        <f>C45+D45-E45</f>
        <v>0</v>
      </c>
      <c r="G45" s="144">
        <v>0</v>
      </c>
      <c r="H45" s="149">
        <v>0</v>
      </c>
    </row>
    <row r="46" spans="1:8" s="121" customFormat="1" ht="18.75" customHeight="1">
      <c r="A46" s="112" t="s">
        <v>115</v>
      </c>
      <c r="B46" s="112"/>
      <c r="C46" s="150">
        <f>C45</f>
        <v>0</v>
      </c>
      <c r="D46" s="150">
        <f>D45</f>
        <v>0</v>
      </c>
      <c r="E46" s="150">
        <f>E45</f>
        <v>0</v>
      </c>
      <c r="F46" s="150">
        <f>F45</f>
        <v>0</v>
      </c>
      <c r="G46" s="120"/>
      <c r="H46" s="150">
        <f>SUBTOTAL(9,H45)</f>
        <v>0</v>
      </c>
    </row>
    <row r="47" spans="1:8">
      <c r="C47" s="151"/>
      <c r="D47" s="151"/>
      <c r="E47" s="151"/>
      <c r="F47" s="151"/>
      <c r="G47" s="122"/>
      <c r="H47" s="151"/>
    </row>
    <row r="48" spans="1:8">
      <c r="A48" s="112" t="s">
        <v>98</v>
      </c>
      <c r="C48" s="151"/>
      <c r="D48" s="151"/>
      <c r="E48" s="151"/>
      <c r="F48" s="151"/>
      <c r="G48" s="122"/>
      <c r="H48" s="151"/>
    </row>
    <row r="49" spans="1:8">
      <c r="A49" s="123"/>
      <c r="B49" s="117" t="s">
        <v>116</v>
      </c>
      <c r="C49" s="148">
        <f>'Schedule 3A - 2025'!F49</f>
        <v>84408100.009999961</v>
      </c>
      <c r="D49" s="148">
        <v>300000</v>
      </c>
      <c r="E49" s="148"/>
      <c r="F49" s="148">
        <f t="shared" ref="F49:F59" si="6">C49+D49-E49</f>
        <v>84708100.009999961</v>
      </c>
      <c r="G49" s="143">
        <v>65</v>
      </c>
      <c r="H49" s="148">
        <f t="shared" ref="H49:H59" si="7">IFERROR(C49/G49+D49/G49/2,0)</f>
        <v>1300893.8463076917</v>
      </c>
    </row>
    <row r="50" spans="1:8">
      <c r="A50" s="123"/>
      <c r="B50" s="117" t="s">
        <v>117</v>
      </c>
      <c r="C50" s="148">
        <f>'Schedule 3A - 2025'!F50</f>
        <v>16756318.379999999</v>
      </c>
      <c r="D50" s="148">
        <v>0</v>
      </c>
      <c r="E50" s="148"/>
      <c r="F50" s="148">
        <f t="shared" si="6"/>
        <v>16756318.379999999</v>
      </c>
      <c r="G50" s="143">
        <v>60</v>
      </c>
      <c r="H50" s="148">
        <f t="shared" si="7"/>
        <v>279271.973</v>
      </c>
    </row>
    <row r="51" spans="1:8">
      <c r="A51" s="123"/>
      <c r="B51" s="117" t="s">
        <v>118</v>
      </c>
      <c r="C51" s="148">
        <f>'Schedule 3A - 2025'!F51</f>
        <v>4297239.04</v>
      </c>
      <c r="D51" s="148">
        <v>100000</v>
      </c>
      <c r="E51" s="148"/>
      <c r="F51" s="148">
        <f t="shared" si="6"/>
        <v>4397239.04</v>
      </c>
      <c r="G51" s="143">
        <v>60</v>
      </c>
      <c r="H51" s="148">
        <f t="shared" si="7"/>
        <v>72453.983999999997</v>
      </c>
    </row>
    <row r="52" spans="1:8">
      <c r="A52" s="123"/>
      <c r="B52" s="117" t="s">
        <v>119</v>
      </c>
      <c r="C52" s="148">
        <f>'Schedule 3A - 2025'!F52</f>
        <v>22045657.629999995</v>
      </c>
      <c r="D52" s="148">
        <v>0</v>
      </c>
      <c r="E52" s="148"/>
      <c r="F52" s="148">
        <f t="shared" si="6"/>
        <v>22045657.629999995</v>
      </c>
      <c r="G52" s="143">
        <v>60</v>
      </c>
      <c r="H52" s="148">
        <f t="shared" si="7"/>
        <v>367427.62716666661</v>
      </c>
    </row>
    <row r="53" spans="1:8">
      <c r="A53" s="123"/>
      <c r="B53" s="117" t="s">
        <v>120</v>
      </c>
      <c r="C53" s="148">
        <f>'Schedule 3A - 2025'!F53</f>
        <v>277975</v>
      </c>
      <c r="D53" s="148">
        <v>0</v>
      </c>
      <c r="E53" s="148"/>
      <c r="F53" s="148">
        <f t="shared" si="6"/>
        <v>277975</v>
      </c>
      <c r="G53" s="143">
        <v>60</v>
      </c>
      <c r="H53" s="148">
        <f t="shared" si="7"/>
        <v>4632.916666666667</v>
      </c>
    </row>
    <row r="54" spans="1:8">
      <c r="A54" s="123"/>
      <c r="B54" s="117" t="s">
        <v>121</v>
      </c>
      <c r="C54" s="148">
        <f>'Schedule 3A - 2025'!F54</f>
        <v>76646847.119999975</v>
      </c>
      <c r="D54" s="148">
        <v>2030000</v>
      </c>
      <c r="E54" s="148"/>
      <c r="F54" s="148">
        <f t="shared" si="6"/>
        <v>78676847.119999975</v>
      </c>
      <c r="G54" s="143">
        <v>54</v>
      </c>
      <c r="H54" s="148">
        <f t="shared" si="7"/>
        <v>1438182.3540740737</v>
      </c>
    </row>
    <row r="55" spans="1:8">
      <c r="A55" s="123"/>
      <c r="B55" s="117" t="s">
        <v>330</v>
      </c>
      <c r="C55" s="148">
        <f>'Schedule 3A - 2025'!F55</f>
        <v>10688553.15</v>
      </c>
      <c r="D55" s="148">
        <v>0</v>
      </c>
      <c r="E55" s="148"/>
      <c r="F55" s="148">
        <f t="shared" si="6"/>
        <v>10688553.15</v>
      </c>
      <c r="G55" s="143">
        <v>10</v>
      </c>
      <c r="H55" s="148">
        <f t="shared" si="7"/>
        <v>1068855.3149999999</v>
      </c>
    </row>
    <row r="56" spans="1:8">
      <c r="A56" s="123"/>
      <c r="B56" s="117" t="s">
        <v>333</v>
      </c>
      <c r="C56" s="148">
        <f>'Schedule 3A - 2025'!F56</f>
        <v>13991451.050000001</v>
      </c>
      <c r="D56" s="148">
        <v>0</v>
      </c>
      <c r="E56" s="148"/>
      <c r="F56" s="148">
        <f t="shared" si="6"/>
        <v>13991451.050000001</v>
      </c>
      <c r="G56" s="143">
        <v>10</v>
      </c>
      <c r="H56" s="148">
        <f t="shared" si="7"/>
        <v>1399145.105</v>
      </c>
    </row>
    <row r="57" spans="1:8">
      <c r="A57" s="123"/>
      <c r="B57" s="117" t="s">
        <v>334</v>
      </c>
      <c r="C57" s="148">
        <f>'Schedule 3A - 2025'!F57</f>
        <v>848040.31</v>
      </c>
      <c r="D57" s="148">
        <v>0</v>
      </c>
      <c r="E57" s="148"/>
      <c r="F57" s="148">
        <f t="shared" si="6"/>
        <v>848040.31</v>
      </c>
      <c r="G57" s="143">
        <v>10</v>
      </c>
      <c r="H57" s="148">
        <f t="shared" si="7"/>
        <v>84804.031000000003</v>
      </c>
    </row>
    <row r="58" spans="1:8">
      <c r="A58" s="123"/>
      <c r="B58" s="117" t="s">
        <v>122</v>
      </c>
      <c r="C58" s="148">
        <f>'Schedule 3A - 2025'!F58</f>
        <v>8907593.5500000007</v>
      </c>
      <c r="D58" s="148">
        <v>0</v>
      </c>
      <c r="E58" s="148"/>
      <c r="F58" s="148">
        <f t="shared" si="6"/>
        <v>8907593.5500000007</v>
      </c>
      <c r="G58" s="143">
        <v>55</v>
      </c>
      <c r="H58" s="148">
        <f t="shared" si="7"/>
        <v>161956.24636363637</v>
      </c>
    </row>
    <row r="59" spans="1:8">
      <c r="A59" s="123"/>
      <c r="B59" s="117" t="s">
        <v>123</v>
      </c>
      <c r="C59" s="148">
        <f>'Schedule 3A - 2025'!F59</f>
        <v>274477.45</v>
      </c>
      <c r="D59" s="148">
        <v>0</v>
      </c>
      <c r="E59" s="148"/>
      <c r="F59" s="148">
        <f t="shared" si="6"/>
        <v>274477.45</v>
      </c>
      <c r="G59" s="143">
        <v>30</v>
      </c>
      <c r="H59" s="148">
        <f t="shared" si="7"/>
        <v>9149.248333333333</v>
      </c>
    </row>
    <row r="60" spans="1:8">
      <c r="A60" s="123"/>
      <c r="B60" s="117" t="s">
        <v>313</v>
      </c>
      <c r="C60" s="149"/>
      <c r="D60" s="149"/>
      <c r="E60" s="149"/>
      <c r="F60" s="149"/>
      <c r="G60" s="144"/>
      <c r="H60" s="149">
        <v>-79596.960000000006</v>
      </c>
    </row>
    <row r="61" spans="1:8" s="121" customFormat="1" ht="18" customHeight="1">
      <c r="A61" s="112" t="s">
        <v>124</v>
      </c>
      <c r="B61" s="112"/>
      <c r="C61" s="150">
        <f>SUBTOTAL(9,C49:C60)</f>
        <v>239142252.68999997</v>
      </c>
      <c r="D61" s="150">
        <f>SUBTOTAL(9,D49:D60)</f>
        <v>2430000</v>
      </c>
      <c r="E61" s="150">
        <f>SUBTOTAL(9,E49:E60)</f>
        <v>0</v>
      </c>
      <c r="F61" s="150">
        <f>SUBTOTAL(9,F49:F60)</f>
        <v>241572252.68999997</v>
      </c>
      <c r="G61" s="120"/>
      <c r="H61" s="150">
        <f>SUBTOTAL(9,H49:H60)</f>
        <v>6107175.6869120691</v>
      </c>
    </row>
    <row r="62" spans="1:8">
      <c r="C62" s="151"/>
      <c r="D62" s="151"/>
      <c r="E62" s="151"/>
      <c r="F62" s="151"/>
      <c r="G62" s="122"/>
      <c r="H62" s="151"/>
    </row>
    <row r="63" spans="1:8">
      <c r="A63" s="112" t="s">
        <v>125</v>
      </c>
      <c r="C63" s="151"/>
      <c r="D63" s="151"/>
      <c r="E63" s="151"/>
      <c r="F63" s="151"/>
      <c r="G63" s="122"/>
      <c r="H63" s="151"/>
    </row>
    <row r="64" spans="1:8">
      <c r="A64" s="123"/>
      <c r="B64" s="117" t="s">
        <v>116</v>
      </c>
      <c r="C64" s="148">
        <f>'Schedule 3A - 2025'!F64</f>
        <v>4640086.0399999991</v>
      </c>
      <c r="D64" s="148">
        <v>0</v>
      </c>
      <c r="E64" s="148"/>
      <c r="F64" s="148">
        <f t="shared" ref="F64:F74" si="8">C64+D64-E64</f>
        <v>4640086.0399999991</v>
      </c>
      <c r="G64" s="143">
        <v>65</v>
      </c>
      <c r="H64" s="148">
        <f t="shared" ref="H64:H74" si="9">IFERROR(C64/G64+D64/G64/2,0)</f>
        <v>71385.939076923067</v>
      </c>
    </row>
    <row r="65" spans="1:8">
      <c r="A65" s="123"/>
      <c r="B65" s="117" t="s">
        <v>126</v>
      </c>
      <c r="C65" s="148">
        <f>'Schedule 3A - 2025'!F65</f>
        <v>2646131.54</v>
      </c>
      <c r="D65" s="148">
        <v>0</v>
      </c>
      <c r="E65" s="148"/>
      <c r="F65" s="148">
        <f t="shared" si="8"/>
        <v>2646131.54</v>
      </c>
      <c r="G65" s="143">
        <v>12</v>
      </c>
      <c r="H65" s="148">
        <f t="shared" si="9"/>
        <v>220510.96166666667</v>
      </c>
    </row>
    <row r="66" spans="1:8">
      <c r="A66" s="123"/>
      <c r="B66" s="117" t="s">
        <v>127</v>
      </c>
      <c r="C66" s="148">
        <f>'Schedule 3A - 2025'!F66</f>
        <v>41597.199999999997</v>
      </c>
      <c r="D66" s="148">
        <v>0</v>
      </c>
      <c r="E66" s="148"/>
      <c r="F66" s="148">
        <f t="shared" si="8"/>
        <v>41597.199999999997</v>
      </c>
      <c r="G66" s="143">
        <v>60</v>
      </c>
      <c r="H66" s="148">
        <f t="shared" si="9"/>
        <v>693.28666666666663</v>
      </c>
    </row>
    <row r="67" spans="1:8">
      <c r="A67" s="123"/>
      <c r="B67" s="117" t="s">
        <v>294</v>
      </c>
      <c r="C67" s="148">
        <f>'Schedule 3A - 2025'!F67</f>
        <v>432532.51</v>
      </c>
      <c r="D67" s="148">
        <v>0</v>
      </c>
      <c r="E67" s="148"/>
      <c r="F67" s="148">
        <f t="shared" si="8"/>
        <v>432532.51</v>
      </c>
      <c r="G67" s="143">
        <v>12</v>
      </c>
      <c r="H67" s="148">
        <f t="shared" si="9"/>
        <v>36044.375833333332</v>
      </c>
    </row>
    <row r="68" spans="1:8">
      <c r="A68" s="123"/>
      <c r="B68" s="117" t="s">
        <v>128</v>
      </c>
      <c r="C68" s="148">
        <f>'Schedule 3A - 2025'!F68</f>
        <v>0</v>
      </c>
      <c r="D68" s="148">
        <v>0</v>
      </c>
      <c r="E68" s="148"/>
      <c r="F68" s="148">
        <f t="shared" si="8"/>
        <v>0</v>
      </c>
      <c r="G68" s="143">
        <v>60</v>
      </c>
      <c r="H68" s="148">
        <f t="shared" si="9"/>
        <v>0</v>
      </c>
    </row>
    <row r="69" spans="1:8">
      <c r="A69" s="123"/>
      <c r="B69" s="117" t="s">
        <v>295</v>
      </c>
      <c r="C69" s="148">
        <f>'Schedule 3A - 2025'!F69</f>
        <v>95136.43</v>
      </c>
      <c r="D69" s="148">
        <v>0</v>
      </c>
      <c r="E69" s="148"/>
      <c r="F69" s="148">
        <f t="shared" si="8"/>
        <v>95136.43</v>
      </c>
      <c r="G69" s="143">
        <v>12</v>
      </c>
      <c r="H69" s="148">
        <f t="shared" si="9"/>
        <v>7928.0358333333324</v>
      </c>
    </row>
    <row r="70" spans="1:8">
      <c r="A70" s="123"/>
      <c r="B70" s="117" t="s">
        <v>129</v>
      </c>
      <c r="C70" s="148">
        <f>'Schedule 3A - 2025'!F70</f>
        <v>1837887.92</v>
      </c>
      <c r="D70" s="148">
        <v>0</v>
      </c>
      <c r="E70" s="148"/>
      <c r="F70" s="148">
        <f t="shared" si="8"/>
        <v>1837887.92</v>
      </c>
      <c r="G70" s="143">
        <v>60</v>
      </c>
      <c r="H70" s="148">
        <f t="shared" si="9"/>
        <v>30631.465333333334</v>
      </c>
    </row>
    <row r="71" spans="1:8">
      <c r="A71" s="123"/>
      <c r="B71" s="117" t="s">
        <v>130</v>
      </c>
      <c r="C71" s="148">
        <f>'Schedule 3A - 2025'!F71</f>
        <v>78813.429999999993</v>
      </c>
      <c r="D71" s="148">
        <v>0</v>
      </c>
      <c r="E71" s="148"/>
      <c r="F71" s="148">
        <f t="shared" si="8"/>
        <v>78813.429999999993</v>
      </c>
      <c r="G71" s="143">
        <v>45</v>
      </c>
      <c r="H71" s="148">
        <f t="shared" si="9"/>
        <v>1751.4095555555555</v>
      </c>
    </row>
    <row r="72" spans="1:8">
      <c r="A72" s="123"/>
      <c r="B72" s="117" t="s">
        <v>296</v>
      </c>
      <c r="C72" s="148">
        <f>'Schedule 3A - 2025'!F72</f>
        <v>920692.5</v>
      </c>
      <c r="D72" s="148">
        <v>0</v>
      </c>
      <c r="E72" s="148"/>
      <c r="F72" s="148">
        <f t="shared" si="8"/>
        <v>920692.5</v>
      </c>
      <c r="G72" s="143">
        <v>12</v>
      </c>
      <c r="H72" s="148">
        <f t="shared" si="9"/>
        <v>76724.375</v>
      </c>
    </row>
    <row r="73" spans="1:8">
      <c r="A73" s="123"/>
      <c r="B73" s="117" t="s">
        <v>297</v>
      </c>
      <c r="C73" s="148">
        <f>'Schedule 3A - 2025'!F73</f>
        <v>8393598.3699999992</v>
      </c>
      <c r="D73" s="148">
        <v>100000</v>
      </c>
      <c r="E73" s="148"/>
      <c r="F73" s="148">
        <f t="shared" si="8"/>
        <v>8493598.3699999992</v>
      </c>
      <c r="G73" s="143">
        <v>54</v>
      </c>
      <c r="H73" s="148">
        <f t="shared" si="9"/>
        <v>156362.93277777775</v>
      </c>
    </row>
    <row r="74" spans="1:8">
      <c r="A74" s="123"/>
      <c r="B74" s="117" t="s">
        <v>298</v>
      </c>
      <c r="C74" s="148">
        <f>'Schedule 3A - 2025'!F74</f>
        <v>7111245.04</v>
      </c>
      <c r="D74" s="148">
        <v>0</v>
      </c>
      <c r="E74" s="148"/>
      <c r="F74" s="148">
        <f t="shared" si="8"/>
        <v>7111245.04</v>
      </c>
      <c r="G74" s="143">
        <v>12</v>
      </c>
      <c r="H74" s="148">
        <f t="shared" si="9"/>
        <v>592603.7533333333</v>
      </c>
    </row>
    <row r="75" spans="1:8">
      <c r="A75" s="123"/>
      <c r="B75" s="117" t="s">
        <v>313</v>
      </c>
      <c r="C75" s="149"/>
      <c r="D75" s="149"/>
      <c r="E75" s="149"/>
      <c r="F75" s="149"/>
      <c r="G75" s="144"/>
      <c r="H75" s="149">
        <v>-36367.199999999997</v>
      </c>
    </row>
    <row r="76" spans="1:8" s="121" customFormat="1">
      <c r="A76" s="112" t="s">
        <v>131</v>
      </c>
      <c r="B76" s="112"/>
      <c r="C76" s="150">
        <f>SUBTOTAL(9,C64:C75)</f>
        <v>26197720.979999997</v>
      </c>
      <c r="D76" s="150">
        <f>SUBTOTAL(9,D64:D75)</f>
        <v>100000</v>
      </c>
      <c r="E76" s="150">
        <f>SUBTOTAL(9,E64:E75)</f>
        <v>0</v>
      </c>
      <c r="F76" s="150">
        <f>SUBTOTAL(9,F64:F75)</f>
        <v>26297720.979999997</v>
      </c>
      <c r="G76" s="120"/>
      <c r="H76" s="150">
        <f>SUBTOTAL(9,H64:H75)</f>
        <v>1158269.3350769232</v>
      </c>
    </row>
    <row r="77" spans="1:8">
      <c r="C77" s="151"/>
      <c r="D77" s="151"/>
      <c r="E77" s="151"/>
      <c r="F77" s="151"/>
      <c r="G77" s="122"/>
      <c r="H77" s="151"/>
    </row>
    <row r="78" spans="1:8">
      <c r="A78" s="112" t="s">
        <v>132</v>
      </c>
      <c r="C78" s="151"/>
      <c r="D78" s="151"/>
      <c r="E78" s="151"/>
      <c r="F78" s="151"/>
      <c r="G78" s="122"/>
      <c r="H78" s="151"/>
    </row>
    <row r="79" spans="1:8">
      <c r="A79" s="123"/>
      <c r="B79" s="117" t="s">
        <v>116</v>
      </c>
      <c r="C79" s="148">
        <f>'Schedule 3A - 2025'!F79</f>
        <v>22030420.919999994</v>
      </c>
      <c r="D79" s="148">
        <v>2380458.38</v>
      </c>
      <c r="E79" s="148"/>
      <c r="F79" s="148">
        <f t="shared" ref="F79:F94" si="10">C79+D79-E79</f>
        <v>24410879.299999993</v>
      </c>
      <c r="G79" s="143">
        <v>40</v>
      </c>
      <c r="H79" s="148">
        <f t="shared" ref="H79:H94" si="11">IFERROR(C79/G79+D79/G79/2,0)</f>
        <v>580516.25274999975</v>
      </c>
    </row>
    <row r="80" spans="1:8">
      <c r="A80" s="123"/>
      <c r="B80" s="117" t="s">
        <v>117</v>
      </c>
      <c r="C80" s="148">
        <f>'Schedule 3A - 2025'!F80</f>
        <v>44763.01</v>
      </c>
      <c r="D80" s="148">
        <v>0</v>
      </c>
      <c r="E80" s="148"/>
      <c r="F80" s="148">
        <f t="shared" si="10"/>
        <v>44763.01</v>
      </c>
      <c r="G80" s="143">
        <v>50</v>
      </c>
      <c r="H80" s="148">
        <f t="shared" si="11"/>
        <v>895.26020000000005</v>
      </c>
    </row>
    <row r="81" spans="1:8">
      <c r="A81" s="123"/>
      <c r="B81" s="117" t="s">
        <v>128</v>
      </c>
      <c r="C81" s="148">
        <f>'Schedule 3A - 2025'!F81</f>
        <v>662900.07999999984</v>
      </c>
      <c r="D81" s="148">
        <v>0</v>
      </c>
      <c r="E81" s="148"/>
      <c r="F81" s="148">
        <f t="shared" si="10"/>
        <v>662900.07999999984</v>
      </c>
      <c r="G81" s="143">
        <v>50</v>
      </c>
      <c r="H81" s="148">
        <f t="shared" si="11"/>
        <v>13258.001599999996</v>
      </c>
    </row>
    <row r="82" spans="1:8">
      <c r="A82" s="123"/>
      <c r="B82" s="117" t="s">
        <v>133</v>
      </c>
      <c r="C82" s="148">
        <f>'Schedule 3A - 2025'!F82</f>
        <v>6478414.0299999993</v>
      </c>
      <c r="D82" s="148">
        <v>0</v>
      </c>
      <c r="E82" s="148"/>
      <c r="F82" s="148">
        <f t="shared" si="10"/>
        <v>6478414.0299999993</v>
      </c>
      <c r="G82" s="143">
        <v>50</v>
      </c>
      <c r="H82" s="148">
        <f t="shared" si="11"/>
        <v>129568.28059999998</v>
      </c>
    </row>
    <row r="83" spans="1:8">
      <c r="A83" s="123"/>
      <c r="B83" s="117" t="s">
        <v>134</v>
      </c>
      <c r="C83" s="148">
        <f>'Schedule 3A - 2025'!F83</f>
        <v>2619726.4199999981</v>
      </c>
      <c r="D83" s="148">
        <v>0</v>
      </c>
      <c r="E83" s="148"/>
      <c r="F83" s="148">
        <f t="shared" si="10"/>
        <v>2619726.4199999981</v>
      </c>
      <c r="G83" s="143">
        <v>40</v>
      </c>
      <c r="H83" s="148">
        <f t="shared" si="11"/>
        <v>65493.160499999954</v>
      </c>
    </row>
    <row r="84" spans="1:8">
      <c r="A84" s="123"/>
      <c r="B84" s="117" t="s">
        <v>135</v>
      </c>
      <c r="C84" s="148">
        <f>'Schedule 3A - 2025'!F84</f>
        <v>385154.92</v>
      </c>
      <c r="D84" s="148">
        <v>0</v>
      </c>
      <c r="E84" s="148"/>
      <c r="F84" s="148">
        <f t="shared" si="10"/>
        <v>385154.92</v>
      </c>
      <c r="G84" s="143">
        <v>40</v>
      </c>
      <c r="H84" s="148">
        <f t="shared" si="11"/>
        <v>9628.8729999999996</v>
      </c>
    </row>
    <row r="85" spans="1:8">
      <c r="A85" s="123"/>
      <c r="B85" s="117" t="s">
        <v>310</v>
      </c>
      <c r="C85" s="148">
        <f>'Schedule 3A - 2025'!F85</f>
        <v>43376.77</v>
      </c>
      <c r="D85" s="148">
        <v>0</v>
      </c>
      <c r="E85" s="148"/>
      <c r="F85" s="148">
        <f t="shared" si="10"/>
        <v>43376.77</v>
      </c>
      <c r="G85" s="143">
        <v>40</v>
      </c>
      <c r="H85" s="148">
        <f t="shared" si="11"/>
        <v>1084.4192499999999</v>
      </c>
    </row>
    <row r="86" spans="1:8">
      <c r="A86" s="123"/>
      <c r="B86" s="117" t="s">
        <v>136</v>
      </c>
      <c r="C86" s="148">
        <f>'Schedule 3A - 2025'!F86</f>
        <v>0</v>
      </c>
      <c r="D86" s="148">
        <v>0</v>
      </c>
      <c r="E86" s="148"/>
      <c r="F86" s="148">
        <f t="shared" si="10"/>
        <v>0</v>
      </c>
      <c r="G86" s="143">
        <v>0</v>
      </c>
      <c r="H86" s="148">
        <f t="shared" si="11"/>
        <v>0</v>
      </c>
    </row>
    <row r="87" spans="1:8">
      <c r="A87" s="123"/>
      <c r="B87" s="117" t="s">
        <v>137</v>
      </c>
      <c r="C87" s="148">
        <f>'Schedule 3A - 2025'!F87</f>
        <v>312632.61</v>
      </c>
      <c r="D87" s="148">
        <v>0</v>
      </c>
      <c r="E87" s="148"/>
      <c r="F87" s="148">
        <f t="shared" si="10"/>
        <v>312632.61</v>
      </c>
      <c r="G87" s="143">
        <v>16</v>
      </c>
      <c r="H87" s="148">
        <f t="shared" si="11"/>
        <v>19539.538124999999</v>
      </c>
    </row>
    <row r="88" spans="1:8">
      <c r="A88" s="123"/>
      <c r="B88" s="117" t="s">
        <v>138</v>
      </c>
      <c r="C88" s="148">
        <f>'Schedule 3A - 2025'!F88</f>
        <v>288392.19</v>
      </c>
      <c r="D88" s="148">
        <v>0</v>
      </c>
      <c r="E88" s="148"/>
      <c r="F88" s="148">
        <f t="shared" si="10"/>
        <v>288392.19</v>
      </c>
      <c r="G88" s="143">
        <v>16</v>
      </c>
      <c r="H88" s="148">
        <f t="shared" si="11"/>
        <v>18024.511875</v>
      </c>
    </row>
    <row r="89" spans="1:8">
      <c r="A89" s="123"/>
      <c r="B89" s="117" t="s">
        <v>121</v>
      </c>
      <c r="C89" s="148">
        <f>'Schedule 3A - 2025'!F89</f>
        <v>2202066.91</v>
      </c>
      <c r="D89" s="148">
        <v>0</v>
      </c>
      <c r="E89" s="148"/>
      <c r="F89" s="148">
        <f t="shared" si="10"/>
        <v>2202066.91</v>
      </c>
      <c r="G89" s="143">
        <v>40</v>
      </c>
      <c r="H89" s="148">
        <f t="shared" si="11"/>
        <v>55051.672750000005</v>
      </c>
    </row>
    <row r="90" spans="1:8">
      <c r="A90" s="123"/>
      <c r="B90" s="117" t="s">
        <v>122</v>
      </c>
      <c r="C90" s="148">
        <f>'Schedule 3A - 2025'!F90</f>
        <v>64798.340000000004</v>
      </c>
      <c r="D90" s="148">
        <v>0</v>
      </c>
      <c r="E90" s="148"/>
      <c r="F90" s="148">
        <f t="shared" si="10"/>
        <v>64798.340000000004</v>
      </c>
      <c r="G90" s="143">
        <v>55</v>
      </c>
      <c r="H90" s="148">
        <f t="shared" si="11"/>
        <v>1178.1516363636365</v>
      </c>
    </row>
    <row r="91" spans="1:8">
      <c r="A91" s="123"/>
      <c r="B91" s="117" t="s">
        <v>123</v>
      </c>
      <c r="C91" s="148">
        <f>'Schedule 3A - 2025'!F91</f>
        <v>100328.43</v>
      </c>
      <c r="D91" s="148">
        <v>0</v>
      </c>
      <c r="E91" s="148"/>
      <c r="F91" s="148">
        <f t="shared" si="10"/>
        <v>100328.43</v>
      </c>
      <c r="G91" s="143">
        <v>30</v>
      </c>
      <c r="H91" s="148">
        <f t="shared" si="11"/>
        <v>3344.2809999999999</v>
      </c>
    </row>
    <row r="92" spans="1:8">
      <c r="A92" s="123"/>
      <c r="B92" s="117" t="s">
        <v>139</v>
      </c>
      <c r="C92" s="148">
        <f>'Schedule 3A - 2025'!F92</f>
        <v>603366.85</v>
      </c>
      <c r="D92" s="148">
        <v>0</v>
      </c>
      <c r="E92" s="148"/>
      <c r="F92" s="148">
        <f t="shared" si="10"/>
        <v>603366.85</v>
      </c>
      <c r="G92" s="143">
        <v>40</v>
      </c>
      <c r="H92" s="148">
        <f t="shared" si="11"/>
        <v>15084.171249999999</v>
      </c>
    </row>
    <row r="93" spans="1:8">
      <c r="A93" s="123"/>
      <c r="B93" s="117" t="s">
        <v>140</v>
      </c>
      <c r="C93" s="148">
        <f>'Schedule 3A - 2025'!F93</f>
        <v>4042479.1899999995</v>
      </c>
      <c r="D93" s="148">
        <v>0</v>
      </c>
      <c r="E93" s="148"/>
      <c r="F93" s="148">
        <f t="shared" si="10"/>
        <v>4042479.1899999995</v>
      </c>
      <c r="G93" s="143">
        <v>35</v>
      </c>
      <c r="H93" s="148">
        <f t="shared" si="11"/>
        <v>115499.40542857141</v>
      </c>
    </row>
    <row r="94" spans="1:8">
      <c r="A94" s="123"/>
      <c r="B94" s="117" t="s">
        <v>141</v>
      </c>
      <c r="C94" s="148">
        <f>'Schedule 3A - 2025'!F94</f>
        <v>36442.910000000003</v>
      </c>
      <c r="D94" s="148">
        <v>0</v>
      </c>
      <c r="E94" s="148"/>
      <c r="F94" s="148">
        <f t="shared" si="10"/>
        <v>36442.910000000003</v>
      </c>
      <c r="G94" s="143">
        <v>30</v>
      </c>
      <c r="H94" s="148">
        <f t="shared" si="11"/>
        <v>1214.7636666666667</v>
      </c>
    </row>
    <row r="95" spans="1:8">
      <c r="A95" s="123"/>
      <c r="B95" s="117" t="s">
        <v>313</v>
      </c>
      <c r="C95" s="149"/>
      <c r="D95" s="149"/>
      <c r="E95" s="149"/>
      <c r="F95" s="149"/>
      <c r="G95" s="118"/>
      <c r="H95" s="149">
        <v>49978.92</v>
      </c>
    </row>
    <row r="96" spans="1:8" s="121" customFormat="1" ht="18" customHeight="1">
      <c r="A96" s="112" t="s">
        <v>142</v>
      </c>
      <c r="B96" s="112"/>
      <c r="C96" s="150">
        <f>SUBTOTAL(9,C79:C95)</f>
        <v>39915263.579999991</v>
      </c>
      <c r="D96" s="150">
        <f>SUBTOTAL(9,D79:D95)</f>
        <v>2380458.38</v>
      </c>
      <c r="E96" s="150">
        <f>SUBTOTAL(9,E79:E95)</f>
        <v>0</v>
      </c>
      <c r="F96" s="150">
        <f>SUBTOTAL(9,F79:F95)</f>
        <v>42295721.959999993</v>
      </c>
      <c r="G96" s="120"/>
      <c r="H96" s="150">
        <f>SUBTOTAL(9,H79:H95)</f>
        <v>1079359.6636316013</v>
      </c>
    </row>
    <row r="97" spans="1:8">
      <c r="C97" s="152"/>
      <c r="D97" s="152"/>
      <c r="E97" s="152"/>
      <c r="F97" s="152"/>
      <c r="G97" s="124"/>
      <c r="H97" s="152"/>
    </row>
    <row r="98" spans="1:8">
      <c r="A98" s="112" t="s">
        <v>143</v>
      </c>
      <c r="C98" s="151"/>
      <c r="D98" s="151"/>
      <c r="E98" s="151"/>
      <c r="F98" s="151"/>
      <c r="G98" s="122"/>
      <c r="H98" s="151"/>
    </row>
    <row r="99" spans="1:8">
      <c r="A99" s="123"/>
      <c r="B99" s="117" t="s">
        <v>144</v>
      </c>
      <c r="C99" s="148">
        <f>'Schedule 3A - 2025'!F99</f>
        <v>4320.91</v>
      </c>
      <c r="D99" s="148">
        <v>0</v>
      </c>
      <c r="E99" s="148"/>
      <c r="F99" s="148">
        <f t="shared" ref="F99:F111" si="12">C99+D99-E99</f>
        <v>4320.91</v>
      </c>
      <c r="G99" s="143">
        <v>50</v>
      </c>
      <c r="H99" s="148">
        <f t="shared" ref="H99:H111" si="13">IFERROR(C99/G99+D99/G99/2,0)</f>
        <v>86.418199999999999</v>
      </c>
    </row>
    <row r="100" spans="1:8">
      <c r="A100" s="123"/>
      <c r="B100" s="117" t="s">
        <v>145</v>
      </c>
      <c r="C100" s="148">
        <f>'Schedule 3A - 2025'!F100</f>
        <v>5938453.1499999994</v>
      </c>
      <c r="D100" s="148">
        <v>0</v>
      </c>
      <c r="E100" s="148"/>
      <c r="F100" s="148">
        <f t="shared" si="12"/>
        <v>5938453.1499999994</v>
      </c>
      <c r="G100" s="143">
        <v>50</v>
      </c>
      <c r="H100" s="148">
        <f t="shared" si="13"/>
        <v>118769.06299999999</v>
      </c>
    </row>
    <row r="101" spans="1:8">
      <c r="A101" s="123"/>
      <c r="B101" s="117" t="s">
        <v>146</v>
      </c>
      <c r="C101" s="148">
        <f>'Schedule 3A - 2025'!F101</f>
        <v>12676536.230000004</v>
      </c>
      <c r="D101" s="148">
        <v>840000</v>
      </c>
      <c r="E101" s="148"/>
      <c r="F101" s="148">
        <f t="shared" si="12"/>
        <v>13516536.230000004</v>
      </c>
      <c r="G101" s="143">
        <v>55</v>
      </c>
      <c r="H101" s="148">
        <f t="shared" si="13"/>
        <v>238118.84054545464</v>
      </c>
    </row>
    <row r="102" spans="1:8">
      <c r="A102" s="123"/>
      <c r="B102" s="117" t="s">
        <v>147</v>
      </c>
      <c r="C102" s="148">
        <f>'Schedule 3A - 2025'!F102</f>
        <v>2068554.5099999998</v>
      </c>
      <c r="D102" s="148">
        <v>40000</v>
      </c>
      <c r="E102" s="148"/>
      <c r="F102" s="148">
        <f t="shared" si="12"/>
        <v>2108554.5099999998</v>
      </c>
      <c r="G102" s="143">
        <v>20</v>
      </c>
      <c r="H102" s="148">
        <f t="shared" si="13"/>
        <v>104427.72549999999</v>
      </c>
    </row>
    <row r="103" spans="1:8">
      <c r="A103" s="123"/>
      <c r="B103" s="117" t="s">
        <v>148</v>
      </c>
      <c r="C103" s="148">
        <f>'Schedule 3A - 2025'!F103</f>
        <v>19296.990000000002</v>
      </c>
      <c r="D103" s="148">
        <v>0</v>
      </c>
      <c r="E103" s="148"/>
      <c r="F103" s="148">
        <f t="shared" si="12"/>
        <v>19296.990000000002</v>
      </c>
      <c r="G103" s="143">
        <v>40</v>
      </c>
      <c r="H103" s="148">
        <f t="shared" si="13"/>
        <v>482.42475000000002</v>
      </c>
    </row>
    <row r="104" spans="1:8">
      <c r="A104" s="123"/>
      <c r="B104" s="117" t="s">
        <v>149</v>
      </c>
      <c r="C104" s="148">
        <f>'Schedule 3A - 2025'!F104</f>
        <v>174953.86</v>
      </c>
      <c r="D104" s="148">
        <v>25000</v>
      </c>
      <c r="E104" s="148"/>
      <c r="F104" s="148">
        <f t="shared" si="12"/>
        <v>199953.86</v>
      </c>
      <c r="G104" s="143">
        <v>30</v>
      </c>
      <c r="H104" s="148">
        <f t="shared" si="13"/>
        <v>6248.4619999999995</v>
      </c>
    </row>
    <row r="105" spans="1:8">
      <c r="A105" s="123"/>
      <c r="B105" s="117" t="s">
        <v>150</v>
      </c>
      <c r="C105" s="148">
        <f>'Schedule 3A - 2025'!F105</f>
        <v>2711678.3200000003</v>
      </c>
      <c r="D105" s="148">
        <v>485000</v>
      </c>
      <c r="E105" s="148"/>
      <c r="F105" s="148">
        <f t="shared" si="12"/>
        <v>3196678.3200000003</v>
      </c>
      <c r="G105" s="143">
        <v>7</v>
      </c>
      <c r="H105" s="148">
        <f t="shared" si="13"/>
        <v>422025.47428571433</v>
      </c>
    </row>
    <row r="106" spans="1:8">
      <c r="A106" s="123"/>
      <c r="B106" s="117" t="s">
        <v>151</v>
      </c>
      <c r="C106" s="148">
        <f>'Schedule 3A - 2025'!F106</f>
        <v>0</v>
      </c>
      <c r="D106" s="148">
        <v>0</v>
      </c>
      <c r="E106" s="148"/>
      <c r="F106" s="148">
        <f t="shared" si="12"/>
        <v>0</v>
      </c>
      <c r="G106" s="143">
        <v>5</v>
      </c>
      <c r="H106" s="148">
        <f t="shared" si="13"/>
        <v>0</v>
      </c>
    </row>
    <row r="107" spans="1:8">
      <c r="A107" s="123"/>
      <c r="B107" s="117" t="s">
        <v>152</v>
      </c>
      <c r="C107" s="148">
        <f>'Schedule 3A - 2025'!F107</f>
        <v>4385924.3199999984</v>
      </c>
      <c r="D107" s="148">
        <v>1230000</v>
      </c>
      <c r="E107" s="148"/>
      <c r="F107" s="148">
        <f t="shared" si="12"/>
        <v>5615924.3199999984</v>
      </c>
      <c r="G107" s="143">
        <v>20</v>
      </c>
      <c r="H107" s="148">
        <f t="shared" si="13"/>
        <v>250046.21599999993</v>
      </c>
    </row>
    <row r="108" spans="1:8">
      <c r="A108" s="123"/>
      <c r="B108" s="117" t="s">
        <v>136</v>
      </c>
      <c r="C108" s="148">
        <f>'Schedule 3A - 2025'!F108</f>
        <v>0</v>
      </c>
      <c r="D108" s="148">
        <v>0</v>
      </c>
      <c r="E108" s="148"/>
      <c r="F108" s="148">
        <f t="shared" si="12"/>
        <v>0</v>
      </c>
      <c r="G108" s="143">
        <v>15</v>
      </c>
      <c r="H108" s="148">
        <f t="shared" si="13"/>
        <v>0</v>
      </c>
    </row>
    <row r="109" spans="1:8">
      <c r="A109" s="123"/>
      <c r="B109" s="117" t="s">
        <v>153</v>
      </c>
      <c r="C109" s="148">
        <f>'Schedule 3A - 2025'!F109</f>
        <v>5793772.7699999977</v>
      </c>
      <c r="D109" s="148">
        <v>80000</v>
      </c>
      <c r="E109" s="148"/>
      <c r="F109" s="148">
        <f t="shared" si="12"/>
        <v>5873772.7699999977</v>
      </c>
      <c r="G109" s="143">
        <v>20</v>
      </c>
      <c r="H109" s="148">
        <f t="shared" si="13"/>
        <v>291688.63849999988</v>
      </c>
    </row>
    <row r="110" spans="1:8">
      <c r="A110" s="123"/>
      <c r="B110" s="117" t="s">
        <v>154</v>
      </c>
      <c r="C110" s="148">
        <f>'Schedule 3A - 2025'!F110</f>
        <v>59031.369999999995</v>
      </c>
      <c r="D110" s="148">
        <v>0</v>
      </c>
      <c r="E110" s="148"/>
      <c r="F110" s="148">
        <f t="shared" si="12"/>
        <v>59031.369999999995</v>
      </c>
      <c r="G110" s="143">
        <v>40</v>
      </c>
      <c r="H110" s="148">
        <f t="shared" si="13"/>
        <v>1475.7842499999999</v>
      </c>
    </row>
    <row r="111" spans="1:8">
      <c r="A111" s="123"/>
      <c r="B111" s="117" t="s">
        <v>155</v>
      </c>
      <c r="C111" s="148">
        <f>'Schedule 3A - 2025'!F111</f>
        <v>2152408.6399999997</v>
      </c>
      <c r="D111" s="148">
        <v>0</v>
      </c>
      <c r="E111" s="148"/>
      <c r="F111" s="148">
        <f t="shared" si="12"/>
        <v>2152408.6399999997</v>
      </c>
      <c r="G111" s="143">
        <v>40</v>
      </c>
      <c r="H111" s="148">
        <f t="shared" si="13"/>
        <v>53810.215999999993</v>
      </c>
    </row>
    <row r="112" spans="1:8">
      <c r="A112" s="123"/>
      <c r="B112" s="117" t="s">
        <v>313</v>
      </c>
      <c r="C112" s="149"/>
      <c r="D112" s="149"/>
      <c r="E112" s="149"/>
      <c r="F112" s="149"/>
      <c r="G112" s="144"/>
      <c r="H112" s="149">
        <v>-67343.759999999995</v>
      </c>
    </row>
    <row r="113" spans="1:8" s="121" customFormat="1" ht="18" customHeight="1">
      <c r="A113" s="112" t="s">
        <v>156</v>
      </c>
      <c r="B113" s="112"/>
      <c r="C113" s="150">
        <f>SUBTOTAL(9,C99:C112)</f>
        <v>35984931.069999993</v>
      </c>
      <c r="D113" s="150">
        <f>SUBTOTAL(9,D99:D112)</f>
        <v>2700000</v>
      </c>
      <c r="E113" s="150">
        <f>SUBTOTAL(9,E99:E112)</f>
        <v>0</v>
      </c>
      <c r="F113" s="150">
        <f>SUBTOTAL(9,F99:F112)</f>
        <v>38684931.069999993</v>
      </c>
      <c r="G113" s="120"/>
      <c r="H113" s="150">
        <f>SUBTOTAL(9,H99:H112)</f>
        <v>1419835.5030311688</v>
      </c>
    </row>
    <row r="114" spans="1:8">
      <c r="C114" s="152"/>
      <c r="D114" s="152"/>
      <c r="E114" s="152"/>
      <c r="F114" s="152"/>
      <c r="G114" s="126"/>
      <c r="H114" s="152"/>
    </row>
    <row r="115" spans="1:8">
      <c r="A115" s="112" t="s">
        <v>157</v>
      </c>
      <c r="C115" s="151"/>
      <c r="D115" s="151"/>
      <c r="E115" s="151"/>
      <c r="F115" s="151"/>
      <c r="G115" s="122"/>
      <c r="H115" s="151"/>
    </row>
    <row r="116" spans="1:8">
      <c r="A116" s="123"/>
      <c r="B116" s="117" t="s">
        <v>158</v>
      </c>
      <c r="C116" s="148">
        <f>'Schedule 3A - 2025'!F116</f>
        <v>458414.00999999995</v>
      </c>
      <c r="D116" s="148">
        <v>50000</v>
      </c>
      <c r="E116" s="148"/>
      <c r="F116" s="148">
        <f t="shared" ref="F116:F122" si="14">C116+D116-E116</f>
        <v>508414.00999999995</v>
      </c>
      <c r="G116" s="143">
        <v>8</v>
      </c>
      <c r="H116" s="148">
        <f t="shared" ref="H116:H122" si="15">IFERROR(C116/G116+D116/G116/2,0)</f>
        <v>60426.751249999994</v>
      </c>
    </row>
    <row r="117" spans="1:8">
      <c r="A117" s="123"/>
      <c r="B117" s="117" t="s">
        <v>159</v>
      </c>
      <c r="C117" s="148">
        <f>'Schedule 3A - 2025'!F117</f>
        <v>211681.52</v>
      </c>
      <c r="D117" s="148">
        <v>0</v>
      </c>
      <c r="E117" s="148"/>
      <c r="F117" s="148">
        <f t="shared" si="14"/>
        <v>211681.52</v>
      </c>
      <c r="G117" s="143">
        <v>11</v>
      </c>
      <c r="H117" s="148">
        <f t="shared" si="15"/>
        <v>19243.774545454544</v>
      </c>
    </row>
    <row r="118" spans="1:8">
      <c r="A118" s="123"/>
      <c r="B118" s="117" t="s">
        <v>299</v>
      </c>
      <c r="C118" s="148">
        <f>'Schedule 3A - 2025'!F118</f>
        <v>71771.58</v>
      </c>
      <c r="D118" s="148">
        <v>0</v>
      </c>
      <c r="E118" s="148"/>
      <c r="F118" s="148">
        <f t="shared" si="14"/>
        <v>71771.58</v>
      </c>
      <c r="G118" s="143">
        <v>25</v>
      </c>
      <c r="H118" s="148">
        <f t="shared" si="15"/>
        <v>2870.8632000000002</v>
      </c>
    </row>
    <row r="119" spans="1:8">
      <c r="A119" s="123"/>
      <c r="B119" s="117" t="s">
        <v>160</v>
      </c>
      <c r="C119" s="148">
        <f>'Schedule 3A - 2025'!F119</f>
        <v>53710.58</v>
      </c>
      <c r="D119" s="148">
        <v>0</v>
      </c>
      <c r="E119" s="148"/>
      <c r="F119" s="148">
        <f t="shared" si="14"/>
        <v>53710.58</v>
      </c>
      <c r="G119" s="143">
        <v>25</v>
      </c>
      <c r="H119" s="148">
        <f t="shared" si="15"/>
        <v>2148.4232000000002</v>
      </c>
    </row>
    <row r="120" spans="1:8">
      <c r="A120" s="123"/>
      <c r="B120" s="117" t="s">
        <v>161</v>
      </c>
      <c r="C120" s="148">
        <f>'Schedule 3A - 2025'!F120</f>
        <v>5433154.2199999997</v>
      </c>
      <c r="D120" s="148">
        <v>860000</v>
      </c>
      <c r="E120" s="148"/>
      <c r="F120" s="148">
        <f t="shared" si="14"/>
        <v>6293154.2199999997</v>
      </c>
      <c r="G120" s="143">
        <v>9</v>
      </c>
      <c r="H120" s="148">
        <f t="shared" si="15"/>
        <v>651461.57999999996</v>
      </c>
    </row>
    <row r="121" spans="1:8">
      <c r="A121" s="123"/>
      <c r="B121" s="117" t="s">
        <v>162</v>
      </c>
      <c r="C121" s="148">
        <f>'Schedule 3A - 2025'!F121</f>
        <v>2666730.69</v>
      </c>
      <c r="D121" s="148">
        <v>0</v>
      </c>
      <c r="E121" s="148"/>
      <c r="F121" s="148">
        <f t="shared" si="14"/>
        <v>2666730.69</v>
      </c>
      <c r="G121" s="143">
        <v>20</v>
      </c>
      <c r="H121" s="148">
        <f t="shared" si="15"/>
        <v>133336.53450000001</v>
      </c>
    </row>
    <row r="122" spans="1:8">
      <c r="A122" s="123"/>
      <c r="B122" s="117" t="s">
        <v>300</v>
      </c>
      <c r="C122" s="148">
        <f>'Schedule 3A - 2025'!F122</f>
        <v>1003858.15</v>
      </c>
      <c r="D122" s="148">
        <v>0</v>
      </c>
      <c r="E122" s="148"/>
      <c r="F122" s="148">
        <f t="shared" si="14"/>
        <v>1003858.15</v>
      </c>
      <c r="G122" s="145">
        <v>20</v>
      </c>
      <c r="H122" s="148">
        <f t="shared" si="15"/>
        <v>50192.907500000001</v>
      </c>
    </row>
    <row r="123" spans="1:8">
      <c r="A123" s="123"/>
      <c r="B123" s="117" t="s">
        <v>313</v>
      </c>
      <c r="C123" s="149"/>
      <c r="D123" s="149"/>
      <c r="E123" s="149"/>
      <c r="F123" s="149"/>
      <c r="G123" s="146"/>
      <c r="H123" s="149">
        <v>19267.32</v>
      </c>
    </row>
    <row r="124" spans="1:8" s="121" customFormat="1" ht="18" customHeight="1">
      <c r="A124" s="112" t="s">
        <v>163</v>
      </c>
      <c r="B124" s="112"/>
      <c r="C124" s="150">
        <f>SUBTOTAL(9,C116:C123)</f>
        <v>9899320.75</v>
      </c>
      <c r="D124" s="150">
        <f>SUBTOTAL(9,D116:D123)</f>
        <v>910000</v>
      </c>
      <c r="E124" s="150">
        <f>SUBTOTAL(9,E116:E123)</f>
        <v>0</v>
      </c>
      <c r="F124" s="150">
        <f>SUBTOTAL(9,F116:F123)</f>
        <v>10809320.75</v>
      </c>
      <c r="G124" s="119"/>
      <c r="H124" s="150">
        <f>SUBTOTAL(9,H116:H123)</f>
        <v>938948.15419545455</v>
      </c>
    </row>
    <row r="125" spans="1:8">
      <c r="C125" s="152"/>
      <c r="D125" s="152"/>
      <c r="E125" s="152"/>
      <c r="F125" s="152"/>
      <c r="H125" s="152"/>
    </row>
    <row r="126" spans="1:8">
      <c r="A126" s="112" t="s">
        <v>301</v>
      </c>
      <c r="C126" s="151"/>
      <c r="D126" s="151"/>
      <c r="E126" s="151"/>
      <c r="F126" s="151"/>
      <c r="G126" s="122"/>
      <c r="H126" s="151"/>
    </row>
    <row r="127" spans="1:8">
      <c r="A127" s="123"/>
      <c r="B127" s="117" t="s">
        <v>301</v>
      </c>
      <c r="C127" s="149">
        <f>'Schedule 3A - 2025'!F127</f>
        <v>1165687.07</v>
      </c>
      <c r="D127" s="149">
        <v>1250000</v>
      </c>
      <c r="E127" s="149"/>
      <c r="F127" s="149">
        <f>C127+D127-E127</f>
        <v>2415687.0700000003</v>
      </c>
      <c r="G127" s="144">
        <v>0</v>
      </c>
      <c r="H127" s="149">
        <v>0</v>
      </c>
    </row>
    <row r="128" spans="1:8" s="121" customFormat="1" ht="18.75" customHeight="1">
      <c r="A128" s="112" t="s">
        <v>302</v>
      </c>
      <c r="B128" s="112"/>
      <c r="C128" s="150">
        <f>SUBTOTAL(9,C127)</f>
        <v>1165687.07</v>
      </c>
      <c r="D128" s="150">
        <f>SUBTOTAL(9,D127)</f>
        <v>1250000</v>
      </c>
      <c r="E128" s="150">
        <f>SUBTOTAL(9,E127)</f>
        <v>0</v>
      </c>
      <c r="F128" s="150">
        <f>SUBTOTAL(9,F127)</f>
        <v>2415687.0700000003</v>
      </c>
      <c r="G128" s="120"/>
      <c r="H128" s="150">
        <f>SUBTOTAL(9,H127)</f>
        <v>0</v>
      </c>
    </row>
    <row r="129" spans="1:8" s="121" customFormat="1" ht="18.75" customHeight="1">
      <c r="A129" s="112"/>
      <c r="B129" s="112"/>
      <c r="C129" s="150"/>
      <c r="D129" s="150"/>
      <c r="E129" s="150"/>
      <c r="F129" s="150"/>
      <c r="G129" s="120"/>
      <c r="H129" s="150"/>
    </row>
    <row r="130" spans="1:8">
      <c r="A130" s="112" t="s">
        <v>303</v>
      </c>
      <c r="C130" s="151"/>
      <c r="D130" s="151"/>
      <c r="E130" s="151"/>
      <c r="F130" s="151"/>
      <c r="G130" s="122"/>
      <c r="H130" s="151"/>
    </row>
    <row r="131" spans="1:8">
      <c r="A131" s="123"/>
      <c r="B131" s="117" t="s">
        <v>103</v>
      </c>
      <c r="C131" s="148">
        <f>'Schedule 3A - 2025'!F131</f>
        <v>6184735</v>
      </c>
      <c r="D131" s="148">
        <v>0</v>
      </c>
      <c r="E131" s="148"/>
      <c r="F131" s="148">
        <f t="shared" ref="F131:F137" si="16">C131+D131-E131</f>
        <v>6184735</v>
      </c>
      <c r="G131" s="143">
        <v>72</v>
      </c>
      <c r="H131" s="148">
        <f t="shared" ref="H131:H137" si="17">IFERROR(C131/G131+D131/G131/2,0)</f>
        <v>85899.097222222219</v>
      </c>
    </row>
    <row r="132" spans="1:8">
      <c r="A132" s="123"/>
      <c r="B132" s="117" t="s">
        <v>304</v>
      </c>
      <c r="C132" s="148">
        <f>'Schedule 3A - 2025'!F132</f>
        <v>13200669.02</v>
      </c>
      <c r="D132" s="148">
        <v>0</v>
      </c>
      <c r="E132" s="148"/>
      <c r="F132" s="148">
        <f t="shared" si="16"/>
        <v>13200669.02</v>
      </c>
      <c r="G132" s="143">
        <v>60</v>
      </c>
      <c r="H132" s="148">
        <f t="shared" si="17"/>
        <v>220011.15033333332</v>
      </c>
    </row>
    <row r="133" spans="1:8">
      <c r="A133" s="123"/>
      <c r="B133" s="117" t="s">
        <v>305</v>
      </c>
      <c r="C133" s="148">
        <f>'Schedule 3A - 2025'!F133</f>
        <v>20890968.260000002</v>
      </c>
      <c r="D133" s="148">
        <v>0</v>
      </c>
      <c r="E133" s="148"/>
      <c r="F133" s="148">
        <f t="shared" si="16"/>
        <v>20890968.260000002</v>
      </c>
      <c r="G133" s="143">
        <v>40</v>
      </c>
      <c r="H133" s="148">
        <f t="shared" si="17"/>
        <v>522274.20650000003</v>
      </c>
    </row>
    <row r="134" spans="1:8">
      <c r="A134" s="123"/>
      <c r="B134" s="117" t="s">
        <v>293</v>
      </c>
      <c r="C134" s="148">
        <f>'Schedule 3A - 2025'!F134</f>
        <v>3772382.34</v>
      </c>
      <c r="D134" s="148">
        <v>1520000</v>
      </c>
      <c r="E134" s="148"/>
      <c r="F134" s="148">
        <f t="shared" si="16"/>
        <v>5292382.34</v>
      </c>
      <c r="G134" s="143">
        <v>2</v>
      </c>
      <c r="H134" s="148">
        <f t="shared" si="17"/>
        <v>2266191.17</v>
      </c>
    </row>
    <row r="135" spans="1:8">
      <c r="A135" s="123"/>
      <c r="B135" s="117" t="s">
        <v>106</v>
      </c>
      <c r="C135" s="148">
        <f>'Schedule 3A - 2025'!F135</f>
        <v>3655939.21</v>
      </c>
      <c r="D135" s="148">
        <v>0</v>
      </c>
      <c r="E135" s="148"/>
      <c r="F135" s="148">
        <f t="shared" si="16"/>
        <v>3655939.21</v>
      </c>
      <c r="G135" s="143">
        <v>45</v>
      </c>
      <c r="H135" s="148">
        <f t="shared" si="17"/>
        <v>81243.093555555548</v>
      </c>
    </row>
    <row r="136" spans="1:8">
      <c r="A136" s="123"/>
      <c r="B136" s="117" t="s">
        <v>107</v>
      </c>
      <c r="C136" s="148">
        <f>'Schedule 3A - 2025'!F136</f>
        <v>2944021.28</v>
      </c>
      <c r="D136" s="148">
        <v>0</v>
      </c>
      <c r="E136" s="148"/>
      <c r="F136" s="148">
        <f t="shared" si="16"/>
        <v>2944021.28</v>
      </c>
      <c r="G136" s="143">
        <v>30</v>
      </c>
      <c r="H136" s="148">
        <f t="shared" si="17"/>
        <v>98134.042666666661</v>
      </c>
    </row>
    <row r="137" spans="1:8">
      <c r="A137" s="123"/>
      <c r="B137" s="113" t="s">
        <v>306</v>
      </c>
      <c r="C137" s="148">
        <f>'Schedule 3A - 2025'!F137</f>
        <v>779651</v>
      </c>
      <c r="D137" s="148">
        <v>0</v>
      </c>
      <c r="E137" s="148"/>
      <c r="F137" s="148">
        <f t="shared" si="16"/>
        <v>779651</v>
      </c>
      <c r="G137" s="143">
        <v>30</v>
      </c>
      <c r="H137" s="148">
        <f t="shared" si="17"/>
        <v>25988.366666666665</v>
      </c>
    </row>
    <row r="138" spans="1:8">
      <c r="A138" s="123"/>
      <c r="B138" s="117" t="s">
        <v>313</v>
      </c>
      <c r="C138" s="149"/>
      <c r="D138" s="149"/>
      <c r="E138" s="149"/>
      <c r="F138" s="149"/>
      <c r="G138" s="144"/>
      <c r="H138" s="149">
        <v>-13981.32</v>
      </c>
    </row>
    <row r="139" spans="1:8" s="121" customFormat="1" ht="18" customHeight="1">
      <c r="A139" s="112" t="s">
        <v>307</v>
      </c>
      <c r="B139" s="112"/>
      <c r="C139" s="150">
        <f>SUBTOTAL(9,C131:C138)</f>
        <v>51428366.110000007</v>
      </c>
      <c r="D139" s="150">
        <f>SUBTOTAL(9,D131:D138)</f>
        <v>1520000</v>
      </c>
      <c r="E139" s="150">
        <f>SUBTOTAL(9,E131:E138)</f>
        <v>0</v>
      </c>
      <c r="F139" s="150">
        <f>SUBTOTAL(9,F131:F138)</f>
        <v>52948366.110000007</v>
      </c>
      <c r="G139" s="127"/>
      <c r="H139" s="150">
        <f>SUBTOTAL(9,H131:H138)</f>
        <v>3285759.8069444448</v>
      </c>
    </row>
    <row r="140" spans="1:8">
      <c r="C140" s="152"/>
      <c r="D140" s="152"/>
      <c r="E140" s="152"/>
      <c r="F140" s="152"/>
      <c r="H140" s="152"/>
    </row>
    <row r="141" spans="1:8">
      <c r="A141" s="121" t="s">
        <v>458</v>
      </c>
      <c r="C141" s="152"/>
      <c r="D141" s="152"/>
      <c r="E141" s="152"/>
      <c r="F141" s="152"/>
      <c r="H141" s="152"/>
    </row>
    <row r="142" spans="1:8">
      <c r="B142" s="113" t="s">
        <v>458</v>
      </c>
      <c r="C142" s="149">
        <f>'Schedule 3A - 2025'!F142</f>
        <v>0</v>
      </c>
      <c r="D142" s="149">
        <v>34957900.009999998</v>
      </c>
      <c r="E142" s="149"/>
      <c r="F142" s="149">
        <f>C142+D142</f>
        <v>34957900.009999998</v>
      </c>
      <c r="G142" s="144">
        <v>20</v>
      </c>
      <c r="H142" s="149">
        <f>IFERROR(C142/G142+D142/G142/2,0)</f>
        <v>873947.50024999992</v>
      </c>
    </row>
    <row r="143" spans="1:8">
      <c r="A143" s="121" t="s">
        <v>459</v>
      </c>
      <c r="C143" s="150">
        <f>SUBTOTAL(9,C142)</f>
        <v>0</v>
      </c>
      <c r="D143" s="150">
        <f>SUBTOTAL(9,D142)</f>
        <v>34957900.009999998</v>
      </c>
      <c r="E143" s="150">
        <f>SUBTOTAL(9,E142)</f>
        <v>0</v>
      </c>
      <c r="F143" s="150">
        <f>SUBTOTAL(9,F142)</f>
        <v>34957900.009999998</v>
      </c>
      <c r="G143" s="156"/>
      <c r="H143" s="150">
        <f>SUBTOTAL(9,H142)</f>
        <v>873947.50024999992</v>
      </c>
    </row>
    <row r="144" spans="1:8">
      <c r="C144" s="152"/>
      <c r="D144" s="152"/>
      <c r="E144" s="152"/>
      <c r="F144" s="152"/>
      <c r="H144" s="152"/>
    </row>
    <row r="145" spans="1:8">
      <c r="C145" s="152"/>
      <c r="D145" s="152"/>
      <c r="E145" s="152"/>
      <c r="F145" s="152"/>
      <c r="H145" s="152"/>
    </row>
    <row r="146" spans="1:8">
      <c r="A146" s="121" t="s">
        <v>356</v>
      </c>
      <c r="C146" s="152"/>
      <c r="D146" s="152"/>
      <c r="E146" s="152"/>
      <c r="F146" s="152"/>
      <c r="H146" s="152"/>
    </row>
    <row r="147" spans="1:8">
      <c r="B147" s="113" t="s">
        <v>356</v>
      </c>
      <c r="C147" s="149">
        <f>'Schedule 3A - 2025'!F147</f>
        <v>1930990.1099999999</v>
      </c>
      <c r="D147" s="149">
        <v>0</v>
      </c>
      <c r="E147" s="149"/>
      <c r="F147" s="149">
        <f>C147+D147</f>
        <v>1930990.1099999999</v>
      </c>
      <c r="G147" s="144"/>
      <c r="H147" s="149">
        <v>225597.91</v>
      </c>
    </row>
    <row r="148" spans="1:8">
      <c r="A148" s="121" t="s">
        <v>357</v>
      </c>
      <c r="C148" s="150">
        <f>SUBTOTAL(9,C147)</f>
        <v>1930990.1099999999</v>
      </c>
      <c r="D148" s="150">
        <f>SUBTOTAL(9,D147)</f>
        <v>0</v>
      </c>
      <c r="E148" s="150">
        <f>SUBTOTAL(9,E147)</f>
        <v>0</v>
      </c>
      <c r="F148" s="150">
        <f>SUBTOTAL(9,F147)</f>
        <v>1930990.1099999999</v>
      </c>
      <c r="G148" s="156"/>
      <c r="H148" s="150">
        <f>SUBTOTAL(9,H147)</f>
        <v>225597.91</v>
      </c>
    </row>
    <row r="149" spans="1:8">
      <c r="C149" s="152"/>
      <c r="D149" s="152"/>
      <c r="E149" s="152"/>
      <c r="F149" s="152"/>
      <c r="H149" s="152"/>
    </row>
    <row r="150" spans="1:8" s="121" customFormat="1" ht="18" customHeight="1">
      <c r="A150" s="112" t="s">
        <v>28</v>
      </c>
      <c r="B150" s="112"/>
      <c r="C150" s="150">
        <f>SUBTOTAL(9,C9:C148)</f>
        <v>838317704.0879997</v>
      </c>
      <c r="D150" s="150">
        <f>SUBTOTAL(9,D9:D148)</f>
        <v>159033476.55000001</v>
      </c>
      <c r="E150" s="150">
        <f>SUBTOTAL(9,E9:E148)</f>
        <v>1537.3377600000001</v>
      </c>
      <c r="F150" s="150">
        <f>SUBTOTAL(9,F9:F148)</f>
        <v>997349643.30023968</v>
      </c>
      <c r="G150" s="127"/>
      <c r="H150" s="150">
        <f>SUBTOTAL(9,H9:H148)</f>
        <v>24511465.52250284</v>
      </c>
    </row>
    <row r="151" spans="1:8">
      <c r="C151" s="125"/>
      <c r="D151" s="125"/>
      <c r="E151" s="125"/>
      <c r="F151" s="125"/>
      <c r="H151" s="125"/>
    </row>
  </sheetData>
  <printOptions horizontalCentered="1"/>
  <pageMargins left="0.55118110236220474" right="0.31496062992125984" top="0.82677165354330717" bottom="0.9055118110236221" header="0.51181102362204722" footer="0.51181102362204722"/>
  <pageSetup scale="59" fitToHeight="2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D0B5-C2E4-4956-AB62-2292670B6AF6}">
  <sheetPr>
    <tabColor theme="9" tint="0.39997558519241921"/>
    <pageSetUpPr fitToPage="1"/>
  </sheetPr>
  <dimension ref="A1:U151"/>
  <sheetViews>
    <sheetView view="pageBreakPreview" zoomScale="85" zoomScaleNormal="100" zoomScaleSheetLayoutView="85" workbookViewId="0">
      <pane ySplit="6" topLeftCell="A114" activePane="bottomLeft" state="frozen"/>
      <selection activeCell="I1" sqref="I1"/>
      <selection pane="bottomLeft" activeCell="A119" sqref="A119"/>
    </sheetView>
  </sheetViews>
  <sheetFormatPr defaultColWidth="9.1796875" defaultRowHeight="12.5"/>
  <cols>
    <col min="1" max="1" width="5.7265625" style="113" customWidth="1"/>
    <col min="2" max="2" width="31.1796875" style="113" customWidth="1"/>
    <col min="3" max="4" width="14.54296875" style="114" customWidth="1"/>
    <col min="5" max="5" width="12.54296875" style="114" bestFit="1" customWidth="1"/>
    <col min="6" max="6" width="14.54296875" style="114" customWidth="1"/>
    <col min="7" max="7" width="15.26953125" style="115" customWidth="1"/>
    <col min="8" max="8" width="17" style="114" customWidth="1"/>
    <col min="22" max="16384" width="9.1796875" style="113"/>
  </cols>
  <sheetData>
    <row r="1" spans="1:21" s="133" customFormat="1" ht="15.75" customHeight="1">
      <c r="A1" s="137" t="s">
        <v>0</v>
      </c>
      <c r="B1" s="134"/>
      <c r="C1" s="134"/>
      <c r="D1" s="134"/>
      <c r="E1" s="138"/>
      <c r="F1" s="134"/>
      <c r="H1" s="196" t="s">
        <v>466</v>
      </c>
    </row>
    <row r="2" spans="1:21" s="133" customFormat="1" ht="15.75" customHeight="1">
      <c r="A2" s="139" t="s">
        <v>467</v>
      </c>
      <c r="B2" s="134"/>
      <c r="C2" s="134"/>
      <c r="D2" s="134"/>
      <c r="E2" s="138"/>
      <c r="F2" s="134"/>
      <c r="H2" s="195" t="str">
        <f>'Schedule 1'!$M$2</f>
        <v>2025-27 GRA CF</v>
      </c>
    </row>
    <row r="3" spans="1:21" s="133" customFormat="1" ht="15.75" customHeight="1">
      <c r="A3" s="153" t="s">
        <v>332</v>
      </c>
      <c r="B3" s="134"/>
      <c r="C3" s="134"/>
      <c r="D3" s="134"/>
      <c r="E3" s="138"/>
      <c r="F3" s="134"/>
      <c r="G3" s="134"/>
      <c r="H3" s="134"/>
    </row>
    <row r="4" spans="1:21" s="133" customFormat="1" ht="15.75" customHeight="1">
      <c r="A4" s="135"/>
      <c r="B4" s="135"/>
      <c r="C4" s="135"/>
      <c r="D4" s="135"/>
      <c r="E4" s="135"/>
      <c r="F4" s="135"/>
      <c r="G4" s="135"/>
      <c r="H4" s="135"/>
    </row>
    <row r="5" spans="1:21" s="133" customFormat="1" ht="13" thickBot="1">
      <c r="A5" s="140"/>
      <c r="B5" s="140"/>
      <c r="C5" s="136"/>
      <c r="D5" s="136"/>
      <c r="E5" s="136"/>
      <c r="F5" s="136"/>
      <c r="G5" s="141"/>
      <c r="H5" s="136"/>
    </row>
    <row r="6" spans="1:21" s="142" customFormat="1" ht="50.5" thickBot="1">
      <c r="A6" s="140"/>
      <c r="B6" s="190" t="s">
        <v>9</v>
      </c>
      <c r="C6" s="191" t="s">
        <v>464</v>
      </c>
      <c r="D6" s="191" t="s">
        <v>468</v>
      </c>
      <c r="E6" s="192" t="s">
        <v>469</v>
      </c>
      <c r="F6" s="191" t="s">
        <v>470</v>
      </c>
      <c r="G6" s="193" t="s">
        <v>422</v>
      </c>
      <c r="H6" s="191" t="s">
        <v>471</v>
      </c>
    </row>
    <row r="7" spans="1:21" s="142" customFormat="1">
      <c r="A7" s="140"/>
      <c r="B7" s="200" t="s">
        <v>448</v>
      </c>
      <c r="C7" s="201" t="s">
        <v>449</v>
      </c>
      <c r="D7" s="201" t="s">
        <v>450</v>
      </c>
      <c r="E7" s="202" t="s">
        <v>451</v>
      </c>
      <c r="F7" s="201" t="s">
        <v>452</v>
      </c>
      <c r="G7" s="203" t="s">
        <v>453</v>
      </c>
      <c r="H7" s="201" t="s">
        <v>455</v>
      </c>
    </row>
    <row r="8" spans="1:21">
      <c r="A8" s="112" t="s">
        <v>95</v>
      </c>
      <c r="U8" s="113"/>
    </row>
    <row r="9" spans="1:21">
      <c r="A9" s="116"/>
      <c r="B9" s="117" t="s">
        <v>96</v>
      </c>
      <c r="C9" s="148">
        <f>'Schedule 3A - 2026'!F9</f>
        <v>444911.51999999996</v>
      </c>
      <c r="D9" s="148">
        <v>0</v>
      </c>
      <c r="E9" s="148"/>
      <c r="F9" s="148">
        <f t="shared" ref="F9:F14" si="0">C9+D9-E9</f>
        <v>444911.51999999996</v>
      </c>
      <c r="G9" s="143">
        <v>0</v>
      </c>
      <c r="H9" s="148">
        <f t="shared" ref="H9:H14" si="1">IFERROR(C9/G9+D9/G9/2,0)</f>
        <v>0</v>
      </c>
      <c r="U9" s="113"/>
    </row>
    <row r="10" spans="1:21">
      <c r="A10" s="116"/>
      <c r="B10" s="117" t="s">
        <v>97</v>
      </c>
      <c r="C10" s="148">
        <f>'Schedule 3A - 2026'!F10</f>
        <v>27680.47</v>
      </c>
      <c r="D10" s="148">
        <v>0</v>
      </c>
      <c r="E10" s="148"/>
      <c r="F10" s="148">
        <f t="shared" si="0"/>
        <v>27680.47</v>
      </c>
      <c r="G10" s="143">
        <v>0</v>
      </c>
      <c r="H10" s="148">
        <f t="shared" si="1"/>
        <v>0</v>
      </c>
      <c r="U10" s="113"/>
    </row>
    <row r="11" spans="1:21">
      <c r="A11" s="116"/>
      <c r="B11" s="117" t="s">
        <v>98</v>
      </c>
      <c r="C11" s="148">
        <f>'Schedule 3A - 2026'!F11</f>
        <v>576862.49</v>
      </c>
      <c r="D11" s="148">
        <v>0</v>
      </c>
      <c r="E11" s="148"/>
      <c r="F11" s="148">
        <f t="shared" si="0"/>
        <v>576862.49</v>
      </c>
      <c r="G11" s="143">
        <v>0</v>
      </c>
      <c r="H11" s="148">
        <f t="shared" si="1"/>
        <v>0</v>
      </c>
      <c r="U11" s="113"/>
    </row>
    <row r="12" spans="1:21">
      <c r="A12" s="116"/>
      <c r="B12" s="117" t="s">
        <v>132</v>
      </c>
      <c r="C12" s="148">
        <f>'Schedule 3A - 2026'!F12</f>
        <v>17775.009999999998</v>
      </c>
      <c r="D12" s="148">
        <v>0</v>
      </c>
      <c r="E12" s="148"/>
      <c r="F12" s="148">
        <f t="shared" si="0"/>
        <v>17775.009999999998</v>
      </c>
      <c r="G12" s="143">
        <v>0</v>
      </c>
      <c r="H12" s="148">
        <f t="shared" si="1"/>
        <v>0</v>
      </c>
      <c r="U12" s="113"/>
    </row>
    <row r="13" spans="1:21">
      <c r="A13" s="116"/>
      <c r="B13" s="117" t="s">
        <v>99</v>
      </c>
      <c r="C13" s="148">
        <f>'Schedule 3A - 2026'!F13</f>
        <v>547992.46000000008</v>
      </c>
      <c r="D13" s="148">
        <v>0</v>
      </c>
      <c r="E13" s="148"/>
      <c r="F13" s="148">
        <f t="shared" si="0"/>
        <v>547992.46000000008</v>
      </c>
      <c r="G13" s="143">
        <v>0</v>
      </c>
      <c r="H13" s="148">
        <f t="shared" si="1"/>
        <v>0</v>
      </c>
      <c r="U13" s="113"/>
    </row>
    <row r="14" spans="1:21">
      <c r="A14" s="116"/>
      <c r="B14" s="117" t="s">
        <v>100</v>
      </c>
      <c r="C14" s="148">
        <f>'Schedule 3A - 2026'!F14</f>
        <v>75329.550240000011</v>
      </c>
      <c r="D14" s="148">
        <v>0</v>
      </c>
      <c r="E14" s="148">
        <f>H14</f>
        <v>1506.5910048000003</v>
      </c>
      <c r="F14" s="148">
        <f t="shared" si="0"/>
        <v>73822.959235200018</v>
      </c>
      <c r="G14" s="143">
        <v>50</v>
      </c>
      <c r="H14" s="148">
        <f t="shared" si="1"/>
        <v>1506.5910048000003</v>
      </c>
      <c r="U14" s="113"/>
    </row>
    <row r="15" spans="1:21">
      <c r="A15" s="116"/>
      <c r="B15" s="117" t="s">
        <v>313</v>
      </c>
      <c r="C15" s="149"/>
      <c r="D15" s="149"/>
      <c r="E15" s="149"/>
      <c r="F15" s="149"/>
      <c r="G15" s="118"/>
      <c r="H15" s="149">
        <v>-12.96</v>
      </c>
      <c r="U15" s="113"/>
    </row>
    <row r="16" spans="1:21" s="121" customFormat="1" ht="18.75" customHeight="1">
      <c r="A16" s="112" t="s">
        <v>101</v>
      </c>
      <c r="B16" s="112"/>
      <c r="C16" s="150">
        <f>SUBTOTAL(9,C9:C15)</f>
        <v>1690551.5002400002</v>
      </c>
      <c r="D16" s="150">
        <f>SUBTOTAL(9,D9:D15)</f>
        <v>0</v>
      </c>
      <c r="E16" s="150">
        <f>SUBTOTAL(9,E9:E15)</f>
        <v>1506.5910048000003</v>
      </c>
      <c r="F16" s="150">
        <f>SUBTOTAL(9,F9:F15)</f>
        <v>1689044.9092352001</v>
      </c>
      <c r="G16" s="120"/>
      <c r="H16" s="150">
        <f>SUBTOTAL(9,H9:H15)</f>
        <v>1493.6310048000003</v>
      </c>
    </row>
    <row r="17" spans="1:21">
      <c r="C17" s="151"/>
      <c r="D17" s="151"/>
      <c r="E17" s="151"/>
      <c r="F17" s="151"/>
      <c r="G17" s="122"/>
      <c r="H17" s="151"/>
      <c r="U17" s="113"/>
    </row>
    <row r="18" spans="1:21">
      <c r="A18" s="112" t="s">
        <v>102</v>
      </c>
      <c r="C18" s="151"/>
      <c r="D18" s="151"/>
      <c r="E18" s="151"/>
      <c r="F18" s="151"/>
      <c r="G18" s="122"/>
      <c r="H18" s="151"/>
      <c r="U18" s="113"/>
    </row>
    <row r="19" spans="1:21">
      <c r="A19" s="123"/>
      <c r="B19" s="117" t="s">
        <v>103</v>
      </c>
      <c r="C19" s="148">
        <f>'Schedule 3A - 2026'!F19</f>
        <v>171071205.09999999</v>
      </c>
      <c r="D19" s="148">
        <v>1300000</v>
      </c>
      <c r="E19" s="148"/>
      <c r="F19" s="148">
        <f t="shared" ref="F19:F28" si="2">C19+D19-E19</f>
        <v>172371205.09999999</v>
      </c>
      <c r="G19" s="143">
        <v>72</v>
      </c>
      <c r="H19" s="148">
        <f t="shared" ref="H19:H28" si="3">IFERROR(C19/G19+D19/G19/2,0)</f>
        <v>2385016.7375000003</v>
      </c>
      <c r="U19" s="113"/>
    </row>
    <row r="20" spans="1:21">
      <c r="A20" s="123"/>
      <c r="B20" s="117" t="s">
        <v>110</v>
      </c>
      <c r="C20" s="148">
        <f>'Schedule 3A - 2026'!F20</f>
        <v>10278688.460000001</v>
      </c>
      <c r="D20" s="148">
        <v>400000</v>
      </c>
      <c r="E20" s="148"/>
      <c r="F20" s="148">
        <f t="shared" si="2"/>
        <v>10678688.460000001</v>
      </c>
      <c r="G20" s="143">
        <v>40</v>
      </c>
      <c r="H20" s="148">
        <f t="shared" si="3"/>
        <v>261967.21150000003</v>
      </c>
      <c r="U20" s="113"/>
    </row>
    <row r="21" spans="1:21">
      <c r="A21" s="123"/>
      <c r="B21" s="117" t="s">
        <v>104</v>
      </c>
      <c r="C21" s="148">
        <f>'Schedule 3A - 2026'!F21</f>
        <v>168840009.76000002</v>
      </c>
      <c r="D21" s="148">
        <v>1100000</v>
      </c>
      <c r="E21" s="148"/>
      <c r="F21" s="148">
        <f t="shared" si="2"/>
        <v>169940009.76000002</v>
      </c>
      <c r="G21" s="143">
        <v>103</v>
      </c>
      <c r="H21" s="148">
        <f t="shared" si="3"/>
        <v>1644563.2015533983</v>
      </c>
      <c r="U21" s="113"/>
    </row>
    <row r="22" spans="1:21">
      <c r="A22" s="123"/>
      <c r="B22" s="117" t="s">
        <v>353</v>
      </c>
      <c r="C22" s="148">
        <f>'Schedule 3A - 2026'!F22</f>
        <v>6711437.5</v>
      </c>
      <c r="D22" s="148">
        <v>0</v>
      </c>
      <c r="E22" s="148"/>
      <c r="F22" s="148">
        <f t="shared" si="2"/>
        <v>6711437.5</v>
      </c>
      <c r="G22" s="143">
        <v>103</v>
      </c>
      <c r="H22" s="148">
        <f t="shared" si="3"/>
        <v>65159.587378640776</v>
      </c>
      <c r="U22" s="113"/>
    </row>
    <row r="23" spans="1:21">
      <c r="A23" s="123"/>
      <c r="B23" s="117" t="s">
        <v>293</v>
      </c>
      <c r="C23" s="148">
        <f>'Schedule 3A - 2026'!F23</f>
        <v>13677670.189999999</v>
      </c>
      <c r="D23" s="148">
        <v>2050000</v>
      </c>
      <c r="E23" s="148"/>
      <c r="F23" s="148">
        <f t="shared" si="2"/>
        <v>15727670.189999999</v>
      </c>
      <c r="G23" s="143">
        <v>10</v>
      </c>
      <c r="H23" s="148">
        <f t="shared" si="3"/>
        <v>1470267.0189999999</v>
      </c>
      <c r="U23" s="113"/>
    </row>
    <row r="24" spans="1:21">
      <c r="A24" s="123"/>
      <c r="B24" s="117" t="s">
        <v>105</v>
      </c>
      <c r="C24" s="148">
        <f>'Schedule 3A - 2026'!F24</f>
        <v>28222837.399999995</v>
      </c>
      <c r="D24" s="148">
        <v>0</v>
      </c>
      <c r="E24" s="148"/>
      <c r="F24" s="148">
        <f t="shared" si="2"/>
        <v>28222837.399999995</v>
      </c>
      <c r="G24" s="143">
        <v>85</v>
      </c>
      <c r="H24" s="148">
        <f t="shared" si="3"/>
        <v>332033.38117647055</v>
      </c>
      <c r="U24" s="113"/>
    </row>
    <row r="25" spans="1:21">
      <c r="A25" s="123"/>
      <c r="B25" s="117" t="s">
        <v>106</v>
      </c>
      <c r="C25" s="148">
        <f>'Schedule 3A - 2026'!F25</f>
        <v>27401092.300000001</v>
      </c>
      <c r="D25" s="148">
        <v>460000</v>
      </c>
      <c r="E25" s="148"/>
      <c r="F25" s="148">
        <f t="shared" si="2"/>
        <v>27861092.300000001</v>
      </c>
      <c r="G25" s="143">
        <v>40</v>
      </c>
      <c r="H25" s="148">
        <f t="shared" si="3"/>
        <v>690777.3075</v>
      </c>
      <c r="U25" s="113"/>
    </row>
    <row r="26" spans="1:21">
      <c r="A26" s="123"/>
      <c r="B26" s="117" t="s">
        <v>311</v>
      </c>
      <c r="C26" s="148">
        <f>'Schedule 3A - 2026'!F26</f>
        <v>858680.05</v>
      </c>
      <c r="D26" s="148">
        <v>0</v>
      </c>
      <c r="E26" s="148"/>
      <c r="F26" s="148">
        <f t="shared" si="2"/>
        <v>858680.05</v>
      </c>
      <c r="G26" s="143">
        <v>20</v>
      </c>
      <c r="H26" s="148">
        <f t="shared" si="3"/>
        <v>42934.002500000002</v>
      </c>
      <c r="U26" s="113"/>
    </row>
    <row r="27" spans="1:21">
      <c r="A27" s="123"/>
      <c r="B27" s="117" t="s">
        <v>107</v>
      </c>
      <c r="C27" s="148">
        <f>'Schedule 3A - 2026'!F27</f>
        <v>15193941.240000002</v>
      </c>
      <c r="D27" s="148">
        <v>350000</v>
      </c>
      <c r="E27" s="148"/>
      <c r="F27" s="148">
        <f t="shared" si="2"/>
        <v>15543941.240000002</v>
      </c>
      <c r="G27" s="143">
        <v>30</v>
      </c>
      <c r="H27" s="148">
        <f t="shared" si="3"/>
        <v>512298.04133333336</v>
      </c>
      <c r="U27" s="113"/>
    </row>
    <row r="28" spans="1:21">
      <c r="A28" s="123"/>
      <c r="B28" s="117" t="s">
        <v>108</v>
      </c>
      <c r="C28" s="148">
        <f>'Schedule 3A - 2026'!F28</f>
        <v>107086</v>
      </c>
      <c r="D28" s="148">
        <v>0</v>
      </c>
      <c r="E28" s="148"/>
      <c r="F28" s="148">
        <f t="shared" si="2"/>
        <v>107086</v>
      </c>
      <c r="G28" s="143">
        <v>30</v>
      </c>
      <c r="H28" s="148">
        <f t="shared" si="3"/>
        <v>3569.5333333333333</v>
      </c>
      <c r="U28" s="113"/>
    </row>
    <row r="29" spans="1:21">
      <c r="A29" s="123"/>
      <c r="B29" s="117" t="s">
        <v>313</v>
      </c>
      <c r="C29" s="149"/>
      <c r="D29" s="149"/>
      <c r="E29" s="149"/>
      <c r="F29" s="149"/>
      <c r="G29" s="144"/>
      <c r="H29" s="149">
        <v>-140295.96</v>
      </c>
      <c r="U29" s="113"/>
    </row>
    <row r="30" spans="1:21" s="121" customFormat="1">
      <c r="A30" s="112" t="s">
        <v>109</v>
      </c>
      <c r="B30" s="112"/>
      <c r="C30" s="150">
        <f>SUBTOTAL(9,C19:C29)</f>
        <v>442362648.00000006</v>
      </c>
      <c r="D30" s="150">
        <f>SUBTOTAL(9,D19:D29)</f>
        <v>5660000</v>
      </c>
      <c r="E30" s="150">
        <f>SUBTOTAL(9,E19:E29)</f>
        <v>0</v>
      </c>
      <c r="F30" s="150">
        <f>SUBTOTAL(9,F19:F29)</f>
        <v>448022648.00000006</v>
      </c>
      <c r="G30" s="119"/>
      <c r="H30" s="150">
        <f>SUBTOTAL(9,H19:H29)</f>
        <v>7268290.0627751769</v>
      </c>
    </row>
    <row r="31" spans="1:21">
      <c r="C31" s="151"/>
      <c r="D31" s="151"/>
      <c r="E31" s="151"/>
      <c r="F31" s="151"/>
      <c r="G31" s="122"/>
      <c r="H31" s="151"/>
      <c r="U31" s="113"/>
    </row>
    <row r="32" spans="1:21">
      <c r="A32" s="112" t="s">
        <v>97</v>
      </c>
      <c r="C32" s="151"/>
      <c r="D32" s="151"/>
      <c r="E32" s="151"/>
      <c r="F32" s="151"/>
      <c r="G32" s="122"/>
      <c r="H32" s="151"/>
      <c r="U32" s="113"/>
    </row>
    <row r="33" spans="1:21">
      <c r="A33" s="123"/>
      <c r="B33" s="117" t="s">
        <v>103</v>
      </c>
      <c r="C33" s="148">
        <f>'Schedule 3A - 2026'!F33</f>
        <v>6848082.21</v>
      </c>
      <c r="D33" s="148">
        <v>0</v>
      </c>
      <c r="E33" s="148"/>
      <c r="F33" s="148">
        <f t="shared" ref="F33:F40" si="4">C33+D33-E33</f>
        <v>6848082.21</v>
      </c>
      <c r="G33" s="143">
        <v>72</v>
      </c>
      <c r="H33" s="148">
        <f t="shared" ref="H33:H40" si="5">IFERROR(C33/G33+D33/G33/2,0)</f>
        <v>95112.252916666665</v>
      </c>
      <c r="U33" s="113"/>
    </row>
    <row r="34" spans="1:21">
      <c r="A34" s="123"/>
      <c r="B34" s="117" t="s">
        <v>110</v>
      </c>
      <c r="C34" s="148">
        <f>'Schedule 3A - 2026'!F34</f>
        <v>474668.13</v>
      </c>
      <c r="D34" s="148">
        <v>0</v>
      </c>
      <c r="E34" s="148"/>
      <c r="F34" s="148">
        <f t="shared" si="4"/>
        <v>474668.13</v>
      </c>
      <c r="G34" s="143">
        <v>55</v>
      </c>
      <c r="H34" s="148">
        <f t="shared" si="5"/>
        <v>8630.3296363636364</v>
      </c>
      <c r="U34" s="113"/>
    </row>
    <row r="35" spans="1:21">
      <c r="A35" s="123"/>
      <c r="B35" s="117" t="s">
        <v>111</v>
      </c>
      <c r="C35" s="148">
        <f>'Schedule 3A - 2026'!F35</f>
        <v>2835507.95</v>
      </c>
      <c r="D35" s="148">
        <v>265000</v>
      </c>
      <c r="E35" s="148"/>
      <c r="F35" s="148">
        <f t="shared" si="4"/>
        <v>3100507.95</v>
      </c>
      <c r="G35" s="143">
        <v>40</v>
      </c>
      <c r="H35" s="148">
        <f t="shared" si="5"/>
        <v>74200.19875000001</v>
      </c>
      <c r="U35" s="113"/>
    </row>
    <row r="36" spans="1:21">
      <c r="A36" s="123"/>
      <c r="B36" s="117" t="s">
        <v>112</v>
      </c>
      <c r="C36" s="148">
        <f>'Schedule 3A - 2026'!F36</f>
        <v>76053596.390000001</v>
      </c>
      <c r="D36" s="148">
        <v>56873190</v>
      </c>
      <c r="E36" s="148"/>
      <c r="F36" s="148">
        <f t="shared" si="4"/>
        <v>132926786.39</v>
      </c>
      <c r="G36" s="143">
        <v>40</v>
      </c>
      <c r="H36" s="148">
        <f t="shared" si="5"/>
        <v>2612254.7847500001</v>
      </c>
      <c r="U36" s="113"/>
    </row>
    <row r="37" spans="1:21">
      <c r="A37" s="123"/>
      <c r="B37" s="117" t="s">
        <v>293</v>
      </c>
      <c r="C37" s="148">
        <f>'Schedule 3A - 2026'!F37</f>
        <v>3937780.46</v>
      </c>
      <c r="D37" s="148">
        <v>0</v>
      </c>
      <c r="E37" s="148"/>
      <c r="F37" s="148">
        <f t="shared" si="4"/>
        <v>3937780.46</v>
      </c>
      <c r="G37" s="143">
        <v>5</v>
      </c>
      <c r="H37" s="148">
        <f t="shared" si="5"/>
        <v>787556.09199999995</v>
      </c>
      <c r="U37" s="113"/>
    </row>
    <row r="38" spans="1:21">
      <c r="A38" s="123"/>
      <c r="B38" s="117" t="s">
        <v>312</v>
      </c>
      <c r="C38" s="148">
        <f>'Schedule 3A - 2026'!F38</f>
        <v>243547.65000000002</v>
      </c>
      <c r="D38" s="148">
        <v>0</v>
      </c>
      <c r="E38" s="148"/>
      <c r="F38" s="148">
        <f t="shared" si="4"/>
        <v>243547.65000000002</v>
      </c>
      <c r="G38" s="143">
        <v>12</v>
      </c>
      <c r="H38" s="148">
        <f t="shared" si="5"/>
        <v>20295.637500000001</v>
      </c>
      <c r="U38" s="113"/>
    </row>
    <row r="39" spans="1:21">
      <c r="A39" s="123"/>
      <c r="B39" s="117" t="s">
        <v>106</v>
      </c>
      <c r="C39" s="148">
        <f>'Schedule 3A - 2026'!F39</f>
        <v>9040987.5399999991</v>
      </c>
      <c r="D39" s="148">
        <v>0</v>
      </c>
      <c r="E39" s="148"/>
      <c r="F39" s="148">
        <f t="shared" si="4"/>
        <v>9040987.5399999991</v>
      </c>
      <c r="G39" s="143">
        <v>45</v>
      </c>
      <c r="H39" s="148">
        <f t="shared" si="5"/>
        <v>200910.83422222221</v>
      </c>
      <c r="U39" s="113"/>
    </row>
    <row r="40" spans="1:21">
      <c r="A40" s="123"/>
      <c r="B40" s="117" t="s">
        <v>107</v>
      </c>
      <c r="C40" s="148">
        <f>'Schedule 3A - 2026'!F40</f>
        <v>1949382.7200000002</v>
      </c>
      <c r="D40" s="148">
        <v>0</v>
      </c>
      <c r="E40" s="148"/>
      <c r="F40" s="148">
        <f t="shared" si="4"/>
        <v>1949382.7200000002</v>
      </c>
      <c r="G40" s="143">
        <v>30</v>
      </c>
      <c r="H40" s="148">
        <f t="shared" si="5"/>
        <v>64979.424000000006</v>
      </c>
      <c r="U40" s="113"/>
    </row>
    <row r="41" spans="1:21">
      <c r="A41" s="123"/>
      <c r="B41" s="117" t="s">
        <v>313</v>
      </c>
      <c r="C41" s="149"/>
      <c r="D41" s="149"/>
      <c r="E41" s="149"/>
      <c r="F41" s="149"/>
      <c r="G41" s="118"/>
      <c r="H41" s="149">
        <v>-66276.72</v>
      </c>
      <c r="U41" s="113"/>
    </row>
    <row r="42" spans="1:21" s="121" customFormat="1" ht="18.75" customHeight="1">
      <c r="A42" s="112" t="s">
        <v>113</v>
      </c>
      <c r="B42" s="112"/>
      <c r="C42" s="150">
        <f>SUBTOTAL(9,C33:C41)</f>
        <v>101383553.05000001</v>
      </c>
      <c r="D42" s="150">
        <f>SUBTOTAL(9,D33:D41)</f>
        <v>57138190</v>
      </c>
      <c r="E42" s="150">
        <f>SUBTOTAL(9,E33:E41)</f>
        <v>0</v>
      </c>
      <c r="F42" s="150">
        <f>SUBTOTAL(9,F33:F41)</f>
        <v>158521743.05000001</v>
      </c>
      <c r="G42" s="120"/>
      <c r="H42" s="150">
        <f>SUBTOTAL(9,H33:H41)</f>
        <v>3797662.8337752526</v>
      </c>
    </row>
    <row r="43" spans="1:21">
      <c r="C43" s="151"/>
      <c r="D43" s="151"/>
      <c r="E43" s="151"/>
      <c r="F43" s="151"/>
      <c r="G43" s="122"/>
      <c r="H43" s="151"/>
      <c r="U43" s="113"/>
    </row>
    <row r="44" spans="1:21">
      <c r="A44" s="112" t="s">
        <v>114</v>
      </c>
      <c r="C44" s="151"/>
      <c r="D44" s="151"/>
      <c r="E44" s="151"/>
      <c r="F44" s="151"/>
      <c r="G44" s="122"/>
      <c r="H44" s="151"/>
      <c r="U44" s="113"/>
    </row>
    <row r="45" spans="1:21">
      <c r="A45" s="123"/>
      <c r="B45" s="117" t="s">
        <v>114</v>
      </c>
      <c r="C45" s="149">
        <f>'Schedule 3A - 2026'!F45</f>
        <v>0</v>
      </c>
      <c r="D45" s="149">
        <v>0</v>
      </c>
      <c r="E45" s="149"/>
      <c r="F45" s="149">
        <f>C45+D45-E45</f>
        <v>0</v>
      </c>
      <c r="G45" s="144">
        <v>0</v>
      </c>
      <c r="H45" s="149">
        <v>0</v>
      </c>
      <c r="U45" s="113"/>
    </row>
    <row r="46" spans="1:21" s="121" customFormat="1" ht="18.75" customHeight="1">
      <c r="A46" s="112" t="s">
        <v>115</v>
      </c>
      <c r="B46" s="112"/>
      <c r="C46" s="150">
        <f>C45</f>
        <v>0</v>
      </c>
      <c r="D46" s="150">
        <f>D45</f>
        <v>0</v>
      </c>
      <c r="E46" s="150">
        <f>E45</f>
        <v>0</v>
      </c>
      <c r="F46" s="150">
        <f>F45</f>
        <v>0</v>
      </c>
      <c r="G46" s="120"/>
      <c r="H46" s="150">
        <f>SUBTOTAL(9,H45)</f>
        <v>0</v>
      </c>
    </row>
    <row r="47" spans="1:21">
      <c r="C47" s="151"/>
      <c r="D47" s="151"/>
      <c r="E47" s="151"/>
      <c r="F47" s="151"/>
      <c r="G47" s="122"/>
      <c r="H47" s="151"/>
      <c r="U47" s="113"/>
    </row>
    <row r="48" spans="1:21">
      <c r="A48" s="112" t="s">
        <v>98</v>
      </c>
      <c r="C48" s="151"/>
      <c r="D48" s="151"/>
      <c r="E48" s="151"/>
      <c r="F48" s="151"/>
      <c r="G48" s="122"/>
      <c r="H48" s="151"/>
      <c r="U48" s="113"/>
    </row>
    <row r="49" spans="1:21">
      <c r="A49" s="123"/>
      <c r="B49" s="117" t="s">
        <v>116</v>
      </c>
      <c r="C49" s="148">
        <f>'Schedule 3A - 2026'!F49</f>
        <v>84708100.009999961</v>
      </c>
      <c r="D49" s="148">
        <v>6700143.5800000001</v>
      </c>
      <c r="E49" s="148"/>
      <c r="F49" s="148">
        <f t="shared" ref="F49:F59" si="6">C49+D49-E49</f>
        <v>91408243.589999959</v>
      </c>
      <c r="G49" s="143">
        <v>65</v>
      </c>
      <c r="H49" s="148">
        <f t="shared" ref="H49:H59" si="7">IFERROR(C49/G49+D49/G49/2,0)</f>
        <v>1354741.104615384</v>
      </c>
      <c r="U49" s="113"/>
    </row>
    <row r="50" spans="1:21">
      <c r="A50" s="123"/>
      <c r="B50" s="117" t="s">
        <v>117</v>
      </c>
      <c r="C50" s="148">
        <f>'Schedule 3A - 2026'!F50</f>
        <v>16756318.379999999</v>
      </c>
      <c r="D50" s="148">
        <v>0</v>
      </c>
      <c r="E50" s="148"/>
      <c r="F50" s="148">
        <f t="shared" si="6"/>
        <v>16756318.379999999</v>
      </c>
      <c r="G50" s="143">
        <v>60</v>
      </c>
      <c r="H50" s="148">
        <f t="shared" si="7"/>
        <v>279271.973</v>
      </c>
      <c r="U50" s="113"/>
    </row>
    <row r="51" spans="1:21">
      <c r="A51" s="123"/>
      <c r="B51" s="117" t="s">
        <v>118</v>
      </c>
      <c r="C51" s="148">
        <f>'Schedule 3A - 2026'!F51</f>
        <v>4397239.04</v>
      </c>
      <c r="D51" s="148">
        <v>100000</v>
      </c>
      <c r="E51" s="148"/>
      <c r="F51" s="148">
        <f t="shared" si="6"/>
        <v>4497239.04</v>
      </c>
      <c r="G51" s="143">
        <v>60</v>
      </c>
      <c r="H51" s="148">
        <f t="shared" si="7"/>
        <v>74120.650666666668</v>
      </c>
      <c r="U51" s="113"/>
    </row>
    <row r="52" spans="1:21">
      <c r="A52" s="123"/>
      <c r="B52" s="117" t="s">
        <v>119</v>
      </c>
      <c r="C52" s="148">
        <f>'Schedule 3A - 2026'!F52</f>
        <v>22045657.629999995</v>
      </c>
      <c r="D52" s="148">
        <v>0</v>
      </c>
      <c r="E52" s="148"/>
      <c r="F52" s="148">
        <f t="shared" si="6"/>
        <v>22045657.629999995</v>
      </c>
      <c r="G52" s="143">
        <v>60</v>
      </c>
      <c r="H52" s="148">
        <f t="shared" si="7"/>
        <v>367427.62716666661</v>
      </c>
      <c r="U52" s="113"/>
    </row>
    <row r="53" spans="1:21">
      <c r="A53" s="123"/>
      <c r="B53" s="117" t="s">
        <v>120</v>
      </c>
      <c r="C53" s="148">
        <f>'Schedule 3A - 2026'!F53</f>
        <v>277975</v>
      </c>
      <c r="D53" s="148">
        <v>0</v>
      </c>
      <c r="E53" s="148"/>
      <c r="F53" s="148">
        <f t="shared" si="6"/>
        <v>277975</v>
      </c>
      <c r="G53" s="143">
        <v>60</v>
      </c>
      <c r="H53" s="148">
        <f t="shared" si="7"/>
        <v>4632.916666666667</v>
      </c>
      <c r="U53" s="113"/>
    </row>
    <row r="54" spans="1:21">
      <c r="A54" s="123"/>
      <c r="B54" s="117" t="s">
        <v>121</v>
      </c>
      <c r="C54" s="148">
        <f>'Schedule 3A - 2026'!F54</f>
        <v>78676847.119999975</v>
      </c>
      <c r="D54" s="148">
        <v>2200000</v>
      </c>
      <c r="E54" s="148"/>
      <c r="F54" s="148">
        <f t="shared" si="6"/>
        <v>80876847.119999975</v>
      </c>
      <c r="G54" s="143">
        <v>54</v>
      </c>
      <c r="H54" s="148">
        <f t="shared" si="7"/>
        <v>1477349.0207407402</v>
      </c>
      <c r="U54" s="113"/>
    </row>
    <row r="55" spans="1:21">
      <c r="A55" s="123"/>
      <c r="B55" s="117" t="s">
        <v>330</v>
      </c>
      <c r="C55" s="148">
        <f>'Schedule 3A - 2026'!F55</f>
        <v>10688553.15</v>
      </c>
      <c r="D55" s="148">
        <v>0</v>
      </c>
      <c r="E55" s="148"/>
      <c r="F55" s="148">
        <f t="shared" si="6"/>
        <v>10688553.15</v>
      </c>
      <c r="G55" s="143">
        <v>10</v>
      </c>
      <c r="H55" s="148">
        <f t="shared" si="7"/>
        <v>1068855.3149999999</v>
      </c>
      <c r="U55" s="113"/>
    </row>
    <row r="56" spans="1:21">
      <c r="A56" s="123"/>
      <c r="B56" s="117" t="s">
        <v>333</v>
      </c>
      <c r="C56" s="148">
        <f>'Schedule 3A - 2026'!F56</f>
        <v>13991451.050000001</v>
      </c>
      <c r="D56" s="148">
        <v>0</v>
      </c>
      <c r="E56" s="148"/>
      <c r="F56" s="148">
        <f t="shared" si="6"/>
        <v>13991451.050000001</v>
      </c>
      <c r="G56" s="143">
        <v>10</v>
      </c>
      <c r="H56" s="148">
        <f t="shared" si="7"/>
        <v>1399145.105</v>
      </c>
      <c r="U56" s="113"/>
    </row>
    <row r="57" spans="1:21">
      <c r="A57" s="123"/>
      <c r="B57" s="117" t="s">
        <v>334</v>
      </c>
      <c r="C57" s="148">
        <f>'Schedule 3A - 2026'!F57</f>
        <v>848040.31</v>
      </c>
      <c r="D57" s="148">
        <v>0</v>
      </c>
      <c r="E57" s="148"/>
      <c r="F57" s="148">
        <f t="shared" si="6"/>
        <v>848040.31</v>
      </c>
      <c r="G57" s="143">
        <v>10</v>
      </c>
      <c r="H57" s="148">
        <f t="shared" si="7"/>
        <v>84804.031000000003</v>
      </c>
      <c r="U57" s="113"/>
    </row>
    <row r="58" spans="1:21">
      <c r="A58" s="123"/>
      <c r="B58" s="117" t="s">
        <v>122</v>
      </c>
      <c r="C58" s="148">
        <f>'Schedule 3A - 2026'!F58</f>
        <v>8907593.5500000007</v>
      </c>
      <c r="D58" s="148">
        <v>0</v>
      </c>
      <c r="E58" s="148"/>
      <c r="F58" s="148">
        <f t="shared" si="6"/>
        <v>8907593.5500000007</v>
      </c>
      <c r="G58" s="143">
        <v>55</v>
      </c>
      <c r="H58" s="148">
        <f t="shared" si="7"/>
        <v>161956.24636363637</v>
      </c>
      <c r="U58" s="113"/>
    </row>
    <row r="59" spans="1:21">
      <c r="A59" s="123"/>
      <c r="B59" s="117" t="s">
        <v>123</v>
      </c>
      <c r="C59" s="148">
        <f>'Schedule 3A - 2026'!F59</f>
        <v>274477.45</v>
      </c>
      <c r="D59" s="148">
        <v>0</v>
      </c>
      <c r="E59" s="148"/>
      <c r="F59" s="148">
        <f t="shared" si="6"/>
        <v>274477.45</v>
      </c>
      <c r="G59" s="143">
        <v>30</v>
      </c>
      <c r="H59" s="148">
        <f t="shared" si="7"/>
        <v>9149.248333333333</v>
      </c>
      <c r="U59" s="113"/>
    </row>
    <row r="60" spans="1:21">
      <c r="A60" s="123"/>
      <c r="B60" s="117" t="s">
        <v>313</v>
      </c>
      <c r="C60" s="149"/>
      <c r="D60" s="149"/>
      <c r="E60" s="149"/>
      <c r="F60" s="149"/>
      <c r="G60" s="144"/>
      <c r="H60" s="149">
        <v>-79596.960000000006</v>
      </c>
      <c r="U60" s="113"/>
    </row>
    <row r="61" spans="1:21" s="121" customFormat="1" ht="18" customHeight="1">
      <c r="A61" s="112" t="s">
        <v>124</v>
      </c>
      <c r="B61" s="112"/>
      <c r="C61" s="150">
        <f>SUBTOTAL(9,C49:C60)</f>
        <v>241572252.68999997</v>
      </c>
      <c r="D61" s="150">
        <f>SUBTOTAL(9,D49:D60)</f>
        <v>9000143.5800000001</v>
      </c>
      <c r="E61" s="150">
        <f>SUBTOTAL(9,E49:E60)</f>
        <v>0</v>
      </c>
      <c r="F61" s="150">
        <f>SUBTOTAL(9,F49:F60)</f>
        <v>250572396.26999995</v>
      </c>
      <c r="G61" s="120"/>
      <c r="H61" s="150">
        <f>SUBTOTAL(9,H49:H60)</f>
        <v>6201856.2785530947</v>
      </c>
    </row>
    <row r="62" spans="1:21">
      <c r="C62" s="151"/>
      <c r="D62" s="151"/>
      <c r="E62" s="151"/>
      <c r="F62" s="151"/>
      <c r="G62" s="122"/>
      <c r="H62" s="151"/>
      <c r="U62" s="113"/>
    </row>
    <row r="63" spans="1:21">
      <c r="A63" s="112" t="s">
        <v>125</v>
      </c>
      <c r="C63" s="151"/>
      <c r="D63" s="151"/>
      <c r="E63" s="151"/>
      <c r="F63" s="151"/>
      <c r="G63" s="122"/>
      <c r="H63" s="151"/>
      <c r="U63" s="113"/>
    </row>
    <row r="64" spans="1:21">
      <c r="A64" s="123"/>
      <c r="B64" s="117" t="s">
        <v>116</v>
      </c>
      <c r="C64" s="148">
        <f>'Schedule 3A - 2026'!F64</f>
        <v>4640086.0399999991</v>
      </c>
      <c r="D64" s="148">
        <v>0</v>
      </c>
      <c r="E64" s="148"/>
      <c r="F64" s="148">
        <f t="shared" ref="F64:F74" si="8">C64+D64-E64</f>
        <v>4640086.0399999991</v>
      </c>
      <c r="G64" s="143">
        <v>65</v>
      </c>
      <c r="H64" s="148">
        <f t="shared" ref="H64:H74" si="9">IFERROR(C64/G64+D64/G64/2,0)</f>
        <v>71385.939076923067</v>
      </c>
      <c r="U64" s="113"/>
    </row>
    <row r="65" spans="1:21">
      <c r="A65" s="123"/>
      <c r="B65" s="117" t="s">
        <v>126</v>
      </c>
      <c r="C65" s="148">
        <f>'Schedule 3A - 2026'!F65</f>
        <v>2646131.54</v>
      </c>
      <c r="D65" s="148">
        <v>0</v>
      </c>
      <c r="E65" s="148"/>
      <c r="F65" s="148">
        <f t="shared" si="8"/>
        <v>2646131.54</v>
      </c>
      <c r="G65" s="143">
        <v>12</v>
      </c>
      <c r="H65" s="148">
        <f t="shared" si="9"/>
        <v>220510.96166666667</v>
      </c>
      <c r="U65" s="113"/>
    </row>
    <row r="66" spans="1:21">
      <c r="A66" s="123"/>
      <c r="B66" s="117" t="s">
        <v>127</v>
      </c>
      <c r="C66" s="148">
        <f>'Schedule 3A - 2026'!F66</f>
        <v>41597.199999999997</v>
      </c>
      <c r="D66" s="148">
        <v>0</v>
      </c>
      <c r="E66" s="148"/>
      <c r="F66" s="148">
        <f t="shared" si="8"/>
        <v>41597.199999999997</v>
      </c>
      <c r="G66" s="143">
        <v>60</v>
      </c>
      <c r="H66" s="148">
        <f t="shared" si="9"/>
        <v>693.28666666666663</v>
      </c>
      <c r="U66" s="113"/>
    </row>
    <row r="67" spans="1:21">
      <c r="A67" s="123"/>
      <c r="B67" s="117" t="s">
        <v>294</v>
      </c>
      <c r="C67" s="148">
        <f>'Schedule 3A - 2026'!F67</f>
        <v>432532.51</v>
      </c>
      <c r="D67" s="148">
        <v>0</v>
      </c>
      <c r="E67" s="148"/>
      <c r="F67" s="148">
        <f t="shared" si="8"/>
        <v>432532.51</v>
      </c>
      <c r="G67" s="143">
        <v>12</v>
      </c>
      <c r="H67" s="148">
        <f t="shared" si="9"/>
        <v>36044.375833333332</v>
      </c>
      <c r="U67" s="113"/>
    </row>
    <row r="68" spans="1:21">
      <c r="A68" s="123"/>
      <c r="B68" s="117" t="s">
        <v>128</v>
      </c>
      <c r="C68" s="148">
        <f>'Schedule 3A - 2026'!F68</f>
        <v>0</v>
      </c>
      <c r="D68" s="148">
        <v>0</v>
      </c>
      <c r="E68" s="148"/>
      <c r="F68" s="148">
        <f t="shared" si="8"/>
        <v>0</v>
      </c>
      <c r="G68" s="143">
        <v>60</v>
      </c>
      <c r="H68" s="148">
        <f t="shared" si="9"/>
        <v>0</v>
      </c>
      <c r="U68" s="113"/>
    </row>
    <row r="69" spans="1:21">
      <c r="A69" s="123"/>
      <c r="B69" s="117" t="s">
        <v>295</v>
      </c>
      <c r="C69" s="148">
        <f>'Schedule 3A - 2026'!F69</f>
        <v>95136.43</v>
      </c>
      <c r="D69" s="148">
        <v>0</v>
      </c>
      <c r="E69" s="148"/>
      <c r="F69" s="148">
        <f t="shared" si="8"/>
        <v>95136.43</v>
      </c>
      <c r="G69" s="143">
        <v>12</v>
      </c>
      <c r="H69" s="148">
        <f t="shared" si="9"/>
        <v>7928.0358333333324</v>
      </c>
      <c r="U69" s="113"/>
    </row>
    <row r="70" spans="1:21">
      <c r="A70" s="123"/>
      <c r="B70" s="117" t="s">
        <v>129</v>
      </c>
      <c r="C70" s="148">
        <f>'Schedule 3A - 2026'!F70</f>
        <v>1837887.92</v>
      </c>
      <c r="D70" s="148">
        <v>0</v>
      </c>
      <c r="E70" s="148"/>
      <c r="F70" s="148">
        <f t="shared" si="8"/>
        <v>1837887.92</v>
      </c>
      <c r="G70" s="143">
        <v>60</v>
      </c>
      <c r="H70" s="148">
        <f t="shared" si="9"/>
        <v>30631.465333333334</v>
      </c>
      <c r="U70" s="113"/>
    </row>
    <row r="71" spans="1:21">
      <c r="A71" s="123"/>
      <c r="B71" s="117" t="s">
        <v>130</v>
      </c>
      <c r="C71" s="148">
        <f>'Schedule 3A - 2026'!F71</f>
        <v>78813.429999999993</v>
      </c>
      <c r="D71" s="148">
        <v>0</v>
      </c>
      <c r="E71" s="148"/>
      <c r="F71" s="148">
        <f t="shared" si="8"/>
        <v>78813.429999999993</v>
      </c>
      <c r="G71" s="143">
        <v>45</v>
      </c>
      <c r="H71" s="148">
        <f t="shared" si="9"/>
        <v>1751.4095555555555</v>
      </c>
      <c r="U71" s="113"/>
    </row>
    <row r="72" spans="1:21">
      <c r="A72" s="123"/>
      <c r="B72" s="117" t="s">
        <v>296</v>
      </c>
      <c r="C72" s="148">
        <f>'Schedule 3A - 2026'!F72</f>
        <v>920692.5</v>
      </c>
      <c r="D72" s="148">
        <v>0</v>
      </c>
      <c r="E72" s="148"/>
      <c r="F72" s="148">
        <f t="shared" si="8"/>
        <v>920692.5</v>
      </c>
      <c r="G72" s="143">
        <v>12</v>
      </c>
      <c r="H72" s="148">
        <f t="shared" si="9"/>
        <v>76724.375</v>
      </c>
      <c r="U72" s="113"/>
    </row>
    <row r="73" spans="1:21">
      <c r="A73" s="123"/>
      <c r="B73" s="117" t="s">
        <v>297</v>
      </c>
      <c r="C73" s="148">
        <f>'Schedule 3A - 2026'!F73</f>
        <v>8493598.3699999992</v>
      </c>
      <c r="D73" s="148">
        <v>1080000</v>
      </c>
      <c r="E73" s="148"/>
      <c r="F73" s="148">
        <f t="shared" si="8"/>
        <v>9573598.3699999992</v>
      </c>
      <c r="G73" s="143">
        <v>54</v>
      </c>
      <c r="H73" s="148">
        <f t="shared" si="9"/>
        <v>167288.85870370368</v>
      </c>
      <c r="U73" s="113"/>
    </row>
    <row r="74" spans="1:21">
      <c r="A74" s="123"/>
      <c r="B74" s="117" t="s">
        <v>298</v>
      </c>
      <c r="C74" s="148">
        <f>'Schedule 3A - 2026'!F74</f>
        <v>7111245.04</v>
      </c>
      <c r="D74" s="148">
        <v>0</v>
      </c>
      <c r="E74" s="148"/>
      <c r="F74" s="148">
        <f t="shared" si="8"/>
        <v>7111245.04</v>
      </c>
      <c r="G74" s="143">
        <v>12</v>
      </c>
      <c r="H74" s="148">
        <f t="shared" si="9"/>
        <v>592603.7533333333</v>
      </c>
      <c r="U74" s="113"/>
    </row>
    <row r="75" spans="1:21">
      <c r="A75" s="123"/>
      <c r="B75" s="117" t="s">
        <v>313</v>
      </c>
      <c r="C75" s="149"/>
      <c r="D75" s="149"/>
      <c r="E75" s="149"/>
      <c r="F75" s="149"/>
      <c r="G75" s="144"/>
      <c r="H75" s="149">
        <v>-36367.199999999997</v>
      </c>
      <c r="U75" s="113"/>
    </row>
    <row r="76" spans="1:21" s="121" customFormat="1">
      <c r="A76" s="112" t="s">
        <v>131</v>
      </c>
      <c r="B76" s="112"/>
      <c r="C76" s="150">
        <f>SUBTOTAL(9,C64:C75)</f>
        <v>26297720.979999997</v>
      </c>
      <c r="D76" s="150">
        <f>SUBTOTAL(9,D64:D75)</f>
        <v>1080000</v>
      </c>
      <c r="E76" s="150">
        <f>SUBTOTAL(9,E64:E75)</f>
        <v>0</v>
      </c>
      <c r="F76" s="150">
        <f>SUBTOTAL(9,F64:F75)</f>
        <v>27377720.979999997</v>
      </c>
      <c r="G76" s="120"/>
      <c r="H76" s="150">
        <f>SUBTOTAL(9,H64:H75)</f>
        <v>1169195.2610028491</v>
      </c>
    </row>
    <row r="77" spans="1:21">
      <c r="C77" s="151"/>
      <c r="D77" s="151"/>
      <c r="E77" s="151"/>
      <c r="F77" s="151"/>
      <c r="G77" s="122"/>
      <c r="H77" s="151"/>
      <c r="U77" s="113"/>
    </row>
    <row r="78" spans="1:21">
      <c r="A78" s="112" t="s">
        <v>132</v>
      </c>
      <c r="C78" s="151"/>
      <c r="D78" s="151"/>
      <c r="E78" s="151"/>
      <c r="F78" s="151"/>
      <c r="G78" s="122"/>
      <c r="H78" s="151"/>
      <c r="U78" s="113"/>
    </row>
    <row r="79" spans="1:21">
      <c r="A79" s="123"/>
      <c r="B79" s="117" t="s">
        <v>116</v>
      </c>
      <c r="C79" s="148">
        <f>'Schedule 3A - 2026'!F79</f>
        <v>24410879.299999993</v>
      </c>
      <c r="D79" s="148">
        <v>1974900</v>
      </c>
      <c r="E79" s="148"/>
      <c r="F79" s="148">
        <f t="shared" ref="F79:F94" si="10">C79+D79-E79</f>
        <v>26385779.299999993</v>
      </c>
      <c r="G79" s="143">
        <v>40</v>
      </c>
      <c r="H79" s="148">
        <f t="shared" ref="H79:H94" si="11">IFERROR(C79/G79+D79/G79/2,0)</f>
        <v>634958.23249999981</v>
      </c>
      <c r="U79" s="113"/>
    </row>
    <row r="80" spans="1:21">
      <c r="A80" s="123"/>
      <c r="B80" s="117" t="s">
        <v>117</v>
      </c>
      <c r="C80" s="148">
        <f>'Schedule 3A - 2026'!F80</f>
        <v>44763.01</v>
      </c>
      <c r="D80" s="148">
        <v>0</v>
      </c>
      <c r="E80" s="148"/>
      <c r="F80" s="148">
        <f t="shared" si="10"/>
        <v>44763.01</v>
      </c>
      <c r="G80" s="143">
        <v>50</v>
      </c>
      <c r="H80" s="148">
        <f t="shared" si="11"/>
        <v>895.26020000000005</v>
      </c>
      <c r="U80" s="113"/>
    </row>
    <row r="81" spans="1:21">
      <c r="A81" s="123"/>
      <c r="B81" s="117" t="s">
        <v>128</v>
      </c>
      <c r="C81" s="148">
        <f>'Schedule 3A - 2026'!F81</f>
        <v>662900.07999999984</v>
      </c>
      <c r="D81" s="148">
        <v>0</v>
      </c>
      <c r="E81" s="148"/>
      <c r="F81" s="148">
        <f t="shared" si="10"/>
        <v>662900.07999999984</v>
      </c>
      <c r="G81" s="143">
        <v>50</v>
      </c>
      <c r="H81" s="148">
        <f t="shared" si="11"/>
        <v>13258.001599999996</v>
      </c>
      <c r="U81" s="113"/>
    </row>
    <row r="82" spans="1:21">
      <c r="A82" s="123"/>
      <c r="B82" s="117" t="s">
        <v>133</v>
      </c>
      <c r="C82" s="148">
        <f>'Schedule 3A - 2026'!F82</f>
        <v>6478414.0299999993</v>
      </c>
      <c r="D82" s="148">
        <v>0</v>
      </c>
      <c r="E82" s="148"/>
      <c r="F82" s="148">
        <f t="shared" si="10"/>
        <v>6478414.0299999993</v>
      </c>
      <c r="G82" s="143">
        <v>50</v>
      </c>
      <c r="H82" s="148">
        <f t="shared" si="11"/>
        <v>129568.28059999998</v>
      </c>
      <c r="U82" s="113"/>
    </row>
    <row r="83" spans="1:21">
      <c r="A83" s="123"/>
      <c r="B83" s="117" t="s">
        <v>134</v>
      </c>
      <c r="C83" s="148">
        <f>'Schedule 3A - 2026'!F83</f>
        <v>2619726.4199999981</v>
      </c>
      <c r="D83" s="148">
        <v>0</v>
      </c>
      <c r="E83" s="148"/>
      <c r="F83" s="148">
        <f t="shared" si="10"/>
        <v>2619726.4199999981</v>
      </c>
      <c r="G83" s="143">
        <v>40</v>
      </c>
      <c r="H83" s="148">
        <f t="shared" si="11"/>
        <v>65493.160499999954</v>
      </c>
      <c r="U83" s="113"/>
    </row>
    <row r="84" spans="1:21">
      <c r="A84" s="123"/>
      <c r="B84" s="117" t="s">
        <v>135</v>
      </c>
      <c r="C84" s="148">
        <f>'Schedule 3A - 2026'!F84</f>
        <v>385154.92</v>
      </c>
      <c r="D84" s="148">
        <v>0</v>
      </c>
      <c r="E84" s="148"/>
      <c r="F84" s="148">
        <f t="shared" si="10"/>
        <v>385154.92</v>
      </c>
      <c r="G84" s="143">
        <v>40</v>
      </c>
      <c r="H84" s="148">
        <f t="shared" si="11"/>
        <v>9628.8729999999996</v>
      </c>
      <c r="U84" s="113"/>
    </row>
    <row r="85" spans="1:21">
      <c r="A85" s="123"/>
      <c r="B85" s="117" t="s">
        <v>310</v>
      </c>
      <c r="C85" s="148">
        <f>'Schedule 3A - 2026'!F85</f>
        <v>43376.77</v>
      </c>
      <c r="D85" s="148">
        <v>0</v>
      </c>
      <c r="E85" s="148"/>
      <c r="F85" s="148">
        <f t="shared" si="10"/>
        <v>43376.77</v>
      </c>
      <c r="G85" s="143">
        <v>40</v>
      </c>
      <c r="H85" s="148">
        <f t="shared" si="11"/>
        <v>1084.4192499999999</v>
      </c>
      <c r="U85" s="113"/>
    </row>
    <row r="86" spans="1:21">
      <c r="A86" s="123"/>
      <c r="B86" s="117" t="s">
        <v>136</v>
      </c>
      <c r="C86" s="148">
        <f>'Schedule 3A - 2026'!F86</f>
        <v>0</v>
      </c>
      <c r="D86" s="148">
        <v>0</v>
      </c>
      <c r="E86" s="148"/>
      <c r="F86" s="148">
        <f t="shared" si="10"/>
        <v>0</v>
      </c>
      <c r="G86" s="143">
        <v>0</v>
      </c>
      <c r="H86" s="148">
        <f t="shared" si="11"/>
        <v>0</v>
      </c>
      <c r="U86" s="113"/>
    </row>
    <row r="87" spans="1:21">
      <c r="A87" s="123"/>
      <c r="B87" s="117" t="s">
        <v>137</v>
      </c>
      <c r="C87" s="148">
        <f>'Schedule 3A - 2026'!F87</f>
        <v>312632.61</v>
      </c>
      <c r="D87" s="148">
        <v>0</v>
      </c>
      <c r="E87" s="148"/>
      <c r="F87" s="148">
        <f t="shared" si="10"/>
        <v>312632.61</v>
      </c>
      <c r="G87" s="143">
        <v>16</v>
      </c>
      <c r="H87" s="148">
        <f t="shared" si="11"/>
        <v>19539.538124999999</v>
      </c>
      <c r="U87" s="113"/>
    </row>
    <row r="88" spans="1:21">
      <c r="A88" s="123"/>
      <c r="B88" s="117" t="s">
        <v>138</v>
      </c>
      <c r="C88" s="148">
        <f>'Schedule 3A - 2026'!F88</f>
        <v>288392.19</v>
      </c>
      <c r="D88" s="148">
        <v>700000</v>
      </c>
      <c r="E88" s="148"/>
      <c r="F88" s="148">
        <f t="shared" si="10"/>
        <v>988392.19</v>
      </c>
      <c r="G88" s="143">
        <v>16</v>
      </c>
      <c r="H88" s="148">
        <f t="shared" si="11"/>
        <v>39899.511874999997</v>
      </c>
      <c r="U88" s="113"/>
    </row>
    <row r="89" spans="1:21">
      <c r="A89" s="123"/>
      <c r="B89" s="117" t="s">
        <v>121</v>
      </c>
      <c r="C89" s="148">
        <f>'Schedule 3A - 2026'!F89</f>
        <v>2202066.91</v>
      </c>
      <c r="D89" s="148">
        <v>0</v>
      </c>
      <c r="E89" s="148"/>
      <c r="F89" s="148">
        <f t="shared" si="10"/>
        <v>2202066.91</v>
      </c>
      <c r="G89" s="143">
        <v>40</v>
      </c>
      <c r="H89" s="148">
        <f t="shared" si="11"/>
        <v>55051.672750000005</v>
      </c>
      <c r="U89" s="113"/>
    </row>
    <row r="90" spans="1:21">
      <c r="A90" s="123"/>
      <c r="B90" s="117" t="s">
        <v>122</v>
      </c>
      <c r="C90" s="148">
        <f>'Schedule 3A - 2026'!F90</f>
        <v>64798.340000000004</v>
      </c>
      <c r="D90" s="148">
        <v>0</v>
      </c>
      <c r="E90" s="148"/>
      <c r="F90" s="148">
        <f t="shared" si="10"/>
        <v>64798.340000000004</v>
      </c>
      <c r="G90" s="143">
        <v>55</v>
      </c>
      <c r="H90" s="148">
        <f t="shared" si="11"/>
        <v>1178.1516363636365</v>
      </c>
      <c r="U90" s="113"/>
    </row>
    <row r="91" spans="1:21">
      <c r="A91" s="123"/>
      <c r="B91" s="117" t="s">
        <v>123</v>
      </c>
      <c r="C91" s="148">
        <f>'Schedule 3A - 2026'!F91</f>
        <v>100328.43</v>
      </c>
      <c r="D91" s="148">
        <v>0</v>
      </c>
      <c r="E91" s="148"/>
      <c r="F91" s="148">
        <f t="shared" si="10"/>
        <v>100328.43</v>
      </c>
      <c r="G91" s="143">
        <v>30</v>
      </c>
      <c r="H91" s="148">
        <f t="shared" si="11"/>
        <v>3344.2809999999999</v>
      </c>
      <c r="U91" s="113"/>
    </row>
    <row r="92" spans="1:21">
      <c r="A92" s="123"/>
      <c r="B92" s="117" t="s">
        <v>139</v>
      </c>
      <c r="C92" s="148">
        <f>'Schedule 3A - 2026'!F92</f>
        <v>603366.85</v>
      </c>
      <c r="D92" s="148">
        <v>0</v>
      </c>
      <c r="E92" s="148"/>
      <c r="F92" s="148">
        <f t="shared" si="10"/>
        <v>603366.85</v>
      </c>
      <c r="G92" s="143">
        <v>40</v>
      </c>
      <c r="H92" s="148">
        <f t="shared" si="11"/>
        <v>15084.171249999999</v>
      </c>
      <c r="U92" s="113"/>
    </row>
    <row r="93" spans="1:21">
      <c r="A93" s="123"/>
      <c r="B93" s="117" t="s">
        <v>140</v>
      </c>
      <c r="C93" s="148">
        <f>'Schedule 3A - 2026'!F93</f>
        <v>4042479.1899999995</v>
      </c>
      <c r="D93" s="148">
        <v>0</v>
      </c>
      <c r="E93" s="148"/>
      <c r="F93" s="148">
        <f t="shared" si="10"/>
        <v>4042479.1899999995</v>
      </c>
      <c r="G93" s="143">
        <v>35</v>
      </c>
      <c r="H93" s="148">
        <f t="shared" si="11"/>
        <v>115499.40542857141</v>
      </c>
      <c r="U93" s="113"/>
    </row>
    <row r="94" spans="1:21">
      <c r="A94" s="123"/>
      <c r="B94" s="117" t="s">
        <v>141</v>
      </c>
      <c r="C94" s="148">
        <f>'Schedule 3A - 2026'!F94</f>
        <v>36442.910000000003</v>
      </c>
      <c r="D94" s="148">
        <v>0</v>
      </c>
      <c r="E94" s="148"/>
      <c r="F94" s="148">
        <f t="shared" si="10"/>
        <v>36442.910000000003</v>
      </c>
      <c r="G94" s="143">
        <v>30</v>
      </c>
      <c r="H94" s="148">
        <f t="shared" si="11"/>
        <v>1214.7636666666667</v>
      </c>
      <c r="U94" s="113"/>
    </row>
    <row r="95" spans="1:21">
      <c r="A95" s="123"/>
      <c r="B95" s="117" t="s">
        <v>313</v>
      </c>
      <c r="C95" s="149"/>
      <c r="D95" s="149"/>
      <c r="E95" s="149"/>
      <c r="F95" s="149"/>
      <c r="G95" s="118"/>
      <c r="H95" s="149">
        <v>49978.92</v>
      </c>
      <c r="U95" s="113"/>
    </row>
    <row r="96" spans="1:21" s="121" customFormat="1" ht="18" customHeight="1">
      <c r="A96" s="112" t="s">
        <v>142</v>
      </c>
      <c r="B96" s="112"/>
      <c r="C96" s="150">
        <f>SUBTOTAL(9,C79:C95)</f>
        <v>42295721.959999993</v>
      </c>
      <c r="D96" s="150">
        <f>SUBTOTAL(9,D79:D95)</f>
        <v>2674900</v>
      </c>
      <c r="E96" s="150">
        <f>SUBTOTAL(9,E79:E95)</f>
        <v>0</v>
      </c>
      <c r="F96" s="150">
        <f>SUBTOTAL(9,F79:F95)</f>
        <v>44970621.959999993</v>
      </c>
      <c r="G96" s="120"/>
      <c r="H96" s="150">
        <f>SUBTOTAL(9,H79:H95)</f>
        <v>1155676.6433816012</v>
      </c>
    </row>
    <row r="97" spans="1:21">
      <c r="C97" s="152"/>
      <c r="D97" s="152"/>
      <c r="E97" s="152"/>
      <c r="F97" s="152"/>
      <c r="G97" s="124"/>
      <c r="H97" s="152"/>
      <c r="U97" s="113"/>
    </row>
    <row r="98" spans="1:21">
      <c r="A98" s="112" t="s">
        <v>143</v>
      </c>
      <c r="C98" s="151"/>
      <c r="D98" s="151"/>
      <c r="E98" s="151"/>
      <c r="F98" s="151"/>
      <c r="G98" s="122"/>
      <c r="H98" s="151"/>
      <c r="U98" s="113"/>
    </row>
    <row r="99" spans="1:21">
      <c r="A99" s="123"/>
      <c r="B99" s="117" t="s">
        <v>144</v>
      </c>
      <c r="C99" s="148">
        <f>'Schedule 3A - 2026'!F99</f>
        <v>4320.91</v>
      </c>
      <c r="D99" s="148">
        <v>0</v>
      </c>
      <c r="E99" s="148"/>
      <c r="F99" s="148">
        <f t="shared" ref="F99:F111" si="12">C99+D99-E99</f>
        <v>4320.91</v>
      </c>
      <c r="G99" s="143">
        <v>50</v>
      </c>
      <c r="H99" s="148">
        <f t="shared" ref="H99:H111" si="13">IFERROR(C99/G99+D99/G99/2,0)</f>
        <v>86.418199999999999</v>
      </c>
      <c r="U99" s="113"/>
    </row>
    <row r="100" spans="1:21">
      <c r="A100" s="123"/>
      <c r="B100" s="117" t="s">
        <v>145</v>
      </c>
      <c r="C100" s="148">
        <f>'Schedule 3A - 2026'!F100</f>
        <v>5938453.1499999994</v>
      </c>
      <c r="D100" s="148">
        <v>0</v>
      </c>
      <c r="E100" s="148"/>
      <c r="F100" s="148">
        <f t="shared" si="12"/>
        <v>5938453.1499999994</v>
      </c>
      <c r="G100" s="143">
        <v>50</v>
      </c>
      <c r="H100" s="148">
        <f t="shared" si="13"/>
        <v>118769.06299999999</v>
      </c>
      <c r="U100" s="113"/>
    </row>
    <row r="101" spans="1:21">
      <c r="A101" s="123"/>
      <c r="B101" s="117" t="s">
        <v>146</v>
      </c>
      <c r="C101" s="148">
        <f>'Schedule 3A - 2026'!F101</f>
        <v>13516536.230000004</v>
      </c>
      <c r="D101" s="148">
        <v>440000</v>
      </c>
      <c r="E101" s="148"/>
      <c r="F101" s="148">
        <f t="shared" si="12"/>
        <v>13956536.230000004</v>
      </c>
      <c r="G101" s="143">
        <v>55</v>
      </c>
      <c r="H101" s="148">
        <f t="shared" si="13"/>
        <v>249755.20418181826</v>
      </c>
      <c r="U101" s="113"/>
    </row>
    <row r="102" spans="1:21">
      <c r="A102" s="123"/>
      <c r="B102" s="117" t="s">
        <v>147</v>
      </c>
      <c r="C102" s="148">
        <f>'Schedule 3A - 2026'!F102</f>
        <v>2108554.5099999998</v>
      </c>
      <c r="D102" s="148">
        <v>40000</v>
      </c>
      <c r="E102" s="148"/>
      <c r="F102" s="148">
        <f t="shared" si="12"/>
        <v>2148554.5099999998</v>
      </c>
      <c r="G102" s="143">
        <v>20</v>
      </c>
      <c r="H102" s="148">
        <f t="shared" si="13"/>
        <v>106427.72549999999</v>
      </c>
      <c r="U102" s="113"/>
    </row>
    <row r="103" spans="1:21">
      <c r="A103" s="123"/>
      <c r="B103" s="117" t="s">
        <v>148</v>
      </c>
      <c r="C103" s="148">
        <f>'Schedule 3A - 2026'!F103</f>
        <v>19296.990000000002</v>
      </c>
      <c r="D103" s="148">
        <v>0</v>
      </c>
      <c r="E103" s="148"/>
      <c r="F103" s="148">
        <f t="shared" si="12"/>
        <v>19296.990000000002</v>
      </c>
      <c r="G103" s="143">
        <v>40</v>
      </c>
      <c r="H103" s="148">
        <f t="shared" si="13"/>
        <v>482.42475000000002</v>
      </c>
      <c r="U103" s="113"/>
    </row>
    <row r="104" spans="1:21">
      <c r="A104" s="123"/>
      <c r="B104" s="117" t="s">
        <v>149</v>
      </c>
      <c r="C104" s="148">
        <f>'Schedule 3A - 2026'!F104</f>
        <v>199953.86</v>
      </c>
      <c r="D104" s="148">
        <v>25000</v>
      </c>
      <c r="E104" s="148"/>
      <c r="F104" s="148">
        <f t="shared" si="12"/>
        <v>224953.86</v>
      </c>
      <c r="G104" s="143">
        <v>30</v>
      </c>
      <c r="H104" s="148">
        <f t="shared" si="13"/>
        <v>7081.7953333333335</v>
      </c>
      <c r="U104" s="113"/>
    </row>
    <row r="105" spans="1:21">
      <c r="A105" s="123"/>
      <c r="B105" s="117" t="s">
        <v>150</v>
      </c>
      <c r="C105" s="148">
        <f>'Schedule 3A - 2026'!F105</f>
        <v>3196678.3200000003</v>
      </c>
      <c r="D105" s="148">
        <v>860000</v>
      </c>
      <c r="E105" s="148"/>
      <c r="F105" s="148">
        <f t="shared" si="12"/>
        <v>4056678.3200000003</v>
      </c>
      <c r="G105" s="143">
        <v>7</v>
      </c>
      <c r="H105" s="148">
        <f t="shared" si="13"/>
        <v>518096.90285714291</v>
      </c>
      <c r="U105" s="113"/>
    </row>
    <row r="106" spans="1:21">
      <c r="A106" s="123"/>
      <c r="B106" s="117" t="s">
        <v>151</v>
      </c>
      <c r="C106" s="148">
        <f>'Schedule 3A - 2026'!F106</f>
        <v>0</v>
      </c>
      <c r="D106" s="148">
        <v>0</v>
      </c>
      <c r="E106" s="148"/>
      <c r="F106" s="148">
        <f t="shared" si="12"/>
        <v>0</v>
      </c>
      <c r="G106" s="143">
        <v>5</v>
      </c>
      <c r="H106" s="148">
        <f t="shared" si="13"/>
        <v>0</v>
      </c>
      <c r="U106" s="113"/>
    </row>
    <row r="107" spans="1:21">
      <c r="A107" s="123"/>
      <c r="B107" s="117" t="s">
        <v>152</v>
      </c>
      <c r="C107" s="148">
        <f>'Schedule 3A - 2026'!F107</f>
        <v>5615924.3199999984</v>
      </c>
      <c r="D107" s="148">
        <v>695000</v>
      </c>
      <c r="E107" s="148"/>
      <c r="F107" s="148">
        <f t="shared" si="12"/>
        <v>6310924.3199999984</v>
      </c>
      <c r="G107" s="143">
        <v>20</v>
      </c>
      <c r="H107" s="148">
        <f t="shared" si="13"/>
        <v>298171.2159999999</v>
      </c>
      <c r="U107" s="113"/>
    </row>
    <row r="108" spans="1:21">
      <c r="A108" s="123"/>
      <c r="B108" s="117" t="s">
        <v>136</v>
      </c>
      <c r="C108" s="148">
        <f>'Schedule 3A - 2026'!F108</f>
        <v>0</v>
      </c>
      <c r="D108" s="148">
        <v>0</v>
      </c>
      <c r="E108" s="148"/>
      <c r="F108" s="148">
        <f t="shared" si="12"/>
        <v>0</v>
      </c>
      <c r="G108" s="143">
        <v>15</v>
      </c>
      <c r="H108" s="148">
        <f t="shared" si="13"/>
        <v>0</v>
      </c>
      <c r="U108" s="113"/>
    </row>
    <row r="109" spans="1:21">
      <c r="A109" s="123"/>
      <c r="B109" s="117" t="s">
        <v>153</v>
      </c>
      <c r="C109" s="148">
        <f>'Schedule 3A - 2026'!F109</f>
        <v>5873772.7699999977</v>
      </c>
      <c r="D109" s="148">
        <v>194568.73</v>
      </c>
      <c r="E109" s="148"/>
      <c r="F109" s="148">
        <f t="shared" si="12"/>
        <v>6068341.4999999981</v>
      </c>
      <c r="G109" s="143">
        <v>20</v>
      </c>
      <c r="H109" s="148">
        <f t="shared" si="13"/>
        <v>298552.85674999986</v>
      </c>
      <c r="U109" s="113"/>
    </row>
    <row r="110" spans="1:21">
      <c r="A110" s="123"/>
      <c r="B110" s="117" t="s">
        <v>154</v>
      </c>
      <c r="C110" s="148">
        <f>'Schedule 3A - 2026'!F110</f>
        <v>59031.369999999995</v>
      </c>
      <c r="D110" s="148">
        <v>0</v>
      </c>
      <c r="E110" s="148"/>
      <c r="F110" s="148">
        <f t="shared" si="12"/>
        <v>59031.369999999995</v>
      </c>
      <c r="G110" s="143">
        <v>40</v>
      </c>
      <c r="H110" s="148">
        <f t="shared" si="13"/>
        <v>1475.7842499999999</v>
      </c>
      <c r="U110" s="113"/>
    </row>
    <row r="111" spans="1:21">
      <c r="A111" s="123"/>
      <c r="B111" s="117" t="s">
        <v>155</v>
      </c>
      <c r="C111" s="148">
        <f>'Schedule 3A - 2026'!F111</f>
        <v>2152408.6399999997</v>
      </c>
      <c r="D111" s="148">
        <v>0</v>
      </c>
      <c r="E111" s="148"/>
      <c r="F111" s="148">
        <f t="shared" si="12"/>
        <v>2152408.6399999997</v>
      </c>
      <c r="G111" s="143">
        <v>40</v>
      </c>
      <c r="H111" s="148">
        <f t="shared" si="13"/>
        <v>53810.215999999993</v>
      </c>
      <c r="U111" s="113"/>
    </row>
    <row r="112" spans="1:21">
      <c r="A112" s="123"/>
      <c r="B112" s="117" t="s">
        <v>313</v>
      </c>
      <c r="C112" s="149"/>
      <c r="D112" s="149"/>
      <c r="E112" s="149"/>
      <c r="F112" s="149"/>
      <c r="G112" s="144"/>
      <c r="H112" s="149">
        <v>-67343.759999999995</v>
      </c>
      <c r="U112" s="113"/>
    </row>
    <row r="113" spans="1:21" s="121" customFormat="1" ht="18" customHeight="1">
      <c r="A113" s="112" t="s">
        <v>156</v>
      </c>
      <c r="B113" s="112"/>
      <c r="C113" s="150">
        <f>SUBTOTAL(9,C99:C112)</f>
        <v>38684931.069999993</v>
      </c>
      <c r="D113" s="150">
        <f>SUBTOTAL(9,D99:D112)</f>
        <v>2254568.73</v>
      </c>
      <c r="E113" s="150">
        <f>SUBTOTAL(9,E99:E112)</f>
        <v>0</v>
      </c>
      <c r="F113" s="150">
        <f>SUBTOTAL(9,F99:F112)</f>
        <v>40939499.799999997</v>
      </c>
      <c r="G113" s="120"/>
      <c r="H113" s="150">
        <f>SUBTOTAL(9,H99:H112)</f>
        <v>1585365.8468222942</v>
      </c>
    </row>
    <row r="114" spans="1:21">
      <c r="C114" s="152"/>
      <c r="D114" s="152"/>
      <c r="E114" s="152"/>
      <c r="F114" s="152"/>
      <c r="G114" s="126"/>
      <c r="H114" s="152"/>
    </row>
    <row r="115" spans="1:21">
      <c r="A115" s="112" t="s">
        <v>157</v>
      </c>
      <c r="C115" s="151"/>
      <c r="D115" s="151"/>
      <c r="E115" s="151"/>
      <c r="F115" s="151"/>
      <c r="G115" s="122"/>
      <c r="H115" s="151"/>
      <c r="U115" s="113"/>
    </row>
    <row r="116" spans="1:21">
      <c r="A116" s="123"/>
      <c r="B116" s="117" t="s">
        <v>158</v>
      </c>
      <c r="C116" s="148">
        <f>'Schedule 3A - 2026'!F116</f>
        <v>508414.00999999995</v>
      </c>
      <c r="D116" s="148">
        <v>50000</v>
      </c>
      <c r="E116" s="148"/>
      <c r="F116" s="148">
        <f t="shared" ref="F116:F122" si="14">C116+D116-E116</f>
        <v>558414.01</v>
      </c>
      <c r="G116" s="143">
        <v>8</v>
      </c>
      <c r="H116" s="148">
        <f t="shared" ref="H116:H122" si="15">IFERROR(C116/G116+D116/G116/2,0)</f>
        <v>66676.751250000001</v>
      </c>
      <c r="U116" s="113"/>
    </row>
    <row r="117" spans="1:21">
      <c r="A117" s="123"/>
      <c r="B117" s="117" t="s">
        <v>159</v>
      </c>
      <c r="C117" s="148">
        <f>'Schedule 3A - 2026'!F117</f>
        <v>211681.52</v>
      </c>
      <c r="D117" s="148">
        <v>0</v>
      </c>
      <c r="E117" s="148"/>
      <c r="F117" s="148">
        <f t="shared" si="14"/>
        <v>211681.52</v>
      </c>
      <c r="G117" s="143">
        <v>11</v>
      </c>
      <c r="H117" s="148">
        <f t="shared" si="15"/>
        <v>19243.774545454544</v>
      </c>
      <c r="U117" s="113"/>
    </row>
    <row r="118" spans="1:21">
      <c r="A118" s="123"/>
      <c r="B118" s="117" t="s">
        <v>299</v>
      </c>
      <c r="C118" s="148">
        <f>'Schedule 3A - 2026'!F118</f>
        <v>71771.58</v>
      </c>
      <c r="D118" s="148">
        <v>0</v>
      </c>
      <c r="E118" s="148"/>
      <c r="F118" s="148">
        <f t="shared" si="14"/>
        <v>71771.58</v>
      </c>
      <c r="G118" s="143">
        <v>25</v>
      </c>
      <c r="H118" s="148">
        <f t="shared" si="15"/>
        <v>2870.8632000000002</v>
      </c>
      <c r="U118" s="113"/>
    </row>
    <row r="119" spans="1:21">
      <c r="A119" s="123"/>
      <c r="B119" s="117" t="s">
        <v>160</v>
      </c>
      <c r="C119" s="148">
        <f>'Schedule 3A - 2026'!F119</f>
        <v>53710.58</v>
      </c>
      <c r="D119" s="148">
        <v>0</v>
      </c>
      <c r="E119" s="148"/>
      <c r="F119" s="148">
        <f t="shared" si="14"/>
        <v>53710.58</v>
      </c>
      <c r="G119" s="143">
        <v>25</v>
      </c>
      <c r="H119" s="148">
        <f t="shared" si="15"/>
        <v>2148.4232000000002</v>
      </c>
      <c r="U119" s="113"/>
    </row>
    <row r="120" spans="1:21">
      <c r="A120" s="123"/>
      <c r="B120" s="117" t="s">
        <v>161</v>
      </c>
      <c r="C120" s="148">
        <f>'Schedule 3A - 2026'!F120</f>
        <v>6293154.2199999997</v>
      </c>
      <c r="D120" s="148">
        <v>600000</v>
      </c>
      <c r="E120" s="148"/>
      <c r="F120" s="148">
        <f t="shared" si="14"/>
        <v>6893154.2199999997</v>
      </c>
      <c r="G120" s="143">
        <v>9</v>
      </c>
      <c r="H120" s="148">
        <f t="shared" si="15"/>
        <v>732572.69111111108</v>
      </c>
      <c r="U120" s="113"/>
    </row>
    <row r="121" spans="1:21">
      <c r="A121" s="123"/>
      <c r="B121" s="117" t="s">
        <v>162</v>
      </c>
      <c r="C121" s="148">
        <f>'Schedule 3A - 2026'!F121</f>
        <v>2666730.69</v>
      </c>
      <c r="D121" s="148">
        <v>0</v>
      </c>
      <c r="E121" s="148"/>
      <c r="F121" s="148">
        <f t="shared" si="14"/>
        <v>2666730.69</v>
      </c>
      <c r="G121" s="143">
        <v>20</v>
      </c>
      <c r="H121" s="148">
        <f t="shared" si="15"/>
        <v>133336.53450000001</v>
      </c>
      <c r="U121" s="113"/>
    </row>
    <row r="122" spans="1:21">
      <c r="A122" s="123"/>
      <c r="B122" s="117" t="s">
        <v>300</v>
      </c>
      <c r="C122" s="148">
        <f>'Schedule 3A - 2026'!F122</f>
        <v>1003858.15</v>
      </c>
      <c r="D122" s="148">
        <v>0</v>
      </c>
      <c r="E122" s="148"/>
      <c r="F122" s="148">
        <f t="shared" si="14"/>
        <v>1003858.15</v>
      </c>
      <c r="G122" s="145">
        <v>20</v>
      </c>
      <c r="H122" s="148">
        <f t="shared" si="15"/>
        <v>50192.907500000001</v>
      </c>
      <c r="U122" s="113"/>
    </row>
    <row r="123" spans="1:21">
      <c r="A123" s="123"/>
      <c r="B123" s="117" t="s">
        <v>313</v>
      </c>
      <c r="C123" s="149"/>
      <c r="D123" s="149"/>
      <c r="E123" s="149"/>
      <c r="F123" s="149"/>
      <c r="G123" s="146"/>
      <c r="H123" s="149">
        <v>19267.32</v>
      </c>
      <c r="U123" s="113"/>
    </row>
    <row r="124" spans="1:21" s="121" customFormat="1" ht="18" customHeight="1">
      <c r="A124" s="112" t="s">
        <v>163</v>
      </c>
      <c r="B124" s="112"/>
      <c r="C124" s="150">
        <f>SUBTOTAL(9,C116:C123)</f>
        <v>10809320.75</v>
      </c>
      <c r="D124" s="150">
        <f>SUBTOTAL(9,D116:D123)</f>
        <v>650000</v>
      </c>
      <c r="E124" s="150">
        <f>SUBTOTAL(9,E116:E123)</f>
        <v>0</v>
      </c>
      <c r="F124" s="150">
        <f>SUBTOTAL(9,F116:F123)</f>
        <v>11459320.75</v>
      </c>
      <c r="G124" s="119"/>
      <c r="H124" s="150">
        <f>SUBTOTAL(9,H116:H123)</f>
        <v>1026309.2653065656</v>
      </c>
    </row>
    <row r="125" spans="1:21">
      <c r="C125" s="152"/>
      <c r="D125" s="152"/>
      <c r="E125" s="152"/>
      <c r="F125" s="152"/>
      <c r="H125" s="152"/>
    </row>
    <row r="126" spans="1:21">
      <c r="A126" s="112" t="s">
        <v>301</v>
      </c>
      <c r="C126" s="151"/>
      <c r="D126" s="151"/>
      <c r="E126" s="151"/>
      <c r="F126" s="151"/>
      <c r="G126" s="122"/>
      <c r="H126" s="151"/>
      <c r="U126" s="113"/>
    </row>
    <row r="127" spans="1:21">
      <c r="A127" s="123"/>
      <c r="B127" s="117" t="s">
        <v>301</v>
      </c>
      <c r="C127" s="149">
        <f>'Schedule 3A - 2026'!F127</f>
        <v>2415687.0700000003</v>
      </c>
      <c r="D127" s="149">
        <v>3165000</v>
      </c>
      <c r="E127" s="149"/>
      <c r="F127" s="149">
        <f>C127+D127-E127</f>
        <v>5580687.0700000003</v>
      </c>
      <c r="G127" s="144">
        <v>0</v>
      </c>
      <c r="H127" s="149">
        <v>0</v>
      </c>
      <c r="U127" s="113"/>
    </row>
    <row r="128" spans="1:21" s="121" customFormat="1" ht="18.75" customHeight="1">
      <c r="A128" s="112" t="s">
        <v>302</v>
      </c>
      <c r="B128" s="112"/>
      <c r="C128" s="150">
        <f>SUBTOTAL(9,C127)</f>
        <v>2415687.0700000003</v>
      </c>
      <c r="D128" s="150">
        <f>SUBTOTAL(9,D127)</f>
        <v>3165000</v>
      </c>
      <c r="E128" s="150">
        <f>SUBTOTAL(9,E127)</f>
        <v>0</v>
      </c>
      <c r="F128" s="150">
        <f>SUBTOTAL(9,F127)</f>
        <v>5580687.0700000003</v>
      </c>
      <c r="G128" s="120"/>
      <c r="H128" s="150">
        <f>SUBTOTAL(9,H127)</f>
        <v>0</v>
      </c>
    </row>
    <row r="129" spans="1:21" s="121" customFormat="1" ht="18.75" customHeight="1">
      <c r="A129" s="112"/>
      <c r="B129" s="112"/>
      <c r="C129" s="150"/>
      <c r="D129" s="150"/>
      <c r="E129" s="150"/>
      <c r="F129" s="150"/>
      <c r="G129" s="120"/>
      <c r="H129" s="150"/>
    </row>
    <row r="130" spans="1:21">
      <c r="A130" s="112" t="s">
        <v>303</v>
      </c>
      <c r="C130" s="151"/>
      <c r="D130" s="151"/>
      <c r="E130" s="151"/>
      <c r="F130" s="151"/>
      <c r="G130" s="122"/>
      <c r="H130" s="151"/>
      <c r="U130" s="113"/>
    </row>
    <row r="131" spans="1:21">
      <c r="A131" s="123"/>
      <c r="B131" s="117" t="s">
        <v>103</v>
      </c>
      <c r="C131" s="148">
        <f>'Schedule 3A - 2026'!F131</f>
        <v>6184735</v>
      </c>
      <c r="D131" s="148">
        <v>0</v>
      </c>
      <c r="E131" s="148"/>
      <c r="F131" s="148">
        <f t="shared" ref="F131:F137" si="16">C131+D131-E131</f>
        <v>6184735</v>
      </c>
      <c r="G131" s="143">
        <v>72</v>
      </c>
      <c r="H131" s="148">
        <f t="shared" ref="H131:H137" si="17">IFERROR(C131/G131+D131/G131/2,0)</f>
        <v>85899.097222222219</v>
      </c>
      <c r="U131" s="113"/>
    </row>
    <row r="132" spans="1:21">
      <c r="A132" s="123"/>
      <c r="B132" s="117" t="s">
        <v>304</v>
      </c>
      <c r="C132" s="148">
        <f>'Schedule 3A - 2026'!F132</f>
        <v>13200669.02</v>
      </c>
      <c r="D132" s="148">
        <v>0</v>
      </c>
      <c r="E132" s="148"/>
      <c r="F132" s="148">
        <f t="shared" si="16"/>
        <v>13200669.02</v>
      </c>
      <c r="G132" s="143">
        <v>60</v>
      </c>
      <c r="H132" s="148">
        <f t="shared" si="17"/>
        <v>220011.15033333332</v>
      </c>
      <c r="U132" s="113"/>
    </row>
    <row r="133" spans="1:21">
      <c r="A133" s="123"/>
      <c r="B133" s="117" t="s">
        <v>305</v>
      </c>
      <c r="C133" s="148">
        <f>'Schedule 3A - 2026'!F133</f>
        <v>20890968.260000002</v>
      </c>
      <c r="D133" s="148">
        <v>0</v>
      </c>
      <c r="E133" s="148"/>
      <c r="F133" s="148">
        <f t="shared" si="16"/>
        <v>20890968.260000002</v>
      </c>
      <c r="G133" s="143">
        <v>40</v>
      </c>
      <c r="H133" s="148">
        <f t="shared" si="17"/>
        <v>522274.20650000003</v>
      </c>
      <c r="U133" s="113"/>
    </row>
    <row r="134" spans="1:21">
      <c r="A134" s="123"/>
      <c r="B134" s="117" t="s">
        <v>293</v>
      </c>
      <c r="C134" s="148">
        <f>'Schedule 3A - 2026'!F134</f>
        <v>5292382.34</v>
      </c>
      <c r="D134" s="148">
        <v>0</v>
      </c>
      <c r="E134" s="148"/>
      <c r="F134" s="148">
        <f t="shared" si="16"/>
        <v>5292382.34</v>
      </c>
      <c r="G134" s="143">
        <v>2</v>
      </c>
      <c r="H134" s="148">
        <f t="shared" si="17"/>
        <v>2646191.17</v>
      </c>
      <c r="U134" s="113"/>
    </row>
    <row r="135" spans="1:21">
      <c r="A135" s="123"/>
      <c r="B135" s="117" t="s">
        <v>106</v>
      </c>
      <c r="C135" s="148">
        <f>'Schedule 3A - 2026'!F135</f>
        <v>3655939.21</v>
      </c>
      <c r="D135" s="148">
        <v>0</v>
      </c>
      <c r="E135" s="148"/>
      <c r="F135" s="148">
        <f t="shared" si="16"/>
        <v>3655939.21</v>
      </c>
      <c r="G135" s="143">
        <v>45</v>
      </c>
      <c r="H135" s="148">
        <f t="shared" si="17"/>
        <v>81243.093555555548</v>
      </c>
      <c r="U135" s="113"/>
    </row>
    <row r="136" spans="1:21">
      <c r="A136" s="123"/>
      <c r="B136" s="117" t="s">
        <v>107</v>
      </c>
      <c r="C136" s="148">
        <f>'Schedule 3A - 2026'!F136</f>
        <v>2944021.28</v>
      </c>
      <c r="D136" s="148">
        <v>275000</v>
      </c>
      <c r="E136" s="148"/>
      <c r="F136" s="148">
        <f t="shared" si="16"/>
        <v>3219021.28</v>
      </c>
      <c r="G136" s="143">
        <v>30</v>
      </c>
      <c r="H136" s="148">
        <f t="shared" si="17"/>
        <v>102717.37599999999</v>
      </c>
      <c r="U136" s="113"/>
    </row>
    <row r="137" spans="1:21">
      <c r="A137" s="123"/>
      <c r="B137" s="113" t="s">
        <v>306</v>
      </c>
      <c r="C137" s="148">
        <f>'Schedule 3A - 2026'!F137</f>
        <v>779651</v>
      </c>
      <c r="D137" s="148">
        <v>0</v>
      </c>
      <c r="E137" s="148"/>
      <c r="F137" s="148">
        <f t="shared" si="16"/>
        <v>779651</v>
      </c>
      <c r="G137" s="143">
        <v>30</v>
      </c>
      <c r="H137" s="148">
        <f t="shared" si="17"/>
        <v>25988.366666666665</v>
      </c>
      <c r="U137" s="113"/>
    </row>
    <row r="138" spans="1:21">
      <c r="A138" s="123"/>
      <c r="B138" s="117" t="s">
        <v>313</v>
      </c>
      <c r="C138" s="149"/>
      <c r="D138" s="149"/>
      <c r="E138" s="149"/>
      <c r="F138" s="149"/>
      <c r="G138" s="144"/>
      <c r="H138" s="149">
        <v>-13981.32</v>
      </c>
      <c r="U138" s="113"/>
    </row>
    <row r="139" spans="1:21" s="121" customFormat="1" ht="18" customHeight="1">
      <c r="A139" s="112" t="s">
        <v>307</v>
      </c>
      <c r="B139" s="112"/>
      <c r="C139" s="150">
        <f>SUBTOTAL(9,C131:C138)</f>
        <v>52948366.110000007</v>
      </c>
      <c r="D139" s="150">
        <f>SUBTOTAL(9,D131:D138)</f>
        <v>275000</v>
      </c>
      <c r="E139" s="150">
        <f>SUBTOTAL(9,E131:E138)</f>
        <v>0</v>
      </c>
      <c r="F139" s="150">
        <f>SUBTOTAL(9,F131:F138)</f>
        <v>53223366.110000007</v>
      </c>
      <c r="G139" s="127"/>
      <c r="H139" s="150">
        <f>SUBTOTAL(9,H131:H138)</f>
        <v>3670343.1402777783</v>
      </c>
    </row>
    <row r="140" spans="1:21">
      <c r="C140" s="152"/>
      <c r="D140" s="152"/>
      <c r="E140" s="152"/>
      <c r="F140" s="152"/>
      <c r="H140" s="152"/>
    </row>
    <row r="141" spans="1:21">
      <c r="A141" s="121" t="s">
        <v>458</v>
      </c>
      <c r="C141" s="152"/>
      <c r="D141" s="152"/>
      <c r="E141" s="152"/>
      <c r="F141" s="152"/>
      <c r="H141" s="152"/>
    </row>
    <row r="142" spans="1:21">
      <c r="B142" s="113" t="s">
        <v>458</v>
      </c>
      <c r="C142" s="149">
        <f>'Schedule 3A - 2026'!F142</f>
        <v>34957900.009999998</v>
      </c>
      <c r="D142" s="149">
        <v>0</v>
      </c>
      <c r="E142" s="149"/>
      <c r="F142" s="149">
        <f>C142+D142</f>
        <v>34957900.009999998</v>
      </c>
      <c r="G142" s="144">
        <v>20</v>
      </c>
      <c r="H142" s="149">
        <f>IFERROR(C142/G142+D142/G142/2,0)</f>
        <v>1747895.0004999998</v>
      </c>
    </row>
    <row r="143" spans="1:21">
      <c r="A143" s="121" t="s">
        <v>459</v>
      </c>
      <c r="C143" s="150">
        <f>SUBTOTAL(9,C142)</f>
        <v>34957900.009999998</v>
      </c>
      <c r="D143" s="150">
        <f>SUBTOTAL(9,D142)</f>
        <v>0</v>
      </c>
      <c r="E143" s="150">
        <f>SUBTOTAL(9,E142)</f>
        <v>0</v>
      </c>
      <c r="F143" s="150">
        <f>SUBTOTAL(9,F142)</f>
        <v>34957900.009999998</v>
      </c>
      <c r="G143" s="156"/>
      <c r="H143" s="150">
        <f>SUBTOTAL(9,H142)</f>
        <v>1747895.0004999998</v>
      </c>
    </row>
    <row r="144" spans="1:21">
      <c r="C144" s="152"/>
      <c r="D144" s="152"/>
      <c r="E144" s="152"/>
      <c r="F144" s="152"/>
      <c r="H144" s="152"/>
    </row>
    <row r="145" spans="1:8">
      <c r="C145" s="152"/>
      <c r="D145" s="152"/>
      <c r="E145" s="152"/>
      <c r="F145" s="152"/>
      <c r="H145" s="152"/>
    </row>
    <row r="146" spans="1:8">
      <c r="A146" s="121" t="s">
        <v>356</v>
      </c>
      <c r="C146" s="152"/>
      <c r="D146" s="152"/>
      <c r="E146" s="152"/>
      <c r="F146" s="152"/>
      <c r="H146" s="152"/>
    </row>
    <row r="147" spans="1:8">
      <c r="B147" s="113" t="s">
        <v>356</v>
      </c>
      <c r="C147" s="149">
        <f>'Schedule 3A - 2026'!F147</f>
        <v>1930990.1099999999</v>
      </c>
      <c r="D147" s="149">
        <v>0</v>
      </c>
      <c r="E147" s="149"/>
      <c r="F147" s="149">
        <f>C147+D147</f>
        <v>1930990.1099999999</v>
      </c>
      <c r="G147" s="144"/>
      <c r="H147" s="149">
        <v>213790.88</v>
      </c>
    </row>
    <row r="148" spans="1:8">
      <c r="A148" s="121" t="s">
        <v>357</v>
      </c>
      <c r="C148" s="150">
        <f>SUBTOTAL(9,C147)</f>
        <v>1930990.1099999999</v>
      </c>
      <c r="D148" s="150">
        <f>SUBTOTAL(9,D147)</f>
        <v>0</v>
      </c>
      <c r="E148" s="150">
        <f>SUBTOTAL(9,E147)</f>
        <v>0</v>
      </c>
      <c r="F148" s="150">
        <f>SUBTOTAL(9,F147)</f>
        <v>1930990.1099999999</v>
      </c>
      <c r="G148" s="156"/>
      <c r="H148" s="150">
        <f>SUBTOTAL(9,H147)</f>
        <v>213790.88</v>
      </c>
    </row>
    <row r="149" spans="1:8">
      <c r="C149" s="152"/>
      <c r="D149" s="152"/>
      <c r="E149" s="152"/>
      <c r="F149" s="152"/>
      <c r="H149" s="152"/>
    </row>
    <row r="150" spans="1:8" s="121" customFormat="1" ht="18" customHeight="1">
      <c r="A150" s="112" t="s">
        <v>28</v>
      </c>
      <c r="B150" s="112"/>
      <c r="C150" s="150">
        <f>SUBTOTAL(9,C9:C148)</f>
        <v>997349643.30023968</v>
      </c>
      <c r="D150" s="150">
        <f>SUBTOTAL(9,D9:D148)</f>
        <v>81897802.310000002</v>
      </c>
      <c r="E150" s="150">
        <f>SUBTOTAL(9,E9:E148)</f>
        <v>1506.5910048000003</v>
      </c>
      <c r="F150" s="150">
        <f>SUBTOTAL(9,F9:F148)</f>
        <v>1079245939.0192349</v>
      </c>
      <c r="G150" s="127"/>
      <c r="H150" s="150">
        <f>SUBTOTAL(9,H9:H148)</f>
        <v>27837878.843399398</v>
      </c>
    </row>
    <row r="151" spans="1:8">
      <c r="C151" s="125"/>
      <c r="D151" s="125"/>
      <c r="E151" s="125"/>
      <c r="F151" s="125"/>
      <c r="H151" s="125"/>
    </row>
  </sheetData>
  <printOptions horizontalCentered="1"/>
  <pageMargins left="0.55118110236220474" right="0.31496062992125984" top="0.82677165354330717" bottom="0.9055118110236221" header="0.51181102362204722" footer="0.51181102362204722"/>
  <pageSetup scale="59" fitToHeight="2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BF9E4-4224-4688-8991-B5DDAEBF411B}">
  <sheetPr>
    <tabColor theme="9" tint="0.39997558519241921"/>
    <pageSetUpPr fitToPage="1"/>
  </sheetPr>
  <dimension ref="A1:W118"/>
  <sheetViews>
    <sheetView view="pageBreakPreview" zoomScaleSheetLayoutView="100" workbookViewId="0">
      <pane ySplit="7" topLeftCell="A52" activePane="bottomLeft" state="frozen"/>
      <selection activeCell="H18" sqref="H18"/>
      <selection pane="bottomLeft" activeCell="J70" activeCellId="1" sqref="J63 J70"/>
    </sheetView>
  </sheetViews>
  <sheetFormatPr defaultColWidth="9.08984375" defaultRowHeight="12.5"/>
  <cols>
    <col min="1" max="1" width="45.453125" style="159" customWidth="1"/>
    <col min="2" max="5" width="10.08984375" style="159" customWidth="1"/>
    <col min="6" max="6" width="1.7265625" style="159" customWidth="1"/>
    <col min="7" max="7" width="10.08984375" style="159" customWidth="1"/>
    <col min="8" max="8" width="2.36328125" style="159" customWidth="1"/>
    <col min="9" max="9" width="11.453125" style="159" customWidth="1"/>
    <col min="10" max="10" width="12.6328125" style="159" customWidth="1"/>
    <col min="11" max="11" width="4.6328125" style="159" customWidth="1"/>
    <col min="16" max="17" width="9.08984375" style="159"/>
    <col min="18" max="18" width="11.36328125" style="159" bestFit="1" customWidth="1"/>
    <col min="19" max="22" width="9.08984375" style="159"/>
    <col min="23" max="23" width="10.36328125" style="159" bestFit="1" customWidth="1"/>
    <col min="24" max="16384" width="9.08984375" style="159"/>
  </cols>
  <sheetData>
    <row r="1" spans="1:11">
      <c r="A1" s="157" t="s">
        <v>358</v>
      </c>
      <c r="B1" s="157"/>
      <c r="C1" s="158"/>
      <c r="D1" s="158"/>
      <c r="E1" s="158"/>
      <c r="F1" s="158"/>
      <c r="G1" s="158"/>
      <c r="H1" s="158"/>
      <c r="I1" s="158"/>
      <c r="J1" s="196" t="s">
        <v>510</v>
      </c>
    </row>
    <row r="2" spans="1:11" ht="15" customHeight="1">
      <c r="A2" s="157" t="s">
        <v>476</v>
      </c>
      <c r="B2" s="157"/>
      <c r="C2" s="158"/>
      <c r="D2" s="158"/>
      <c r="E2" s="158"/>
      <c r="F2" s="158"/>
      <c r="G2" s="158"/>
      <c r="H2" s="158"/>
      <c r="I2" s="158"/>
      <c r="J2" s="195" t="str">
        <f>'Schedule 1'!$M$2</f>
        <v>2025-27 GRA CF</v>
      </c>
    </row>
    <row r="3" spans="1:11" ht="15.75" customHeight="1" thickBot="1">
      <c r="A3" s="160" t="s">
        <v>332</v>
      </c>
      <c r="B3" s="161"/>
      <c r="C3" s="162"/>
      <c r="D3" s="162"/>
      <c r="E3" s="162"/>
      <c r="F3" s="162"/>
      <c r="G3" s="162"/>
      <c r="H3" s="162"/>
      <c r="I3" s="162"/>
      <c r="J3" s="162"/>
    </row>
    <row r="4" spans="1:11" ht="13" thickBot="1">
      <c r="A4" s="163"/>
      <c r="B4" s="161"/>
      <c r="C4" s="162"/>
      <c r="D4" s="162"/>
      <c r="E4" s="162"/>
      <c r="F4" s="158"/>
      <c r="G4" s="158"/>
      <c r="H4" s="158"/>
      <c r="I4" s="158"/>
      <c r="J4" s="162"/>
    </row>
    <row r="5" spans="1:11" ht="13" thickBot="1">
      <c r="A5" s="163"/>
      <c r="B5" s="233" t="s">
        <v>359</v>
      </c>
      <c r="C5" s="234"/>
      <c r="D5" s="234"/>
      <c r="E5" s="234"/>
      <c r="F5" s="164"/>
      <c r="G5" s="188" t="s">
        <v>425</v>
      </c>
      <c r="H5" s="164"/>
      <c r="I5" s="158"/>
      <c r="J5" s="188"/>
    </row>
    <row r="6" spans="1:11" ht="18" customHeight="1">
      <c r="A6" s="163"/>
      <c r="B6" s="165" t="s">
        <v>360</v>
      </c>
      <c r="C6" s="166" t="s">
        <v>475</v>
      </c>
      <c r="D6" s="167"/>
      <c r="E6" s="165" t="s">
        <v>360</v>
      </c>
      <c r="F6" s="165"/>
      <c r="G6" s="165" t="s">
        <v>360</v>
      </c>
      <c r="H6" s="168"/>
      <c r="I6" s="235" t="s">
        <v>430</v>
      </c>
      <c r="J6" s="166" t="str">
        <f>C6</f>
        <v>2025 Forecast</v>
      </c>
    </row>
    <row r="7" spans="1:11" ht="31.5" customHeight="1" thickBot="1">
      <c r="A7" s="163"/>
      <c r="B7" s="169">
        <v>2024</v>
      </c>
      <c r="C7" s="170" t="s">
        <v>361</v>
      </c>
      <c r="D7" s="171" t="s">
        <v>362</v>
      </c>
      <c r="E7" s="172">
        <f>B7+1</f>
        <v>2025</v>
      </c>
      <c r="F7" s="172"/>
      <c r="G7" s="169">
        <v>2024</v>
      </c>
      <c r="H7" s="172"/>
      <c r="I7" s="236"/>
      <c r="J7" s="171" t="s">
        <v>363</v>
      </c>
    </row>
    <row r="8" spans="1:11">
      <c r="A8" s="173" t="s">
        <v>364</v>
      </c>
    </row>
    <row r="9" spans="1:11">
      <c r="A9" s="174" t="s">
        <v>365</v>
      </c>
      <c r="I9" s="175"/>
    </row>
    <row r="10" spans="1:11">
      <c r="A10" s="159" t="s">
        <v>367</v>
      </c>
      <c r="B10" s="176">
        <v>4521.2649199999996</v>
      </c>
      <c r="C10" s="176"/>
      <c r="D10" s="176"/>
      <c r="E10" s="176">
        <f t="shared" ref="E10:E41" si="0">B10+C10+D10</f>
        <v>4521.2649199999996</v>
      </c>
      <c r="F10" s="176"/>
      <c r="G10" s="176">
        <v>904.25300000000004</v>
      </c>
      <c r="I10" s="95">
        <v>10</v>
      </c>
      <c r="J10" s="181">
        <f t="shared" ref="J10:J42" si="1">MIN(B10/I10,G10)</f>
        <v>452.12649199999998</v>
      </c>
      <c r="K10" s="177"/>
    </row>
    <row r="11" spans="1:11">
      <c r="A11" s="159" t="s">
        <v>368</v>
      </c>
      <c r="B11" s="176">
        <v>667.05370999999991</v>
      </c>
      <c r="C11" s="176"/>
      <c r="D11" s="176"/>
      <c r="E11" s="176">
        <f t="shared" si="0"/>
        <v>667.05370999999991</v>
      </c>
      <c r="F11" s="176"/>
      <c r="G11" s="176">
        <v>77.82297600000004</v>
      </c>
      <c r="I11" s="95">
        <v>5</v>
      </c>
      <c r="J11" s="181">
        <f t="shared" si="1"/>
        <v>77.82297600000004</v>
      </c>
      <c r="K11" s="177"/>
    </row>
    <row r="12" spans="1:11">
      <c r="A12" s="159" t="s">
        <v>405</v>
      </c>
      <c r="B12" s="176">
        <v>5.8006800000000007</v>
      </c>
      <c r="C12" s="176"/>
      <c r="D12" s="176"/>
      <c r="E12" s="176">
        <f t="shared" si="0"/>
        <v>5.8006800000000007</v>
      </c>
      <c r="F12" s="176"/>
      <c r="G12" s="176">
        <v>1.1600879999999996</v>
      </c>
      <c r="I12" s="95">
        <v>5</v>
      </c>
      <c r="J12" s="181">
        <f t="shared" si="1"/>
        <v>1.1600879999999996</v>
      </c>
      <c r="K12" s="177"/>
    </row>
    <row r="13" spans="1:11">
      <c r="A13" s="159" t="s">
        <v>398</v>
      </c>
      <c r="B13" s="176">
        <v>24.55237</v>
      </c>
      <c r="C13" s="177"/>
      <c r="D13" s="176"/>
      <c r="E13" s="176">
        <f t="shared" si="0"/>
        <v>24.55237</v>
      </c>
      <c r="F13" s="176"/>
      <c r="G13" s="176">
        <v>4.9103819999999994</v>
      </c>
      <c r="I13" s="95">
        <v>5</v>
      </c>
      <c r="J13" s="181">
        <f t="shared" si="1"/>
        <v>4.9103819999999994</v>
      </c>
      <c r="K13" s="177"/>
    </row>
    <row r="14" spans="1:11">
      <c r="A14" s="159" t="s">
        <v>399</v>
      </c>
      <c r="B14" s="176">
        <v>87.526200000000003</v>
      </c>
      <c r="C14" s="177"/>
      <c r="D14" s="176"/>
      <c r="E14" s="176">
        <f t="shared" si="0"/>
        <v>87.526200000000003</v>
      </c>
      <c r="F14" s="176"/>
      <c r="G14" s="176">
        <v>17.505239999999993</v>
      </c>
      <c r="I14" s="95">
        <v>5</v>
      </c>
      <c r="J14" s="181">
        <f t="shared" si="1"/>
        <v>17.505239999999993</v>
      </c>
      <c r="K14" s="177"/>
    </row>
    <row r="15" spans="1:11">
      <c r="A15" s="159" t="s">
        <v>406</v>
      </c>
      <c r="B15" s="176">
        <v>744.28342000000009</v>
      </c>
      <c r="C15" s="176"/>
      <c r="D15" s="176"/>
      <c r="E15" s="176">
        <f t="shared" si="0"/>
        <v>744.28342000000009</v>
      </c>
      <c r="F15" s="176"/>
      <c r="G15" s="176">
        <v>148.85677200000003</v>
      </c>
      <c r="I15" s="95">
        <v>5</v>
      </c>
      <c r="J15" s="181">
        <f t="shared" si="1"/>
        <v>148.85668400000003</v>
      </c>
      <c r="K15" s="177"/>
    </row>
    <row r="16" spans="1:11">
      <c r="A16" s="159" t="s">
        <v>400</v>
      </c>
      <c r="B16" s="176">
        <v>89.50752</v>
      </c>
      <c r="C16" s="176"/>
      <c r="D16" s="176"/>
      <c r="E16" s="176">
        <f t="shared" si="0"/>
        <v>89.50752</v>
      </c>
      <c r="F16" s="176"/>
      <c r="G16" s="176">
        <v>25.360482000000008</v>
      </c>
      <c r="I16" s="95">
        <v>5</v>
      </c>
      <c r="J16" s="181">
        <f t="shared" si="1"/>
        <v>17.901503999999999</v>
      </c>
      <c r="K16" s="177"/>
    </row>
    <row r="17" spans="1:16">
      <c r="A17" s="159" t="s">
        <v>407</v>
      </c>
      <c r="B17" s="176">
        <v>73.277100000000004</v>
      </c>
      <c r="C17" s="176"/>
      <c r="D17" s="176"/>
      <c r="E17" s="176">
        <f t="shared" si="0"/>
        <v>73.277100000000004</v>
      </c>
      <c r="F17" s="176"/>
      <c r="G17" s="176">
        <v>27.785010000000007</v>
      </c>
      <c r="I17" s="95">
        <v>5</v>
      </c>
      <c r="J17" s="181">
        <f t="shared" si="1"/>
        <v>14.655420000000001</v>
      </c>
      <c r="K17" s="177"/>
    </row>
    <row r="18" spans="1:16">
      <c r="A18" s="159" t="s">
        <v>408</v>
      </c>
      <c r="B18" s="176">
        <v>52.514710000000001</v>
      </c>
      <c r="C18" s="176"/>
      <c r="D18" s="176"/>
      <c r="E18" s="176">
        <f t="shared" si="0"/>
        <v>52.514710000000001</v>
      </c>
      <c r="F18" s="176"/>
      <c r="G18" s="176">
        <v>21.005825999999999</v>
      </c>
      <c r="I18" s="95">
        <v>5</v>
      </c>
      <c r="J18" s="181">
        <f t="shared" si="1"/>
        <v>10.502942000000001</v>
      </c>
      <c r="K18" s="177"/>
      <c r="P18" s="177"/>
    </row>
    <row r="19" spans="1:16">
      <c r="A19" s="159" t="s">
        <v>404</v>
      </c>
      <c r="B19" s="176">
        <v>59.194720000000004</v>
      </c>
      <c r="C19" s="176"/>
      <c r="D19" s="176"/>
      <c r="E19" s="176">
        <f t="shared" si="0"/>
        <v>59.194720000000004</v>
      </c>
      <c r="F19" s="176"/>
      <c r="G19" s="176">
        <v>23.677872000000004</v>
      </c>
      <c r="I19" s="95">
        <v>5</v>
      </c>
      <c r="J19" s="181">
        <f t="shared" si="1"/>
        <v>11.838944000000001</v>
      </c>
      <c r="K19" s="177"/>
      <c r="P19" s="177"/>
    </row>
    <row r="20" spans="1:16">
      <c r="A20" s="159" t="s">
        <v>369</v>
      </c>
      <c r="B20" s="176">
        <v>77.782899999999998</v>
      </c>
      <c r="C20" s="176"/>
      <c r="D20" s="176"/>
      <c r="E20" s="176">
        <f t="shared" si="0"/>
        <v>77.782899999999998</v>
      </c>
      <c r="F20" s="176"/>
      <c r="G20" s="176">
        <v>27.149449999999984</v>
      </c>
      <c r="I20" s="95">
        <v>5</v>
      </c>
      <c r="J20" s="181">
        <f t="shared" si="1"/>
        <v>15.55658</v>
      </c>
      <c r="K20" s="177"/>
    </row>
    <row r="21" spans="1:16">
      <c r="A21" s="159" t="s">
        <v>409</v>
      </c>
      <c r="B21" s="176">
        <v>325.99815000000001</v>
      </c>
      <c r="C21" s="176"/>
      <c r="D21" s="176"/>
      <c r="E21" s="176">
        <f t="shared" si="0"/>
        <v>325.99815000000001</v>
      </c>
      <c r="F21" s="176"/>
      <c r="G21" s="176">
        <v>130.399</v>
      </c>
      <c r="I21" s="95">
        <v>5</v>
      </c>
      <c r="J21" s="181">
        <f t="shared" si="1"/>
        <v>65.199629999999999</v>
      </c>
      <c r="K21" s="177"/>
    </row>
    <row r="22" spans="1:16">
      <c r="A22" s="159" t="s">
        <v>401</v>
      </c>
      <c r="B22" s="176">
        <v>115.23152999999999</v>
      </c>
      <c r="C22" s="176"/>
      <c r="D22" s="176"/>
      <c r="E22" s="176">
        <f t="shared" si="0"/>
        <v>115.23152999999999</v>
      </c>
      <c r="F22" s="176"/>
      <c r="G22" s="176">
        <v>61.309488000000002</v>
      </c>
      <c r="I22" s="95">
        <v>5</v>
      </c>
      <c r="J22" s="181">
        <f t="shared" si="1"/>
        <v>23.046305999999998</v>
      </c>
      <c r="K22" s="177"/>
    </row>
    <row r="23" spans="1:16">
      <c r="A23" s="159" t="s">
        <v>366</v>
      </c>
      <c r="B23" s="176">
        <v>59.53539</v>
      </c>
      <c r="C23" s="176"/>
      <c r="D23" s="176"/>
      <c r="E23" s="176">
        <f t="shared" si="0"/>
        <v>59.53539</v>
      </c>
      <c r="F23" s="176"/>
      <c r="G23" s="176">
        <v>35.721234000000003</v>
      </c>
      <c r="I23" s="95">
        <v>5</v>
      </c>
      <c r="J23" s="181">
        <f t="shared" si="1"/>
        <v>11.907078</v>
      </c>
      <c r="K23" s="177"/>
    </row>
    <row r="24" spans="1:16">
      <c r="A24" s="159" t="s">
        <v>402</v>
      </c>
      <c r="B24" s="176">
        <v>196.33029000000002</v>
      </c>
      <c r="C24" s="176"/>
      <c r="D24" s="176"/>
      <c r="E24" s="176">
        <f t="shared" si="0"/>
        <v>196.33029000000002</v>
      </c>
      <c r="F24" s="176"/>
      <c r="G24" s="176">
        <v>117.798174</v>
      </c>
      <c r="I24" s="95">
        <v>5</v>
      </c>
      <c r="J24" s="181">
        <f t="shared" si="1"/>
        <v>39.266058000000001</v>
      </c>
      <c r="K24" s="177"/>
    </row>
    <row r="25" spans="1:16">
      <c r="A25" s="159" t="s">
        <v>403</v>
      </c>
      <c r="B25" s="176">
        <v>46.831489999999995</v>
      </c>
      <c r="C25" s="176"/>
      <c r="D25" s="176"/>
      <c r="E25" s="176">
        <f t="shared" si="0"/>
        <v>46.831489999999995</v>
      </c>
      <c r="F25" s="176"/>
      <c r="G25" s="176">
        <v>27.277743999999998</v>
      </c>
      <c r="I25" s="95">
        <v>5</v>
      </c>
      <c r="J25" s="181">
        <f t="shared" si="1"/>
        <v>9.3662979999999987</v>
      </c>
      <c r="K25" s="177"/>
    </row>
    <row r="26" spans="1:16">
      <c r="A26" s="159" t="s">
        <v>413</v>
      </c>
      <c r="B26" s="176">
        <v>8784.170970000001</v>
      </c>
      <c r="C26" s="176"/>
      <c r="D26" s="176"/>
      <c r="E26" s="176">
        <f t="shared" si="0"/>
        <v>8784.170970000001</v>
      </c>
      <c r="F26" s="176"/>
      <c r="G26" s="176">
        <v>6880.5328200000004</v>
      </c>
      <c r="I26" s="95">
        <v>10</v>
      </c>
      <c r="J26" s="181">
        <f t="shared" si="1"/>
        <v>878.41709700000013</v>
      </c>
      <c r="K26" s="177"/>
    </row>
    <row r="27" spans="1:16">
      <c r="A27" s="159" t="s">
        <v>477</v>
      </c>
      <c r="B27" s="176">
        <v>122.43858</v>
      </c>
      <c r="C27" s="176"/>
      <c r="D27" s="176"/>
      <c r="E27" s="176">
        <f t="shared" si="0"/>
        <v>122.43858</v>
      </c>
      <c r="F27" s="176"/>
      <c r="G27" s="176">
        <v>73.46314000000001</v>
      </c>
      <c r="I27" s="95">
        <v>5</v>
      </c>
      <c r="J27" s="181">
        <f t="shared" si="1"/>
        <v>24.487715999999999</v>
      </c>
      <c r="K27" s="177"/>
    </row>
    <row r="28" spans="1:16">
      <c r="A28" s="159" t="s">
        <v>478</v>
      </c>
      <c r="B28" s="176">
        <v>36.075000000000003</v>
      </c>
      <c r="C28" s="176"/>
      <c r="D28" s="176"/>
      <c r="E28" s="176">
        <f t="shared" si="0"/>
        <v>36.075000000000003</v>
      </c>
      <c r="F28" s="176"/>
      <c r="G28" s="176">
        <v>28.840229999999998</v>
      </c>
      <c r="I28" s="95">
        <v>5</v>
      </c>
      <c r="J28" s="181">
        <f t="shared" si="1"/>
        <v>7.2150000000000007</v>
      </c>
      <c r="K28" s="177"/>
    </row>
    <row r="29" spans="1:16">
      <c r="A29" s="159" t="s">
        <v>414</v>
      </c>
      <c r="B29" s="176">
        <v>172.99391</v>
      </c>
      <c r="C29" s="176"/>
      <c r="D29" s="176"/>
      <c r="E29" s="176">
        <f t="shared" si="0"/>
        <v>172.99391</v>
      </c>
      <c r="F29" s="176"/>
      <c r="G29" s="176">
        <v>138.30034000000001</v>
      </c>
      <c r="I29" s="95">
        <v>5</v>
      </c>
      <c r="J29" s="181">
        <f t="shared" si="1"/>
        <v>34.598782</v>
      </c>
      <c r="K29" s="177"/>
    </row>
    <row r="30" spans="1:16">
      <c r="A30" s="159" t="s">
        <v>479</v>
      </c>
      <c r="B30" s="176">
        <v>11.190100000000001</v>
      </c>
      <c r="C30" s="176"/>
      <c r="D30" s="176"/>
      <c r="E30" s="176">
        <f t="shared" si="0"/>
        <v>11.190100000000001</v>
      </c>
      <c r="F30" s="176"/>
      <c r="G30" s="176">
        <v>8.9459499999999998</v>
      </c>
      <c r="I30" s="95">
        <v>5</v>
      </c>
      <c r="J30" s="181">
        <f t="shared" si="1"/>
        <v>2.2380200000000001</v>
      </c>
      <c r="K30" s="177"/>
    </row>
    <row r="31" spans="1:16">
      <c r="A31" s="159" t="s">
        <v>480</v>
      </c>
      <c r="B31" s="176">
        <v>136.59076999999999</v>
      </c>
      <c r="C31" s="176"/>
      <c r="D31" s="176"/>
      <c r="E31" s="176">
        <f t="shared" si="0"/>
        <v>136.59076999999999</v>
      </c>
      <c r="F31" s="176"/>
      <c r="G31" s="176">
        <v>109.19777999999998</v>
      </c>
      <c r="I31" s="95">
        <v>5</v>
      </c>
      <c r="J31" s="181">
        <f t="shared" si="1"/>
        <v>27.318154</v>
      </c>
      <c r="K31" s="177"/>
    </row>
    <row r="32" spans="1:16">
      <c r="A32" s="159" t="s">
        <v>481</v>
      </c>
      <c r="B32" s="176">
        <v>24.57694</v>
      </c>
      <c r="C32" s="176"/>
      <c r="D32" s="176"/>
      <c r="E32" s="176">
        <f t="shared" si="0"/>
        <v>24.57694</v>
      </c>
      <c r="F32" s="176"/>
      <c r="G32" s="176">
        <v>19.661549999999998</v>
      </c>
      <c r="I32" s="95">
        <v>5</v>
      </c>
      <c r="J32" s="181">
        <f t="shared" si="1"/>
        <v>4.9153880000000001</v>
      </c>
      <c r="K32" s="177"/>
    </row>
    <row r="33" spans="1:11">
      <c r="A33" s="159" t="s">
        <v>482</v>
      </c>
      <c r="B33" s="176">
        <v>67.997410000000002</v>
      </c>
      <c r="C33" s="176"/>
      <c r="D33" s="176"/>
      <c r="E33" s="176">
        <f t="shared" si="0"/>
        <v>67.997410000000002</v>
      </c>
      <c r="F33" s="176"/>
      <c r="G33" s="176">
        <v>54.397930000000002</v>
      </c>
      <c r="I33" s="95">
        <v>5</v>
      </c>
      <c r="J33" s="181">
        <f t="shared" si="1"/>
        <v>13.599482</v>
      </c>
      <c r="K33" s="177"/>
    </row>
    <row r="34" spans="1:11">
      <c r="A34" s="159" t="s">
        <v>483</v>
      </c>
      <c r="B34" s="176">
        <v>65.897589999999994</v>
      </c>
      <c r="C34" s="176"/>
      <c r="D34" s="176"/>
      <c r="E34" s="176">
        <f t="shared" si="0"/>
        <v>65.897589999999994</v>
      </c>
      <c r="F34" s="176"/>
      <c r="G34" s="176">
        <v>52.71806999999999</v>
      </c>
      <c r="I34" s="95">
        <v>5</v>
      </c>
      <c r="J34" s="181">
        <f t="shared" si="1"/>
        <v>13.179517999999998</v>
      </c>
      <c r="K34" s="177"/>
    </row>
    <row r="35" spans="1:11">
      <c r="A35" s="159" t="s">
        <v>484</v>
      </c>
      <c r="B35" s="176">
        <v>13.239000000000001</v>
      </c>
      <c r="C35" s="176"/>
      <c r="D35" s="176"/>
      <c r="E35" s="176">
        <f t="shared" si="0"/>
        <v>13.239000000000001</v>
      </c>
      <c r="F35" s="176"/>
      <c r="G35" s="176">
        <v>10.591199999999999</v>
      </c>
      <c r="I35" s="95">
        <v>5</v>
      </c>
      <c r="J35" s="181">
        <f t="shared" si="1"/>
        <v>2.6478000000000002</v>
      </c>
      <c r="K35" s="177"/>
    </row>
    <row r="36" spans="1:11">
      <c r="A36" s="159" t="s">
        <v>485</v>
      </c>
      <c r="B36" s="176">
        <v>43.927510000000005</v>
      </c>
      <c r="C36" s="176"/>
      <c r="D36" s="176"/>
      <c r="E36" s="176">
        <f t="shared" si="0"/>
        <v>43.927510000000005</v>
      </c>
      <c r="F36" s="176"/>
      <c r="G36" s="176">
        <v>42.607279999999996</v>
      </c>
      <c r="I36" s="95">
        <v>5</v>
      </c>
      <c r="J36" s="181">
        <f t="shared" si="1"/>
        <v>8.785502000000001</v>
      </c>
      <c r="K36" s="177"/>
    </row>
    <row r="37" spans="1:11">
      <c r="A37" s="159" t="s">
        <v>486</v>
      </c>
      <c r="B37" s="176">
        <v>100.19461</v>
      </c>
      <c r="C37" s="176"/>
      <c r="D37" s="176"/>
      <c r="E37" s="176">
        <f t="shared" si="0"/>
        <v>100.19461</v>
      </c>
      <c r="F37" s="176"/>
      <c r="G37" s="176">
        <v>100.19461</v>
      </c>
      <c r="I37" s="95">
        <v>5</v>
      </c>
      <c r="J37" s="181">
        <f t="shared" si="1"/>
        <v>20.038921999999999</v>
      </c>
      <c r="K37" s="177"/>
    </row>
    <row r="38" spans="1:11">
      <c r="A38" s="159" t="s">
        <v>487</v>
      </c>
      <c r="B38" s="176">
        <v>28.539580000000001</v>
      </c>
      <c r="C38" s="176"/>
      <c r="D38" s="176"/>
      <c r="E38" s="176">
        <f t="shared" si="0"/>
        <v>28.539580000000001</v>
      </c>
      <c r="F38" s="176"/>
      <c r="G38" s="176">
        <v>28.539580000000001</v>
      </c>
      <c r="I38" s="95">
        <v>5</v>
      </c>
      <c r="J38" s="181">
        <f t="shared" si="1"/>
        <v>5.707916</v>
      </c>
      <c r="K38" s="177"/>
    </row>
    <row r="39" spans="1:11">
      <c r="A39" s="159" t="s">
        <v>488</v>
      </c>
      <c r="B39" s="176">
        <v>121.99618</v>
      </c>
      <c r="C39" s="176"/>
      <c r="D39" s="176"/>
      <c r="E39" s="176">
        <f t="shared" si="0"/>
        <v>121.99618</v>
      </c>
      <c r="F39" s="176"/>
      <c r="G39" s="176">
        <v>121.99618</v>
      </c>
      <c r="I39" s="95">
        <v>5</v>
      </c>
      <c r="J39" s="181">
        <f t="shared" si="1"/>
        <v>24.399235999999998</v>
      </c>
      <c r="K39" s="177"/>
    </row>
    <row r="40" spans="1:11">
      <c r="A40" s="159" t="s">
        <v>500</v>
      </c>
      <c r="B40" s="176">
        <v>19.97803</v>
      </c>
      <c r="C40" s="176"/>
      <c r="D40" s="176"/>
      <c r="E40" s="176">
        <f t="shared" si="0"/>
        <v>19.97803</v>
      </c>
      <c r="F40" s="176"/>
      <c r="G40" s="176">
        <v>19.97803</v>
      </c>
      <c r="I40" s="95">
        <v>5</v>
      </c>
      <c r="J40" s="181">
        <f t="shared" si="1"/>
        <v>3.995606</v>
      </c>
      <c r="K40" s="177"/>
    </row>
    <row r="41" spans="1:11">
      <c r="A41" s="159" t="s">
        <v>489</v>
      </c>
      <c r="B41" s="176">
        <v>157.5137</v>
      </c>
      <c r="C41" s="176"/>
      <c r="D41" s="176"/>
      <c r="E41" s="176">
        <f t="shared" si="0"/>
        <v>157.5137</v>
      </c>
      <c r="F41" s="176"/>
      <c r="G41" s="176">
        <v>157.5137</v>
      </c>
      <c r="I41" s="95">
        <v>5</v>
      </c>
      <c r="J41" s="181">
        <f t="shared" si="1"/>
        <v>31.502739999999999</v>
      </c>
      <c r="K41" s="177"/>
    </row>
    <row r="42" spans="1:11">
      <c r="A42" s="159" t="s">
        <v>490</v>
      </c>
      <c r="B42" s="176">
        <v>8.5541200000000011</v>
      </c>
      <c r="C42" s="176"/>
      <c r="D42" s="176"/>
      <c r="E42" s="176">
        <f t="shared" ref="E42:E63" si="2">B42+C42+D42</f>
        <v>8.5541200000000011</v>
      </c>
      <c r="F42" s="176"/>
      <c r="G42" s="176">
        <v>8.5541200000000011</v>
      </c>
      <c r="I42" s="95">
        <v>5</v>
      </c>
      <c r="J42" s="181">
        <f t="shared" si="1"/>
        <v>1.7108240000000001</v>
      </c>
      <c r="K42" s="177"/>
    </row>
    <row r="43" spans="1:11">
      <c r="A43" s="159" t="s">
        <v>491</v>
      </c>
      <c r="B43" s="176">
        <v>66.370519999999999</v>
      </c>
      <c r="C43" s="176">
        <v>80</v>
      </c>
      <c r="D43" s="176"/>
      <c r="E43" s="176">
        <f t="shared" si="2"/>
        <v>146.37052</v>
      </c>
      <c r="F43" s="176"/>
      <c r="G43" s="176">
        <v>59.733468000000002</v>
      </c>
      <c r="I43" s="95">
        <v>5</v>
      </c>
      <c r="J43" s="181">
        <f>MIN(B43/I43,G43)+C43/2/I43</f>
        <v>21.274104000000001</v>
      </c>
      <c r="K43" s="177"/>
    </row>
    <row r="44" spans="1:11">
      <c r="A44" s="159" t="s">
        <v>492</v>
      </c>
      <c r="B44" s="176">
        <v>13.75</v>
      </c>
      <c r="C44" s="176"/>
      <c r="D44" s="176"/>
      <c r="E44" s="176">
        <f t="shared" si="2"/>
        <v>13.75</v>
      </c>
      <c r="F44" s="176"/>
      <c r="G44" s="176">
        <v>12.375</v>
      </c>
      <c r="I44" s="95">
        <v>5</v>
      </c>
      <c r="J44" s="181">
        <f>MIN(B44/I44,G44)</f>
        <v>2.75</v>
      </c>
      <c r="K44" s="177"/>
    </row>
    <row r="45" spans="1:11">
      <c r="A45" s="159" t="s">
        <v>528</v>
      </c>
      <c r="B45" s="176"/>
      <c r="C45" s="176">
        <f>868.955+122.438</f>
        <v>991.39300000000003</v>
      </c>
      <c r="D45" s="176"/>
      <c r="E45" s="176">
        <f t="shared" si="2"/>
        <v>991.39300000000003</v>
      </c>
      <c r="F45" s="176"/>
      <c r="G45" s="176">
        <v>0</v>
      </c>
      <c r="I45" s="95">
        <v>5</v>
      </c>
      <c r="J45" s="181">
        <f t="shared" ref="J45:J63" si="3">MIN(B45/I45,G45)+C45/2/I45</f>
        <v>99.139300000000006</v>
      </c>
      <c r="K45" s="177"/>
    </row>
    <row r="46" spans="1:11">
      <c r="A46" s="159" t="s">
        <v>530</v>
      </c>
      <c r="B46" s="176"/>
      <c r="C46" s="176">
        <v>28.83548</v>
      </c>
      <c r="D46" s="176"/>
      <c r="E46" s="176">
        <f t="shared" si="2"/>
        <v>28.83548</v>
      </c>
      <c r="F46" s="176"/>
      <c r="G46" s="176">
        <v>0</v>
      </c>
      <c r="I46" s="95">
        <v>5</v>
      </c>
      <c r="J46" s="181">
        <f t="shared" si="3"/>
        <v>2.8835480000000002</v>
      </c>
      <c r="K46" s="177"/>
    </row>
    <row r="47" spans="1:11">
      <c r="A47" s="159" t="s">
        <v>531</v>
      </c>
      <c r="B47" s="176"/>
      <c r="C47" s="176">
        <v>244.51179999999999</v>
      </c>
      <c r="D47" s="176"/>
      <c r="E47" s="176">
        <f t="shared" si="2"/>
        <v>244.51179999999999</v>
      </c>
      <c r="F47" s="176"/>
      <c r="G47" s="176">
        <v>0</v>
      </c>
      <c r="I47" s="95">
        <v>5</v>
      </c>
      <c r="J47" s="181">
        <f t="shared" si="3"/>
        <v>24.451180000000001</v>
      </c>
      <c r="K47" s="177"/>
    </row>
    <row r="48" spans="1:11">
      <c r="A48" s="159" t="s">
        <v>532</v>
      </c>
      <c r="B48" s="176">
        <v>42.206530000000001</v>
      </c>
      <c r="C48" s="176">
        <v>109.47367</v>
      </c>
      <c r="D48" s="176"/>
      <c r="E48" s="176">
        <f t="shared" si="2"/>
        <v>151.68020000000001</v>
      </c>
      <c r="F48" s="176"/>
      <c r="G48" s="176">
        <v>37.985877000000002</v>
      </c>
      <c r="I48" s="95">
        <v>5</v>
      </c>
      <c r="J48" s="181">
        <f t="shared" si="3"/>
        <v>19.388673000000001</v>
      </c>
      <c r="K48" s="177"/>
    </row>
    <row r="49" spans="1:11">
      <c r="A49" s="159" t="s">
        <v>533</v>
      </c>
      <c r="B49" s="176">
        <v>1.81847</v>
      </c>
      <c r="C49" s="176">
        <v>0</v>
      </c>
      <c r="D49" s="176"/>
      <c r="E49" s="176">
        <f t="shared" si="2"/>
        <v>1.81847</v>
      </c>
      <c r="F49" s="176"/>
      <c r="G49" s="176">
        <v>1.6366229999999999</v>
      </c>
      <c r="I49" s="95">
        <v>5</v>
      </c>
      <c r="J49" s="181">
        <f t="shared" si="3"/>
        <v>0.36369400000000002</v>
      </c>
      <c r="K49" s="177"/>
    </row>
    <row r="50" spans="1:11">
      <c r="A50" s="159" t="s">
        <v>534</v>
      </c>
      <c r="B50" s="176"/>
      <c r="C50" s="176">
        <v>3.1366100000000001</v>
      </c>
      <c r="D50" s="176"/>
      <c r="E50" s="176">
        <f t="shared" si="2"/>
        <v>3.1366100000000001</v>
      </c>
      <c r="F50" s="176"/>
      <c r="G50" s="176">
        <v>0</v>
      </c>
      <c r="I50" s="95">
        <v>5</v>
      </c>
      <c r="J50" s="181">
        <f t="shared" si="3"/>
        <v>0.31366100000000002</v>
      </c>
      <c r="K50" s="177"/>
    </row>
    <row r="51" spans="1:11">
      <c r="A51" s="159" t="s">
        <v>535</v>
      </c>
      <c r="B51" s="176"/>
      <c r="C51" s="176">
        <v>123.48519</v>
      </c>
      <c r="D51" s="176"/>
      <c r="E51" s="176">
        <f t="shared" si="2"/>
        <v>123.48519</v>
      </c>
      <c r="F51" s="176"/>
      <c r="G51" s="176">
        <v>0</v>
      </c>
      <c r="I51" s="95">
        <v>5</v>
      </c>
      <c r="J51" s="181">
        <f t="shared" si="3"/>
        <v>12.348519</v>
      </c>
      <c r="K51" s="177"/>
    </row>
    <row r="52" spans="1:11">
      <c r="A52" s="159" t="s">
        <v>536</v>
      </c>
      <c r="B52" s="176"/>
      <c r="C52" s="176">
        <v>164.31387000000001</v>
      </c>
      <c r="D52" s="176"/>
      <c r="E52" s="176">
        <f t="shared" si="2"/>
        <v>164.31387000000001</v>
      </c>
      <c r="F52" s="176"/>
      <c r="G52" s="176">
        <v>0</v>
      </c>
      <c r="I52" s="95">
        <v>5</v>
      </c>
      <c r="J52" s="181">
        <f t="shared" si="3"/>
        <v>16.431387000000001</v>
      </c>
      <c r="K52" s="177"/>
    </row>
    <row r="53" spans="1:11">
      <c r="A53" s="159" t="s">
        <v>537</v>
      </c>
      <c r="B53" s="176"/>
      <c r="C53" s="176">
        <v>100.95914999999999</v>
      </c>
      <c r="D53" s="176"/>
      <c r="E53" s="176">
        <f t="shared" si="2"/>
        <v>100.95914999999999</v>
      </c>
      <c r="F53" s="176"/>
      <c r="G53" s="176">
        <v>0</v>
      </c>
      <c r="I53" s="95">
        <v>5</v>
      </c>
      <c r="J53" s="181">
        <f t="shared" si="3"/>
        <v>10.095915</v>
      </c>
      <c r="K53" s="177"/>
    </row>
    <row r="54" spans="1:11">
      <c r="A54" s="159" t="s">
        <v>538</v>
      </c>
      <c r="B54" s="176"/>
      <c r="C54" s="176">
        <v>68.948940000000007</v>
      </c>
      <c r="D54" s="176"/>
      <c r="E54" s="176">
        <f t="shared" si="2"/>
        <v>68.948940000000007</v>
      </c>
      <c r="F54" s="176"/>
      <c r="G54" s="176">
        <v>0</v>
      </c>
      <c r="I54" s="95">
        <v>5</v>
      </c>
      <c r="J54" s="181">
        <f t="shared" si="3"/>
        <v>6.8948940000000007</v>
      </c>
      <c r="K54" s="177"/>
    </row>
    <row r="55" spans="1:11">
      <c r="A55" s="159" t="s">
        <v>539</v>
      </c>
      <c r="B55" s="176"/>
      <c r="C55" s="176">
        <v>18.49399</v>
      </c>
      <c r="D55" s="176"/>
      <c r="E55" s="176">
        <f t="shared" si="2"/>
        <v>18.49399</v>
      </c>
      <c r="F55" s="176"/>
      <c r="G55" s="176">
        <v>0</v>
      </c>
      <c r="I55" s="95">
        <v>5</v>
      </c>
      <c r="J55" s="181">
        <f t="shared" si="3"/>
        <v>1.849399</v>
      </c>
      <c r="K55" s="177"/>
    </row>
    <row r="56" spans="1:11">
      <c r="A56" s="159" t="s">
        <v>540</v>
      </c>
      <c r="B56" s="176"/>
      <c r="C56" s="176">
        <v>307.20589000000001</v>
      </c>
      <c r="D56" s="176"/>
      <c r="E56" s="176">
        <f t="shared" si="2"/>
        <v>307.20589000000001</v>
      </c>
      <c r="F56" s="176"/>
      <c r="G56" s="176">
        <v>0</v>
      </c>
      <c r="I56" s="95">
        <v>5</v>
      </c>
      <c r="J56" s="181">
        <f t="shared" si="3"/>
        <v>30.720589</v>
      </c>
      <c r="K56" s="177"/>
    </row>
    <row r="57" spans="1:11">
      <c r="A57" s="159" t="s">
        <v>541</v>
      </c>
      <c r="B57" s="176"/>
      <c r="C57" s="176">
        <v>48.358760000000004</v>
      </c>
      <c r="D57" s="176"/>
      <c r="E57" s="176">
        <f t="shared" si="2"/>
        <v>48.358760000000004</v>
      </c>
      <c r="F57" s="176"/>
      <c r="G57" s="176">
        <v>0</v>
      </c>
      <c r="I57" s="95">
        <v>5</v>
      </c>
      <c r="J57" s="181">
        <f t="shared" si="3"/>
        <v>4.8358760000000007</v>
      </c>
      <c r="K57" s="177"/>
    </row>
    <row r="58" spans="1:11">
      <c r="A58" s="159" t="s">
        <v>542</v>
      </c>
      <c r="B58" s="176"/>
      <c r="C58" s="176">
        <v>12.618969999999999</v>
      </c>
      <c r="D58" s="176"/>
      <c r="E58" s="176">
        <f t="shared" si="2"/>
        <v>12.618969999999999</v>
      </c>
      <c r="F58" s="176"/>
      <c r="G58" s="176">
        <v>0</v>
      </c>
      <c r="I58" s="95">
        <v>5</v>
      </c>
      <c r="J58" s="181">
        <f t="shared" si="3"/>
        <v>1.2618969999999998</v>
      </c>
      <c r="K58" s="177"/>
    </row>
    <row r="59" spans="1:11">
      <c r="A59" s="159" t="s">
        <v>543</v>
      </c>
      <c r="B59" s="176"/>
      <c r="C59" s="176">
        <v>104.82865</v>
      </c>
      <c r="D59" s="176"/>
      <c r="E59" s="176">
        <f t="shared" si="2"/>
        <v>104.82865</v>
      </c>
      <c r="F59" s="176"/>
      <c r="G59" s="176">
        <v>0</v>
      </c>
      <c r="I59" s="95">
        <v>5</v>
      </c>
      <c r="J59" s="181">
        <f t="shared" si="3"/>
        <v>10.482865</v>
      </c>
      <c r="K59" s="177"/>
    </row>
    <row r="60" spans="1:11">
      <c r="A60" s="159" t="s">
        <v>544</v>
      </c>
      <c r="B60" s="176"/>
      <c r="C60" s="176">
        <v>3.9265599999999998</v>
      </c>
      <c r="D60" s="176"/>
      <c r="E60" s="176">
        <f t="shared" si="2"/>
        <v>3.9265599999999998</v>
      </c>
      <c r="F60" s="176"/>
      <c r="G60" s="176">
        <v>0</v>
      </c>
      <c r="I60" s="95">
        <v>5</v>
      </c>
      <c r="J60" s="181">
        <f t="shared" si="3"/>
        <v>0.39265600000000001</v>
      </c>
      <c r="K60" s="177"/>
    </row>
    <row r="61" spans="1:11">
      <c r="A61" s="159" t="s">
        <v>545</v>
      </c>
      <c r="B61" s="176"/>
      <c r="C61" s="176">
        <v>350.81653999999997</v>
      </c>
      <c r="D61" s="176"/>
      <c r="E61" s="176">
        <f t="shared" si="2"/>
        <v>350.81653999999997</v>
      </c>
      <c r="F61" s="176"/>
      <c r="G61" s="176">
        <v>0</v>
      </c>
      <c r="I61" s="95">
        <v>5</v>
      </c>
      <c r="J61" s="181">
        <f t="shared" si="3"/>
        <v>35.081654</v>
      </c>
      <c r="K61" s="177"/>
    </row>
    <row r="62" spans="1:11">
      <c r="A62" s="159" t="s">
        <v>546</v>
      </c>
      <c r="B62" s="176">
        <v>5.2911299999999999</v>
      </c>
      <c r="C62" s="176">
        <v>0</v>
      </c>
      <c r="D62" s="176"/>
      <c r="E62" s="176">
        <f t="shared" si="2"/>
        <v>5.2911299999999999</v>
      </c>
      <c r="F62" s="176"/>
      <c r="G62" s="176">
        <v>4.7620170000000002</v>
      </c>
      <c r="I62" s="95">
        <v>5</v>
      </c>
      <c r="J62" s="181">
        <f t="shared" si="3"/>
        <v>1.0582259999999999</v>
      </c>
      <c r="K62" s="177"/>
    </row>
    <row r="63" spans="1:11">
      <c r="A63" s="159" t="s">
        <v>547</v>
      </c>
      <c r="B63" s="176"/>
      <c r="C63" s="176">
        <v>-62.5</v>
      </c>
      <c r="D63" s="176"/>
      <c r="E63" s="176">
        <f t="shared" si="2"/>
        <v>-62.5</v>
      </c>
      <c r="F63" s="176"/>
      <c r="G63" s="176">
        <v>0</v>
      </c>
      <c r="I63" s="95">
        <v>5</v>
      </c>
      <c r="J63" s="176">
        <f t="shared" si="3"/>
        <v>-6.25</v>
      </c>
      <c r="K63" s="177"/>
    </row>
    <row r="64" spans="1:11">
      <c r="B64" s="176"/>
      <c r="C64" s="176"/>
      <c r="D64" s="176"/>
      <c r="E64" s="176"/>
      <c r="F64" s="176"/>
      <c r="G64" s="176"/>
      <c r="I64" s="95"/>
      <c r="J64" s="181"/>
      <c r="K64" s="177"/>
    </row>
    <row r="65" spans="1:11">
      <c r="A65" s="173" t="s">
        <v>370</v>
      </c>
      <c r="B65" s="177">
        <f>SUM(B10:B64)</f>
        <v>17191.995749999998</v>
      </c>
      <c r="C65" s="177">
        <f>SUM(C10:C64)</f>
        <v>2698.8070699999998</v>
      </c>
      <c r="D65" s="177">
        <f>SUM(D10:D64)</f>
        <v>0</v>
      </c>
      <c r="E65" s="177">
        <f>SUM(E10:E64)</f>
        <v>19890.802819999997</v>
      </c>
      <c r="F65" s="177"/>
      <c r="G65" s="177">
        <f>SUM(G10:G64)</f>
        <v>9624.5182330000025</v>
      </c>
      <c r="I65" s="175"/>
      <c r="J65" s="177">
        <f>SUM(J10:J64)</f>
        <v>2322.1483620000004</v>
      </c>
    </row>
    <row r="66" spans="1:11">
      <c r="I66" s="175"/>
    </row>
    <row r="67" spans="1:11">
      <c r="A67" s="173" t="s">
        <v>371</v>
      </c>
      <c r="B67" s="177"/>
      <c r="C67" s="177"/>
      <c r="D67" s="177"/>
      <c r="E67" s="177"/>
      <c r="F67" s="177"/>
      <c r="G67" s="177"/>
      <c r="J67" s="177"/>
    </row>
    <row r="68" spans="1:11">
      <c r="A68" s="179" t="s">
        <v>365</v>
      </c>
      <c r="E68" s="177"/>
      <c r="F68" s="177"/>
      <c r="G68" s="177"/>
    </row>
    <row r="69" spans="1:11">
      <c r="A69" s="180" t="s">
        <v>314</v>
      </c>
      <c r="B69" s="176">
        <v>5768.4672900000005</v>
      </c>
      <c r="C69" s="176">
        <v>747</v>
      </c>
      <c r="D69" s="176">
        <v>0</v>
      </c>
      <c r="E69" s="177">
        <f t="shared" ref="E69:E74" si="4">B69+C69+D69</f>
        <v>6515.4672900000005</v>
      </c>
      <c r="F69" s="177"/>
      <c r="G69" s="176">
        <v>3838.9869100000005</v>
      </c>
      <c r="H69" s="177"/>
      <c r="I69" s="95">
        <v>10</v>
      </c>
      <c r="J69" s="176">
        <v>614.196729</v>
      </c>
      <c r="K69" s="177"/>
    </row>
    <row r="70" spans="1:11">
      <c r="A70" s="180" t="s">
        <v>410</v>
      </c>
      <c r="B70" s="176">
        <v>-2923.6238599999997</v>
      </c>
      <c r="C70" s="177"/>
      <c r="D70" s="177"/>
      <c r="E70" s="177">
        <f t="shared" si="4"/>
        <v>-2923.6238599999997</v>
      </c>
      <c r="F70" s="177"/>
      <c r="G70" s="176">
        <v>-1905.8757599999999</v>
      </c>
      <c r="H70" s="177"/>
      <c r="I70" s="95">
        <v>10</v>
      </c>
      <c r="J70" s="176">
        <v>-292.36238600000001</v>
      </c>
      <c r="K70" s="177"/>
    </row>
    <row r="71" spans="1:11">
      <c r="A71" s="180" t="s">
        <v>373</v>
      </c>
      <c r="B71" s="176">
        <v>185.01089000000002</v>
      </c>
      <c r="C71" s="177"/>
      <c r="D71" s="177"/>
      <c r="E71" s="177">
        <f t="shared" si="4"/>
        <v>185.01089000000002</v>
      </c>
      <c r="F71" s="177"/>
      <c r="G71" s="176">
        <v>115.04695377777777</v>
      </c>
      <c r="H71" s="177"/>
      <c r="I71" s="95">
        <v>45</v>
      </c>
      <c r="J71" s="181">
        <f>MIN(B71/I71,G71)</f>
        <v>4.1113531111111117</v>
      </c>
      <c r="K71" s="177"/>
    </row>
    <row r="72" spans="1:11">
      <c r="A72" s="180" t="s">
        <v>372</v>
      </c>
      <c r="B72" s="176">
        <v>633.98004000000003</v>
      </c>
      <c r="C72" s="177"/>
      <c r="D72" s="177"/>
      <c r="E72" s="177">
        <f t="shared" si="4"/>
        <v>633.98004000000003</v>
      </c>
      <c r="F72" s="177"/>
      <c r="G72" s="176">
        <v>126.79610400000001</v>
      </c>
      <c r="H72" s="177"/>
      <c r="I72" s="95">
        <v>5</v>
      </c>
      <c r="J72" s="181">
        <f>MIN(B72/I72,G72)</f>
        <v>126.796008</v>
      </c>
      <c r="K72" s="177"/>
    </row>
    <row r="73" spans="1:11">
      <c r="A73" s="180" t="s">
        <v>493</v>
      </c>
      <c r="B73" s="176">
        <v>5532.5789699999996</v>
      </c>
      <c r="C73" s="177"/>
      <c r="D73" s="177"/>
      <c r="E73" s="177">
        <f t="shared" si="4"/>
        <v>5532.5789699999996</v>
      </c>
      <c r="F73" s="177"/>
      <c r="G73" s="176">
        <v>4979.32107</v>
      </c>
      <c r="H73" s="177"/>
      <c r="I73" s="95">
        <v>10</v>
      </c>
      <c r="J73" s="181">
        <f>MIN(B73/I73,G73)</f>
        <v>553.25789699999996</v>
      </c>
      <c r="K73" s="177"/>
    </row>
    <row r="74" spans="1:11">
      <c r="A74" s="180" t="s">
        <v>548</v>
      </c>
      <c r="B74" s="176"/>
      <c r="C74" s="177">
        <v>207.40913</v>
      </c>
      <c r="D74" s="177"/>
      <c r="E74" s="177">
        <f t="shared" si="4"/>
        <v>207.40913</v>
      </c>
      <c r="F74" s="177"/>
      <c r="G74" s="176">
        <v>0</v>
      </c>
      <c r="H74" s="177"/>
      <c r="I74" s="95">
        <v>5</v>
      </c>
      <c r="J74" s="181">
        <f>MIN(B74/I74,G74)+C74/2/I74</f>
        <v>20.740912999999999</v>
      </c>
      <c r="K74" s="177"/>
    </row>
    <row r="75" spans="1:11">
      <c r="A75" s="180"/>
      <c r="B75" s="177"/>
      <c r="C75" s="177"/>
      <c r="D75" s="177"/>
      <c r="E75" s="177"/>
      <c r="F75" s="177"/>
      <c r="G75" s="177"/>
      <c r="H75" s="177"/>
      <c r="I75" s="175"/>
      <c r="J75" s="176"/>
      <c r="K75" s="177"/>
    </row>
    <row r="76" spans="1:11">
      <c r="A76" s="173" t="s">
        <v>374</v>
      </c>
      <c r="B76" s="177">
        <f>SUM(B69,B70,B71,B72,B73,B74)</f>
        <v>9196.4133299999994</v>
      </c>
      <c r="C76" s="177">
        <f>SUM(C69,C70,C71,C72,C73,C74)</f>
        <v>954.40913</v>
      </c>
      <c r="D76" s="177">
        <f>SUM(D69,D70,D71,D72,D73,D74)</f>
        <v>0</v>
      </c>
      <c r="E76" s="177">
        <f>SUM(E69,E70,E71,E72,E73,E74)</f>
        <v>10150.822459999999</v>
      </c>
      <c r="F76" s="177"/>
      <c r="G76" s="177">
        <f>SUM(G69,G70,G71,G72,G73,G74)</f>
        <v>7154.2752777777787</v>
      </c>
      <c r="H76" s="177"/>
      <c r="I76" s="177"/>
      <c r="J76" s="177">
        <f>SUM(J69,J70,J71,J72,J73,J74)</f>
        <v>1026.740514111111</v>
      </c>
      <c r="K76" s="177"/>
    </row>
    <row r="77" spans="1:11">
      <c r="A77" s="180"/>
      <c r="B77" s="177"/>
      <c r="C77" s="177"/>
      <c r="D77" s="177"/>
      <c r="E77" s="177"/>
      <c r="F77" s="177"/>
      <c r="G77" s="177"/>
      <c r="H77" s="177"/>
      <c r="I77" s="175"/>
      <c r="J77" s="177"/>
      <c r="K77" s="177"/>
    </row>
    <row r="79" spans="1:11">
      <c r="A79" s="173" t="s">
        <v>90</v>
      </c>
      <c r="B79" s="177"/>
      <c r="C79" s="177"/>
      <c r="D79" s="177"/>
      <c r="E79" s="177"/>
      <c r="F79" s="177"/>
      <c r="G79" s="177"/>
      <c r="H79" s="177"/>
      <c r="I79" s="177"/>
      <c r="J79" s="177"/>
    </row>
    <row r="80" spans="1:11">
      <c r="A80" s="179" t="s">
        <v>365</v>
      </c>
      <c r="B80" s="177"/>
      <c r="C80" s="177"/>
      <c r="D80" s="177"/>
      <c r="E80" s="177"/>
      <c r="F80" s="177"/>
      <c r="G80" s="177"/>
      <c r="H80" s="177"/>
      <c r="I80" s="177"/>
      <c r="J80" s="177"/>
    </row>
    <row r="81" spans="1:18">
      <c r="A81" s="159" t="s">
        <v>411</v>
      </c>
      <c r="B81" s="176">
        <v>4657.8898800000006</v>
      </c>
      <c r="C81" s="176">
        <v>0</v>
      </c>
      <c r="D81" s="177"/>
      <c r="E81" s="177">
        <f t="shared" ref="E81:E91" si="5">B81+C81+D81</f>
        <v>4657.8898800000006</v>
      </c>
      <c r="F81" s="177"/>
      <c r="G81" s="176">
        <v>3096.5180719999998</v>
      </c>
      <c r="H81" s="177"/>
      <c r="I81" s="95">
        <v>5</v>
      </c>
      <c r="J81" s="181">
        <f>MIN(B81/I81,G81)+C81/2/I81</f>
        <v>931.57797600000015</v>
      </c>
      <c r="K81" s="177"/>
    </row>
    <row r="82" spans="1:18">
      <c r="A82" s="159" t="s">
        <v>375</v>
      </c>
      <c r="B82" s="176">
        <v>39.986849999999997</v>
      </c>
      <c r="C82" s="176"/>
      <c r="D82" s="177"/>
      <c r="E82" s="177">
        <f t="shared" si="5"/>
        <v>39.986849999999997</v>
      </c>
      <c r="F82" s="177"/>
      <c r="G82" s="176">
        <v>31.183173999999994</v>
      </c>
      <c r="H82" s="177"/>
      <c r="I82" s="95">
        <v>25</v>
      </c>
      <c r="J82" s="181">
        <f>MIN(B82/I82,G82)</f>
        <v>1.5994739999999998</v>
      </c>
      <c r="K82" s="177"/>
    </row>
    <row r="83" spans="1:18">
      <c r="A83" s="159" t="s">
        <v>376</v>
      </c>
      <c r="B83" s="176">
        <v>131.81734</v>
      </c>
      <c r="C83" s="176"/>
      <c r="D83" s="177"/>
      <c r="E83" s="177">
        <f t="shared" si="5"/>
        <v>131.81734</v>
      </c>
      <c r="F83" s="177"/>
      <c r="G83" s="176">
        <v>6.3363399999999999</v>
      </c>
      <c r="H83" s="177"/>
      <c r="I83" s="175" t="s">
        <v>412</v>
      </c>
      <c r="J83" s="177">
        <f>G83</f>
        <v>6.3363399999999999</v>
      </c>
      <c r="K83" s="177" t="s">
        <v>424</v>
      </c>
    </row>
    <row r="84" spans="1:18">
      <c r="A84" s="159" t="s">
        <v>376</v>
      </c>
      <c r="B84" s="176"/>
      <c r="C84" s="176">
        <v>10607.89898</v>
      </c>
      <c r="D84" s="177"/>
      <c r="E84" s="177">
        <f t="shared" si="5"/>
        <v>10607.89898</v>
      </c>
      <c r="F84" s="177"/>
      <c r="G84" s="176">
        <v>0</v>
      </c>
      <c r="H84" s="177"/>
      <c r="I84" s="95">
        <v>20</v>
      </c>
      <c r="J84" s="181">
        <f>MIN(B84/I84,G84)+C84/2/I84</f>
        <v>265.1974745</v>
      </c>
      <c r="K84" s="177"/>
    </row>
    <row r="85" spans="1:18">
      <c r="A85" s="159" t="s">
        <v>377</v>
      </c>
      <c r="B85" s="176">
        <v>128.80160000000001</v>
      </c>
      <c r="C85" s="176"/>
      <c r="D85" s="177"/>
      <c r="E85" s="177">
        <f t="shared" si="5"/>
        <v>128.80160000000001</v>
      </c>
      <c r="F85" s="177"/>
      <c r="G85" s="176">
        <v>11.25353</v>
      </c>
      <c r="H85" s="177"/>
      <c r="I85" s="175" t="s">
        <v>412</v>
      </c>
      <c r="J85" s="177">
        <f>10938.3658333333/1000</f>
        <v>10.9383658333333</v>
      </c>
      <c r="K85" s="177" t="s">
        <v>424</v>
      </c>
    </row>
    <row r="86" spans="1:18">
      <c r="A86" s="159" t="s">
        <v>377</v>
      </c>
      <c r="B86" s="176"/>
      <c r="C86" s="176">
        <v>0</v>
      </c>
      <c r="D86" s="177"/>
      <c r="E86" s="177">
        <f t="shared" si="5"/>
        <v>0</v>
      </c>
      <c r="F86" s="177"/>
      <c r="G86" s="176">
        <v>0</v>
      </c>
      <c r="H86" s="177"/>
      <c r="I86" s="95">
        <v>25</v>
      </c>
      <c r="J86" s="181">
        <f>MIN(B86/I86,G86)+C86/2/I86</f>
        <v>0</v>
      </c>
      <c r="K86" s="177"/>
    </row>
    <row r="87" spans="1:18">
      <c r="A87" s="159" t="s">
        <v>495</v>
      </c>
      <c r="B87" s="176">
        <v>216.3638</v>
      </c>
      <c r="C87" s="176"/>
      <c r="D87" s="177"/>
      <c r="E87" s="177">
        <f t="shared" si="5"/>
        <v>216.3638</v>
      </c>
      <c r="F87" s="177"/>
      <c r="G87" s="176">
        <v>216.3638</v>
      </c>
      <c r="H87" s="177"/>
      <c r="I87" s="95">
        <v>25</v>
      </c>
      <c r="J87" s="181">
        <f>MIN(B87/I87,G87)</f>
        <v>8.6545520000000007</v>
      </c>
    </row>
    <row r="88" spans="1:18">
      <c r="A88" s="159" t="s">
        <v>497</v>
      </c>
      <c r="B88" s="176"/>
      <c r="C88" s="176">
        <v>13.88059</v>
      </c>
      <c r="D88" s="177"/>
      <c r="E88" s="177">
        <f t="shared" si="5"/>
        <v>13.88059</v>
      </c>
      <c r="F88" s="177"/>
      <c r="G88" s="176">
        <v>0</v>
      </c>
      <c r="H88" s="177"/>
      <c r="I88" s="95">
        <v>25</v>
      </c>
      <c r="J88" s="181">
        <f>MIN(B88/I88,G88)+C88/2/I88</f>
        <v>0.27761180000000002</v>
      </c>
      <c r="K88" s="177"/>
    </row>
    <row r="89" spans="1:18">
      <c r="A89" s="159" t="s">
        <v>498</v>
      </c>
      <c r="B89" s="176"/>
      <c r="C89" s="176">
        <v>9.7247700000000012</v>
      </c>
      <c r="D89" s="177"/>
      <c r="E89" s="177">
        <f t="shared" si="5"/>
        <v>9.7247700000000012</v>
      </c>
      <c r="F89" s="177"/>
      <c r="G89" s="176">
        <v>0</v>
      </c>
      <c r="H89" s="177"/>
      <c r="I89" s="95">
        <v>25</v>
      </c>
      <c r="J89" s="181">
        <f>MIN(B89/I89,G89)+C89/2/I89</f>
        <v>0.19449540000000001</v>
      </c>
      <c r="K89" s="177"/>
    </row>
    <row r="90" spans="1:18">
      <c r="A90" s="159" t="s">
        <v>499</v>
      </c>
      <c r="B90" s="176"/>
      <c r="C90" s="176">
        <v>50</v>
      </c>
      <c r="D90" s="177"/>
      <c r="E90" s="177">
        <f t="shared" si="5"/>
        <v>50</v>
      </c>
      <c r="F90" s="177"/>
      <c r="G90" s="176">
        <v>0</v>
      </c>
      <c r="H90" s="177"/>
      <c r="I90" s="95">
        <v>25</v>
      </c>
      <c r="J90" s="181">
        <f>MIN(B90/I90,G90)+C90/2/I90</f>
        <v>1</v>
      </c>
      <c r="K90" s="177"/>
    </row>
    <row r="91" spans="1:18">
      <c r="A91" s="159" t="s">
        <v>496</v>
      </c>
      <c r="B91" s="176">
        <v>2267.2020200000002</v>
      </c>
      <c r="C91" s="176"/>
      <c r="D91" s="177"/>
      <c r="E91" s="177">
        <f t="shared" si="5"/>
        <v>2267.2020200000002</v>
      </c>
      <c r="F91" s="177"/>
      <c r="G91" s="176">
        <v>2267.2020200000002</v>
      </c>
      <c r="H91" s="177"/>
      <c r="I91" s="95">
        <v>10</v>
      </c>
      <c r="J91" s="181">
        <f>MIN(B91/I91,G91)</f>
        <v>226.72020200000003</v>
      </c>
    </row>
    <row r="92" spans="1:18">
      <c r="B92" s="177"/>
      <c r="C92" s="177"/>
      <c r="D92" s="177"/>
      <c r="E92" s="177"/>
      <c r="F92" s="177"/>
      <c r="G92" s="177"/>
      <c r="H92" s="177"/>
      <c r="I92" s="177"/>
      <c r="J92" s="177"/>
      <c r="K92" s="177"/>
      <c r="Q92" s="177"/>
    </row>
    <row r="93" spans="1:18">
      <c r="A93" s="173" t="s">
        <v>378</v>
      </c>
      <c r="B93" s="177">
        <f>SUM(B80:B92)</f>
        <v>7442.06149</v>
      </c>
      <c r="C93" s="177">
        <f>SUM(C80:C92)</f>
        <v>10681.504340000001</v>
      </c>
      <c r="D93" s="177">
        <f>SUM(D80:D92)</f>
        <v>0</v>
      </c>
      <c r="E93" s="177">
        <f>SUM(E80:E92)</f>
        <v>18123.56583</v>
      </c>
      <c r="F93" s="177"/>
      <c r="G93" s="177">
        <f>SUM(G80:G92)</f>
        <v>5628.8569360000001</v>
      </c>
      <c r="H93" s="177"/>
      <c r="I93" s="177"/>
      <c r="J93" s="177">
        <f>SUM(J80:J92)</f>
        <v>1452.4964915333335</v>
      </c>
      <c r="R93" s="177"/>
    </row>
    <row r="94" spans="1:18">
      <c r="B94" s="177"/>
      <c r="C94" s="177"/>
      <c r="D94" s="177"/>
      <c r="E94" s="177"/>
      <c r="F94" s="177"/>
      <c r="G94" s="177"/>
      <c r="H94" s="177"/>
      <c r="I94" s="177"/>
      <c r="J94" s="177"/>
      <c r="R94" s="177"/>
    </row>
    <row r="95" spans="1:18">
      <c r="A95" s="173" t="s">
        <v>379</v>
      </c>
      <c r="B95" s="177"/>
      <c r="C95" s="177"/>
      <c r="D95" s="177"/>
      <c r="E95" s="177"/>
      <c r="F95" s="177"/>
      <c r="G95" s="177"/>
      <c r="H95" s="177"/>
      <c r="I95" s="177"/>
      <c r="J95" s="177"/>
      <c r="R95" s="177"/>
    </row>
    <row r="96" spans="1:18">
      <c r="A96" s="174" t="s">
        <v>380</v>
      </c>
      <c r="B96" s="176">
        <v>254.48933</v>
      </c>
      <c r="C96" s="177">
        <v>194.77539000000002</v>
      </c>
      <c r="D96" s="177"/>
      <c r="E96" s="177">
        <f>SUM(B96:D96)</f>
        <v>449.26472000000001</v>
      </c>
      <c r="F96" s="177"/>
      <c r="G96" s="176">
        <v>75.998169999999988</v>
      </c>
      <c r="H96" s="177"/>
      <c r="I96" s="95">
        <v>5</v>
      </c>
      <c r="J96" s="181">
        <f>MIN(B96/I96,G96)+C96/2/I96</f>
        <v>70.375405000000001</v>
      </c>
      <c r="R96" s="177"/>
    </row>
    <row r="97" spans="1:23">
      <c r="A97" s="174"/>
      <c r="B97" s="176"/>
      <c r="C97" s="177"/>
      <c r="D97" s="177"/>
      <c r="E97" s="177"/>
      <c r="F97" s="177"/>
      <c r="G97" s="176"/>
      <c r="H97" s="177"/>
      <c r="I97" s="95"/>
      <c r="J97" s="181"/>
      <c r="R97" s="177"/>
    </row>
    <row r="98" spans="1:23">
      <c r="A98" s="173" t="s">
        <v>508</v>
      </c>
      <c r="B98" s="176"/>
      <c r="C98" s="177"/>
      <c r="D98" s="177"/>
      <c r="E98" s="177"/>
      <c r="F98" s="177"/>
      <c r="G98" s="176"/>
      <c r="H98" s="177"/>
      <c r="I98" s="95"/>
      <c r="J98" s="181">
        <v>221.53100000000001</v>
      </c>
      <c r="R98" s="177"/>
    </row>
    <row r="99" spans="1:23">
      <c r="A99" s="182"/>
      <c r="B99" s="178"/>
      <c r="C99" s="178"/>
      <c r="D99" s="178"/>
      <c r="E99" s="178"/>
      <c r="F99" s="177"/>
      <c r="G99" s="177"/>
      <c r="H99" s="183"/>
      <c r="I99" s="184"/>
      <c r="J99" s="178"/>
      <c r="K99" s="177"/>
    </row>
    <row r="100" spans="1:23">
      <c r="A100" s="189" t="s">
        <v>381</v>
      </c>
      <c r="B100" s="185">
        <f>SUM(B65,B76,B93,B96)</f>
        <v>34084.959899999994</v>
      </c>
      <c r="C100" s="185">
        <f>SUM(C65,C76,C93,C96)</f>
        <v>14529.495930000003</v>
      </c>
      <c r="D100" s="185">
        <f>SUM(D65,D76,D93,D96)</f>
        <v>0</v>
      </c>
      <c r="E100" s="185">
        <f>SUM(E65,E76,E93,E96)</f>
        <v>48614.455829999999</v>
      </c>
      <c r="F100" s="199"/>
      <c r="G100" s="185">
        <f>SUM(G65,G76,G93,G96)</f>
        <v>22483.64861677778</v>
      </c>
      <c r="H100" s="183"/>
      <c r="I100" s="184"/>
      <c r="J100" s="185">
        <f>SUM(J65,J76,J93,J96,J98)</f>
        <v>5093.2917726444448</v>
      </c>
      <c r="R100" s="177"/>
      <c r="W100" s="177"/>
    </row>
    <row r="101" spans="1:23">
      <c r="A101" s="163"/>
      <c r="B101" s="186"/>
      <c r="C101" s="186"/>
      <c r="D101" s="186"/>
      <c r="E101" s="186"/>
      <c r="F101" s="186"/>
      <c r="G101" s="186"/>
      <c r="H101" s="183"/>
      <c r="I101" s="184"/>
      <c r="J101" s="183"/>
      <c r="R101" s="177"/>
      <c r="W101" s="177"/>
    </row>
    <row r="102" spans="1:23">
      <c r="A102" s="173" t="s">
        <v>92</v>
      </c>
      <c r="B102" s="177"/>
      <c r="C102" s="177"/>
      <c r="D102" s="177"/>
      <c r="E102" s="177"/>
      <c r="F102" s="177"/>
      <c r="G102" s="177"/>
      <c r="H102" s="177"/>
      <c r="I102" s="177"/>
      <c r="J102" s="177"/>
      <c r="R102" s="177"/>
      <c r="W102" s="177"/>
    </row>
    <row r="103" spans="1:23">
      <c r="A103" s="179" t="s">
        <v>365</v>
      </c>
      <c r="B103" s="177"/>
      <c r="C103" s="177"/>
      <c r="D103" s="177"/>
      <c r="E103" s="177"/>
      <c r="F103" s="177"/>
      <c r="G103" s="177"/>
      <c r="H103" s="177"/>
      <c r="I103" s="177"/>
      <c r="J103" s="177"/>
      <c r="R103" s="177"/>
      <c r="W103" s="177"/>
    </row>
    <row r="104" spans="1:23" ht="4.5" customHeight="1">
      <c r="B104" s="176"/>
      <c r="C104" s="177"/>
      <c r="D104" s="177"/>
      <c r="E104" s="177"/>
      <c r="F104" s="177"/>
      <c r="G104" s="176"/>
      <c r="H104" s="177"/>
      <c r="I104" s="95"/>
      <c r="J104" s="177"/>
      <c r="K104" s="177"/>
      <c r="R104" s="177"/>
      <c r="W104" s="177"/>
    </row>
    <row r="105" spans="1:23">
      <c r="A105" s="159" t="s">
        <v>494</v>
      </c>
      <c r="B105" s="176">
        <f>1593.3+293.168+7386.33258-B106</f>
        <v>4722.947259999999</v>
      </c>
      <c r="C105" s="177">
        <v>2339.79232</v>
      </c>
      <c r="D105" s="177"/>
      <c r="E105" s="177">
        <f>B105+C105+D105</f>
        <v>7062.7395799999995</v>
      </c>
      <c r="F105" s="177"/>
      <c r="G105" s="176">
        <v>1121.5549999999998</v>
      </c>
      <c r="H105" s="177"/>
      <c r="I105" s="95"/>
      <c r="J105" s="177">
        <v>398.53217000000001</v>
      </c>
      <c r="K105" s="177" t="s">
        <v>427</v>
      </c>
      <c r="R105" s="177"/>
      <c r="W105" s="177"/>
    </row>
    <row r="106" spans="1:23">
      <c r="A106" s="159" t="s">
        <v>428</v>
      </c>
      <c r="B106" s="176">
        <v>4549.8533200000002</v>
      </c>
      <c r="C106" s="177"/>
      <c r="D106" s="177"/>
      <c r="E106" s="177">
        <f>B106+C106+D106</f>
        <v>4549.8533200000002</v>
      </c>
      <c r="F106" s="177"/>
      <c r="G106" s="176">
        <v>2839.607</v>
      </c>
      <c r="H106" s="177"/>
      <c r="I106" s="95">
        <v>10</v>
      </c>
      <c r="J106" s="181">
        <f>MIN(B106/I106,G106)</f>
        <v>454.98533200000003</v>
      </c>
      <c r="K106" s="177"/>
      <c r="R106" s="177"/>
      <c r="W106" s="177"/>
    </row>
    <row r="107" spans="1:23">
      <c r="B107" s="177"/>
      <c r="C107" s="177"/>
      <c r="D107" s="177"/>
      <c r="E107" s="177"/>
      <c r="F107" s="177"/>
      <c r="G107" s="177"/>
      <c r="H107" s="177"/>
      <c r="I107" s="177"/>
      <c r="J107" s="177"/>
      <c r="R107" s="177"/>
      <c r="W107" s="177"/>
    </row>
    <row r="108" spans="1:23">
      <c r="A108" s="173" t="s">
        <v>415</v>
      </c>
      <c r="B108" s="177">
        <f>SUM(B103:B107)</f>
        <v>9272.8005799999992</v>
      </c>
      <c r="C108" s="177">
        <f>SUM(C103:C107)</f>
        <v>2339.79232</v>
      </c>
      <c r="D108" s="177">
        <f>SUM(D103:D107)</f>
        <v>0</v>
      </c>
      <c r="E108" s="177">
        <f>SUM(E103:E107)</f>
        <v>11612.5929</v>
      </c>
      <c r="F108" s="177"/>
      <c r="G108" s="177">
        <f>SUM(G103:G107)</f>
        <v>3961.1619999999998</v>
      </c>
      <c r="H108" s="177"/>
      <c r="I108" s="177"/>
      <c r="J108" s="177">
        <f>SUM(J103:J107)</f>
        <v>853.51750200000004</v>
      </c>
      <c r="K108" s="177"/>
      <c r="R108" s="177"/>
      <c r="W108" s="177"/>
    </row>
    <row r="109" spans="1:23">
      <c r="A109" s="163"/>
      <c r="B109" s="186"/>
      <c r="C109" s="186"/>
      <c r="D109" s="186"/>
      <c r="E109" s="186"/>
      <c r="F109" s="186"/>
      <c r="G109" s="186"/>
      <c r="H109" s="183"/>
      <c r="I109" s="184"/>
      <c r="J109" s="183"/>
      <c r="R109" s="177"/>
      <c r="W109" s="177"/>
    </row>
    <row r="110" spans="1:23" ht="9" customHeight="1">
      <c r="A110" s="163"/>
      <c r="B110" s="186"/>
      <c r="C110" s="186"/>
      <c r="D110" s="186"/>
      <c r="E110" s="186"/>
      <c r="F110" s="186"/>
      <c r="G110" s="186"/>
      <c r="H110" s="183"/>
      <c r="I110" s="184"/>
      <c r="J110" s="183"/>
      <c r="R110" s="177"/>
      <c r="W110" s="177"/>
    </row>
    <row r="111" spans="1:23">
      <c r="A111" s="189" t="s">
        <v>416</v>
      </c>
      <c r="B111" s="185">
        <f>B100+B108</f>
        <v>43357.760479999997</v>
      </c>
      <c r="C111" s="185">
        <f>C100+C108</f>
        <v>16869.288250000001</v>
      </c>
      <c r="D111" s="185">
        <f>D100+D108</f>
        <v>0</v>
      </c>
      <c r="E111" s="185">
        <f>E100+E108</f>
        <v>60227.048729999995</v>
      </c>
      <c r="F111" s="199"/>
      <c r="G111" s="185">
        <f>G100+G108</f>
        <v>26444.810616777781</v>
      </c>
      <c r="H111" s="183"/>
      <c r="I111" s="184"/>
      <c r="J111" s="185">
        <f>J100+J108</f>
        <v>5946.8092746444445</v>
      </c>
      <c r="R111" s="177"/>
      <c r="W111" s="177"/>
    </row>
    <row r="112" spans="1:23" ht="6.5" customHeight="1">
      <c r="A112" s="163"/>
      <c r="B112" s="186"/>
      <c r="C112" s="186"/>
      <c r="D112" s="186"/>
      <c r="E112" s="186"/>
      <c r="F112" s="186"/>
      <c r="G112" s="186"/>
      <c r="H112" s="183"/>
      <c r="I112" s="184"/>
      <c r="J112" s="183"/>
      <c r="R112" s="177"/>
      <c r="W112" s="177"/>
    </row>
    <row r="113" spans="1:10" ht="5.5" customHeight="1"/>
    <row r="114" spans="1:10">
      <c r="A114" s="163" t="s">
        <v>382</v>
      </c>
      <c r="B114" s="186"/>
      <c r="C114" s="186"/>
      <c r="D114" s="186"/>
      <c r="E114" s="186"/>
      <c r="F114" s="186"/>
      <c r="G114" s="186"/>
      <c r="H114" s="183"/>
      <c r="I114" s="184"/>
      <c r="J114" s="183"/>
    </row>
    <row r="115" spans="1:10" ht="12.75" customHeight="1">
      <c r="A115" s="163" t="s">
        <v>383</v>
      </c>
      <c r="B115" s="186"/>
      <c r="C115" s="186"/>
      <c r="D115" s="186"/>
      <c r="E115" s="186"/>
      <c r="F115" s="186"/>
      <c r="G115" s="186"/>
      <c r="H115" s="183"/>
      <c r="I115" s="184"/>
      <c r="J115" s="183"/>
    </row>
    <row r="116" spans="1:10">
      <c r="A116" s="163"/>
    </row>
    <row r="117" spans="1:10" ht="28.5" customHeight="1">
      <c r="A117" s="237" t="s">
        <v>426</v>
      </c>
      <c r="B117" s="237"/>
      <c r="C117" s="237"/>
      <c r="D117" s="237"/>
      <c r="E117" s="237"/>
      <c r="F117" s="237"/>
      <c r="G117" s="237"/>
      <c r="H117" s="237"/>
      <c r="I117" s="237"/>
    </row>
    <row r="118" spans="1:10">
      <c r="A118" s="237" t="s">
        <v>429</v>
      </c>
      <c r="B118" s="237"/>
      <c r="C118" s="237"/>
      <c r="D118" s="237"/>
      <c r="E118" s="237"/>
      <c r="F118" s="237"/>
      <c r="G118" s="237"/>
      <c r="H118" s="237"/>
      <c r="I118" s="237"/>
    </row>
  </sheetData>
  <mergeCells count="4">
    <mergeCell ref="B5:E5"/>
    <mergeCell ref="I6:I7"/>
    <mergeCell ref="A117:I117"/>
    <mergeCell ref="A118:I118"/>
  </mergeCells>
  <conditionalFormatting sqref="A69:A75">
    <cfRule type="expression" dxfId="17" priority="1" stopIfTrue="1">
      <formula>AND(MONTH(#REF!)-MONTH(#REF!)=1,YEAR(#REF!)=YEAR(#REF!),#REF!&gt;0)</formula>
    </cfRule>
    <cfRule type="expression" dxfId="16" priority="2" stopIfTrue="1">
      <formula>AND(MONTH(#REF!)-MONTH(#REF!)=0,YEAR(#REF!)=YEAR(#REF!),#REF!&gt;0)</formula>
    </cfRule>
    <cfRule type="expression" dxfId="15" priority="3" stopIfTrue="1">
      <formula>AND(MONTH(#REF!)-MONTH(#REF!)&lt;0,YEAR(#REF!)=YEAR(#REF!),#REF!&gt;0)</formula>
    </cfRule>
  </conditionalFormatting>
  <conditionalFormatting sqref="A77">
    <cfRule type="expression" dxfId="14" priority="4" stopIfTrue="1">
      <formula>AND(MONTH($E77)-MONTH($B$1)=1,YEAR($E77)=YEAR($B$1),$X77&gt;0)</formula>
    </cfRule>
    <cfRule type="expression" dxfId="13" priority="5" stopIfTrue="1">
      <formula>AND(MONTH($E77)-MONTH($B$1)=0,YEAR($E77)=YEAR($B$1),$X77&gt;0)</formula>
    </cfRule>
    <cfRule type="expression" dxfId="12" priority="6" stopIfTrue="1">
      <formula>AND(MONTH($E77)-MONTH($B$1)&lt;0,YEAR($E77)=YEAR($B$1),$X77&gt;0)</formula>
    </cfRule>
  </conditionalFormatting>
  <printOptions horizontalCentered="1"/>
  <pageMargins left="0.55118110236220474" right="0.31496062992125984" top="0.82677165354330717" bottom="0.9055118110236221" header="0.51181102362204722" footer="0.51181102362204722"/>
  <pageSetup scale="41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7A8BB25B4B9943A28DD2C7D72FB2F9" ma:contentTypeVersion="19" ma:contentTypeDescription="Create a new document." ma:contentTypeScope="" ma:versionID="906c6347c09eec5f147401e7eb0d206e">
  <xsd:schema xmlns:xsd="http://www.w3.org/2001/XMLSchema" xmlns:xs="http://www.w3.org/2001/XMLSchema" xmlns:p="http://schemas.microsoft.com/office/2006/metadata/properties" xmlns:ns3="33065f61-c79c-448a-9deb-dbc720c84833" xmlns:ns4="2e602322-2b0f-4222-be01-dedc3f22d39d" targetNamespace="http://schemas.microsoft.com/office/2006/metadata/properties" ma:root="true" ma:fieldsID="02e5c579add0ee0ecf015ba5657612a1" ns3:_="" ns4:_="">
    <xsd:import namespace="33065f61-c79c-448a-9deb-dbc720c84833"/>
    <xsd:import namespace="2e602322-2b0f-4222-be01-dedc3f22d3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65f61-c79c-448a-9deb-dbc720c848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33fa657-670e-4866-a67d-7f1915bfde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02322-2b0f-4222-be01-dedc3f22d39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6a80b2a-b8b2-4cee-a0cb-c87dc4f3b29e}" ma:internalName="TaxCatchAll" ma:showField="CatchAllData" ma:web="2e602322-2b0f-4222-be01-dedc3f22d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602322-2b0f-4222-be01-dedc3f22d39d" xsi:nil="true"/>
    <lcf76f155ced4ddcb4097134ff3c332f xmlns="33065f61-c79c-448a-9deb-dbc720c8483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F6FA13-48E0-4874-AA28-D556C2A6B772}"/>
</file>

<file path=customXml/itemProps2.xml><?xml version="1.0" encoding="utf-8"?>
<ds:datastoreItem xmlns:ds="http://schemas.openxmlformats.org/officeDocument/2006/customXml" ds:itemID="{509C62CC-F539-414F-BD55-DCC661BBC2CC}"/>
</file>

<file path=customXml/itemProps3.xml><?xml version="1.0" encoding="utf-8"?>
<ds:datastoreItem xmlns:ds="http://schemas.openxmlformats.org/officeDocument/2006/customXml" ds:itemID="{8F1028F1-0B59-485D-8F7D-29E1FC1128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30</vt:i4>
      </vt:variant>
    </vt:vector>
  </HeadingPairs>
  <TitlesOfParts>
    <vt:vector size="51" baseType="lpstr">
      <vt:lpstr>Index</vt:lpstr>
      <vt:lpstr>Schedule 1</vt:lpstr>
      <vt:lpstr>Schedule 2</vt:lpstr>
      <vt:lpstr>Schedule 2A</vt:lpstr>
      <vt:lpstr>Schedule 3</vt:lpstr>
      <vt:lpstr>Schedule 3A - 2025</vt:lpstr>
      <vt:lpstr>Schedule 3A - 2026</vt:lpstr>
      <vt:lpstr>Schedule 3A - 2027</vt:lpstr>
      <vt:lpstr>Schedule 3B - 2025</vt:lpstr>
      <vt:lpstr>Schedule 3B - 2026</vt:lpstr>
      <vt:lpstr>Schedule 3B - 2027</vt:lpstr>
      <vt:lpstr>Schedule 3C</vt:lpstr>
      <vt:lpstr>Schedule 4</vt:lpstr>
      <vt:lpstr>Schedule 5</vt:lpstr>
      <vt:lpstr>Schedule 6</vt:lpstr>
      <vt:lpstr>Schedule 7</vt:lpstr>
      <vt:lpstr>Schedule 8</vt:lpstr>
      <vt:lpstr>Schedule 9</vt:lpstr>
      <vt:lpstr>Schedule 10</vt:lpstr>
      <vt:lpstr>Schedule 10A</vt:lpstr>
      <vt:lpstr>Schedule 11</vt:lpstr>
      <vt:lpstr>Index!Print_Area</vt:lpstr>
      <vt:lpstr>'Schedule 1'!Print_Area</vt:lpstr>
      <vt:lpstr>'Schedule 10'!Print_Area</vt:lpstr>
      <vt:lpstr>'Schedule 10A'!Print_Area</vt:lpstr>
      <vt:lpstr>'Schedule 11'!Print_Area</vt:lpstr>
      <vt:lpstr>'Schedule 2'!Print_Area</vt:lpstr>
      <vt:lpstr>'Schedule 2A'!Print_Area</vt:lpstr>
      <vt:lpstr>'Schedule 3'!Print_Area</vt:lpstr>
      <vt:lpstr>'Schedule 3A - 2025'!Print_Area</vt:lpstr>
      <vt:lpstr>'Schedule 3A - 2026'!Print_Area</vt:lpstr>
      <vt:lpstr>'Schedule 3A - 2027'!Print_Area</vt:lpstr>
      <vt:lpstr>'Schedule 3B - 2025'!Print_Area</vt:lpstr>
      <vt:lpstr>'Schedule 3B - 2026'!Print_Area</vt:lpstr>
      <vt:lpstr>'Schedule 3B - 2027'!Print_Area</vt:lpstr>
      <vt:lpstr>'Schedule 3C'!Print_Area</vt:lpstr>
      <vt:lpstr>'Schedule 4'!Print_Area</vt:lpstr>
      <vt:lpstr>'Schedule 5'!Print_Area</vt:lpstr>
      <vt:lpstr>'Schedule 6'!Print_Area</vt:lpstr>
      <vt:lpstr>'Schedule 7'!Print_Area</vt:lpstr>
      <vt:lpstr>'Schedule 8'!Print_Area</vt:lpstr>
      <vt:lpstr>'Schedule 9'!Print_Area</vt:lpstr>
      <vt:lpstr>'Schedule 1'!Print_Titles</vt:lpstr>
      <vt:lpstr>'Schedule 3'!Print_Titles</vt:lpstr>
      <vt:lpstr>'Schedule 3A - 2025'!Print_Titles</vt:lpstr>
      <vt:lpstr>'Schedule 3A - 2026'!Print_Titles</vt:lpstr>
      <vt:lpstr>'Schedule 3A - 2027'!Print_Titles</vt:lpstr>
      <vt:lpstr>'Schedule 3B - 2025'!Print_Titles</vt:lpstr>
      <vt:lpstr>'Schedule 3B - 2026'!Print_Titles</vt:lpstr>
      <vt:lpstr>'Schedule 3B - 2027'!Print_Titles</vt:lpstr>
      <vt:lpstr>'Schedule 3C'!Print_Titles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2026-02-09T17:59:36Z</dcterms:created>
  <dcterms:modified xsi:type="dcterms:W3CDTF">2026-02-10T16:55:00Z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0x0101007D7A8BB25B4B9943A28DD2C7D72FB2F9</vt:lpwstr>
  </property>
  <property fmtid="{D5CDD505-2E9C-101B-9397-08002B2CF9AE}" pid="4" name="_dlc_DocIdItemGuid">
    <vt:lpwstr>85496e89-407c-408b-a065-69e82df3e272</vt:lpwstr>
  </property>
</Properties>
</file>