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updateLinks="never" codeName="ThisWorkbook" defaultThemeVersion="124226"/>
  <xr:revisionPtr revIDLastSave="26" documentId="13_ncr:1_{9F17A41A-04CB-4BDB-9014-67AE5223A685}" xr6:coauthVersionLast="47" xr6:coauthVersionMax="47" xr10:uidLastSave="{89979BA2-3FAA-46CB-B3E7-D07921015D72}"/>
  <bookViews>
    <workbookView xWindow="-110" yWindow="-110" windowWidth="19420" windowHeight="10420" tabRatio="728" xr2:uid="{00000000-000D-0000-FFFF-FFFF00000000}"/>
  </bookViews>
  <sheets>
    <sheet name="Index" sheetId="31" r:id="rId1"/>
    <sheet name="Schedule 1" sheetId="14" r:id="rId2"/>
    <sheet name="Schedule 2" sheetId="11" r:id="rId3"/>
    <sheet name="Schedule 2A" sheetId="12" r:id="rId4"/>
    <sheet name="Schedule 3" sheetId="13" r:id="rId5"/>
    <sheet name="Schedule 3A - 2023" sheetId="42" r:id="rId6"/>
    <sheet name="Schedule 3A - 2024" sheetId="46" r:id="rId7"/>
    <sheet name="Schedule 3B - 2023" sheetId="48" r:id="rId8"/>
    <sheet name="Schedule 3B - 2024" sheetId="50" r:id="rId9"/>
    <sheet name="Schedule 4" sheetId="29" r:id="rId10"/>
    <sheet name="Schedule 5" sheetId="18" r:id="rId11"/>
    <sheet name="Schedule 6" sheetId="19" r:id="rId12"/>
    <sheet name="Schedule 7" sheetId="20" r:id="rId13"/>
    <sheet name="Schedule 8" sheetId="23" r:id="rId14"/>
    <sheet name="Schedule 9" sheetId="25" r:id="rId15"/>
    <sheet name="Schedule 10" sheetId="27" r:id="rId16"/>
    <sheet name="Schedule 10A" sheetId="38" r:id="rId17"/>
    <sheet name="Schedule 11" sheetId="36" r:id="rId18"/>
  </sheets>
  <definedNames>
    <definedName name="_Key1" hidden="1">#REF!</definedName>
    <definedName name="_Order1" hidden="1">255</definedName>
    <definedName name="_Sort" hidden="1">#REF!</definedName>
    <definedName name="Z_2E51B7C0_6CEE_11D3_AD1A_A5A650036065_.wvu.Cols" localSheetId="7" hidden="1">#REF!</definedName>
    <definedName name="Z_2E51B7C0_6CEE_11D3_AD1A_A5A650036065_.wvu.Cols" localSheetId="8" hidden="1">#REF!</definedName>
    <definedName name="Z_2E51B7C0_6CEE_11D3_AD1A_A5A650036065_.wvu.Cols" hidden="1">#REF!</definedName>
    <definedName name="Z_418DF6FE_13EF_11D2_8C37_00A0C92A9A63_.wvu.PrintArea" localSheetId="7" hidden="1">#REF!</definedName>
    <definedName name="Z_418DF6FE_13EF_11D2_8C37_00A0C92A9A63_.wvu.PrintArea" localSheetId="8" hidden="1">#REF!</definedName>
    <definedName name="Z_418DF6FE_13EF_11D2_8C37_00A0C92A9A63_.wvu.PrintArea" hidden="1">#REF!</definedName>
    <definedName name="Z_418DF6FE_13EF_11D2_8C37_00A0C92A9A63_.wvu.PrintTitles" localSheetId="7" hidden="1">#REF!</definedName>
    <definedName name="Z_418DF6FE_13EF_11D2_8C37_00A0C92A9A63_.wvu.PrintTitles" localSheetId="8" hidden="1">#REF!</definedName>
    <definedName name="Z_418DF6FE_13EF_11D2_8C37_00A0C92A9A63_.wvu.PrintTitles" hidden="1">#REF!</definedName>
    <definedName name="Z_418DF6FE_13EF_11D2_8C37_00A0C92A9A63_.wvu.Rows" localSheetId="7" hidden="1">#REF!,#REF!,#REF!,#REF!,#REF!,#REF!,#REF!</definedName>
    <definedName name="Z_418DF6FE_13EF_11D2_8C37_00A0C92A9A63_.wvu.Rows" localSheetId="8" hidden="1">#REF!,#REF!,#REF!,#REF!,#REF!,#REF!,#REF!</definedName>
    <definedName name="Z_418DF6FE_13EF_11D2_8C37_00A0C92A9A63_.wvu.Rows" hidden="1">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48" l="1"/>
  <c r="E79" i="48" l="1"/>
  <c r="B76" i="50" l="1"/>
  <c r="G79" i="48"/>
  <c r="J39" i="48"/>
  <c r="J50" i="48"/>
  <c r="J49" i="48"/>
  <c r="J48" i="48"/>
  <c r="J47" i="48"/>
  <c r="J46" i="48"/>
  <c r="J38" i="48"/>
  <c r="J37" i="48"/>
  <c r="J36" i="48"/>
  <c r="J34" i="48"/>
  <c r="J33" i="48"/>
  <c r="J32" i="48"/>
  <c r="J31" i="48"/>
  <c r="J30" i="48"/>
  <c r="J29" i="48"/>
  <c r="J28" i="48"/>
  <c r="J27" i="48"/>
  <c r="J26" i="48"/>
  <c r="J25" i="48"/>
  <c r="J24" i="48"/>
  <c r="J23" i="48"/>
  <c r="J22" i="48"/>
  <c r="J21" i="48"/>
  <c r="J20" i="48"/>
  <c r="J19" i="48"/>
  <c r="J18" i="48"/>
  <c r="J17" i="48"/>
  <c r="J16" i="48"/>
  <c r="J15" i="48"/>
  <c r="J14" i="48"/>
  <c r="J13" i="48"/>
  <c r="J12" i="48"/>
  <c r="J11" i="48"/>
  <c r="J10" i="48"/>
  <c r="B35" i="48"/>
  <c r="J79" i="48" l="1"/>
  <c r="E76" i="50"/>
  <c r="L2" i="36"/>
  <c r="L2" i="38"/>
  <c r="L2" i="27"/>
  <c r="J2" i="25"/>
  <c r="L2" i="23"/>
  <c r="L2" i="20"/>
  <c r="L2" i="19"/>
  <c r="L2" i="18"/>
  <c r="Q2" i="29"/>
  <c r="J2" i="50"/>
  <c r="J2" i="48"/>
  <c r="H2" i="46" l="1"/>
  <c r="H2" i="42"/>
  <c r="L2" i="13"/>
  <c r="L2" i="12"/>
  <c r="L2" i="11"/>
  <c r="J76" i="50" l="1"/>
  <c r="J60" i="50" l="1"/>
  <c r="G93" i="13"/>
  <c r="G92" i="13" l="1"/>
  <c r="G112" i="13" s="1"/>
  <c r="I30" i="13" l="1"/>
  <c r="A56" i="25" l="1"/>
  <c r="D15" i="31"/>
  <c r="D14" i="31"/>
  <c r="D13" i="31"/>
  <c r="D79" i="50"/>
  <c r="D64" i="50"/>
  <c r="J61" i="50"/>
  <c r="D53" i="50"/>
  <c r="D41" i="50"/>
  <c r="E7" i="50"/>
  <c r="J6" i="50"/>
  <c r="J64" i="48"/>
  <c r="J65" i="48"/>
  <c r="B65" i="48"/>
  <c r="B64" i="48"/>
  <c r="B63" i="48"/>
  <c r="J45" i="48"/>
  <c r="D41" i="48"/>
  <c r="B41" i="48"/>
  <c r="D82" i="48"/>
  <c r="E50" i="48"/>
  <c r="B47" i="50" s="1"/>
  <c r="E49" i="48"/>
  <c r="E48" i="48"/>
  <c r="E47" i="48"/>
  <c r="E46" i="48"/>
  <c r="B46" i="50" s="1"/>
  <c r="J46" i="50" s="1"/>
  <c r="E33" i="48"/>
  <c r="B31" i="50" s="1"/>
  <c r="E27" i="48"/>
  <c r="B25" i="50" s="1"/>
  <c r="J63" i="48" l="1"/>
  <c r="E47" i="50"/>
  <c r="J47" i="50"/>
  <c r="E25" i="50"/>
  <c r="J25" i="50"/>
  <c r="E31" i="50"/>
  <c r="J31" i="50"/>
  <c r="G67" i="48"/>
  <c r="E52" i="48"/>
  <c r="J61" i="48"/>
  <c r="J52" i="48"/>
  <c r="J62" i="48"/>
  <c r="D70" i="50"/>
  <c r="D82" i="50" s="1"/>
  <c r="E46" i="50"/>
  <c r="G56" i="48" l="1"/>
  <c r="J51" i="48"/>
  <c r="B56" i="48"/>
  <c r="I107" i="13" l="1"/>
  <c r="G107" i="13"/>
  <c r="G101" i="13"/>
  <c r="G27" i="14"/>
  <c r="G110" i="13"/>
  <c r="I101" i="13" l="1"/>
  <c r="D67" i="48" l="1"/>
  <c r="B67" i="48"/>
  <c r="E65" i="48"/>
  <c r="B61" i="50" s="1"/>
  <c r="E61" i="50" s="1"/>
  <c r="E64" i="48"/>
  <c r="B60" i="50" s="1"/>
  <c r="E60" i="50" s="1"/>
  <c r="E63" i="48"/>
  <c r="B59" i="50" s="1"/>
  <c r="E61" i="48"/>
  <c r="D56" i="48"/>
  <c r="E24" i="48"/>
  <c r="B22" i="50" s="1"/>
  <c r="J22" i="50" s="1"/>
  <c r="D73" i="48"/>
  <c r="D85" i="48" s="1"/>
  <c r="E34" i="48"/>
  <c r="E31" i="48"/>
  <c r="B29" i="50" s="1"/>
  <c r="J29" i="50" s="1"/>
  <c r="E30" i="48"/>
  <c r="B28" i="50" s="1"/>
  <c r="J28" i="50" s="1"/>
  <c r="E28" i="48"/>
  <c r="B26" i="50" s="1"/>
  <c r="J26" i="50" s="1"/>
  <c r="E25" i="48"/>
  <c r="B23" i="50" s="1"/>
  <c r="J23" i="50" s="1"/>
  <c r="E23" i="48"/>
  <c r="B21" i="50" s="1"/>
  <c r="J21" i="50" s="1"/>
  <c r="E21" i="48"/>
  <c r="B19" i="50" s="1"/>
  <c r="J19" i="50" s="1"/>
  <c r="E10" i="48"/>
  <c r="B10" i="50" s="1"/>
  <c r="E18" i="48"/>
  <c r="B16" i="50" s="1"/>
  <c r="J16" i="50" s="1"/>
  <c r="E17" i="48"/>
  <c r="B15" i="50" s="1"/>
  <c r="E16" i="48"/>
  <c r="B14" i="50" s="1"/>
  <c r="J14" i="50" s="1"/>
  <c r="E14" i="48"/>
  <c r="B12" i="50" s="1"/>
  <c r="J12" i="50" s="1"/>
  <c r="E13" i="48"/>
  <c r="B11" i="50" s="1"/>
  <c r="E12" i="48"/>
  <c r="E11" i="48"/>
  <c r="J6" i="48"/>
  <c r="E11" i="50" l="1"/>
  <c r="J11" i="50"/>
  <c r="E15" i="50"/>
  <c r="J15" i="50"/>
  <c r="E28" i="50"/>
  <c r="E29" i="50"/>
  <c r="E22" i="50"/>
  <c r="E16" i="50"/>
  <c r="E59" i="50"/>
  <c r="E19" i="50"/>
  <c r="E14" i="50"/>
  <c r="E21" i="50"/>
  <c r="E10" i="50"/>
  <c r="E23" i="50"/>
  <c r="E12" i="50"/>
  <c r="E26" i="50"/>
  <c r="E26" i="48"/>
  <c r="B24" i="50" s="1"/>
  <c r="J24" i="50" s="1"/>
  <c r="J56" i="48"/>
  <c r="J67" i="48"/>
  <c r="E15" i="48"/>
  <c r="B13" i="50" s="1"/>
  <c r="E19" i="48"/>
  <c r="B17" i="50" s="1"/>
  <c r="J17" i="50" s="1"/>
  <c r="E22" i="48"/>
  <c r="B20" i="50" s="1"/>
  <c r="J20" i="50" s="1"/>
  <c r="E32" i="48"/>
  <c r="B30" i="50" s="1"/>
  <c r="J30" i="50" s="1"/>
  <c r="E20" i="48"/>
  <c r="B18" i="50" s="1"/>
  <c r="J18" i="50" s="1"/>
  <c r="E7" i="48"/>
  <c r="E13" i="50" l="1"/>
  <c r="J13" i="50"/>
  <c r="E30" i="50"/>
  <c r="E17" i="50"/>
  <c r="E20" i="50"/>
  <c r="E18" i="50"/>
  <c r="E24" i="50"/>
  <c r="J59" i="50" l="1"/>
  <c r="J10" i="50" l="1"/>
  <c r="H6" i="46" l="1"/>
  <c r="E142" i="46"/>
  <c r="E138" i="46"/>
  <c r="E127" i="46"/>
  <c r="E123" i="46"/>
  <c r="E112" i="46"/>
  <c r="E95" i="46"/>
  <c r="E75" i="46"/>
  <c r="E60" i="46"/>
  <c r="E45" i="46"/>
  <c r="D45" i="46"/>
  <c r="E41" i="46"/>
  <c r="E29" i="46"/>
  <c r="E142" i="42"/>
  <c r="H127" i="46" l="1"/>
  <c r="H45" i="46"/>
  <c r="F55" i="42"/>
  <c r="F56" i="42"/>
  <c r="F21" i="42"/>
  <c r="C21" i="46" s="1"/>
  <c r="F21" i="46" s="1"/>
  <c r="F84" i="42" l="1"/>
  <c r="F54" i="42"/>
  <c r="J42" i="13" l="1"/>
  <c r="I22" i="14" l="1"/>
  <c r="I71" i="13"/>
  <c r="K13" i="29" l="1"/>
  <c r="K15" i="29" s="1"/>
  <c r="E48" i="25" l="1"/>
  <c r="E40" i="25"/>
  <c r="E35" i="25"/>
  <c r="E34" i="25"/>
  <c r="E42" i="25" s="1"/>
  <c r="E50" i="25" s="1"/>
  <c r="E33" i="25"/>
  <c r="E31" i="25"/>
  <c r="E27" i="25"/>
  <c r="E23" i="25"/>
  <c r="E19" i="25"/>
  <c r="E17" i="25"/>
  <c r="E13" i="25"/>
  <c r="E11" i="25"/>
  <c r="G17" i="27"/>
  <c r="G15" i="27"/>
  <c r="E36" i="25" l="1"/>
  <c r="E43" i="25"/>
  <c r="E51" i="25" l="1"/>
  <c r="E52" i="25" s="1"/>
  <c r="E44" i="25"/>
  <c r="G7" i="38" l="1"/>
  <c r="G22" i="36"/>
  <c r="G28" i="36" s="1"/>
  <c r="K40" i="29" l="1"/>
  <c r="K42" i="29" s="1"/>
  <c r="C56" i="46" l="1"/>
  <c r="C55" i="46"/>
  <c r="F55" i="46" l="1"/>
  <c r="F56" i="46"/>
  <c r="L7" i="36"/>
  <c r="L7" i="27"/>
  <c r="I7" i="25"/>
  <c r="J7" i="25"/>
  <c r="L7" i="20"/>
  <c r="L7" i="19"/>
  <c r="L7" i="13"/>
  <c r="L7" i="12"/>
  <c r="L7" i="11"/>
  <c r="D12" i="31" l="1"/>
  <c r="E138" i="42"/>
  <c r="E127" i="42"/>
  <c r="E123" i="42"/>
  <c r="E112" i="42"/>
  <c r="E95" i="42"/>
  <c r="E75" i="42"/>
  <c r="E60" i="42"/>
  <c r="E45" i="42"/>
  <c r="H45" i="42"/>
  <c r="E41" i="42"/>
  <c r="E29" i="42"/>
  <c r="D45" i="42" l="1"/>
  <c r="H127" i="42"/>
  <c r="J19" i="23" l="1"/>
  <c r="J7" i="36"/>
  <c r="L7" i="38"/>
  <c r="K7" i="38"/>
  <c r="J7" i="38"/>
  <c r="I7" i="38"/>
  <c r="J7" i="27"/>
  <c r="H7" i="25"/>
  <c r="J7" i="23"/>
  <c r="J7" i="20"/>
  <c r="J7" i="19"/>
  <c r="J7" i="18"/>
  <c r="J7" i="13"/>
  <c r="J7" i="12"/>
  <c r="J7" i="11"/>
  <c r="J20" i="23"/>
  <c r="D30" i="31"/>
  <c r="A11" i="38" l="1"/>
  <c r="A12" i="38" s="1"/>
  <c r="A13" i="38" s="1"/>
  <c r="A16" i="38" s="1"/>
  <c r="K49" i="29" l="1"/>
  <c r="K51" i="29" s="1"/>
  <c r="C84" i="46" l="1"/>
  <c r="G14" i="19"/>
  <c r="F84" i="46" l="1"/>
  <c r="G59" i="13"/>
  <c r="G66" i="13"/>
  <c r="G73" i="13" l="1"/>
  <c r="G22" i="14" l="1"/>
  <c r="G94" i="13" l="1"/>
  <c r="G16" i="19" l="1"/>
  <c r="A10" i="14" l="1"/>
  <c r="A13" i="14" s="1"/>
  <c r="A15" i="14" s="1"/>
  <c r="A16" i="14" s="1"/>
  <c r="A17" i="14" s="1"/>
  <c r="A18" i="14" s="1"/>
  <c r="A21" i="14" s="1"/>
  <c r="A22" i="14" s="1"/>
  <c r="A23" i="14" s="1"/>
  <c r="A26" i="14" s="1"/>
  <c r="A27" i="14" s="1"/>
  <c r="A29" i="14" s="1"/>
  <c r="A31" i="14" l="1"/>
  <c r="A34" i="14" s="1"/>
  <c r="A38" i="14" s="1"/>
  <c r="A39" i="14" s="1"/>
  <c r="A40" i="14" s="1"/>
  <c r="A41" i="14" s="1"/>
  <c r="A42" i="14" s="1"/>
  <c r="A44" i="14" s="1"/>
  <c r="G13" i="13"/>
  <c r="A11" i="13"/>
  <c r="A12" i="13" s="1"/>
  <c r="A13" i="13" s="1"/>
  <c r="A16" i="13" s="1"/>
  <c r="A17" i="13" s="1"/>
  <c r="A18" i="13" s="1"/>
  <c r="A19" i="13" s="1"/>
  <c r="A22" i="13" s="1"/>
  <c r="A23" i="13" s="1"/>
  <c r="A24" i="13" s="1"/>
  <c r="A26" i="13" s="1"/>
  <c r="A29" i="13" s="1"/>
  <c r="G87" i="13"/>
  <c r="G80" i="13"/>
  <c r="A17" i="38"/>
  <c r="A18" i="38" s="1"/>
  <c r="A19" i="38" s="1"/>
  <c r="A20" i="38" s="1"/>
  <c r="A22" i="38" s="1"/>
  <c r="A12" i="36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8" i="36" s="1"/>
  <c r="K20" i="23"/>
  <c r="C41" i="36"/>
  <c r="G53" i="36"/>
  <c r="G31" i="27"/>
  <c r="G21" i="18"/>
  <c r="D29" i="31"/>
  <c r="K7" i="36"/>
  <c r="I7" i="36"/>
  <c r="G7" i="36"/>
  <c r="K7" i="27"/>
  <c r="I7" i="27"/>
  <c r="G7" i="27"/>
  <c r="E7" i="25"/>
  <c r="G7" i="25"/>
  <c r="L7" i="23"/>
  <c r="K7" i="23"/>
  <c r="I7" i="23"/>
  <c r="G7" i="23"/>
  <c r="K7" i="20"/>
  <c r="I7" i="20"/>
  <c r="G7" i="20"/>
  <c r="K7" i="19"/>
  <c r="I7" i="19"/>
  <c r="G7" i="19"/>
  <c r="L7" i="18"/>
  <c r="K7" i="18"/>
  <c r="I7" i="18"/>
  <c r="G7" i="18"/>
  <c r="K7" i="13"/>
  <c r="I7" i="13"/>
  <c r="G7" i="13"/>
  <c r="K7" i="12"/>
  <c r="I7" i="12"/>
  <c r="G7" i="12"/>
  <c r="K7" i="11"/>
  <c r="I7" i="11"/>
  <c r="G7" i="11"/>
  <c r="L19" i="23"/>
  <c r="I19" i="23"/>
  <c r="C35" i="36"/>
  <c r="C36" i="36"/>
  <c r="C50" i="36"/>
  <c r="C38" i="36"/>
  <c r="C37" i="36"/>
  <c r="C39" i="36"/>
  <c r="C40" i="36"/>
  <c r="G19" i="18"/>
  <c r="G19" i="23"/>
  <c r="G12" i="23"/>
  <c r="G20" i="23"/>
  <c r="G40" i="14"/>
  <c r="G42" i="14" s="1"/>
  <c r="A21" i="19"/>
  <c r="A23" i="19" s="1"/>
  <c r="A24" i="19" s="1"/>
  <c r="A25" i="19" s="1"/>
  <c r="A26" i="19" s="1"/>
  <c r="A28" i="19" s="1"/>
  <c r="A29" i="19" s="1"/>
  <c r="A30" i="19" s="1"/>
  <c r="A32" i="19" s="1"/>
  <c r="B29" i="31"/>
  <c r="B32" i="31" s="1"/>
  <c r="D27" i="31"/>
  <c r="D25" i="31"/>
  <c r="A23" i="20"/>
  <c r="A24" i="20" s="1"/>
  <c r="A25" i="20" s="1"/>
  <c r="A58" i="25"/>
  <c r="A60" i="25" s="1"/>
  <c r="A62" i="25" s="1"/>
  <c r="K19" i="23"/>
  <c r="D6" i="31"/>
  <c r="D8" i="31"/>
  <c r="D9" i="31"/>
  <c r="D11" i="31"/>
  <c r="D19" i="31"/>
  <c r="D21" i="31"/>
  <c r="D23" i="31"/>
  <c r="D32" i="31"/>
  <c r="A30" i="13" l="1"/>
  <c r="A31" i="13" s="1"/>
  <c r="A32" i="13" s="1"/>
  <c r="A33" i="13" s="1"/>
  <c r="A35" i="13" s="1"/>
  <c r="A37" i="13" s="1"/>
  <c r="A40" i="13" s="1"/>
  <c r="A41" i="13" s="1"/>
  <c r="A42" i="13" s="1"/>
  <c r="A43" i="13" s="1"/>
  <c r="A44" i="13" s="1"/>
  <c r="A45" i="13" s="1"/>
  <c r="G46" i="14"/>
  <c r="G10" i="14"/>
  <c r="G18" i="18"/>
  <c r="A29" i="36"/>
  <c r="A30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3" i="36" s="1"/>
  <c r="A46" i="14"/>
  <c r="A48" i="14" s="1"/>
  <c r="A46" i="13" l="1"/>
  <c r="A48" i="13" s="1"/>
  <c r="A49" i="13" s="1"/>
  <c r="A50" i="13" s="1"/>
  <c r="A51" i="13" s="1"/>
  <c r="A52" i="13" s="1"/>
  <c r="A53" i="13" s="1"/>
  <c r="A55" i="13" s="1"/>
  <c r="A56" i="13" s="1"/>
  <c r="A57" i="13" s="1"/>
  <c r="A58" i="13" s="1"/>
  <c r="A59" i="13" s="1"/>
  <c r="A60" i="13" s="1"/>
  <c r="A62" i="13" s="1"/>
  <c r="A63" i="13" s="1"/>
  <c r="A64" i="13" s="1"/>
  <c r="A65" i="13" s="1"/>
  <c r="A66" i="13" s="1"/>
  <c r="A67" i="13" s="1"/>
  <c r="A69" i="13" s="1"/>
  <c r="A70" i="13" s="1"/>
  <c r="A71" i="13" s="1"/>
  <c r="A72" i="13" s="1"/>
  <c r="A73" i="13" s="1"/>
  <c r="A74" i="13" s="1"/>
  <c r="A76" i="13" s="1"/>
  <c r="A77" i="13" s="1"/>
  <c r="A78" i="13" s="1"/>
  <c r="A79" i="13" s="1"/>
  <c r="A80" i="13" s="1"/>
  <c r="A81" i="13" s="1"/>
  <c r="A83" i="13" s="1"/>
  <c r="A84" i="13" s="1"/>
  <c r="A85" i="13" s="1"/>
  <c r="A86" i="13" s="1"/>
  <c r="A87" i="13" s="1"/>
  <c r="A89" i="13" s="1"/>
  <c r="A90" i="13" s="1"/>
  <c r="A91" i="13" s="1"/>
  <c r="A55" i="36"/>
  <c r="A92" i="13" l="1"/>
  <c r="A93" i="13" s="1"/>
  <c r="A94" i="13" s="1"/>
  <c r="A95" i="13" s="1"/>
  <c r="A97" i="13" s="1"/>
  <c r="A98" i="13" s="1"/>
  <c r="A99" i="13" s="1"/>
  <c r="A100" i="13" s="1"/>
  <c r="A101" i="13" s="1"/>
  <c r="A103" i="13" s="1"/>
  <c r="A104" i="13" s="1"/>
  <c r="A105" i="13" s="1"/>
  <c r="A106" i="13" s="1"/>
  <c r="A107" i="13" s="1"/>
  <c r="A109" i="13" s="1"/>
  <c r="A110" i="13" s="1"/>
  <c r="A111" i="13" s="1"/>
  <c r="A112" i="13" s="1"/>
  <c r="A113" i="13" s="1"/>
  <c r="C45" i="42"/>
  <c r="F44" i="42"/>
  <c r="C44" i="46" s="1"/>
  <c r="C45" i="46" l="1"/>
  <c r="F44" i="46"/>
  <c r="F45" i="46" s="1"/>
  <c r="F45" i="42"/>
  <c r="G15" i="14" l="1"/>
  <c r="G24" i="13"/>
  <c r="G16" i="14" l="1"/>
  <c r="G20" i="18" l="1"/>
  <c r="G19" i="13"/>
  <c r="G13" i="14" l="1"/>
  <c r="I20" i="23" l="1"/>
  <c r="G43" i="13" l="1"/>
  <c r="G50" i="13"/>
  <c r="G111" i="13" l="1"/>
  <c r="G113" i="13" s="1"/>
  <c r="G117" i="13" s="1"/>
  <c r="G21" i="14" l="1"/>
  <c r="G23" i="14" s="1"/>
  <c r="A115" i="13" l="1"/>
  <c r="A117" i="13" s="1"/>
  <c r="A119" i="13" s="1"/>
  <c r="E58" i="25" l="1"/>
  <c r="E62" i="25" s="1"/>
  <c r="I12" i="23" l="1"/>
  <c r="I31" i="27" l="1"/>
  <c r="I19" i="18"/>
  <c r="G30" i="36" l="1"/>
  <c r="G11" i="29" l="1"/>
  <c r="G55" i="36"/>
  <c r="O11" i="29" s="1"/>
  <c r="O15" i="29" s="1"/>
  <c r="G17" i="18" l="1"/>
  <c r="G10" i="11" s="1"/>
  <c r="G32" i="27"/>
  <c r="G18" i="23" l="1"/>
  <c r="G19" i="27" l="1"/>
  <c r="G33" i="27"/>
  <c r="G33" i="13" l="1"/>
  <c r="G35" i="13" l="1"/>
  <c r="G37" i="13" s="1"/>
  <c r="G119" i="13" s="1"/>
  <c r="G17" i="14"/>
  <c r="G18" i="14" s="1"/>
  <c r="G26" i="14" l="1"/>
  <c r="G29" i="14" s="1"/>
  <c r="G24" i="12"/>
  <c r="G28" i="12" s="1"/>
  <c r="G16" i="18" l="1"/>
  <c r="G19" i="19"/>
  <c r="G13" i="12"/>
  <c r="G17" i="12" s="1"/>
  <c r="G30" i="12" s="1"/>
  <c r="G19" i="11" s="1"/>
  <c r="G9" i="11" l="1"/>
  <c r="G13" i="11" s="1"/>
  <c r="G15" i="11" s="1"/>
  <c r="G21" i="11" s="1"/>
  <c r="G25" i="18"/>
  <c r="G31" i="14" l="1"/>
  <c r="G34" i="14" l="1"/>
  <c r="G48" i="14" s="1"/>
  <c r="G26" i="19"/>
  <c r="G13" i="23"/>
  <c r="G9" i="18" l="1"/>
  <c r="M15" i="29"/>
  <c r="G17" i="23"/>
  <c r="G21" i="23" s="1"/>
  <c r="G30" i="19"/>
  <c r="M11" i="29" l="1"/>
  <c r="M13" i="29"/>
  <c r="I11" i="29"/>
  <c r="G15" i="29"/>
  <c r="I13" i="29"/>
  <c r="I15" i="29" l="1"/>
  <c r="Q11" i="29"/>
  <c r="Q13" i="29" l="1"/>
  <c r="Q15" i="29" s="1"/>
  <c r="G13" i="18" s="1"/>
  <c r="G27" i="18" l="1"/>
  <c r="G9" i="19" s="1"/>
  <c r="G21" i="19" s="1"/>
  <c r="G32" i="19" s="1"/>
  <c r="G9" i="23"/>
  <c r="G14" i="23" s="1"/>
  <c r="G23" i="23" s="1"/>
  <c r="G11" i="18"/>
  <c r="G12" i="20" l="1"/>
  <c r="G14" i="20" s="1"/>
  <c r="G19" i="20" s="1"/>
  <c r="G24" i="20" s="1"/>
  <c r="G25" i="20" s="1"/>
  <c r="J70" i="13"/>
  <c r="I15" i="14" l="1"/>
  <c r="I40" i="14"/>
  <c r="I42" i="14" s="1"/>
  <c r="J44" i="14" l="1"/>
  <c r="I21" i="18" l="1"/>
  <c r="J49" i="13" l="1"/>
  <c r="I50" i="13"/>
  <c r="I43" i="13"/>
  <c r="C54" i="46" l="1"/>
  <c r="F54" i="46" l="1"/>
  <c r="I18" i="23" l="1"/>
  <c r="I17" i="27"/>
  <c r="I19" i="27" l="1"/>
  <c r="I33" i="27"/>
  <c r="I13" i="23" l="1"/>
  <c r="I26" i="19"/>
  <c r="I33" i="13" l="1"/>
  <c r="I17" i="14" l="1"/>
  <c r="I13" i="12" l="1"/>
  <c r="I17" i="12" s="1"/>
  <c r="I30" i="19" l="1"/>
  <c r="I17" i="23"/>
  <c r="I21" i="23" s="1"/>
  <c r="G26" i="27" l="1"/>
  <c r="G22" i="38"/>
  <c r="G12" i="38" s="1"/>
  <c r="G11" i="38" s="1"/>
  <c r="G28" i="27" l="1"/>
  <c r="G22" i="27"/>
  <c r="G35" i="27" s="1"/>
  <c r="C127" i="42" l="1"/>
  <c r="C15" i="42" l="1"/>
  <c r="C75" i="42" l="1"/>
  <c r="C138" i="42" l="1"/>
  <c r="C95" i="42" l="1"/>
  <c r="C123" i="42"/>
  <c r="C29" i="42" l="1"/>
  <c r="C41" i="42"/>
  <c r="C112" i="42" l="1"/>
  <c r="C60" i="42"/>
  <c r="J56" i="13" l="1"/>
  <c r="I57" i="13"/>
  <c r="I20" i="18" l="1"/>
  <c r="D142" i="46" l="1"/>
  <c r="I22" i="38" l="1"/>
  <c r="I12" i="38" l="1"/>
  <c r="I11" i="38" s="1"/>
  <c r="J22" i="38" l="1"/>
  <c r="J12" i="38" l="1"/>
  <c r="J11" i="38" s="1"/>
  <c r="I24" i="13" l="1"/>
  <c r="I35" i="13" s="1"/>
  <c r="I16" i="14"/>
  <c r="J24" i="13" l="1"/>
  <c r="J16" i="14" l="1"/>
  <c r="I18" i="18" l="1"/>
  <c r="I17" i="18" l="1"/>
  <c r="I10" i="11" s="1"/>
  <c r="I32" i="27"/>
  <c r="J107" i="13" l="1"/>
  <c r="K104" i="13" s="1"/>
  <c r="E51" i="48" l="1"/>
  <c r="B48" i="50" s="1"/>
  <c r="J48" i="50" s="1"/>
  <c r="E48" i="50" l="1"/>
  <c r="E37" i="48" l="1"/>
  <c r="B34" i="50" s="1"/>
  <c r="E53" i="48"/>
  <c r="B49" i="50" s="1"/>
  <c r="E49" i="50" s="1"/>
  <c r="E38" i="48"/>
  <c r="B35" i="50" s="1"/>
  <c r="E45" i="48"/>
  <c r="C56" i="48"/>
  <c r="E80" i="48"/>
  <c r="B77" i="50" s="1"/>
  <c r="E29" i="48"/>
  <c r="E54" i="48"/>
  <c r="B50" i="50" s="1"/>
  <c r="E50" i="50" s="1"/>
  <c r="J77" i="50" l="1"/>
  <c r="J35" i="50"/>
  <c r="J34" i="50"/>
  <c r="E35" i="50"/>
  <c r="B45" i="50"/>
  <c r="E56" i="48"/>
  <c r="G53" i="50"/>
  <c r="B27" i="50"/>
  <c r="E77" i="50"/>
  <c r="E34" i="50"/>
  <c r="J27" i="50" l="1"/>
  <c r="J45" i="50"/>
  <c r="E27" i="50"/>
  <c r="B53" i="50"/>
  <c r="J53" i="50" l="1"/>
  <c r="E62" i="48"/>
  <c r="C67" i="48"/>
  <c r="G64" i="50" l="1"/>
  <c r="B58" i="50"/>
  <c r="J58" i="50" s="1"/>
  <c r="E67" i="48"/>
  <c r="J64" i="50" l="1"/>
  <c r="B64" i="50"/>
  <c r="E58" i="50"/>
  <c r="K107" i="13" l="1"/>
  <c r="L104" i="13" s="1"/>
  <c r="L107" i="13" l="1"/>
  <c r="E36" i="48"/>
  <c r="B33" i="50" s="1"/>
  <c r="C82" i="48"/>
  <c r="J33" i="50" l="1"/>
  <c r="E33" i="50"/>
  <c r="J93" i="13" l="1"/>
  <c r="K93" i="13" l="1"/>
  <c r="I93" i="13" l="1"/>
  <c r="I19" i="13" l="1"/>
  <c r="J16" i="13" l="1"/>
  <c r="I13" i="14"/>
  <c r="I18" i="14" s="1"/>
  <c r="I13" i="13" l="1"/>
  <c r="J10" i="13" l="1"/>
  <c r="I37" i="13"/>
  <c r="I10" i="14"/>
  <c r="L93" i="13" l="1"/>
  <c r="J18" i="23" l="1"/>
  <c r="J17" i="27"/>
  <c r="J19" i="27" l="1"/>
  <c r="J33" i="27"/>
  <c r="I46" i="14" l="1"/>
  <c r="J32" i="27" l="1"/>
  <c r="J17" i="18"/>
  <c r="J10" i="11" s="1"/>
  <c r="E35" i="48" l="1"/>
  <c r="B32" i="50" l="1"/>
  <c r="E32" i="50" l="1"/>
  <c r="J35" i="48" l="1"/>
  <c r="G41" i="48"/>
  <c r="J41" i="48" l="1"/>
  <c r="C142" i="42"/>
  <c r="C144" i="42"/>
  <c r="J32" i="50" l="1"/>
  <c r="G73" i="48"/>
  <c r="J71" i="48" l="1"/>
  <c r="B73" i="48"/>
  <c r="E71" i="48"/>
  <c r="J73" i="48"/>
  <c r="B68" i="50" l="1"/>
  <c r="J57" i="13"/>
  <c r="K56" i="13"/>
  <c r="J68" i="50" l="1"/>
  <c r="E68" i="50"/>
  <c r="E78" i="48" l="1"/>
  <c r="B75" i="50" s="1"/>
  <c r="E75" i="50" s="1"/>
  <c r="J40" i="14" l="1"/>
  <c r="B82" i="48" l="1"/>
  <c r="B85" i="48" s="1"/>
  <c r="E77" i="48"/>
  <c r="B74" i="50" l="1"/>
  <c r="E82" i="48"/>
  <c r="B79" i="50" l="1"/>
  <c r="J15" i="14" l="1"/>
  <c r="J22" i="14"/>
  <c r="J71" i="13" l="1"/>
  <c r="K70" i="13"/>
  <c r="J42" i="14" l="1"/>
  <c r="J46" i="14" l="1"/>
  <c r="K44" i="14"/>
  <c r="J43" i="13" l="1"/>
  <c r="K42" i="13"/>
  <c r="J50" i="13"/>
  <c r="K49" i="13"/>
  <c r="I66" i="13" l="1"/>
  <c r="J63" i="13" s="1"/>
  <c r="J66" i="13" l="1"/>
  <c r="K63" i="13" s="1"/>
  <c r="K66" i="13" l="1"/>
  <c r="L63" i="13" s="1"/>
  <c r="L66" i="13" l="1"/>
  <c r="K24" i="13" l="1"/>
  <c r="K16" i="14" s="1"/>
  <c r="L20" i="23" l="1"/>
  <c r="L24" i="13" l="1"/>
  <c r="L16" i="14" s="1"/>
  <c r="K22" i="38" l="1"/>
  <c r="K12" i="38" s="1"/>
  <c r="K11" i="38" s="1"/>
  <c r="L22" i="38" l="1"/>
  <c r="L12" i="38" s="1"/>
  <c r="L11" i="38" s="1"/>
  <c r="I87" i="13" l="1"/>
  <c r="J84" i="13" l="1"/>
  <c r="J87" i="13" s="1"/>
  <c r="K84" i="13" l="1"/>
  <c r="K87" i="13" s="1"/>
  <c r="J13" i="23"/>
  <c r="L84" i="13" l="1"/>
  <c r="I53" i="36"/>
  <c r="I28" i="36" l="1"/>
  <c r="J29" i="36" s="1"/>
  <c r="I30" i="36" l="1"/>
  <c r="J28" i="36"/>
  <c r="K29" i="36" s="1"/>
  <c r="G20" i="29" l="1"/>
  <c r="I55" i="36"/>
  <c r="J30" i="36"/>
  <c r="G29" i="29" l="1"/>
  <c r="K17" i="18" l="1"/>
  <c r="K10" i="11" s="1"/>
  <c r="K32" i="27"/>
  <c r="L17" i="18" l="1"/>
  <c r="L10" i="11" s="1"/>
  <c r="L32" i="27"/>
  <c r="H15" i="46" l="1"/>
  <c r="E13" i="46"/>
  <c r="E13" i="42"/>
  <c r="H15" i="42"/>
  <c r="E15" i="46" l="1"/>
  <c r="E144" i="46" s="1"/>
  <c r="E15" i="42"/>
  <c r="E144" i="42" s="1"/>
  <c r="C64" i="50" l="1"/>
  <c r="E62" i="50"/>
  <c r="E64" i="50" s="1"/>
  <c r="E45" i="50" l="1"/>
  <c r="J37" i="50" l="1"/>
  <c r="E37" i="50" l="1"/>
  <c r="E36" i="50" l="1"/>
  <c r="E38" i="50"/>
  <c r="E51" i="50" l="1"/>
  <c r="E53" i="50" s="1"/>
  <c r="C53" i="50"/>
  <c r="D142" i="42" l="1"/>
  <c r="F141" i="42"/>
  <c r="C141" i="46" l="1"/>
  <c r="F142" i="42"/>
  <c r="F141" i="46" l="1"/>
  <c r="F142" i="46" s="1"/>
  <c r="C142" i="46"/>
  <c r="H142" i="46" l="1"/>
  <c r="H142" i="42"/>
  <c r="C79" i="50"/>
  <c r="E74" i="50"/>
  <c r="E79" i="50" s="1"/>
  <c r="D127" i="46" l="1"/>
  <c r="D15" i="46"/>
  <c r="F118" i="42" l="1"/>
  <c r="C118" i="46" s="1"/>
  <c r="F39" i="42"/>
  <c r="C39" i="46" s="1"/>
  <c r="F93" i="42"/>
  <c r="C93" i="46" s="1"/>
  <c r="F70" i="42"/>
  <c r="C70" i="46" s="1"/>
  <c r="F121" i="42"/>
  <c r="C121" i="46" s="1"/>
  <c r="F49" i="42"/>
  <c r="C49" i="46" s="1"/>
  <c r="F71" i="42"/>
  <c r="C71" i="46" s="1"/>
  <c r="F51" i="42"/>
  <c r="C51" i="46" s="1"/>
  <c r="F73" i="42"/>
  <c r="C73" i="46" s="1"/>
  <c r="F80" i="42"/>
  <c r="C80" i="46" s="1"/>
  <c r="F52" i="42"/>
  <c r="C52" i="46" s="1"/>
  <c r="F131" i="42"/>
  <c r="C131" i="46" s="1"/>
  <c r="F102" i="42"/>
  <c r="C102" i="46" s="1"/>
  <c r="F134" i="42"/>
  <c r="C134" i="46" s="1"/>
  <c r="F79" i="42"/>
  <c r="C79" i="46" s="1"/>
  <c r="F11" i="42"/>
  <c r="C11" i="46" s="1"/>
  <c r="F85" i="42"/>
  <c r="C85" i="46" s="1"/>
  <c r="F58" i="42"/>
  <c r="C58" i="46" s="1"/>
  <c r="F103" i="42"/>
  <c r="C103" i="46" s="1"/>
  <c r="F136" i="42"/>
  <c r="C136" i="46" s="1"/>
  <c r="F69" i="42"/>
  <c r="C69" i="46" s="1"/>
  <c r="F9" i="42"/>
  <c r="C9" i="46" s="1"/>
  <c r="F12" i="42"/>
  <c r="C12" i="46" s="1"/>
  <c r="F86" i="42"/>
  <c r="C86" i="46" s="1"/>
  <c r="F64" i="42"/>
  <c r="C64" i="46" s="1"/>
  <c r="F105" i="42"/>
  <c r="C105" i="46" s="1"/>
  <c r="F57" i="42"/>
  <c r="C57" i="46" s="1"/>
  <c r="F87" i="42"/>
  <c r="C87" i="46" s="1"/>
  <c r="F65" i="42"/>
  <c r="C65" i="46" s="1"/>
  <c r="F107" i="42"/>
  <c r="C107" i="46" s="1"/>
  <c r="F37" i="42"/>
  <c r="C37" i="46" s="1"/>
  <c r="F82" i="42"/>
  <c r="C82" i="46" s="1"/>
  <c r="F13" i="42"/>
  <c r="C13" i="46" s="1"/>
  <c r="F25" i="42"/>
  <c r="C25" i="46" s="1"/>
  <c r="F89" i="42"/>
  <c r="C89" i="46" s="1"/>
  <c r="F67" i="42"/>
  <c r="C67" i="46" s="1"/>
  <c r="F109" i="42"/>
  <c r="C109" i="46" s="1"/>
  <c r="F10" i="42"/>
  <c r="C10" i="46" s="1"/>
  <c r="F19" i="42"/>
  <c r="C19" i="46" s="1"/>
  <c r="F27" i="42"/>
  <c r="C27" i="46" s="1"/>
  <c r="F90" i="42"/>
  <c r="C90" i="46" s="1"/>
  <c r="F66" i="42"/>
  <c r="C66" i="46" s="1"/>
  <c r="F110" i="42"/>
  <c r="C110" i="46" s="1"/>
  <c r="F92" i="42"/>
  <c r="C92" i="46" s="1"/>
  <c r="F83" i="42"/>
  <c r="C83" i="46" s="1"/>
  <c r="F91" i="42"/>
  <c r="C91" i="46" s="1"/>
  <c r="F68" i="42"/>
  <c r="C68" i="46" s="1"/>
  <c r="F116" i="42"/>
  <c r="C116" i="46" s="1"/>
  <c r="F118" i="46"/>
  <c r="F93" i="46"/>
  <c r="F32" i="42"/>
  <c r="F8" i="42"/>
  <c r="D15" i="42"/>
  <c r="D127" i="42"/>
  <c r="F126" i="42"/>
  <c r="F130" i="42"/>
  <c r="F98" i="42"/>
  <c r="F69" i="46" l="1"/>
  <c r="F136" i="46"/>
  <c r="F110" i="46"/>
  <c r="F66" i="46"/>
  <c r="F90" i="46"/>
  <c r="F64" i="46"/>
  <c r="F71" i="46"/>
  <c r="F39" i="46"/>
  <c r="F121" i="46"/>
  <c r="F70" i="46"/>
  <c r="F73" i="46"/>
  <c r="F58" i="46"/>
  <c r="F102" i="46"/>
  <c r="F65" i="46"/>
  <c r="F51" i="46"/>
  <c r="F134" i="46"/>
  <c r="F109" i="46"/>
  <c r="F25" i="46"/>
  <c r="F37" i="46"/>
  <c r="F12" i="46"/>
  <c r="F131" i="46"/>
  <c r="F91" i="46"/>
  <c r="F9" i="46"/>
  <c r="F80" i="46"/>
  <c r="F83" i="46"/>
  <c r="F103" i="46"/>
  <c r="F52" i="46"/>
  <c r="F87" i="46"/>
  <c r="F92" i="46"/>
  <c r="F82" i="46"/>
  <c r="F68" i="46"/>
  <c r="F49" i="46"/>
  <c r="F86" i="46"/>
  <c r="F85" i="46"/>
  <c r="F11" i="46"/>
  <c r="F79" i="46"/>
  <c r="F19" i="46"/>
  <c r="F89" i="46"/>
  <c r="F10" i="46"/>
  <c r="F105" i="46"/>
  <c r="F27" i="46"/>
  <c r="F67" i="46"/>
  <c r="F13" i="46"/>
  <c r="F107" i="46"/>
  <c r="F116" i="46"/>
  <c r="F57" i="46"/>
  <c r="C98" i="46"/>
  <c r="C130" i="46"/>
  <c r="C126" i="46"/>
  <c r="F127" i="42"/>
  <c r="F15" i="42"/>
  <c r="C8" i="46"/>
  <c r="C32" i="46"/>
  <c r="F32" i="46" l="1"/>
  <c r="C127" i="46"/>
  <c r="F126" i="46"/>
  <c r="F127" i="46" s="1"/>
  <c r="F130" i="46"/>
  <c r="C15" i="46"/>
  <c r="F8" i="46"/>
  <c r="F15" i="46" s="1"/>
  <c r="F98" i="46"/>
  <c r="F120" i="42" l="1"/>
  <c r="C120" i="46" s="1"/>
  <c r="F120" i="46" l="1"/>
  <c r="D75" i="46" l="1"/>
  <c r="F72" i="42" l="1"/>
  <c r="C72" i="46" s="1"/>
  <c r="F72" i="46" l="1"/>
  <c r="F135" i="42"/>
  <c r="C135" i="46" s="1"/>
  <c r="F135" i="46" l="1"/>
  <c r="H75" i="42"/>
  <c r="F63" i="42"/>
  <c r="D75" i="42"/>
  <c r="H75" i="46" l="1"/>
  <c r="C63" i="46"/>
  <c r="F75" i="42"/>
  <c r="C75" i="46" l="1"/>
  <c r="F63" i="46"/>
  <c r="F75" i="46" s="1"/>
  <c r="F81" i="42" l="1"/>
  <c r="C81" i="46" s="1"/>
  <c r="F81" i="46" l="1"/>
  <c r="L56" i="13"/>
  <c r="K57" i="13"/>
  <c r="L57" i="13" l="1"/>
  <c r="F117" i="42" l="1"/>
  <c r="C117" i="46" s="1"/>
  <c r="D138" i="46" l="1"/>
  <c r="F117" i="46"/>
  <c r="F133" i="42" l="1"/>
  <c r="C133" i="46" s="1"/>
  <c r="F133" i="46" l="1"/>
  <c r="F99" i="42"/>
  <c r="F23" i="42" l="1"/>
  <c r="C23" i="46" s="1"/>
  <c r="F34" i="42"/>
  <c r="C34" i="46" s="1"/>
  <c r="F24" i="42"/>
  <c r="C24" i="46" s="1"/>
  <c r="F26" i="42"/>
  <c r="C26" i="46" s="1"/>
  <c r="F38" i="42"/>
  <c r="C38" i="46" s="1"/>
  <c r="F88" i="42"/>
  <c r="C88" i="46" s="1"/>
  <c r="F33" i="42"/>
  <c r="F132" i="42"/>
  <c r="D138" i="42"/>
  <c r="C99" i="46"/>
  <c r="F23" i="46" l="1"/>
  <c r="F34" i="46"/>
  <c r="F26" i="46"/>
  <c r="F24" i="46"/>
  <c r="F88" i="46"/>
  <c r="F38" i="46"/>
  <c r="C132" i="46"/>
  <c r="F138" i="42"/>
  <c r="F99" i="46"/>
  <c r="C33" i="46"/>
  <c r="F33" i="46" l="1"/>
  <c r="C138" i="46"/>
  <c r="F132" i="46"/>
  <c r="F138" i="46" s="1"/>
  <c r="F119" i="42" l="1"/>
  <c r="C119" i="46" s="1"/>
  <c r="H123" i="42"/>
  <c r="F108" i="42" l="1"/>
  <c r="C108" i="46" s="1"/>
  <c r="F104" i="42"/>
  <c r="C104" i="46" s="1"/>
  <c r="F50" i="42"/>
  <c r="C50" i="46" s="1"/>
  <c r="F101" i="42"/>
  <c r="C101" i="46" s="1"/>
  <c r="D123" i="42"/>
  <c r="F115" i="42"/>
  <c r="F48" i="42"/>
  <c r="F100" i="42"/>
  <c r="F50" i="46" l="1"/>
  <c r="F108" i="46"/>
  <c r="F104" i="46"/>
  <c r="F119" i="46"/>
  <c r="F101" i="46"/>
  <c r="D123" i="46"/>
  <c r="C100" i="46"/>
  <c r="C48" i="46"/>
  <c r="C115" i="46"/>
  <c r="F123" i="42"/>
  <c r="D112" i="46" l="1"/>
  <c r="H123" i="46"/>
  <c r="F106" i="42"/>
  <c r="D112" i="42"/>
  <c r="C123" i="46"/>
  <c r="F115" i="46"/>
  <c r="F123" i="46" s="1"/>
  <c r="F53" i="42"/>
  <c r="D60" i="42"/>
  <c r="F48" i="46"/>
  <c r="F100" i="46"/>
  <c r="C53" i="46" l="1"/>
  <c r="F60" i="42"/>
  <c r="C106" i="46"/>
  <c r="F112" i="42"/>
  <c r="F106" i="46" l="1"/>
  <c r="F112" i="46" s="1"/>
  <c r="C112" i="46"/>
  <c r="C60" i="46"/>
  <c r="H60" i="46" l="1"/>
  <c r="H138" i="42"/>
  <c r="H60" i="42"/>
  <c r="H112" i="42"/>
  <c r="H138" i="46" l="1"/>
  <c r="H112" i="46"/>
  <c r="D29" i="46" l="1"/>
  <c r="F22" i="42" l="1"/>
  <c r="C22" i="46" s="1"/>
  <c r="F22" i="46" l="1"/>
  <c r="H29" i="42" l="1"/>
  <c r="H29" i="46"/>
  <c r="F18" i="42" l="1"/>
  <c r="H41" i="42"/>
  <c r="C18" i="46" l="1"/>
  <c r="H41" i="46" l="1"/>
  <c r="F18" i="46"/>
  <c r="D41" i="46" l="1"/>
  <c r="F36" i="42"/>
  <c r="C36" i="46" s="1"/>
  <c r="F36" i="46" l="1"/>
  <c r="F20" i="42" l="1"/>
  <c r="D29" i="42"/>
  <c r="D95" i="42"/>
  <c r="F78" i="42"/>
  <c r="D95" i="46" l="1"/>
  <c r="F35" i="42"/>
  <c r="D41" i="42"/>
  <c r="D144" i="42" s="1"/>
  <c r="C78" i="46"/>
  <c r="F95" i="42"/>
  <c r="D60" i="46"/>
  <c r="D144" i="46" s="1"/>
  <c r="F53" i="46"/>
  <c r="F60" i="46" s="1"/>
  <c r="C20" i="46"/>
  <c r="F29" i="42"/>
  <c r="K22" i="14" l="1"/>
  <c r="L22" i="14"/>
  <c r="C95" i="46"/>
  <c r="F78" i="46"/>
  <c r="F95" i="46" s="1"/>
  <c r="H95" i="42"/>
  <c r="H144" i="42" s="1"/>
  <c r="F20" i="46"/>
  <c r="F29" i="46" s="1"/>
  <c r="C29" i="46"/>
  <c r="C35" i="46"/>
  <c r="F41" i="42"/>
  <c r="F144" i="42" s="1"/>
  <c r="C41" i="46" l="1"/>
  <c r="C144" i="46" s="1"/>
  <c r="F35" i="46"/>
  <c r="F41" i="46" s="1"/>
  <c r="F144" i="46" s="1"/>
  <c r="H95" i="46"/>
  <c r="H144" i="46" s="1"/>
  <c r="K15" i="14"/>
  <c r="L15" i="14"/>
  <c r="J79" i="50" l="1"/>
  <c r="J82" i="48" l="1"/>
  <c r="J85" i="48" s="1"/>
  <c r="K40" i="14" l="1"/>
  <c r="G79" i="50"/>
  <c r="L40" i="14" l="1"/>
  <c r="K42" i="14" l="1"/>
  <c r="K46" i="14" l="1"/>
  <c r="L44" i="14"/>
  <c r="L42" i="14"/>
  <c r="L46" i="14" l="1"/>
  <c r="L49" i="13" l="1"/>
  <c r="K50" i="13"/>
  <c r="L50" i="13" l="1"/>
  <c r="K71" i="13" l="1"/>
  <c r="L70" i="13"/>
  <c r="L71" i="13" l="1"/>
  <c r="L42" i="13" l="1"/>
  <c r="K43" i="13"/>
  <c r="L43" i="13" l="1"/>
  <c r="J101" i="13" l="1"/>
  <c r="K98" i="13" s="1"/>
  <c r="K101" i="13" l="1"/>
  <c r="L98" i="13" s="1"/>
  <c r="L101" i="13" l="1"/>
  <c r="L87" i="13" l="1"/>
  <c r="J13" i="13" l="1"/>
  <c r="K10" i="13" l="1"/>
  <c r="J10" i="14"/>
  <c r="J19" i="13" l="1"/>
  <c r="K16" i="13" l="1"/>
  <c r="J13" i="14"/>
  <c r="K13" i="13" l="1"/>
  <c r="K10" i="14" l="1"/>
  <c r="L10" i="13"/>
  <c r="L13" i="13" l="1"/>
  <c r="L10" i="14" l="1"/>
  <c r="K19" i="13" l="1"/>
  <c r="K13" i="14" l="1"/>
  <c r="L16" i="13"/>
  <c r="L19" i="13" l="1"/>
  <c r="L13" i="14" l="1"/>
  <c r="L21" i="18"/>
  <c r="K21" i="18"/>
  <c r="K12" i="23" l="1"/>
  <c r="L12" i="23"/>
  <c r="K31" i="27"/>
  <c r="K19" i="18"/>
  <c r="L31" i="27"/>
  <c r="L19" i="18"/>
  <c r="K18" i="18" l="1"/>
  <c r="L20" i="18"/>
  <c r="K20" i="18"/>
  <c r="L18" i="18"/>
  <c r="J18" i="18" l="1"/>
  <c r="J31" i="27"/>
  <c r="J19" i="18"/>
  <c r="J20" i="18"/>
  <c r="J21" i="18"/>
  <c r="J12" i="23"/>
  <c r="J26" i="19"/>
  <c r="I110" i="13" l="1"/>
  <c r="I112" i="13"/>
  <c r="I78" i="13"/>
  <c r="J77" i="13"/>
  <c r="J78" i="13" l="1"/>
  <c r="K77" i="13"/>
  <c r="I94" i="13"/>
  <c r="I111" i="13" l="1"/>
  <c r="I113" i="13" s="1"/>
  <c r="J110" i="13"/>
  <c r="I117" i="13" l="1"/>
  <c r="I119" i="13" s="1"/>
  <c r="I21" i="14"/>
  <c r="I23" i="14" s="1"/>
  <c r="I26" i="14" s="1"/>
  <c r="L77" i="13"/>
  <c r="K78" i="13"/>
  <c r="I29" i="14" l="1"/>
  <c r="J27" i="14"/>
  <c r="L78" i="13"/>
  <c r="J53" i="36" l="1"/>
  <c r="J55" i="36" s="1"/>
  <c r="J112" i="13" l="1"/>
  <c r="K18" i="23" l="1"/>
  <c r="K17" i="27"/>
  <c r="K19" i="27" l="1"/>
  <c r="K33" i="27"/>
  <c r="L17" i="27"/>
  <c r="L18" i="23"/>
  <c r="L33" i="27" l="1"/>
  <c r="L19" i="27"/>
  <c r="I24" i="12" l="1"/>
  <c r="I28" i="12" s="1"/>
  <c r="I30" i="12" s="1"/>
  <c r="I19" i="11" s="1"/>
  <c r="J111" i="13" l="1"/>
  <c r="J113" i="13" s="1"/>
  <c r="J94" i="13"/>
  <c r="K110" i="13"/>
  <c r="J117" i="13" l="1"/>
  <c r="J21" i="14"/>
  <c r="J23" i="14" s="1"/>
  <c r="L112" i="13" l="1"/>
  <c r="K112" i="13"/>
  <c r="K94" i="13" l="1"/>
  <c r="K111" i="13"/>
  <c r="K113" i="13" s="1"/>
  <c r="L110" i="13"/>
  <c r="K21" i="14" l="1"/>
  <c r="K117" i="13"/>
  <c r="K23" i="14" l="1"/>
  <c r="L111" i="13" l="1"/>
  <c r="L113" i="13" s="1"/>
  <c r="L94" i="13"/>
  <c r="L21" i="14" l="1"/>
  <c r="L117" i="13"/>
  <c r="L23" i="14" l="1"/>
  <c r="I22" i="29" l="1"/>
  <c r="I20" i="29"/>
  <c r="G24" i="29"/>
  <c r="I24" i="29" l="1"/>
  <c r="Q24" i="29" l="1"/>
  <c r="I13" i="18" s="1"/>
  <c r="I9" i="23" l="1"/>
  <c r="I14" i="23" s="1"/>
  <c r="I23" i="23" s="1"/>
  <c r="J13" i="12" l="1"/>
  <c r="J17" i="12" s="1"/>
  <c r="J33" i="13" l="1"/>
  <c r="J17" i="14" l="1"/>
  <c r="J18" i="14" s="1"/>
  <c r="J26" i="14" s="1"/>
  <c r="J35" i="13"/>
  <c r="J37" i="13" s="1"/>
  <c r="J119" i="13" s="1"/>
  <c r="K27" i="14" l="1"/>
  <c r="J29" i="14"/>
  <c r="L13" i="12" l="1"/>
  <c r="L17" i="12" s="1"/>
  <c r="K33" i="13" l="1"/>
  <c r="K35" i="13" l="1"/>
  <c r="K37" i="13" s="1"/>
  <c r="K119" i="13" s="1"/>
  <c r="K17" i="14"/>
  <c r="K18" i="14" s="1"/>
  <c r="K26" i="14" s="1"/>
  <c r="L27" i="14" l="1"/>
  <c r="K29" i="14"/>
  <c r="L33" i="13" l="1"/>
  <c r="L35" i="13" l="1"/>
  <c r="L37" i="13" s="1"/>
  <c r="L119" i="13" s="1"/>
  <c r="L17" i="14"/>
  <c r="L18" i="14" l="1"/>
  <c r="L26" i="14" l="1"/>
  <c r="J30" i="19"/>
  <c r="J17" i="23"/>
  <c r="J21" i="23" s="1"/>
  <c r="L29" i="14" l="1"/>
  <c r="K13" i="12"/>
  <c r="K17" i="12" s="1"/>
  <c r="J24" i="12" l="1"/>
  <c r="J28" i="12" s="1"/>
  <c r="J30" i="12" s="1"/>
  <c r="J19" i="11" s="1"/>
  <c r="Q33" i="29" l="1"/>
  <c r="J13" i="18" s="1"/>
  <c r="J9" i="23" l="1"/>
  <c r="J14" i="23" s="1"/>
  <c r="J23" i="23" s="1"/>
  <c r="K24" i="12" l="1"/>
  <c r="K28" i="12" s="1"/>
  <c r="K30" i="12" s="1"/>
  <c r="K19" i="11" s="1"/>
  <c r="K28" i="36" l="1"/>
  <c r="L29" i="36" s="1"/>
  <c r="K30" i="36" l="1"/>
  <c r="G38" i="29" s="1"/>
  <c r="K53" i="36" l="1"/>
  <c r="K55" i="36" l="1"/>
  <c r="O38" i="29" s="1"/>
  <c r="O42" i="29" l="1"/>
  <c r="L24" i="12" l="1"/>
  <c r="L28" i="12" s="1"/>
  <c r="L30" i="12" s="1"/>
  <c r="L19" i="11" s="1"/>
  <c r="L28" i="36" l="1"/>
  <c r="L30" i="36" s="1"/>
  <c r="G47" i="29" s="1"/>
  <c r="L53" i="36" l="1"/>
  <c r="L55" i="36" s="1"/>
  <c r="O47" i="29" s="1"/>
  <c r="K13" i="23" l="1"/>
  <c r="K26" i="19"/>
  <c r="K30" i="19" l="1"/>
  <c r="K17" i="23"/>
  <c r="K21" i="23" s="1"/>
  <c r="L13" i="23" l="1"/>
  <c r="L26" i="19"/>
  <c r="L17" i="23" l="1"/>
  <c r="L21" i="23" s="1"/>
  <c r="L30" i="19"/>
  <c r="O51" i="29" l="1"/>
  <c r="E39" i="48" l="1"/>
  <c r="C41" i="48"/>
  <c r="C73" i="48" s="1"/>
  <c r="C85" i="48" s="1"/>
  <c r="B39" i="50" l="1"/>
  <c r="E41" i="48"/>
  <c r="E73" i="48" s="1"/>
  <c r="E85" i="48" s="1"/>
  <c r="G41" i="50"/>
  <c r="G70" i="50" s="1"/>
  <c r="G82" i="50" s="1"/>
  <c r="J39" i="50" l="1"/>
  <c r="B41" i="50"/>
  <c r="B70" i="50" s="1"/>
  <c r="B82" i="50" s="1"/>
  <c r="J41" i="50" l="1"/>
  <c r="J70" i="50"/>
  <c r="J82" i="50" s="1"/>
  <c r="C41" i="50" l="1"/>
  <c r="C70" i="50" s="1"/>
  <c r="C82" i="50" s="1"/>
  <c r="E39" i="50"/>
  <c r="E41" i="50" s="1"/>
  <c r="E70" i="50" s="1"/>
  <c r="E82" i="50" s="1"/>
  <c r="I15" i="27" l="1"/>
  <c r="I22" i="27" s="1"/>
  <c r="I35" i="27" s="1"/>
  <c r="I26" i="27" l="1"/>
  <c r="I28" i="27" s="1"/>
  <c r="I12" i="19" s="1"/>
  <c r="I16" i="18" l="1"/>
  <c r="I19" i="19"/>
  <c r="I21" i="19" s="1"/>
  <c r="I32" i="19" s="1"/>
  <c r="I12" i="20" l="1"/>
  <c r="I14" i="20" s="1"/>
  <c r="I19" i="20" s="1"/>
  <c r="I25" i="18"/>
  <c r="I27" i="18" s="1"/>
  <c r="I9" i="11"/>
  <c r="I13" i="11" s="1"/>
  <c r="I15" i="11" s="1"/>
  <c r="I21" i="11" s="1"/>
  <c r="I31" i="14" s="1"/>
  <c r="I34" i="14" s="1"/>
  <c r="I48" i="14" s="1"/>
  <c r="I9" i="18" l="1"/>
  <c r="I11" i="18" s="1"/>
  <c r="M24" i="29"/>
  <c r="I24" i="20"/>
  <c r="I25" i="20" s="1"/>
  <c r="J9" i="20"/>
  <c r="M22" i="29" l="1"/>
  <c r="M20" i="29"/>
  <c r="O20" i="29" s="1"/>
  <c r="O24" i="29" s="1"/>
  <c r="J15" i="27" l="1"/>
  <c r="J22" i="27" s="1"/>
  <c r="J35" i="27" s="1"/>
  <c r="K15" i="27" l="1"/>
  <c r="K22" i="27" s="1"/>
  <c r="K35" i="27" s="1"/>
  <c r="L15" i="27" l="1"/>
  <c r="L22" i="27" s="1"/>
  <c r="L35" i="27" s="1"/>
  <c r="J26" i="27" l="1"/>
  <c r="J28" i="27" s="1"/>
  <c r="J12" i="19" s="1"/>
  <c r="J16" i="18" l="1"/>
  <c r="J19" i="19"/>
  <c r="J21" i="19" s="1"/>
  <c r="J32" i="19" s="1"/>
  <c r="J12" i="20" l="1"/>
  <c r="J14" i="20" s="1"/>
  <c r="J19" i="20" s="1"/>
  <c r="J25" i="18"/>
  <c r="J27" i="18" s="1"/>
  <c r="J9" i="11"/>
  <c r="J13" i="11" s="1"/>
  <c r="J15" i="11" s="1"/>
  <c r="J21" i="11" s="1"/>
  <c r="J31" i="14" s="1"/>
  <c r="J34" i="14" s="1"/>
  <c r="J48" i="14" s="1"/>
  <c r="M33" i="29" l="1"/>
  <c r="J9" i="18"/>
  <c r="J11" i="18" s="1"/>
  <c r="J24" i="20"/>
  <c r="J25" i="20" s="1"/>
  <c r="G31" i="29" s="1"/>
  <c r="K9" i="20"/>
  <c r="I31" i="29" l="1"/>
  <c r="M31" i="29" s="1"/>
  <c r="G33" i="29"/>
  <c r="I29" i="29"/>
  <c r="K26" i="27" l="1"/>
  <c r="K28" i="27" s="1"/>
  <c r="K12" i="19" s="1"/>
  <c r="I33" i="29"/>
  <c r="M29" i="29"/>
  <c r="O29" i="29" s="1"/>
  <c r="K19" i="19"/>
  <c r="K21" i="19" s="1"/>
  <c r="K32" i="19" s="1"/>
  <c r="K16" i="18"/>
  <c r="K9" i="11" l="1"/>
  <c r="K13" i="11" s="1"/>
  <c r="K15" i="11" s="1"/>
  <c r="K21" i="11" s="1"/>
  <c r="K31" i="14" s="1"/>
  <c r="K34" i="14" s="1"/>
  <c r="K48" i="14" s="1"/>
  <c r="K25" i="18"/>
  <c r="K12" i="20"/>
  <c r="K14" i="20" s="1"/>
  <c r="K19" i="20" s="1"/>
  <c r="L26" i="27" l="1"/>
  <c r="L28" i="27" s="1"/>
  <c r="L12" i="19" s="1"/>
  <c r="L19" i="19"/>
  <c r="L21" i="19" s="1"/>
  <c r="L32" i="19" s="1"/>
  <c r="L16" i="18"/>
  <c r="K24" i="20"/>
  <c r="K25" i="20" s="1"/>
  <c r="L9" i="20"/>
  <c r="M42" i="29"/>
  <c r="K9" i="18"/>
  <c r="M38" i="29" l="1"/>
  <c r="Q38" i="29" s="1"/>
  <c r="M40" i="29"/>
  <c r="Q40" i="29" s="1"/>
  <c r="G40" i="29"/>
  <c r="L9" i="11"/>
  <c r="L13" i="11" s="1"/>
  <c r="L15" i="11" s="1"/>
  <c r="L21" i="11" s="1"/>
  <c r="L31" i="14" s="1"/>
  <c r="L25" i="18"/>
  <c r="L12" i="20"/>
  <c r="L14" i="20" s="1"/>
  <c r="L19" i="20" s="1"/>
  <c r="L24" i="20" s="1"/>
  <c r="L25" i="20" s="1"/>
  <c r="G49" i="29" s="1"/>
  <c r="Q42" i="29" l="1"/>
  <c r="K13" i="18" s="1"/>
  <c r="K11" i="18" s="1"/>
  <c r="I49" i="29"/>
  <c r="I47" i="29"/>
  <c r="G51" i="29"/>
  <c r="L34" i="14"/>
  <c r="K9" i="23"/>
  <c r="K14" i="23" s="1"/>
  <c r="K23" i="23" s="1"/>
  <c r="K27" i="18"/>
  <c r="I40" i="29"/>
  <c r="G42" i="29"/>
  <c r="I38" i="29"/>
  <c r="I51" i="29" l="1"/>
  <c r="I42" i="29"/>
  <c r="L48" i="14"/>
  <c r="L9" i="18" l="1"/>
  <c r="M51" i="29"/>
  <c r="M49" i="29" l="1"/>
  <c r="Q49" i="29" s="1"/>
  <c r="M47" i="29"/>
  <c r="Q47" i="29" s="1"/>
  <c r="Q51" i="29" l="1"/>
  <c r="L13" i="18" s="1"/>
  <c r="L9" i="23" l="1"/>
  <c r="L14" i="23" s="1"/>
  <c r="L23" i="23" s="1"/>
  <c r="L27" i="18"/>
  <c r="L11" i="18"/>
  <c r="G17" i="25" l="1"/>
  <c r="G23" i="25"/>
  <c r="G27" i="25"/>
  <c r="G31" i="25"/>
  <c r="H31" i="25"/>
  <c r="G11" i="25"/>
  <c r="G34" i="25"/>
  <c r="G42" i="25" s="1"/>
  <c r="G50" i="25" s="1"/>
  <c r="G35" i="25"/>
  <c r="G13" i="25"/>
  <c r="H35" i="25"/>
  <c r="G19" i="25"/>
  <c r="G40" i="25"/>
  <c r="H40" i="25"/>
  <c r="G48" i="25"/>
  <c r="H23" i="25"/>
  <c r="H48" i="25"/>
  <c r="I48" i="25"/>
  <c r="G33" i="25"/>
  <c r="H27" i="25"/>
  <c r="J48" i="25"/>
  <c r="G36" i="25" l="1"/>
  <c r="G43" i="25"/>
  <c r="H43" i="25"/>
  <c r="G44" i="25" l="1"/>
  <c r="G51" i="25"/>
  <c r="H51" i="25"/>
  <c r="G52" i="25" l="1"/>
  <c r="G58" i="25"/>
  <c r="G62" i="25" s="1"/>
  <c r="J31" i="25" l="1"/>
  <c r="J27" i="25"/>
  <c r="I31" i="25"/>
  <c r="I27" i="25"/>
  <c r="H11" i="25" l="1"/>
  <c r="H13" i="25"/>
  <c r="H33" i="25"/>
  <c r="H17" i="25" l="1"/>
  <c r="H19" i="25"/>
  <c r="H34" i="25"/>
  <c r="H42" i="25" l="1"/>
  <c r="H36" i="25"/>
  <c r="H50" i="25" l="1"/>
  <c r="H52" i="25" s="1"/>
  <c r="H44" i="25"/>
  <c r="J40" i="25" l="1"/>
  <c r="I13" i="25" l="1"/>
  <c r="J33" i="25" l="1"/>
  <c r="J11" i="25" l="1"/>
  <c r="J13" i="25" l="1"/>
  <c r="I33" i="25" l="1"/>
  <c r="I11" i="25"/>
  <c r="I17" i="25" l="1"/>
  <c r="I34" i="25"/>
  <c r="J17" i="25" l="1"/>
  <c r="J34" i="25"/>
  <c r="J42" i="25" s="1"/>
  <c r="J50" i="25" s="1"/>
  <c r="I19" i="25"/>
  <c r="J19" i="25" l="1"/>
  <c r="I23" i="25" l="1"/>
  <c r="I35" i="25"/>
  <c r="I36" i="25" l="1"/>
  <c r="J23" i="25" l="1"/>
  <c r="J35" i="25"/>
  <c r="J43" i="25" l="1"/>
  <c r="J36" i="25"/>
  <c r="J51" i="25" l="1"/>
  <c r="J52" i="25" s="1"/>
  <c r="J44" i="25"/>
  <c r="J58" i="25" l="1"/>
  <c r="J62" i="25" s="1"/>
  <c r="H58" i="25" l="1"/>
  <c r="H62" i="25" s="1"/>
  <c r="I42" i="25" l="1"/>
  <c r="I50" i="25" s="1"/>
  <c r="I40" i="25" l="1"/>
  <c r="I43" i="25"/>
  <c r="I51" i="25" l="1"/>
  <c r="I44" i="25"/>
  <c r="I52" i="25" l="1"/>
  <c r="I58" i="25"/>
  <c r="I62" i="25" s="1"/>
</calcChain>
</file>

<file path=xl/sharedStrings.xml><?xml version="1.0" encoding="utf-8"?>
<sst xmlns="http://schemas.openxmlformats.org/spreadsheetml/2006/main" count="1000" uniqueCount="495">
  <si>
    <t>Yukon Energy Corporation</t>
  </si>
  <si>
    <t>Schedule Index</t>
  </si>
  <si>
    <t>2A</t>
  </si>
  <si>
    <t>Cost of Capital Calculation</t>
  </si>
  <si>
    <t>10A</t>
  </si>
  <si>
    <t>Schedule 1</t>
  </si>
  <si>
    <t>Computation of Rate Base</t>
  </si>
  <si>
    <t>($000s)</t>
  </si>
  <si>
    <t>Line No.</t>
  </si>
  <si>
    <t>Description</t>
  </si>
  <si>
    <t>Cross Ref.</t>
  </si>
  <si>
    <t>Property, Plant and Equipment</t>
  </si>
  <si>
    <t>Year end balance</t>
  </si>
  <si>
    <t xml:space="preserve"> </t>
  </si>
  <si>
    <t>Deduct:</t>
  </si>
  <si>
    <t>Accumulated depreciation (note 1)</t>
  </si>
  <si>
    <t>Construction-in-progress</t>
  </si>
  <si>
    <t>S.3 L.11</t>
  </si>
  <si>
    <t>Disallowed assets</t>
  </si>
  <si>
    <t>S.3 L.12</t>
  </si>
  <si>
    <t xml:space="preserve">Miscellaneous reserves </t>
  </si>
  <si>
    <t>Total deductions</t>
  </si>
  <si>
    <t>Add:</t>
  </si>
  <si>
    <t>Accum. Disallowed depreciation</t>
  </si>
  <si>
    <t>Total additions</t>
  </si>
  <si>
    <t>Net plant in Service</t>
  </si>
  <si>
    <t>Current year-end balance</t>
  </si>
  <si>
    <t>Previous year-end balance</t>
  </si>
  <si>
    <t>Total</t>
  </si>
  <si>
    <t>Mid-year balance</t>
  </si>
  <si>
    <t>Working capital</t>
  </si>
  <si>
    <t>S.2 L.8</t>
  </si>
  <si>
    <t>Gross Rate Base</t>
  </si>
  <si>
    <t>Contributions in WIP</t>
  </si>
  <si>
    <t>Current year-end balance in-service</t>
  </si>
  <si>
    <t>Accumulated amortization of contributions</t>
  </si>
  <si>
    <t>Net current year-end balance in-service</t>
  </si>
  <si>
    <t>Net Rate Base</t>
  </si>
  <si>
    <t>S.5 L.1</t>
  </si>
  <si>
    <t>Note 1: Including Reserve for Future Removal and Site Restoration</t>
  </si>
  <si>
    <t>Schedule 2</t>
  </si>
  <si>
    <t>Computation of Allowance for Working Capital</t>
  </si>
  <si>
    <t>Operating and maintenance</t>
  </si>
  <si>
    <t>S.5 L.5</t>
  </si>
  <si>
    <t>Taxes other than income</t>
  </si>
  <si>
    <t>S.5 L.6</t>
  </si>
  <si>
    <t>Non-allowable expenses</t>
  </si>
  <si>
    <t>Cash operating expenses</t>
  </si>
  <si>
    <t>27/365</t>
  </si>
  <si>
    <t>Inventory (three year average)</t>
  </si>
  <si>
    <t>GST Impact on working capital</t>
  </si>
  <si>
    <t>S.2A L.11</t>
  </si>
  <si>
    <t>Schedule 2A</t>
  </si>
  <si>
    <t>Effect of GST on Working Capital</t>
  </si>
  <si>
    <t>Expenses subject to GST</t>
  </si>
  <si>
    <t>GST Rate</t>
  </si>
  <si>
    <t>GST Recoverable</t>
  </si>
  <si>
    <t>Day Factor</t>
  </si>
  <si>
    <t>Recoverable portion of GST impact</t>
  </si>
  <si>
    <t>Revenue subject to GST</t>
  </si>
  <si>
    <t>GST payable</t>
  </si>
  <si>
    <t>Day factor</t>
  </si>
  <si>
    <t>Payable portion of GST impact</t>
  </si>
  <si>
    <t>Net impact of GST on working capital</t>
  </si>
  <si>
    <t>S.2 L.7</t>
  </si>
  <si>
    <t>Schedule 3</t>
  </si>
  <si>
    <t>Balance at beginning of year</t>
  </si>
  <si>
    <t>Net Increases to PPE (Table 5.1)</t>
  </si>
  <si>
    <t>Retirements, disposals and adjustments</t>
  </si>
  <si>
    <t>Balance at end of year</t>
  </si>
  <si>
    <t>S.1 L.2</t>
  </si>
  <si>
    <t>Accumulated depreciation</t>
  </si>
  <si>
    <t>Depreciation expense</t>
  </si>
  <si>
    <t>S.6 L.7</t>
  </si>
  <si>
    <t>Deductions from PP&amp;E:</t>
  </si>
  <si>
    <t>S.1 L.5</t>
  </si>
  <si>
    <t>S.1 L.11</t>
  </si>
  <si>
    <t>Net Disallowed</t>
  </si>
  <si>
    <t>S.1 L.4</t>
  </si>
  <si>
    <t>Miscellaneous Reserves</t>
  </si>
  <si>
    <t>Reserve for Injuries and Damages</t>
  </si>
  <si>
    <t>Reserve for Future Removal and Site Restoration</t>
  </si>
  <si>
    <t>S.1 L.6</t>
  </si>
  <si>
    <t>Total Deductions</t>
  </si>
  <si>
    <t>Net Property, Plant and Equipment for Rate Base</t>
  </si>
  <si>
    <t>Feasibility Studies</t>
  </si>
  <si>
    <t>Opening balance</t>
  </si>
  <si>
    <t>Additions</t>
  </si>
  <si>
    <t>Amortization</t>
  </si>
  <si>
    <t>Year-end balance</t>
  </si>
  <si>
    <t>Relicensing</t>
  </si>
  <si>
    <t>Dam Safety</t>
  </si>
  <si>
    <t>Intangibles</t>
  </si>
  <si>
    <t>Hearing Reserve</t>
  </si>
  <si>
    <t>S.1 L.9</t>
  </si>
  <si>
    <t>S.6 L.6</t>
  </si>
  <si>
    <t>Land</t>
  </si>
  <si>
    <t>Hydraulic Production</t>
  </si>
  <si>
    <t>Diesel Production</t>
  </si>
  <si>
    <t>Main Transmission Facilities</t>
  </si>
  <si>
    <t>General Plant</t>
  </si>
  <si>
    <t>Rights</t>
  </si>
  <si>
    <t>Total Land</t>
  </si>
  <si>
    <t>Hydro Plant</t>
  </si>
  <si>
    <t>Structures and Improvements</t>
  </si>
  <si>
    <t>Reservoirs, Dams, and Waterways</t>
  </si>
  <si>
    <t>Waterwheels,Turbines &amp; Generation</t>
  </si>
  <si>
    <t>Accessory Electric Equipment</t>
  </si>
  <si>
    <t>Misc Power Plant Equipment</t>
  </si>
  <si>
    <t>Fencing</t>
  </si>
  <si>
    <t>Total Hydro Plant</t>
  </si>
  <si>
    <t>Buildings and Improvements</t>
  </si>
  <si>
    <t>Fuel Holders, Products, and ACC</t>
  </si>
  <si>
    <t>Generating Equipment and Prime</t>
  </si>
  <si>
    <t>Total Diesel Production</t>
  </si>
  <si>
    <t>Wind Turbine</t>
  </si>
  <si>
    <t>Total Wind Turbine</t>
  </si>
  <si>
    <t>Poles and Fixtures</t>
  </si>
  <si>
    <t>Brushing</t>
  </si>
  <si>
    <t>Survey Costs</t>
  </si>
  <si>
    <t>Overhead Conductors / Poles</t>
  </si>
  <si>
    <t>Overhead Conductors / Towers</t>
  </si>
  <si>
    <t>Substation Equipment</t>
  </si>
  <si>
    <t>Substation Buildings</t>
  </si>
  <si>
    <t>Substation Fences</t>
  </si>
  <si>
    <t>Total Main Transmission Facilities</t>
  </si>
  <si>
    <t>Sub Transmission Lines</t>
  </si>
  <si>
    <t>25Kv Minto Spur- Structure</t>
  </si>
  <si>
    <t xml:space="preserve">Brushing </t>
  </si>
  <si>
    <t xml:space="preserve">Survey costs </t>
  </si>
  <si>
    <t>Overhead Conductors</t>
  </si>
  <si>
    <t>Underground Conductors / Conduit</t>
  </si>
  <si>
    <t>Total Sub Transmission Lines</t>
  </si>
  <si>
    <t>Distribution System</t>
  </si>
  <si>
    <t>Overhead conductors - Poles</t>
  </si>
  <si>
    <t>Overhead Costs</t>
  </si>
  <si>
    <t>Underground Services</t>
  </si>
  <si>
    <t>Wind Monitoring Equipment</t>
  </si>
  <si>
    <t>Meters</t>
  </si>
  <si>
    <t>Meter Equipment</t>
  </si>
  <si>
    <t>Street Lights</t>
  </si>
  <si>
    <t>Line Transformers</t>
  </si>
  <si>
    <t>Sentinel Lights</t>
  </si>
  <si>
    <t>Total Distribution System</t>
  </si>
  <si>
    <t>Building and Other Equipment</t>
  </si>
  <si>
    <t>Survey Costs Land</t>
  </si>
  <si>
    <t>Structures and Improvements (Hydro)</t>
  </si>
  <si>
    <t>Building and Improvements</t>
  </si>
  <si>
    <t>Office Furniture and Equipment</t>
  </si>
  <si>
    <t>Communication Site Towers</t>
  </si>
  <si>
    <t>Communication Site Fences</t>
  </si>
  <si>
    <t>Computer Hardware</t>
  </si>
  <si>
    <t>Computer Software</t>
  </si>
  <si>
    <t>Tool and Instruments</t>
  </si>
  <si>
    <t>Communication Equipment</t>
  </si>
  <si>
    <t>Company Owned Houses / Land</t>
  </si>
  <si>
    <t>Company Owned Houses</t>
  </si>
  <si>
    <t>Total Building and Other Equipment</t>
  </si>
  <si>
    <t>Transportation</t>
  </si>
  <si>
    <t>Utility Vehicles</t>
  </si>
  <si>
    <t>Sedans and Stationwagons</t>
  </si>
  <si>
    <t>Pole Trailers &gt; 10,000 Lbs</t>
  </si>
  <si>
    <t>Trucks 3/4 to 2 Ton</t>
  </si>
  <si>
    <t>Trucks &gt; 3 Ton</t>
  </si>
  <si>
    <t>Total Transportation</t>
  </si>
  <si>
    <t>Mid Year Balance</t>
  </si>
  <si>
    <t>Ratio</t>
  </si>
  <si>
    <t>Mid Year Rate Base</t>
  </si>
  <si>
    <t>Mid Year Cost Rate</t>
  </si>
  <si>
    <t>Return</t>
  </si>
  <si>
    <t>Long-Term debt</t>
  </si>
  <si>
    <t>Common Stock</t>
  </si>
  <si>
    <t>S.5 L.3</t>
  </si>
  <si>
    <t>Schedule 5</t>
  </si>
  <si>
    <t>Utility Revenue Requirement</t>
  </si>
  <si>
    <t>Net rate base</t>
  </si>
  <si>
    <t>Average Rate of return on rate base</t>
  </si>
  <si>
    <t>Utility income</t>
  </si>
  <si>
    <t>S.8 L.1</t>
  </si>
  <si>
    <t>Utility expenses</t>
  </si>
  <si>
    <t>Operating and maintenance (note 1)</t>
  </si>
  <si>
    <t>S.6 L.3</t>
  </si>
  <si>
    <t>S.6 L.4</t>
  </si>
  <si>
    <t>Amortization of deferred costs</t>
  </si>
  <si>
    <t>S.6 L.5</t>
  </si>
  <si>
    <t>Depreciation</t>
  </si>
  <si>
    <t>Amortization of contributions and fire insurance recoveries</t>
  </si>
  <si>
    <t>S.6 L.8</t>
  </si>
  <si>
    <t>Disallowed depreciation</t>
  </si>
  <si>
    <t>Donations</t>
  </si>
  <si>
    <t>Total utility expenses</t>
  </si>
  <si>
    <t>Revenue Requirement</t>
  </si>
  <si>
    <t>S.6 L.1</t>
  </si>
  <si>
    <t>Note 1: Includes fuel expenses and purchased power.</t>
  </si>
  <si>
    <t>Schedule 6</t>
  </si>
  <si>
    <t>Statement of Earnings</t>
  </si>
  <si>
    <t>Revenues (note 1)</t>
  </si>
  <si>
    <t>S.5 L.14</t>
  </si>
  <si>
    <t>Operating expenses</t>
  </si>
  <si>
    <t>S.10 L.15</t>
  </si>
  <si>
    <t>Amortize deferred costs</t>
  </si>
  <si>
    <t>S.5 L.8</t>
  </si>
  <si>
    <t>S.3 L.8</t>
  </si>
  <si>
    <t>S.5 L.10</t>
  </si>
  <si>
    <t>Operating income</t>
  </si>
  <si>
    <t>Other income</t>
  </si>
  <si>
    <t>Allowed for Funds Used</t>
  </si>
  <si>
    <t>S.8 L.2</t>
  </si>
  <si>
    <t>Miscellaneous (note 2)</t>
  </si>
  <si>
    <t>S.8 L.3</t>
  </si>
  <si>
    <t>Other expenses</t>
  </si>
  <si>
    <t>Interest expense</t>
  </si>
  <si>
    <t>S.8 L.4</t>
  </si>
  <si>
    <t>Net earnings</t>
  </si>
  <si>
    <t>S.8 L.8</t>
  </si>
  <si>
    <t xml:space="preserve">Note 1: Includes revenues from sales and other revenues. </t>
  </si>
  <si>
    <t>Note 2: Miscellaneous primarily consistent of Regulatory gain/losses and other interest income/expenses.</t>
  </si>
  <si>
    <t>Schedule 7</t>
  </si>
  <si>
    <t>Statement of Retained Earnings</t>
  </si>
  <si>
    <t>S.6 L.18</t>
  </si>
  <si>
    <t>IFRS Comprehensive Income Adjustment</t>
  </si>
  <si>
    <t>Balance at end of year before dividend</t>
  </si>
  <si>
    <t>Less:</t>
  </si>
  <si>
    <t>Shareholder's Equity</t>
  </si>
  <si>
    <t>Common shares</t>
  </si>
  <si>
    <t>Retained earnings</t>
  </si>
  <si>
    <t>Note:</t>
  </si>
  <si>
    <t>1. YDC equity injection/dividend estimates required in order to maintain 60/40 debt to equity ratio.</t>
  </si>
  <si>
    <t>Schedule 8</t>
  </si>
  <si>
    <t>Reconciliation of Utility Income to Net Earnings</t>
  </si>
  <si>
    <t>Utility Income (Return on Rate Base)</t>
  </si>
  <si>
    <t>Allowance for funds used</t>
  </si>
  <si>
    <t>S.6 L.12</t>
  </si>
  <si>
    <t>Other income (expenses)</t>
  </si>
  <si>
    <t>S.6 L.13</t>
  </si>
  <si>
    <t>Interest - long-term</t>
  </si>
  <si>
    <t>S.6 L.17</t>
  </si>
  <si>
    <t>S.5 L.12</t>
  </si>
  <si>
    <t>Disallowed costs</t>
  </si>
  <si>
    <t>S.5 L.11</t>
  </si>
  <si>
    <t>Schedule 9</t>
  </si>
  <si>
    <t>Summary of Customers, Energy Sales and Revenues</t>
  </si>
  <si>
    <t>Residential</t>
  </si>
  <si>
    <t>Customers</t>
  </si>
  <si>
    <t>Sales in MWh</t>
  </si>
  <si>
    <t>MWh sales per customer</t>
  </si>
  <si>
    <t>Revenue ($000s)</t>
  </si>
  <si>
    <t>Cents per KWh</t>
  </si>
  <si>
    <t>General Service</t>
  </si>
  <si>
    <t>Industrial</t>
  </si>
  <si>
    <t>Street lights</t>
  </si>
  <si>
    <t>Space lights</t>
  </si>
  <si>
    <t>Total Company - Firm Retail and Industrial</t>
  </si>
  <si>
    <t>Wholesale sales</t>
  </si>
  <si>
    <t>Total Company - Firm</t>
  </si>
  <si>
    <t>Secondary</t>
  </si>
  <si>
    <t xml:space="preserve">Total Company </t>
  </si>
  <si>
    <t>Rider J</t>
  </si>
  <si>
    <t>GRA Increase Req'd</t>
  </si>
  <si>
    <t>Total Sales of Power</t>
  </si>
  <si>
    <t>Other Revenues</t>
  </si>
  <si>
    <t>Total Revenues</t>
  </si>
  <si>
    <t>Schedule 10</t>
  </si>
  <si>
    <t>Summary of Operating and Maintenance Expenses</t>
  </si>
  <si>
    <t>Utility operations</t>
  </si>
  <si>
    <t>Production</t>
  </si>
  <si>
    <t>Transmission and distribution</t>
  </si>
  <si>
    <t>General</t>
  </si>
  <si>
    <t>Administration and general</t>
  </si>
  <si>
    <t>Insurance</t>
  </si>
  <si>
    <t>Sub-total</t>
  </si>
  <si>
    <t>O&amp;M not including fuel and</t>
  </si>
  <si>
    <t>purchased power</t>
  </si>
  <si>
    <t>Fuel</t>
  </si>
  <si>
    <t>Purchased power</t>
  </si>
  <si>
    <t>Total operating and maintenance</t>
  </si>
  <si>
    <t>Property Taxes</t>
  </si>
  <si>
    <t>less: Donations</t>
  </si>
  <si>
    <t>O&amp;M per Table 3.3 (Tab 3)</t>
  </si>
  <si>
    <t>Schedule 10A</t>
  </si>
  <si>
    <t>Summary of Labour Costs</t>
  </si>
  <si>
    <t>Labour Costs</t>
  </si>
  <si>
    <t>Transmission</t>
  </si>
  <si>
    <t>Distribution</t>
  </si>
  <si>
    <t>Administration</t>
  </si>
  <si>
    <t>Total Labour</t>
  </si>
  <si>
    <t>Schedule 11</t>
  </si>
  <si>
    <t>Summary of Cost of Long - Term Debt</t>
  </si>
  <si>
    <t>YDC Mayo B Flexible Term Debt</t>
  </si>
  <si>
    <t>Minto Decommissioning Reserve</t>
  </si>
  <si>
    <t>Mid Year</t>
  </si>
  <si>
    <t>Total Cost of Interest</t>
  </si>
  <si>
    <t>Mid-Year Cost of Debt</t>
  </si>
  <si>
    <t>S.1 L.3</t>
  </si>
  <si>
    <t>Overhaul</t>
  </si>
  <si>
    <t>Brushing Minto</t>
  </si>
  <si>
    <t>Survey costs Minto</t>
  </si>
  <si>
    <t>Overhead Conductors Minto</t>
  </si>
  <si>
    <t xml:space="preserve">Substation Equipment </t>
  </si>
  <si>
    <t>Substation Equipment Minto</t>
  </si>
  <si>
    <t>Trucks &amp; Pole Trailer</t>
  </si>
  <si>
    <t>Foremost</t>
  </si>
  <si>
    <t>Critical Spares</t>
  </si>
  <si>
    <t>Total Critical  Spares</t>
  </si>
  <si>
    <t>LNG Production</t>
  </si>
  <si>
    <t>Fuel Holders</t>
  </si>
  <si>
    <t>Generator</t>
  </si>
  <si>
    <t>Fence</t>
  </si>
  <si>
    <t>Total LNG Prodution</t>
  </si>
  <si>
    <t>Deemed Ratio</t>
  </si>
  <si>
    <t>Contributions for extensions (PP&amp;E)</t>
  </si>
  <si>
    <t xml:space="preserve">Total Miscellaneous Reserves </t>
  </si>
  <si>
    <t>Underground Conduit</t>
  </si>
  <si>
    <t>Accessory Digital Equipment</t>
  </si>
  <si>
    <t>Minto Generating Equipment</t>
  </si>
  <si>
    <t>Depreciation Study Differences</t>
  </si>
  <si>
    <t>Other Regulatory</t>
  </si>
  <si>
    <t>DSM</t>
  </si>
  <si>
    <t>S.3 L.4</t>
  </si>
  <si>
    <t>S.1 L.8</t>
  </si>
  <si>
    <t>Schedule 4</t>
  </si>
  <si>
    <t>Total FTEs</t>
  </si>
  <si>
    <t>Tab 3, Table 3.4</t>
  </si>
  <si>
    <t>Total Labour Costs</t>
  </si>
  <si>
    <t>Sum Lines 5-9</t>
  </si>
  <si>
    <t>O&amp;M Labour Costs</t>
  </si>
  <si>
    <t>Labour Costs to Capital</t>
  </si>
  <si>
    <t>Common Dividends (note 1)</t>
  </si>
  <si>
    <t>Total Deferred Costs and Intangible Assets</t>
  </si>
  <si>
    <t>Total Net Deferred Costs and Intangible Assets for Rate Base</t>
  </si>
  <si>
    <t>Deferred study costs and Intangible assets (net of contributions)</t>
  </si>
  <si>
    <t>Continuity Schedule of Property, Plant and Equipment, Deferred Costs and Intangible Assets</t>
  </si>
  <si>
    <t>Total Net PP&amp;E, Deferred Costs and Intangible Assets for Rate Base</t>
  </si>
  <si>
    <t>Substation VGC Group - Gold Mine</t>
  </si>
  <si>
    <t>LWRF</t>
  </si>
  <si>
    <t>Fire Insurance Reserve</t>
  </si>
  <si>
    <t>2021 GRA
Compliance</t>
  </si>
  <si>
    <t>$000</t>
  </si>
  <si>
    <t>2021 GRA Compliance</t>
  </si>
  <si>
    <t>STATCOM - VGC Group - Gold Mine</t>
  </si>
  <si>
    <t>Other - VGC Group - Gold Mine</t>
  </si>
  <si>
    <t>Calculation of Depreciation Expense for 2024</t>
  </si>
  <si>
    <t>Cost at 2023 Year End</t>
  </si>
  <si>
    <t>2024 Additions</t>
  </si>
  <si>
    <t>2024 Disposals/ Adjustments</t>
  </si>
  <si>
    <t>Cost at 2024 Year End</t>
  </si>
  <si>
    <t>Actual 2021</t>
  </si>
  <si>
    <t>Forecast 2023</t>
  </si>
  <si>
    <t>Forecast 2024</t>
  </si>
  <si>
    <t>2021 Actual</t>
  </si>
  <si>
    <t>2020 New Debt</t>
  </si>
  <si>
    <t>$7.7M TD Swap - 2021</t>
  </si>
  <si>
    <t>$17.9M TD Swap - 2022</t>
  </si>
  <si>
    <t>2023 New Debt</t>
  </si>
  <si>
    <t>2024 New Debt</t>
  </si>
  <si>
    <t>Capital Lease Interest</t>
  </si>
  <si>
    <t>Long-Term Debt Balance</t>
  </si>
  <si>
    <t>Interest Expenses</t>
  </si>
  <si>
    <t>YDC Debt - 2020</t>
  </si>
  <si>
    <t>O&amp;M Expense Reported in Tab 3 excludes fuel and purchase power, but also includes the following:</t>
  </si>
  <si>
    <t>Feasibility Studies WIP</t>
  </si>
  <si>
    <t>Relicensing WIP</t>
  </si>
  <si>
    <t>Dam Safety WIP</t>
  </si>
  <si>
    <t>Vegetation Management Deferral WIP</t>
  </si>
  <si>
    <t>Vegetation Management Deferral</t>
  </si>
  <si>
    <t>Intangibles WIP</t>
  </si>
  <si>
    <t>DSM WIP</t>
  </si>
  <si>
    <t>Cost at 2022 Year End</t>
  </si>
  <si>
    <t>2023 Additions</t>
  </si>
  <si>
    <t>2023 Disposals/ Adjustments</t>
  </si>
  <si>
    <t>Calculation of Depreciation Expense for 2023</t>
  </si>
  <si>
    <t>Hydro, Dams wtwys Twin Assets</t>
  </si>
  <si>
    <t>GST blended rate</t>
  </si>
  <si>
    <t>Actual 2022</t>
  </si>
  <si>
    <t>Regulatory WIP</t>
  </si>
  <si>
    <t>Right of Use Assets</t>
  </si>
  <si>
    <t>Total Right of Use Assets</t>
  </si>
  <si>
    <t>YUKON ENERGY CORPORATION</t>
  </si>
  <si>
    <t>Total Expenditures</t>
  </si>
  <si>
    <t>Dec 31</t>
  </si>
  <si>
    <t xml:space="preserve"> Additions</t>
  </si>
  <si>
    <t>Transfers
/Retired</t>
  </si>
  <si>
    <t>Expenses</t>
  </si>
  <si>
    <t>Feasibility Study</t>
  </si>
  <si>
    <t>Completed Projects:</t>
  </si>
  <si>
    <t>Dyke Heating Pipe Assessment</t>
  </si>
  <si>
    <t>Emergency Preparedness Improvement</t>
  </si>
  <si>
    <t>Gladstone</t>
  </si>
  <si>
    <t>Mayo &amp; Aishihik Climate Change</t>
  </si>
  <si>
    <t>N-1 Event Risk Assessment</t>
  </si>
  <si>
    <t>PMF Flood Study</t>
  </si>
  <si>
    <t>Water Study Main Building</t>
  </si>
  <si>
    <t>Total Feasibility Study Closed</t>
  </si>
  <si>
    <t>Regulatory</t>
  </si>
  <si>
    <t>10 Year Renewable Energy Plan</t>
  </si>
  <si>
    <t>YUB 2007-8 - Part 3 Hearing</t>
  </si>
  <si>
    <t>Total Regulatory Closed</t>
  </si>
  <si>
    <t>Aishihik 2020 3 Year Relicensing</t>
  </si>
  <si>
    <t>Whitehorse Hatchery Water Relicensing</t>
  </si>
  <si>
    <t>Whitehorse Relicensing</t>
  </si>
  <si>
    <t>Mayo Relicensing</t>
  </si>
  <si>
    <t>Total Relicensing Closed</t>
  </si>
  <si>
    <t>Dam Safety Review</t>
  </si>
  <si>
    <t>Completed projects</t>
  </si>
  <si>
    <t>Total Deferred Costs</t>
  </si>
  <si>
    <t>Notes:</t>
  </si>
  <si>
    <t>1. This table does not include projects with zero net book value in the beginning of the year.</t>
  </si>
  <si>
    <t>2023 Forecast</t>
  </si>
  <si>
    <t>IPP Cost Deferral</t>
  </si>
  <si>
    <t>Defined Benefit Pension Deferral Account</t>
  </si>
  <si>
    <t>Less: Deferred Costs and Intangible Assets in Progress</t>
  </si>
  <si>
    <t>Deferred Costs and Intangible Assets (note 2)</t>
  </si>
  <si>
    <t>Less: Deferred Costs and Intangibles in Progress</t>
  </si>
  <si>
    <t>TD Bank Swap</t>
  </si>
  <si>
    <t>YDC $12.1M Debt</t>
  </si>
  <si>
    <t>YDC $92.5M Debt</t>
  </si>
  <si>
    <t>YDC $5.5M Debt</t>
  </si>
  <si>
    <t>YDC $21.0M Debt</t>
  </si>
  <si>
    <t>YDC $2.9M Debt</t>
  </si>
  <si>
    <t>1. In 2021 and 2022 the PAMMS project was under regulatory and transferred to Intangibles in 2023.</t>
  </si>
  <si>
    <t>S.3 L.17</t>
  </si>
  <si>
    <t>S.3 L.83</t>
  </si>
  <si>
    <t>Note 2: Please see details in Schedule 3. In the 2021 GRA Regulatory Deferral Account balance was provided as a separate line item, now included with other deferral accounts with a detailed breakdown in Schedule 3. Balances are net of contributions.</t>
  </si>
  <si>
    <t>Radio Repeater Assessment</t>
  </si>
  <si>
    <t>Transmission Line Access Plan</t>
  </si>
  <si>
    <t>Mayo Earthworks</t>
  </si>
  <si>
    <t>WH Post-Flood Assessment</t>
  </si>
  <si>
    <t>P126 Building Renovation</t>
  </si>
  <si>
    <t>WH4 Low Water Cavitation Study &amp; Recommendation</t>
  </si>
  <si>
    <t>P125 Intake Trash Rack Cleaning System</t>
  </si>
  <si>
    <t>Disaster Recovery Plan</t>
  </si>
  <si>
    <t>Dawson DT Distribution Upgrade</t>
  </si>
  <si>
    <t>BCP GAP Analysis</t>
  </si>
  <si>
    <t>Study Road Infrastructure May A&amp;B</t>
  </si>
  <si>
    <t>Elevator Study Aishik</t>
  </si>
  <si>
    <t>Mt Sumanik Wind Feasibility St</t>
  </si>
  <si>
    <t>Small Hydro Project</t>
  </si>
  <si>
    <t xml:space="preserve">FD7 Condition Assessment </t>
  </si>
  <si>
    <t>Wareham Spillgate Leakage Reduction</t>
  </si>
  <si>
    <t>IPP SOP Implentation</t>
  </si>
  <si>
    <t>WTE Contributions</t>
  </si>
  <si>
    <t>Asset Appraisal-Replace Cost</t>
  </si>
  <si>
    <t>Victoria Gold PPA</t>
  </si>
  <si>
    <t>LED Streetlight 2015/2018</t>
  </si>
  <si>
    <t>DSM Contributions</t>
  </si>
  <si>
    <t>Victoria Gold PPA Contributions</t>
  </si>
  <si>
    <t>Aishihik 2022 5 Year Relicensing</t>
  </si>
  <si>
    <t>License term</t>
  </si>
  <si>
    <t>Southern Lakes Enhanced Storage</t>
  </si>
  <si>
    <t>System Wide Stability Study</t>
  </si>
  <si>
    <t>System Wide Arc Flash Study</t>
  </si>
  <si>
    <t>Mayo Civil Infrastructure Refurbishment Planning</t>
  </si>
  <si>
    <t>Other Projects with &lt;$100k Spending</t>
  </si>
  <si>
    <t>GRA 2020-2021 (Hearing Reserve Acct)</t>
  </si>
  <si>
    <t>Atlin EPA Section 18 Proceeding (Hearing Reserve Acct)</t>
  </si>
  <si>
    <t>PAMMS Asset Management Framework</t>
  </si>
  <si>
    <t>Software Costs</t>
  </si>
  <si>
    <t>Financial Software Costs</t>
  </si>
  <si>
    <t>Total Intangibles Closed</t>
  </si>
  <si>
    <t>Total Deferred and Intangibles Closed</t>
  </si>
  <si>
    <t>Calculation of Amortization Expense for Deferred Costs and Intangibles (2023)</t>
  </si>
  <si>
    <t>Schedule 3A - 2023</t>
  </si>
  <si>
    <t>Schedule 3A - 2024</t>
  </si>
  <si>
    <t>Schedule 3B - 2023</t>
  </si>
  <si>
    <t>Schedule 3B - 2024</t>
  </si>
  <si>
    <t>2024 Forecast</t>
  </si>
  <si>
    <t>Transmission Line Detailed Inspection Program</t>
  </si>
  <si>
    <t>Gates/TIV's Certification Assessment System Wide</t>
  </si>
  <si>
    <t>Breaker Condition Assessment</t>
  </si>
  <si>
    <t>GRA 2023-2024 (Hearing Reserve Acct)</t>
  </si>
  <si>
    <t>WRGS Thermal Assessment &amp; Permitting</t>
  </si>
  <si>
    <t>Yukon Energy Corporation 2023/24 GRA</t>
  </si>
  <si>
    <t>3A-2023</t>
  </si>
  <si>
    <t>3A-2024</t>
  </si>
  <si>
    <t>3B-2023</t>
  </si>
  <si>
    <t>3B-2024</t>
  </si>
  <si>
    <t>Calculation of Amortization Expense for Deferred Costs and Intangibles (2024)</t>
  </si>
  <si>
    <t>2022 Actual</t>
  </si>
  <si>
    <t>Hearing Reserve Amortization tranfer</t>
  </si>
  <si>
    <t>S.3 L.84</t>
  </si>
  <si>
    <t>S.3 L.86</t>
  </si>
  <si>
    <t>S.1 L.14</t>
  </si>
  <si>
    <t>S.11 L.19</t>
  </si>
  <si>
    <t>S.1 L.23</t>
  </si>
  <si>
    <t>Approved Depreciation Rate (Years)</t>
  </si>
  <si>
    <t>Depreciation Expense for 2023</t>
  </si>
  <si>
    <t>Compliance Filing</t>
  </si>
  <si>
    <t>2023/24 GRA Compliance Filing</t>
  </si>
  <si>
    <t>*</t>
  </si>
  <si>
    <t>NBV</t>
  </si>
  <si>
    <t>* The licensing cost amortization reflects the amortization of a number of licensing related projects [fishiries, control structure, salmon enhancement, etc.] over the years with amortization period ending 2025 [the current water use licence term].</t>
  </si>
  <si>
    <t>**</t>
  </si>
  <si>
    <t>EAM Purchase and Implementation</t>
  </si>
  <si>
    <t>** Includes a number of small projects.</t>
  </si>
  <si>
    <t>Amortization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</si>
</sst>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;[Red]\-&quot;$&quot;#,##0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-* #,##0_-;\-* #,##0_-;_-* &quot;-&quot;??_-;_-@_-"/>
    <numFmt numFmtId="168" formatCode="_(* #,##0.0_);_(* \(#,##0.0\);_(* &quot;-&quot;??_);_(@_)"/>
    <numFmt numFmtId="169" formatCode="_(* #,##0_);_(* \(#,##0\);_(* &quot;-&quot;??_);_(@_)"/>
    <numFmt numFmtId="170" formatCode="0.0%"/>
    <numFmt numFmtId="171" formatCode="0.000%"/>
    <numFmt numFmtId="172" formatCode="#,##0.0"/>
    <numFmt numFmtId="173" formatCode="d\-mmm\-yy\ &quot;filing&quot;"/>
    <numFmt numFmtId="174" formatCode="0.0"/>
    <numFmt numFmtId="175" formatCode="0.000"/>
    <numFmt numFmtId="176" formatCode="#,##0.0,"/>
  </numFmts>
  <fonts count="3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0"/>
      <color indexed="12"/>
      <name val="Tahoma"/>
      <family val="2"/>
    </font>
    <font>
      <i/>
      <sz val="10"/>
      <name val="Tahoma"/>
      <family val="2"/>
    </font>
    <font>
      <sz val="10"/>
      <color indexed="10"/>
      <name val="Tahoma"/>
      <family val="2"/>
    </font>
    <font>
      <b/>
      <i/>
      <sz val="10"/>
      <name val="Tahoma"/>
      <family val="2"/>
    </font>
    <font>
      <sz val="10"/>
      <color indexed="57"/>
      <name val="Tahoma"/>
      <family val="2"/>
    </font>
    <font>
      <sz val="10"/>
      <color indexed="53"/>
      <name val="Tahoma"/>
      <family val="2"/>
    </font>
    <font>
      <b/>
      <u/>
      <sz val="10"/>
      <name val="Tahoma"/>
      <family val="2"/>
    </font>
    <font>
      <vertAlign val="superscript"/>
      <sz val="10"/>
      <name val="Tahoma"/>
      <family val="2"/>
    </font>
    <font>
      <i/>
      <sz val="10"/>
      <color theme="0"/>
      <name val="Tahoma"/>
      <family val="2"/>
    </font>
    <font>
      <sz val="10"/>
      <color theme="1"/>
      <name val="Arial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8.25"/>
      <color rgb="FF000000"/>
      <name val="Arial"/>
      <family val="2"/>
    </font>
    <font>
      <sz val="9"/>
      <name val="Segoe UI"/>
      <family val="2"/>
    </font>
    <font>
      <sz val="8.5"/>
      <name val="LinePrinter"/>
    </font>
    <font>
      <sz val="10"/>
      <name val="Helvetica (PCL6)"/>
    </font>
  </fonts>
  <fills count="5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1">
    <xf numFmtId="0" fontId="0" fillId="0" borderId="0"/>
    <xf numFmtId="16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5" fillId="0" borderId="0"/>
    <xf numFmtId="0" fontId="22" fillId="0" borderId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8" fillId="0" borderId="0">
      <alignment vertical="center"/>
    </xf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8" fillId="0" borderId="0">
      <alignment vertical="center"/>
    </xf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0" fontId="30" fillId="0" borderId="0"/>
  </cellStyleXfs>
  <cellXfs count="20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5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9" fontId="7" fillId="0" borderId="0" xfId="1" applyFont="1" applyFill="1"/>
    <xf numFmtId="169" fontId="7" fillId="0" borderId="0" xfId="1" applyFont="1" applyFill="1" applyBorder="1"/>
    <xf numFmtId="169" fontId="7" fillId="0" borderId="0" xfId="0" applyNumberFormat="1" applyFont="1"/>
    <xf numFmtId="169" fontId="7" fillId="0" borderId="1" xfId="1" applyFont="1" applyFill="1" applyBorder="1"/>
    <xf numFmtId="169" fontId="7" fillId="0" borderId="4" xfId="1" applyFont="1" applyFill="1" applyBorder="1"/>
    <xf numFmtId="3" fontId="7" fillId="0" borderId="0" xfId="0" applyNumberFormat="1" applyFont="1"/>
    <xf numFmtId="167" fontId="7" fillId="0" borderId="0" xfId="0" applyNumberFormat="1" applyFont="1"/>
    <xf numFmtId="169" fontId="7" fillId="0" borderId="3" xfId="1" applyFont="1" applyFill="1" applyBorder="1"/>
    <xf numFmtId="0" fontId="7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167" fontId="7" fillId="0" borderId="0" xfId="1" applyNumberFormat="1" applyFont="1" applyFill="1"/>
    <xf numFmtId="167" fontId="7" fillId="0" borderId="0" xfId="1" applyNumberFormat="1" applyFont="1" applyFill="1" applyBorder="1"/>
    <xf numFmtId="0" fontId="13" fillId="0" borderId="0" xfId="0" applyFont="1"/>
    <xf numFmtId="167" fontId="7" fillId="0" borderId="3" xfId="1" applyNumberFormat="1" applyFont="1" applyFill="1" applyBorder="1"/>
    <xf numFmtId="169" fontId="10" fillId="0" borderId="0" xfId="0" applyNumberFormat="1" applyFont="1"/>
    <xf numFmtId="10" fontId="7" fillId="0" borderId="1" xfId="0" applyNumberFormat="1" applyFont="1" applyBorder="1"/>
    <xf numFmtId="10" fontId="7" fillId="0" borderId="0" xfId="0" applyNumberFormat="1" applyFont="1"/>
    <xf numFmtId="169" fontId="7" fillId="0" borderId="3" xfId="0" applyNumberFormat="1" applyFont="1" applyBorder="1"/>
    <xf numFmtId="0" fontId="14" fillId="0" borderId="0" xfId="0" applyFont="1"/>
    <xf numFmtId="1" fontId="7" fillId="0" borderId="0" xfId="0" applyNumberFormat="1" applyFont="1"/>
    <xf numFmtId="37" fontId="7" fillId="0" borderId="0" xfId="0" applyNumberFormat="1" applyFont="1"/>
    <xf numFmtId="0" fontId="14" fillId="0" borderId="0" xfId="0" applyFont="1" applyAlignment="1">
      <alignment horizontal="center"/>
    </xf>
    <xf numFmtId="3" fontId="7" fillId="0" borderId="0" xfId="1" applyNumberFormat="1" applyFont="1" applyFill="1"/>
    <xf numFmtId="0" fontId="15" fillId="0" borderId="0" xfId="0" applyFont="1"/>
    <xf numFmtId="3" fontId="7" fillId="0" borderId="0" xfId="0" applyNumberFormat="1" applyFont="1" applyAlignment="1">
      <alignment horizontal="center"/>
    </xf>
    <xf numFmtId="3" fontId="10" fillId="0" borderId="1" xfId="0" applyNumberFormat="1" applyFont="1" applyBorder="1" applyAlignment="1">
      <alignment horizontal="center" wrapText="1"/>
    </xf>
    <xf numFmtId="171" fontId="7" fillId="0" borderId="0" xfId="0" applyNumberFormat="1" applyFont="1"/>
    <xf numFmtId="3" fontId="7" fillId="0" borderId="1" xfId="0" applyNumberFormat="1" applyFont="1" applyBorder="1"/>
    <xf numFmtId="3" fontId="15" fillId="0" borderId="0" xfId="0" applyNumberFormat="1" applyFont="1"/>
    <xf numFmtId="3" fontId="7" fillId="0" borderId="3" xfId="0" applyNumberFormat="1" applyFont="1" applyBorder="1"/>
    <xf numFmtId="10" fontId="7" fillId="0" borderId="3" xfId="0" applyNumberFormat="1" applyFont="1" applyBorder="1"/>
    <xf numFmtId="3" fontId="7" fillId="0" borderId="1" xfId="1" applyNumberFormat="1" applyFont="1" applyFill="1" applyBorder="1"/>
    <xf numFmtId="3" fontId="7" fillId="0" borderId="3" xfId="1" applyNumberFormat="1" applyFont="1" applyFill="1" applyBorder="1"/>
    <xf numFmtId="3" fontId="8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173" fontId="7" fillId="0" borderId="0" xfId="0" applyNumberFormat="1" applyFont="1"/>
    <xf numFmtId="170" fontId="7" fillId="0" borderId="0" xfId="0" applyNumberFormat="1" applyFont="1"/>
    <xf numFmtId="170" fontId="7" fillId="0" borderId="1" xfId="0" applyNumberFormat="1" applyFont="1" applyBorder="1"/>
    <xf numFmtId="170" fontId="7" fillId="0" borderId="3" xfId="0" applyNumberFormat="1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top"/>
    </xf>
    <xf numFmtId="0" fontId="16" fillId="0" borderId="0" xfId="0" applyFont="1"/>
    <xf numFmtId="0" fontId="7" fillId="0" borderId="0" xfId="0" applyFont="1" applyAlignment="1">
      <alignment horizontal="right" vertical="center"/>
    </xf>
    <xf numFmtId="38" fontId="7" fillId="0" borderId="0" xfId="0" applyNumberFormat="1" applyFont="1"/>
    <xf numFmtId="168" fontId="7" fillId="0" borderId="0" xfId="0" applyNumberFormat="1" applyFont="1"/>
    <xf numFmtId="0" fontId="7" fillId="0" borderId="0" xfId="0" applyFont="1" applyAlignment="1">
      <alignment wrapText="1"/>
    </xf>
    <xf numFmtId="169" fontId="7" fillId="0" borderId="0" xfId="3" applyNumberFormat="1" applyFont="1" applyFill="1" applyBorder="1"/>
    <xf numFmtId="0" fontId="17" fillId="0" borderId="0" xfId="0" applyFont="1"/>
    <xf numFmtId="0" fontId="18" fillId="0" borderId="0" xfId="0" applyFont="1" applyAlignment="1">
      <alignment horizontal="left"/>
    </xf>
    <xf numFmtId="0" fontId="10" fillId="0" borderId="0" xfId="4" applyFont="1"/>
    <xf numFmtId="0" fontId="7" fillId="0" borderId="0" xfId="0" applyFont="1" applyAlignment="1">
      <alignment horizontal="left" indent="1"/>
    </xf>
    <xf numFmtId="0" fontId="7" fillId="0" borderId="0" xfId="4" applyFont="1" applyAlignment="1">
      <alignment horizontal="left" indent="1"/>
    </xf>
    <xf numFmtId="172" fontId="7" fillId="0" borderId="0" xfId="0" applyNumberFormat="1" applyFont="1"/>
    <xf numFmtId="174" fontId="7" fillId="0" borderId="0" xfId="0" applyNumberFormat="1" applyFont="1"/>
    <xf numFmtId="0" fontId="19" fillId="0" borderId="0" xfId="4" applyFont="1"/>
    <xf numFmtId="3" fontId="7" fillId="0" borderId="0" xfId="4" applyNumberFormat="1" applyFont="1"/>
    <xf numFmtId="0" fontId="7" fillId="0" borderId="0" xfId="0" applyFont="1" applyAlignment="1">
      <alignment horizontal="left"/>
    </xf>
    <xf numFmtId="3" fontId="7" fillId="0" borderId="2" xfId="0" applyNumberFormat="1" applyFont="1" applyBorder="1"/>
    <xf numFmtId="0" fontId="20" fillId="0" borderId="0" xfId="0" applyFont="1"/>
    <xf numFmtId="3" fontId="10" fillId="0" borderId="0" xfId="0" applyNumberFormat="1" applyFont="1"/>
    <xf numFmtId="3" fontId="14" fillId="0" borderId="0" xfId="0" applyNumberFormat="1" applyFont="1"/>
    <xf numFmtId="1" fontId="14" fillId="0" borderId="0" xfId="0" applyNumberFormat="1" applyFont="1"/>
    <xf numFmtId="3" fontId="7" fillId="0" borderId="0" xfId="0" applyNumberFormat="1" applyFont="1" applyAlignment="1">
      <alignment vertical="top" wrapText="1"/>
    </xf>
    <xf numFmtId="164" fontId="7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center"/>
    </xf>
    <xf numFmtId="3" fontId="21" fillId="0" borderId="0" xfId="0" applyNumberFormat="1" applyFont="1"/>
    <xf numFmtId="0" fontId="6" fillId="0" borderId="0" xfId="0" applyFont="1"/>
    <xf numFmtId="10" fontId="7" fillId="0" borderId="0" xfId="2" applyNumberFormat="1" applyFont="1"/>
    <xf numFmtId="10" fontId="7" fillId="0" borderId="0" xfId="2" applyNumberFormat="1" applyFont="1" applyFill="1"/>
    <xf numFmtId="169" fontId="7" fillId="0" borderId="0" xfId="1" applyFont="1" applyFill="1" applyAlignment="1">
      <alignment vertical="center"/>
    </xf>
    <xf numFmtId="169" fontId="7" fillId="0" borderId="0" xfId="1" applyFont="1" applyFill="1" applyAlignment="1">
      <alignment horizontal="center" vertical="center"/>
    </xf>
    <xf numFmtId="3" fontId="7" fillId="0" borderId="4" xfId="1" applyNumberFormat="1" applyFont="1" applyFill="1" applyBorder="1"/>
    <xf numFmtId="174" fontId="7" fillId="0" borderId="0" xfId="4" applyNumberFormat="1" applyFont="1"/>
    <xf numFmtId="3" fontId="7" fillId="0" borderId="4" xfId="0" applyNumberFormat="1" applyFont="1" applyBorder="1"/>
    <xf numFmtId="37" fontId="14" fillId="0" borderId="1" xfId="0" applyNumberFormat="1" applyFont="1" applyBorder="1"/>
    <xf numFmtId="0" fontId="8" fillId="0" borderId="0" xfId="4" applyFont="1" applyAlignment="1">
      <alignment horizontal="left"/>
    </xf>
    <xf numFmtId="0" fontId="7" fillId="0" borderId="0" xfId="4" applyFont="1"/>
    <xf numFmtId="0" fontId="7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10" fillId="0" borderId="0" xfId="4" applyFont="1" applyAlignment="1">
      <alignment horizontal="left"/>
    </xf>
    <xf numFmtId="0" fontId="10" fillId="0" borderId="0" xfId="4" applyFont="1" applyAlignment="1">
      <alignment horizontal="center"/>
    </xf>
    <xf numFmtId="0" fontId="10" fillId="0" borderId="1" xfId="4" applyFont="1" applyBorder="1" applyAlignment="1">
      <alignment horizontal="center" wrapText="1"/>
    </xf>
    <xf numFmtId="0" fontId="10" fillId="0" borderId="0" xfId="4" applyFont="1" applyAlignment="1">
      <alignment horizontal="center" wrapText="1"/>
    </xf>
    <xf numFmtId="3" fontId="7" fillId="0" borderId="4" xfId="4" applyNumberFormat="1" applyFont="1" applyBorder="1"/>
    <xf numFmtId="0" fontId="14" fillId="0" borderId="0" xfId="4" applyFont="1"/>
    <xf numFmtId="0" fontId="14" fillId="0" borderId="0" xfId="4" applyFont="1" applyAlignment="1">
      <alignment horizontal="center"/>
    </xf>
    <xf numFmtId="3" fontId="14" fillId="0" borderId="0" xfId="4" applyNumberFormat="1" applyFont="1"/>
    <xf numFmtId="0" fontId="7" fillId="0" borderId="0" xfId="4" applyFont="1" applyAlignment="1">
      <alignment vertical="top"/>
    </xf>
    <xf numFmtId="0" fontId="7" fillId="0" borderId="0" xfId="4" applyFont="1" applyAlignment="1">
      <alignment horizontal="left" vertical="top" wrapText="1"/>
    </xf>
    <xf numFmtId="1" fontId="7" fillId="0" borderId="0" xfId="4" applyNumberFormat="1" applyFont="1"/>
    <xf numFmtId="3" fontId="7" fillId="0" borderId="0" xfId="4" applyNumberFormat="1" applyFont="1" applyAlignment="1">
      <alignment vertical="top" wrapText="1"/>
    </xf>
    <xf numFmtId="164" fontId="7" fillId="0" borderId="0" xfId="4" applyNumberFormat="1" applyFont="1"/>
    <xf numFmtId="38" fontId="7" fillId="0" borderId="0" xfId="4" applyNumberFormat="1" applyFont="1"/>
    <xf numFmtId="0" fontId="7" fillId="3" borderId="0" xfId="0" applyFont="1" applyFill="1" applyAlignment="1">
      <alignment horizontal="center"/>
    </xf>
    <xf numFmtId="0" fontId="23" fillId="4" borderId="0" xfId="5" applyFont="1" applyFill="1" applyAlignment="1">
      <alignment horizontal="left"/>
    </xf>
    <xf numFmtId="0" fontId="24" fillId="4" borderId="0" xfId="5" applyFont="1" applyFill="1"/>
    <xf numFmtId="165" fontId="24" fillId="4" borderId="0" xfId="5" applyNumberFormat="1" applyFont="1" applyFill="1"/>
    <xf numFmtId="2" fontId="24" fillId="4" borderId="0" xfId="5" applyNumberFormat="1" applyFont="1" applyFill="1"/>
    <xf numFmtId="0" fontId="25" fillId="4" borderId="0" xfId="5" applyFont="1" applyFill="1" applyAlignment="1">
      <alignment horizontal="right"/>
    </xf>
    <xf numFmtId="0" fontId="25" fillId="4" borderId="0" xfId="5" applyFont="1" applyFill="1" applyAlignment="1">
      <alignment horizontal="left"/>
    </xf>
    <xf numFmtId="10" fontId="25" fillId="4" borderId="1" xfId="2" applyNumberFormat="1" applyFont="1" applyFill="1" applyBorder="1" applyAlignment="1">
      <alignment horizontal="center"/>
    </xf>
    <xf numFmtId="3" fontId="23" fillId="4" borderId="0" xfId="6" applyNumberFormat="1" applyFont="1" applyFill="1" applyBorder="1" applyAlignment="1">
      <alignment horizontal="right"/>
    </xf>
    <xf numFmtId="10" fontId="23" fillId="4" borderId="0" xfId="2" applyNumberFormat="1" applyFont="1" applyFill="1" applyBorder="1" applyAlignment="1">
      <alignment horizontal="center"/>
    </xf>
    <xf numFmtId="0" fontId="26" fillId="4" borderId="0" xfId="5" applyFont="1" applyFill="1"/>
    <xf numFmtId="10" fontId="24" fillId="4" borderId="0" xfId="2" applyNumberFormat="1" applyFont="1" applyFill="1" applyBorder="1" applyAlignment="1">
      <alignment horizontal="center"/>
    </xf>
    <xf numFmtId="175" fontId="25" fillId="4" borderId="0" xfId="5" applyNumberFormat="1" applyFont="1" applyFill="1" applyAlignment="1">
      <alignment horizontal="right"/>
    </xf>
    <xf numFmtId="10" fontId="24" fillId="4" borderId="0" xfId="2" applyNumberFormat="1" applyFont="1" applyFill="1" applyBorder="1"/>
    <xf numFmtId="3" fontId="24" fillId="4" borderId="0" xfId="5" applyNumberFormat="1" applyFont="1" applyFill="1" applyAlignment="1">
      <alignment horizontal="right"/>
    </xf>
    <xf numFmtId="10" fontId="24" fillId="4" borderId="0" xfId="2" applyNumberFormat="1" applyFont="1" applyFill="1"/>
    <xf numFmtId="2" fontId="23" fillId="4" borderId="0" xfId="5" applyNumberFormat="1" applyFont="1" applyFill="1" applyAlignment="1">
      <alignment horizontal="center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4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vertical="top" wrapText="1"/>
    </xf>
    <xf numFmtId="0" fontId="7" fillId="4" borderId="0" xfId="5" applyFont="1" applyFill="1"/>
    <xf numFmtId="0" fontId="7" fillId="4" borderId="0" xfId="4" applyFont="1" applyFill="1"/>
    <xf numFmtId="0" fontId="10" fillId="4" borderId="0" xfId="5" applyFont="1" applyFill="1" applyAlignment="1">
      <alignment horizontal="center"/>
    </xf>
    <xf numFmtId="165" fontId="10" fillId="4" borderId="0" xfId="5" applyNumberFormat="1" applyFont="1" applyFill="1" applyAlignment="1">
      <alignment horizontal="center" wrapText="1"/>
    </xf>
    <xf numFmtId="0" fontId="8" fillId="4" borderId="0" xfId="4" applyFont="1" applyFill="1" applyAlignment="1">
      <alignment horizontal="left"/>
    </xf>
    <xf numFmtId="0" fontId="7" fillId="4" borderId="0" xfId="4" applyFont="1" applyFill="1" applyAlignment="1">
      <alignment horizontal="center"/>
    </xf>
    <xf numFmtId="0" fontId="10" fillId="4" borderId="0" xfId="4" applyFont="1" applyFill="1" applyAlignment="1">
      <alignment horizontal="left"/>
    </xf>
    <xf numFmtId="0" fontId="10" fillId="4" borderId="0" xfId="5" applyFont="1" applyFill="1" applyAlignment="1">
      <alignment horizontal="center" wrapText="1"/>
    </xf>
    <xf numFmtId="0" fontId="10" fillId="4" borderId="5" xfId="5" applyFont="1" applyFill="1" applyBorder="1" applyAlignment="1">
      <alignment horizontal="center" wrapText="1"/>
    </xf>
    <xf numFmtId="0" fontId="10" fillId="4" borderId="0" xfId="5" applyFont="1" applyFill="1" applyAlignment="1">
      <alignment wrapText="1"/>
    </xf>
    <xf numFmtId="1" fontId="25" fillId="4" borderId="0" xfId="2" applyNumberFormat="1" applyFont="1" applyFill="1" applyBorder="1" applyAlignment="1">
      <alignment horizontal="right"/>
    </xf>
    <xf numFmtId="1" fontId="25" fillId="4" borderId="1" xfId="2" applyNumberFormat="1" applyFont="1" applyFill="1" applyBorder="1" applyAlignment="1">
      <alignment horizontal="right"/>
    </xf>
    <xf numFmtId="1" fontId="25" fillId="4" borderId="0" xfId="5" applyNumberFormat="1" applyFont="1" applyFill="1" applyAlignment="1">
      <alignment horizontal="right"/>
    </xf>
    <xf numFmtId="1" fontId="25" fillId="4" borderId="1" xfId="5" applyNumberFormat="1" applyFont="1" applyFill="1" applyBorder="1" applyAlignment="1">
      <alignment horizontal="right"/>
    </xf>
    <xf numFmtId="0" fontId="7" fillId="0" borderId="0" xfId="0" applyFont="1" applyAlignment="1">
      <alignment vertical="top" wrapText="1"/>
    </xf>
    <xf numFmtId="176" fontId="25" fillId="4" borderId="0" xfId="6" applyNumberFormat="1" applyFont="1" applyFill="1" applyBorder="1" applyAlignment="1">
      <alignment horizontal="right"/>
    </xf>
    <xf numFmtId="176" fontId="25" fillId="4" borderId="1" xfId="6" applyNumberFormat="1" applyFont="1" applyFill="1" applyBorder="1" applyAlignment="1">
      <alignment horizontal="right"/>
    </xf>
    <xf numFmtId="176" fontId="23" fillId="4" borderId="0" xfId="6" applyNumberFormat="1" applyFont="1" applyFill="1" applyBorder="1" applyAlignment="1">
      <alignment horizontal="right"/>
    </xf>
    <xf numFmtId="176" fontId="24" fillId="4" borderId="0" xfId="6" applyNumberFormat="1" applyFont="1" applyFill="1" applyBorder="1" applyAlignment="1">
      <alignment horizontal="right"/>
    </xf>
    <xf numFmtId="176" fontId="24" fillId="4" borderId="0" xfId="5" applyNumberFormat="1" applyFont="1" applyFill="1" applyAlignment="1">
      <alignment horizontal="right"/>
    </xf>
    <xf numFmtId="6" fontId="10" fillId="4" borderId="0" xfId="4" quotePrefix="1" applyNumberFormat="1" applyFont="1" applyFill="1" applyAlignment="1">
      <alignment horizontal="left"/>
    </xf>
    <xf numFmtId="3" fontId="7" fillId="4" borderId="0" xfId="4" applyNumberFormat="1" applyFont="1" applyFill="1"/>
    <xf numFmtId="169" fontId="7" fillId="4" borderId="1" xfId="1" applyFont="1" applyFill="1" applyBorder="1"/>
    <xf numFmtId="1" fontId="23" fillId="4" borderId="0" xfId="2" applyNumberFormat="1" applyFont="1" applyFill="1" applyBorder="1" applyAlignment="1">
      <alignment horizontal="right"/>
    </xf>
    <xf numFmtId="37" fontId="10" fillId="0" borderId="0" xfId="17" applyNumberFormat="1" applyFont="1"/>
    <xf numFmtId="0" fontId="10" fillId="0" borderId="0" xfId="18" applyFont="1"/>
    <xf numFmtId="0" fontId="24" fillId="0" borderId="0" xfId="18" applyFont="1"/>
    <xf numFmtId="37" fontId="7" fillId="0" borderId="3" xfId="17" quotePrefix="1" applyNumberFormat="1" applyFont="1" applyBorder="1"/>
    <xf numFmtId="37" fontId="7" fillId="0" borderId="3" xfId="17" applyNumberFormat="1" applyFont="1" applyBorder="1"/>
    <xf numFmtId="0" fontId="10" fillId="0" borderId="3" xfId="18" applyFont="1" applyBorder="1"/>
    <xf numFmtId="37" fontId="7" fillId="0" borderId="0" xfId="17" applyNumberFormat="1" applyFont="1"/>
    <xf numFmtId="0" fontId="7" fillId="0" borderId="0" xfId="18" applyFont="1" applyAlignment="1">
      <alignment horizontal="center"/>
    </xf>
    <xf numFmtId="49" fontId="7" fillId="0" borderId="0" xfId="17" quotePrefix="1" applyNumberFormat="1" applyFont="1" applyAlignment="1">
      <alignment horizontal="center" vertical="center"/>
    </xf>
    <xf numFmtId="0" fontId="7" fillId="0" borderId="0" xfId="18" applyFont="1" applyAlignment="1">
      <alignment horizontal="centerContinuous" vertical="center"/>
    </xf>
    <xf numFmtId="0" fontId="7" fillId="0" borderId="7" xfId="18" applyFont="1" applyBorder="1" applyAlignment="1">
      <alignment horizontal="centerContinuous" vertical="center"/>
    </xf>
    <xf numFmtId="49" fontId="7" fillId="0" borderId="0" xfId="18" applyNumberFormat="1" applyFont="1" applyAlignment="1">
      <alignment horizontal="center" vertical="center"/>
    </xf>
    <xf numFmtId="1" fontId="7" fillId="0" borderId="3" xfId="17" applyNumberFormat="1" applyFont="1" applyBorder="1" applyAlignment="1">
      <alignment horizontal="center" vertical="center"/>
    </xf>
    <xf numFmtId="1" fontId="7" fillId="0" borderId="3" xfId="18" quotePrefix="1" applyNumberFormat="1" applyFont="1" applyBorder="1" applyAlignment="1">
      <alignment horizontal="center" vertical="center" wrapText="1"/>
    </xf>
    <xf numFmtId="1" fontId="7" fillId="0" borderId="3" xfId="18" applyNumberFormat="1" applyFont="1" applyBorder="1" applyAlignment="1">
      <alignment horizontal="center" vertical="center" wrapText="1"/>
    </xf>
    <xf numFmtId="1" fontId="7" fillId="0" borderId="3" xfId="18" applyNumberFormat="1" applyFont="1" applyBorder="1" applyAlignment="1">
      <alignment horizontal="center" vertical="center"/>
    </xf>
    <xf numFmtId="0" fontId="26" fillId="0" borderId="0" xfId="18" applyFont="1"/>
    <xf numFmtId="37" fontId="7" fillId="0" borderId="0" xfId="17" quotePrefix="1" applyNumberFormat="1" applyFont="1"/>
    <xf numFmtId="4" fontId="7" fillId="0" borderId="0" xfId="4" applyNumberFormat="1" applyFont="1"/>
    <xf numFmtId="169" fontId="24" fillId="0" borderId="0" xfId="19" applyNumberFormat="1" applyFont="1" applyFill="1"/>
    <xf numFmtId="169" fontId="24" fillId="0" borderId="0" xfId="18" applyNumberFormat="1" applyFont="1"/>
    <xf numFmtId="169" fontId="24" fillId="0" borderId="1" xfId="18" applyNumberFormat="1" applyFont="1" applyBorder="1"/>
    <xf numFmtId="37" fontId="10" fillId="0" borderId="0" xfId="17" quotePrefix="1" applyNumberFormat="1" applyFont="1"/>
    <xf numFmtId="0" fontId="7" fillId="0" borderId="0" xfId="20" applyFont="1" applyAlignment="1">
      <alignment horizontal="left"/>
    </xf>
    <xf numFmtId="167" fontId="24" fillId="0" borderId="0" xfId="18" applyNumberFormat="1" applyFont="1"/>
    <xf numFmtId="37" fontId="7" fillId="0" borderId="1" xfId="17" applyNumberFormat="1" applyFont="1" applyBorder="1"/>
    <xf numFmtId="3" fontId="7" fillId="0" borderId="0" xfId="20" applyNumberFormat="1" applyFont="1"/>
    <xf numFmtId="3" fontId="24" fillId="0" borderId="0" xfId="18" applyNumberFormat="1" applyFont="1"/>
    <xf numFmtId="3" fontId="10" fillId="0" borderId="4" xfId="4" applyNumberFormat="1" applyFont="1" applyBorder="1"/>
    <xf numFmtId="3" fontId="7" fillId="0" borderId="0" xfId="17" applyNumberFormat="1" applyFont="1"/>
    <xf numFmtId="167" fontId="24" fillId="3" borderId="0" xfId="18" applyNumberFormat="1" applyFont="1" applyFill="1"/>
    <xf numFmtId="0" fontId="7" fillId="0" borderId="6" xfId="18" applyFont="1" applyBorder="1" applyAlignment="1">
      <alignment horizontal="center"/>
    </xf>
    <xf numFmtId="37" fontId="10" fillId="0" borderId="4" xfId="17" applyNumberFormat="1" applyFont="1" applyBorder="1"/>
    <xf numFmtId="169" fontId="24" fillId="0" borderId="0" xfId="18" quotePrefix="1" applyNumberFormat="1" applyFont="1"/>
    <xf numFmtId="0" fontId="10" fillId="4" borderId="8" xfId="5" applyFont="1" applyFill="1" applyBorder="1" applyAlignment="1">
      <alignment horizontal="center" vertical="center" wrapText="1"/>
    </xf>
    <xf numFmtId="165" fontId="10" fillId="4" borderId="8" xfId="5" applyNumberFormat="1" applyFont="1" applyFill="1" applyBorder="1" applyAlignment="1">
      <alignment horizontal="center" vertical="center" wrapText="1"/>
    </xf>
    <xf numFmtId="165" fontId="10" fillId="0" borderId="8" xfId="5" applyNumberFormat="1" applyFont="1" applyBorder="1" applyAlignment="1">
      <alignment horizontal="center" vertical="center" wrapText="1"/>
    </xf>
    <xf numFmtId="2" fontId="10" fillId="4" borderId="8" xfId="5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173" fontId="10" fillId="0" borderId="0" xfId="0" applyNumberFormat="1" applyFont="1" applyAlignment="1">
      <alignment horizontal="right"/>
    </xf>
    <xf numFmtId="0" fontId="10" fillId="4" borderId="0" xfId="4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4" applyFont="1" applyAlignment="1">
      <alignment horizontal="right"/>
    </xf>
    <xf numFmtId="169" fontId="24" fillId="0" borderId="0" xfId="18" applyNumberFormat="1" applyFont="1" applyAlignment="1">
      <alignment horizontal="center"/>
    </xf>
    <xf numFmtId="3" fontId="10" fillId="0" borderId="0" xfId="4" applyNumberFormat="1" applyFont="1"/>
    <xf numFmtId="0" fontId="7" fillId="0" borderId="0" xfId="0" applyFont="1" applyAlignment="1">
      <alignment horizontal="left" wrapText="1"/>
    </xf>
    <xf numFmtId="37" fontId="7" fillId="0" borderId="3" xfId="17" quotePrefix="1" applyNumberFormat="1" applyFont="1" applyBorder="1" applyAlignment="1">
      <alignment horizontal="center"/>
    </xf>
    <xf numFmtId="0" fontId="7" fillId="0" borderId="3" xfId="18" applyFont="1" applyBorder="1" applyAlignment="1">
      <alignment horizontal="center"/>
    </xf>
    <xf numFmtId="0" fontId="7" fillId="0" borderId="0" xfId="18" applyFont="1" applyAlignment="1">
      <alignment horizontal="center" vertical="center" wrapText="1"/>
    </xf>
    <xf numFmtId="0" fontId="24" fillId="0" borderId="3" xfId="18" applyFont="1" applyBorder="1" applyAlignment="1">
      <alignment horizontal="center" vertical="center" wrapText="1"/>
    </xf>
    <xf numFmtId="37" fontId="7" fillId="0" borderId="0" xfId="17" applyNumberFormat="1" applyFont="1" applyAlignment="1">
      <alignment horizontal="left" wrapText="1"/>
    </xf>
  </cellXfs>
  <cellStyles count="21">
    <cellStyle name="Accent4" xfId="3" builtinId="41"/>
    <cellStyle name="Comma" xfId="1" builtinId="3"/>
    <cellStyle name="Comma 2" xfId="6" xr:uid="{00000000-0005-0000-0000-000002000000}"/>
    <cellStyle name="Comma 2 2" xfId="7" xr:uid="{00000000-0005-0000-0000-000003000000}"/>
    <cellStyle name="Comma 2 2 2" xfId="8" xr:uid="{00000000-0005-0000-0000-000004000000}"/>
    <cellStyle name="Comma 3" xfId="11" xr:uid="{00000000-0005-0000-0000-000005000000}"/>
    <cellStyle name="Comma 4" xfId="15" xr:uid="{00000000-0005-0000-0000-000006000000}"/>
    <cellStyle name="Comma 5" xfId="19" xr:uid="{D871C2C2-5E02-44BF-A57A-49B2EC5AE890}"/>
    <cellStyle name="Comma 7" xfId="9" xr:uid="{00000000-0005-0000-0000-000007000000}"/>
    <cellStyle name="Normal" xfId="0" builtinId="0"/>
    <cellStyle name="Normal 2" xfId="4" xr:uid="{00000000-0005-0000-0000-000009000000}"/>
    <cellStyle name="Normal 2 2" xfId="12" xr:uid="{00000000-0005-0000-0000-00000A000000}"/>
    <cellStyle name="Normal 2 4" xfId="16" xr:uid="{69E66182-07DF-4345-882B-A2FAFAC12E53}"/>
    <cellStyle name="Normal 3" xfId="5" xr:uid="{00000000-0005-0000-0000-00000B000000}"/>
    <cellStyle name="Normal 4" xfId="10" xr:uid="{00000000-0005-0000-0000-00000C000000}"/>
    <cellStyle name="Normal 5" xfId="13" xr:uid="{00000000-0005-0000-0000-00000D000000}"/>
    <cellStyle name="Normal 6" xfId="14" xr:uid="{00000000-0005-0000-0000-00000E000000}"/>
    <cellStyle name="Normal 7" xfId="18" xr:uid="{C6B631E8-C941-48DE-8E03-A5F24ABE463C}"/>
    <cellStyle name="Normal_CASH" xfId="17" xr:uid="{C994CEB7-26D1-45B9-AB04-070029A721F0}"/>
    <cellStyle name="Normal_Continuity Schedule for All Deferred Costs (Actual)" xfId="20" xr:uid="{5F07B65F-345D-42B1-8989-1B2B179CA64C}"/>
    <cellStyle name="Percent" xfId="2" builtinId="5"/>
  </cellStyles>
  <dxfs count="6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32"/>
  <sheetViews>
    <sheetView showGridLines="0" tabSelected="1" view="pageBreakPreview" zoomScaleNormal="100" zoomScaleSheetLayoutView="100" workbookViewId="0">
      <selection activeCell="G8" sqref="G8"/>
    </sheetView>
  </sheetViews>
  <sheetFormatPr defaultColWidth="9.1796875" defaultRowHeight="12.5"/>
  <cols>
    <col min="1" max="1" width="6.7265625" style="1" customWidth="1"/>
    <col min="2" max="2" width="9.1796875" style="3"/>
    <col min="3" max="3" width="2.7265625" style="1" customWidth="1"/>
    <col min="4" max="4" width="22.1796875" style="1" customWidth="1"/>
    <col min="5" max="10" width="9.1796875" style="1"/>
    <col min="11" max="11" width="6.54296875" style="1" customWidth="1"/>
    <col min="12" max="12" width="6" style="1" customWidth="1"/>
    <col min="13" max="16384" width="9.1796875" style="1"/>
  </cols>
  <sheetData>
    <row r="1" spans="2:16" ht="15">
      <c r="D1" s="4"/>
      <c r="F1" s="5" t="s">
        <v>471</v>
      </c>
    </row>
    <row r="2" spans="2:16" ht="15">
      <c r="D2" s="4"/>
      <c r="F2" s="5" t="s">
        <v>486</v>
      </c>
    </row>
    <row r="3" spans="2:16">
      <c r="D3" s="4"/>
      <c r="F3" s="6"/>
    </row>
    <row r="4" spans="2:16" ht="17.5">
      <c r="F4" s="7" t="s">
        <v>1</v>
      </c>
    </row>
    <row r="6" spans="2:16">
      <c r="B6" s="3">
        <v>1</v>
      </c>
      <c r="D6" s="1" t="str">
        <f>'Schedule 1'!A2</f>
        <v>Computation of Rate Base</v>
      </c>
    </row>
    <row r="8" spans="2:16">
      <c r="B8" s="3">
        <v>2</v>
      </c>
      <c r="D8" s="1" t="str">
        <f>'Schedule 2'!A2</f>
        <v>Computation of Allowance for Working Capital</v>
      </c>
    </row>
    <row r="9" spans="2:16">
      <c r="B9" s="3" t="s">
        <v>2</v>
      </c>
      <c r="D9" s="1" t="str">
        <f>'Schedule 2A'!A2</f>
        <v>Effect of GST on Working Capital</v>
      </c>
    </row>
    <row r="11" spans="2:16">
      <c r="B11" s="3">
        <v>3</v>
      </c>
      <c r="D11" s="1" t="str">
        <f>'Schedule 3'!A2</f>
        <v>Continuity Schedule of Property, Plant and Equipment, Deferred Costs and Intangible Assets</v>
      </c>
    </row>
    <row r="12" spans="2:16">
      <c r="B12" s="3" t="s">
        <v>472</v>
      </c>
      <c r="D12" s="1" t="str">
        <f>'Schedule 3A - 2023'!A2</f>
        <v>Calculation of Depreciation Expense for 2023</v>
      </c>
      <c r="K12" s="8"/>
      <c r="L12" s="8"/>
      <c r="M12" s="8"/>
      <c r="N12" s="8"/>
      <c r="O12" s="8"/>
      <c r="P12" s="8"/>
    </row>
    <row r="13" spans="2:16">
      <c r="B13" s="3" t="s">
        <v>473</v>
      </c>
      <c r="D13" s="1" t="str">
        <f>'Schedule 3A - 2024'!A2</f>
        <v>Calculation of Depreciation Expense for 2024</v>
      </c>
      <c r="K13" s="8"/>
      <c r="L13" s="8"/>
      <c r="M13" s="8"/>
      <c r="N13" s="8"/>
      <c r="O13" s="8"/>
      <c r="P13" s="8"/>
    </row>
    <row r="14" spans="2:16">
      <c r="B14" s="3" t="s">
        <v>474</v>
      </c>
      <c r="D14" s="36" t="str">
        <f>'Schedule 3B - 2023'!A2</f>
        <v>Calculation of Amortization Expense for Deferred Costs and Intangibles (2023)</v>
      </c>
      <c r="K14" s="8"/>
      <c r="L14" s="8"/>
      <c r="M14" s="8"/>
      <c r="N14" s="8"/>
      <c r="O14" s="8"/>
      <c r="P14" s="8"/>
    </row>
    <row r="15" spans="2:16">
      <c r="B15" s="3" t="s">
        <v>475</v>
      </c>
      <c r="D15" s="36" t="str">
        <f>'Schedule 3B - 2024'!A2</f>
        <v>Calculation of Amortization Expense for Deferred Costs and Intangibles (2024)</v>
      </c>
      <c r="K15" s="8"/>
      <c r="L15" s="8"/>
      <c r="M15" s="8"/>
      <c r="N15" s="8"/>
      <c r="O15" s="8"/>
      <c r="P15" s="8"/>
    </row>
    <row r="16" spans="2:16">
      <c r="K16" s="8"/>
      <c r="L16" s="8"/>
      <c r="M16" s="8"/>
      <c r="N16" s="8"/>
      <c r="O16" s="8"/>
      <c r="P16" s="8"/>
    </row>
    <row r="17" spans="2:16">
      <c r="B17" s="3">
        <v>4</v>
      </c>
      <c r="D17" s="1" t="s">
        <v>3</v>
      </c>
      <c r="K17" s="8"/>
      <c r="L17" s="8"/>
      <c r="M17" s="8"/>
      <c r="N17" s="8"/>
      <c r="O17" s="8"/>
      <c r="P17" s="8"/>
    </row>
    <row r="18" spans="2:16">
      <c r="K18" s="8"/>
    </row>
    <row r="19" spans="2:16">
      <c r="B19" s="3">
        <v>5</v>
      </c>
      <c r="D19" s="1" t="str">
        <f>'Schedule 5'!A2</f>
        <v>Utility Revenue Requirement</v>
      </c>
    </row>
    <row r="21" spans="2:16">
      <c r="B21" s="3">
        <v>6</v>
      </c>
      <c r="D21" s="1" t="str">
        <f>'Schedule 6'!A2</f>
        <v>Statement of Earnings</v>
      </c>
    </row>
    <row r="23" spans="2:16">
      <c r="B23" s="3">
        <v>7</v>
      </c>
      <c r="D23" s="1" t="str">
        <f>'Schedule 7'!A2</f>
        <v>Statement of Retained Earnings</v>
      </c>
    </row>
    <row r="25" spans="2:16">
      <c r="B25" s="3">
        <v>8</v>
      </c>
      <c r="D25" s="1" t="str">
        <f>'Schedule 8'!A2</f>
        <v>Reconciliation of Utility Income to Net Earnings</v>
      </c>
    </row>
    <row r="27" spans="2:16">
      <c r="B27" s="3">
        <v>9</v>
      </c>
      <c r="D27" s="1" t="str">
        <f>'Schedule 9'!A2</f>
        <v>Summary of Customers, Energy Sales and Revenues</v>
      </c>
    </row>
    <row r="29" spans="2:16">
      <c r="B29" s="3">
        <f>B27+1</f>
        <v>10</v>
      </c>
      <c r="D29" s="1" t="str">
        <f>'Schedule 10'!A2</f>
        <v>Summary of Operating and Maintenance Expenses</v>
      </c>
    </row>
    <row r="30" spans="2:16">
      <c r="B30" s="3" t="s">
        <v>4</v>
      </c>
      <c r="D30" s="1" t="str">
        <f>'Schedule 10A'!A2</f>
        <v>Summary of Labour Costs</v>
      </c>
    </row>
    <row r="32" spans="2:16">
      <c r="B32" s="3">
        <f>B29+1</f>
        <v>11</v>
      </c>
      <c r="D32" s="1" t="str">
        <f>'Schedule 11'!A2</f>
        <v>Summary of Cost of Long - Term Debt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theme="9" tint="0.39997558519241921"/>
    <pageSetUpPr fitToPage="1"/>
  </sheetPr>
  <dimension ref="A1:R64"/>
  <sheetViews>
    <sheetView view="pageBreakPreview" zoomScale="70" zoomScaleNormal="100" zoomScaleSheetLayoutView="70" workbookViewId="0">
      <pane ySplit="7" topLeftCell="A40" activePane="bottomLeft" state="frozen"/>
      <selection activeCell="H18" sqref="H18"/>
      <selection pane="bottomLeft" activeCell="H18" sqref="H18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35.7265625" style="1" customWidth="1"/>
    <col min="4" max="4" width="1.81640625" style="1" customWidth="1"/>
    <col min="5" max="5" width="11.26953125" style="4" customWidth="1"/>
    <col min="6" max="6" width="1.81640625" style="1" customWidth="1"/>
    <col min="7" max="7" width="15.54296875" style="19" customWidth="1"/>
    <col min="8" max="8" width="1.81640625" style="1" customWidth="1"/>
    <col min="9" max="9" width="15.54296875" style="1" customWidth="1"/>
    <col min="10" max="10" width="1.81640625" style="1" customWidth="1"/>
    <col min="11" max="11" width="14.453125" style="1" customWidth="1"/>
    <col min="12" max="12" width="1.81640625" style="1" customWidth="1"/>
    <col min="13" max="13" width="15.54296875" style="19" customWidth="1"/>
    <col min="14" max="14" width="1.81640625" style="1" customWidth="1"/>
    <col min="15" max="15" width="15.54296875" style="1" customWidth="1"/>
    <col min="16" max="16" width="1.81640625" style="1" customWidth="1"/>
    <col min="17" max="17" width="15.54296875" style="19" customWidth="1"/>
    <col min="18" max="20" width="1.81640625" style="1" customWidth="1"/>
    <col min="21" max="21" width="11.26953125" style="1" customWidth="1"/>
    <col min="22" max="16384" width="9.1796875" style="1"/>
  </cols>
  <sheetData>
    <row r="1" spans="1:18" ht="15">
      <c r="A1" s="49" t="s">
        <v>0</v>
      </c>
      <c r="Q1" s="198" t="s">
        <v>320</v>
      </c>
    </row>
    <row r="2" spans="1:18">
      <c r="A2" s="50" t="s">
        <v>3</v>
      </c>
      <c r="Q2" s="196" t="str">
        <f>'Schedule 1'!$L$2</f>
        <v>2023/24 GRA Compliance Filing</v>
      </c>
      <c r="R2" s="51"/>
    </row>
    <row r="3" spans="1:18">
      <c r="A3" s="50" t="s">
        <v>7</v>
      </c>
    </row>
    <row r="6" spans="1:18">
      <c r="A6" s="4"/>
      <c r="B6" s="4"/>
      <c r="C6" s="4"/>
      <c r="D6" s="4"/>
      <c r="F6" s="4"/>
      <c r="G6" s="40"/>
      <c r="H6" s="4"/>
      <c r="I6" s="4"/>
      <c r="J6" s="4"/>
      <c r="K6" s="4"/>
      <c r="L6" s="4"/>
      <c r="M6" s="40"/>
      <c r="N6" s="4"/>
      <c r="O6" s="4"/>
      <c r="P6" s="4"/>
      <c r="Q6" s="40"/>
    </row>
    <row r="7" spans="1:18" ht="25">
      <c r="A7" s="12" t="s">
        <v>8</v>
      </c>
      <c r="B7" s="13"/>
      <c r="C7" s="12" t="s">
        <v>9</v>
      </c>
      <c r="D7" s="13"/>
      <c r="E7" s="12" t="s">
        <v>10</v>
      </c>
      <c r="F7" s="13"/>
      <c r="G7" s="41" t="s">
        <v>165</v>
      </c>
      <c r="H7" s="13"/>
      <c r="I7" s="12" t="s">
        <v>166</v>
      </c>
      <c r="J7" s="13"/>
      <c r="K7" s="13"/>
      <c r="L7" s="13"/>
      <c r="M7" s="41" t="s">
        <v>167</v>
      </c>
      <c r="N7" s="13"/>
      <c r="O7" s="12" t="s">
        <v>168</v>
      </c>
      <c r="P7" s="13"/>
      <c r="Q7" s="41" t="s">
        <v>169</v>
      </c>
    </row>
    <row r="9" spans="1:18">
      <c r="C9" s="8" t="s">
        <v>338</v>
      </c>
      <c r="K9" s="11" t="s">
        <v>309</v>
      </c>
    </row>
    <row r="11" spans="1:18">
      <c r="A11" s="1">
        <v>1</v>
      </c>
      <c r="C11" s="1" t="s">
        <v>170</v>
      </c>
      <c r="E11" s="4" t="s">
        <v>482</v>
      </c>
      <c r="G11" s="38">
        <f>'Schedule 11'!G30</f>
        <v>185526.15895087275</v>
      </c>
      <c r="I11" s="52">
        <f>SUM(G11)/(G11+G13)</f>
        <v>0.59996038956973607</v>
      </c>
      <c r="K11" s="52">
        <v>0.6</v>
      </c>
      <c r="M11" s="19">
        <f>SUM(M15)*(K11)</f>
        <v>185679.44269283654</v>
      </c>
      <c r="O11" s="32">
        <f>'Schedule 11'!G55</f>
        <v>2.9368131262078611E-2</v>
      </c>
      <c r="P11" s="42"/>
      <c r="Q11" s="19">
        <f>SUM(M11)*(O11)</f>
        <v>5453.0582456728271</v>
      </c>
    </row>
    <row r="12" spans="1:18">
      <c r="G12" s="19" t="s">
        <v>13</v>
      </c>
      <c r="I12" s="52"/>
      <c r="K12" s="52"/>
      <c r="O12" s="42"/>
      <c r="P12" s="42" t="s">
        <v>13</v>
      </c>
      <c r="Q12" s="19" t="s">
        <v>13</v>
      </c>
    </row>
    <row r="13" spans="1:18">
      <c r="A13" s="1">
        <v>2</v>
      </c>
      <c r="C13" s="1" t="s">
        <v>171</v>
      </c>
      <c r="G13" s="47">
        <v>123704.52056769274</v>
      </c>
      <c r="I13" s="53">
        <f>SUM(G13)/(G11+G13)</f>
        <v>0.40003961043026398</v>
      </c>
      <c r="K13" s="53">
        <f>1-K11</f>
        <v>0.4</v>
      </c>
      <c r="M13" s="43">
        <f>SUM(M15)*(K13)</f>
        <v>123786.2951285577</v>
      </c>
      <c r="O13" s="31">
        <v>8.6499999999999994E-2</v>
      </c>
      <c r="P13" s="42"/>
      <c r="Q13" s="43">
        <f>SUM(M13)*(O13)</f>
        <v>10707.514528620241</v>
      </c>
    </row>
    <row r="14" spans="1:18">
      <c r="I14" s="52"/>
      <c r="K14" s="52"/>
      <c r="O14" s="42"/>
      <c r="P14" s="42"/>
      <c r="Q14" s="19" t="s">
        <v>13</v>
      </c>
    </row>
    <row r="15" spans="1:18" ht="13" thickBot="1">
      <c r="A15" s="1">
        <v>3</v>
      </c>
      <c r="C15" s="1" t="s">
        <v>28</v>
      </c>
      <c r="E15" s="4" t="s">
        <v>172</v>
      </c>
      <c r="G15" s="48">
        <f>SUM(G11+G13)</f>
        <v>309230.67951856548</v>
      </c>
      <c r="I15" s="54">
        <f>SUM(I11+I13)</f>
        <v>1</v>
      </c>
      <c r="K15" s="54">
        <f>SUM(K11+K13)</f>
        <v>1</v>
      </c>
      <c r="M15" s="45">
        <f>'Schedule 1'!G48</f>
        <v>309465.73782139423</v>
      </c>
      <c r="O15" s="46">
        <f>SUM(K11)*(O11)+SUM(K13)*(O13)</f>
        <v>5.2220878757247166E-2</v>
      </c>
      <c r="P15" s="42"/>
      <c r="Q15" s="48">
        <f>Q13+Q11</f>
        <v>16160.572774293069</v>
      </c>
    </row>
    <row r="18" spans="1:17">
      <c r="C18" s="8" t="s">
        <v>349</v>
      </c>
      <c r="I18" s="52"/>
    </row>
    <row r="19" spans="1:17">
      <c r="I19" s="52"/>
    </row>
    <row r="20" spans="1:17">
      <c r="A20" s="1">
        <v>7</v>
      </c>
      <c r="C20" s="1" t="s">
        <v>170</v>
      </c>
      <c r="E20" s="4" t="s">
        <v>482</v>
      </c>
      <c r="G20" s="19">
        <f>'Schedule 11'!I30</f>
        <v>175620.12168743025</v>
      </c>
      <c r="I20" s="52">
        <f>SUM(G20)/(G20+G22)</f>
        <v>0.57780719271240966</v>
      </c>
      <c r="M20" s="19">
        <f>SUM(M24)*(I20)</f>
        <v>173891.93682971329</v>
      </c>
      <c r="O20" s="32">
        <f>Q20/M20</f>
        <v>2.9340766046106807E-2</v>
      </c>
      <c r="P20" s="42"/>
      <c r="Q20" s="19">
        <v>5102.1226358250015</v>
      </c>
    </row>
    <row r="21" spans="1:17">
      <c r="G21" s="19" t="s">
        <v>13</v>
      </c>
      <c r="I21" s="52"/>
      <c r="O21" s="42"/>
      <c r="P21" s="42" t="s">
        <v>13</v>
      </c>
      <c r="Q21" s="19" t="s">
        <v>13</v>
      </c>
    </row>
    <row r="22" spans="1:17">
      <c r="A22" s="1">
        <v>8</v>
      </c>
      <c r="C22" s="1" t="s">
        <v>171</v>
      </c>
      <c r="G22" s="47">
        <v>128322.30738309392</v>
      </c>
      <c r="I22" s="53">
        <f>SUM(G22)/(G20+G22)</f>
        <v>0.4221928072875904</v>
      </c>
      <c r="M22" s="43">
        <f>SUM(M24)*(I22)</f>
        <v>127059.55533397815</v>
      </c>
      <c r="O22" s="31">
        <v>8.9300148924272071E-2</v>
      </c>
      <c r="P22" s="42"/>
      <c r="Q22" s="43">
        <v>11345.728271011223</v>
      </c>
    </row>
    <row r="23" spans="1:17">
      <c r="I23" s="52"/>
      <c r="O23" s="42"/>
      <c r="P23" s="42"/>
      <c r="Q23" s="19" t="s">
        <v>13</v>
      </c>
    </row>
    <row r="24" spans="1:17" ht="13" thickBot="1">
      <c r="A24" s="1">
        <v>9</v>
      </c>
      <c r="C24" s="1" t="s">
        <v>28</v>
      </c>
      <c r="E24" s="4" t="s">
        <v>172</v>
      </c>
      <c r="G24" s="45">
        <f>SUM(G20+G22)</f>
        <v>303942.42907052417</v>
      </c>
      <c r="I24" s="54">
        <f>SUM(I20+I22)</f>
        <v>1</v>
      </c>
      <c r="M24" s="45">
        <f>'Schedule 1'!I48</f>
        <v>300951.49216369144</v>
      </c>
      <c r="O24" s="46">
        <f>SUM(I20)*(O20)+SUM(I22)*(O22)</f>
        <v>5.4655186226670885E-2</v>
      </c>
      <c r="P24" s="42"/>
      <c r="Q24" s="45">
        <f>Q20+Q22</f>
        <v>16447.850906836225</v>
      </c>
    </row>
    <row r="25" spans="1:17">
      <c r="I25" s="52"/>
      <c r="O25" s="32"/>
      <c r="P25" s="42"/>
    </row>
    <row r="26" spans="1:17">
      <c r="I26" s="52"/>
      <c r="O26" s="32"/>
      <c r="P26" s="42"/>
    </row>
    <row r="27" spans="1:17">
      <c r="C27" s="8" t="s">
        <v>477</v>
      </c>
      <c r="I27" s="52"/>
    </row>
    <row r="28" spans="1:17">
      <c r="I28" s="52"/>
    </row>
    <row r="29" spans="1:17">
      <c r="A29" s="1">
        <v>10</v>
      </c>
      <c r="C29" s="1" t="s">
        <v>170</v>
      </c>
      <c r="E29" s="4" t="s">
        <v>482</v>
      </c>
      <c r="G29" s="19">
        <f>'Schedule 11'!J30</f>
        <v>181949.19229224831</v>
      </c>
      <c r="I29" s="52">
        <f>SUM(G29)/(G29+G31)</f>
        <v>0.55975751803829055</v>
      </c>
      <c r="M29" s="19">
        <f>SUM(M33)*(I29)</f>
        <v>172289.40713364905</v>
      </c>
      <c r="O29" s="32">
        <f>Q29/M29</f>
        <v>2.8825799347776095E-2</v>
      </c>
      <c r="P29" s="42"/>
      <c r="Q29" s="19">
        <v>4966.3798797818708</v>
      </c>
    </row>
    <row r="30" spans="1:17">
      <c r="G30" s="19" t="s">
        <v>13</v>
      </c>
      <c r="I30" s="52"/>
      <c r="O30" s="42"/>
      <c r="P30" s="42" t="s">
        <v>13</v>
      </c>
      <c r="Q30" s="19" t="s">
        <v>13</v>
      </c>
    </row>
    <row r="31" spans="1:17">
      <c r="A31" s="1">
        <v>11</v>
      </c>
      <c r="C31" s="1" t="s">
        <v>171</v>
      </c>
      <c r="G31" s="43">
        <f>AVERAGE('Schedule 7'!I25,'Schedule 7'!J25)</f>
        <v>143100.82745541318</v>
      </c>
      <c r="I31" s="53">
        <f>SUM(G31)/(G29+G31)</f>
        <v>0.44024248196170951</v>
      </c>
      <c r="M31" s="43">
        <f>SUM(M33)*(I31)</f>
        <v>135503.52387949635</v>
      </c>
      <c r="O31" s="31">
        <v>9.8722366056663111E-2</v>
      </c>
      <c r="P31" s="42"/>
      <c r="Q31" s="43">
        <v>13389.781227027564</v>
      </c>
    </row>
    <row r="32" spans="1:17">
      <c r="I32" s="52"/>
      <c r="O32" s="42"/>
      <c r="P32" s="42"/>
      <c r="Q32" s="19" t="s">
        <v>13</v>
      </c>
    </row>
    <row r="33" spans="1:17" ht="13" thickBot="1">
      <c r="A33" s="1">
        <v>12</v>
      </c>
      <c r="C33" s="1" t="s">
        <v>28</v>
      </c>
      <c r="E33" s="4" t="s">
        <v>172</v>
      </c>
      <c r="G33" s="45">
        <f>SUM(G29+G31)</f>
        <v>325050.01974766148</v>
      </c>
      <c r="I33" s="54">
        <f>SUM(I29+I31)</f>
        <v>1</v>
      </c>
      <c r="M33" s="45">
        <f>'Schedule 1'!J48</f>
        <v>307792.93101314537</v>
      </c>
      <c r="O33" s="46">
        <v>3.16632673675191E-2</v>
      </c>
      <c r="P33" s="42"/>
      <c r="Q33" s="45">
        <f>Q29+Q31</f>
        <v>18356.161106809435</v>
      </c>
    </row>
    <row r="34" spans="1:17">
      <c r="I34" s="52"/>
      <c r="O34" s="32"/>
      <c r="P34" s="42"/>
    </row>
    <row r="35" spans="1:17">
      <c r="I35" s="52"/>
    </row>
    <row r="36" spans="1:17">
      <c r="C36" s="8" t="s">
        <v>347</v>
      </c>
      <c r="I36" s="52"/>
      <c r="K36" s="11" t="s">
        <v>309</v>
      </c>
    </row>
    <row r="37" spans="1:17">
      <c r="I37" s="52"/>
    </row>
    <row r="38" spans="1:17">
      <c r="A38" s="1">
        <v>13</v>
      </c>
      <c r="C38" s="1" t="s">
        <v>170</v>
      </c>
      <c r="E38" s="4" t="s">
        <v>482</v>
      </c>
      <c r="G38" s="19">
        <f>'Schedule 11'!K30</f>
        <v>198706.92907804018</v>
      </c>
      <c r="I38" s="52">
        <f>SUM(G38)/(G38+G40)</f>
        <v>0.57950146669408975</v>
      </c>
      <c r="K38" s="52">
        <v>0.6</v>
      </c>
      <c r="M38" s="38">
        <f>M42*K38</f>
        <v>199102.85951699663</v>
      </c>
      <c r="O38" s="32">
        <f>'Schedule 11'!K55</f>
        <v>3.2875699178182803E-2</v>
      </c>
      <c r="P38" s="42"/>
      <c r="Q38" s="19">
        <f>SUM(M38)*(O38)</f>
        <v>6545.6457149967719</v>
      </c>
    </row>
    <row r="39" spans="1:17">
      <c r="G39" s="19" t="s">
        <v>13</v>
      </c>
      <c r="I39" s="52"/>
      <c r="K39" s="52"/>
      <c r="O39" s="42"/>
      <c r="P39" s="42" t="s">
        <v>13</v>
      </c>
      <c r="Q39" s="19" t="s">
        <v>13</v>
      </c>
    </row>
    <row r="40" spans="1:17">
      <c r="A40" s="1">
        <v>14</v>
      </c>
      <c r="C40" s="1" t="s">
        <v>171</v>
      </c>
      <c r="G40" s="43">
        <f>AVERAGE('Schedule 7'!J25,'Schedule 7'!K25)</f>
        <v>144185.95471673826</v>
      </c>
      <c r="I40" s="53">
        <f>SUM(G40)/(G38+G40)</f>
        <v>0.42049853330591025</v>
      </c>
      <c r="K40" s="53">
        <f>1-K38</f>
        <v>0.4</v>
      </c>
      <c r="M40" s="47">
        <f>M42*K40</f>
        <v>132735.23967799774</v>
      </c>
      <c r="O40" s="31">
        <v>9.1502280838687042E-2</v>
      </c>
      <c r="P40" s="42"/>
      <c r="Q40" s="43">
        <f>M40*O40</f>
        <v>12145.577178206584</v>
      </c>
    </row>
    <row r="41" spans="1:17">
      <c r="I41" s="52"/>
      <c r="K41" s="52"/>
      <c r="O41" s="42"/>
      <c r="P41" s="42"/>
      <c r="Q41" s="19" t="s">
        <v>13</v>
      </c>
    </row>
    <row r="42" spans="1:17" ht="13" thickBot="1">
      <c r="A42" s="1">
        <v>15</v>
      </c>
      <c r="C42" s="1" t="s">
        <v>28</v>
      </c>
      <c r="E42" s="4" t="s">
        <v>172</v>
      </c>
      <c r="G42" s="45">
        <f>SUM(G38+G40)</f>
        <v>342892.88379477843</v>
      </c>
      <c r="I42" s="54">
        <f>SUM(I38+I40)</f>
        <v>1</v>
      </c>
      <c r="K42" s="54">
        <f>SUM(K38+K40)</f>
        <v>1</v>
      </c>
      <c r="M42" s="45">
        <f>'Schedule 1'!K48</f>
        <v>331838.09919499437</v>
      </c>
      <c r="O42" s="46">
        <f>SUM(0.6)*(O38)+SUM(0.4)*(O40)</f>
        <v>5.6326331842384503E-2</v>
      </c>
      <c r="P42" s="42"/>
      <c r="Q42" s="45">
        <f>Q38+Q40</f>
        <v>18691.222893203354</v>
      </c>
    </row>
    <row r="43" spans="1:17">
      <c r="I43" s="52"/>
    </row>
    <row r="44" spans="1:17">
      <c r="I44" s="52"/>
    </row>
    <row r="45" spans="1:17">
      <c r="C45" s="8" t="s">
        <v>348</v>
      </c>
      <c r="I45" s="52"/>
      <c r="K45" s="11" t="s">
        <v>309</v>
      </c>
    </row>
    <row r="46" spans="1:17">
      <c r="I46" s="52"/>
    </row>
    <row r="47" spans="1:17">
      <c r="A47" s="1">
        <v>19</v>
      </c>
      <c r="C47" s="1" t="s">
        <v>170</v>
      </c>
      <c r="E47" s="4" t="s">
        <v>482</v>
      </c>
      <c r="G47" s="19">
        <f>'Schedule 11'!$L$30</f>
        <v>223115.48496709997</v>
      </c>
      <c r="I47" s="52">
        <f>SUM(G47)/(G47+G49)</f>
        <v>0.60041455793313558</v>
      </c>
      <c r="K47" s="52">
        <v>0.6</v>
      </c>
      <c r="M47" s="38">
        <f>M51*K47</f>
        <v>223259.89183305125</v>
      </c>
      <c r="O47" s="32">
        <f>'Schedule 11'!L55</f>
        <v>3.4285152193183691E-2</v>
      </c>
      <c r="P47" s="42"/>
      <c r="Q47" s="38">
        <f>SUM(M47)*(O47)</f>
        <v>7654.4993701298908</v>
      </c>
    </row>
    <row r="48" spans="1:17">
      <c r="G48" s="19" t="s">
        <v>13</v>
      </c>
      <c r="I48" s="52"/>
      <c r="K48" s="52"/>
      <c r="O48" s="42"/>
      <c r="P48" s="42" t="s">
        <v>13</v>
      </c>
      <c r="Q48" s="19" t="s">
        <v>13</v>
      </c>
    </row>
    <row r="49" spans="1:17">
      <c r="A49" s="1">
        <v>20</v>
      </c>
      <c r="C49" s="1" t="s">
        <v>171</v>
      </c>
      <c r="G49" s="43">
        <f>AVERAGE('Schedule 7'!K25,'Schedule 7'!L25)</f>
        <v>148486.90544653643</v>
      </c>
      <c r="I49" s="53">
        <f>SUM(G49)/(G47+G49)</f>
        <v>0.39958544206686442</v>
      </c>
      <c r="K49" s="53">
        <f>1-K47</f>
        <v>0.4</v>
      </c>
      <c r="M49" s="47">
        <f>M51*K49</f>
        <v>148839.92788870083</v>
      </c>
      <c r="O49" s="31">
        <v>9.1498653817932263E-2</v>
      </c>
      <c r="P49" s="42"/>
      <c r="Q49" s="47">
        <f>SUM(M49)*(O49)</f>
        <v>13618.653036174239</v>
      </c>
    </row>
    <row r="50" spans="1:17">
      <c r="I50" s="52"/>
      <c r="K50" s="52"/>
      <c r="O50" s="42"/>
      <c r="P50" s="42"/>
      <c r="Q50" s="19" t="s">
        <v>13</v>
      </c>
    </row>
    <row r="51" spans="1:17" ht="13" thickBot="1">
      <c r="A51" s="1">
        <v>21</v>
      </c>
      <c r="C51" s="1" t="s">
        <v>28</v>
      </c>
      <c r="E51" s="4" t="s">
        <v>172</v>
      </c>
      <c r="G51" s="48">
        <f>SUM(G47+G49)</f>
        <v>371602.3904136364</v>
      </c>
      <c r="I51" s="54">
        <f>SUM(I47+I49)</f>
        <v>1</v>
      </c>
      <c r="K51" s="54">
        <f>SUM(K47+K49)</f>
        <v>1</v>
      </c>
      <c r="M51" s="48">
        <f>'Schedule 1'!L48</f>
        <v>372099.81972175208</v>
      </c>
      <c r="O51" s="46">
        <f>SUM(K47)*(O47)+SUM(K49)*(O49)</f>
        <v>5.7170552843083124E-2</v>
      </c>
      <c r="P51" s="42"/>
      <c r="Q51" s="48">
        <f>Q47+Q49</f>
        <v>21273.152406304129</v>
      </c>
    </row>
    <row r="64" spans="1:17">
      <c r="I64" s="52"/>
      <c r="O64" s="42"/>
      <c r="P64" s="42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62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theme="9" tint="0.39997558519241921"/>
    <pageSetUpPr fitToPage="1"/>
  </sheetPr>
  <dimension ref="A1:L38"/>
  <sheetViews>
    <sheetView view="pageBreakPreview" zoomScaleSheetLayoutView="100" workbookViewId="0">
      <selection activeCell="H10" sqref="H10"/>
    </sheetView>
  </sheetViews>
  <sheetFormatPr defaultColWidth="9.1796875" defaultRowHeight="12.5"/>
  <cols>
    <col min="1" max="1" width="7.453125" style="1" customWidth="1"/>
    <col min="2" max="2" width="1.81640625" style="1" customWidth="1"/>
    <col min="3" max="3" width="28" style="1" customWidth="1"/>
    <col min="4" max="4" width="3.54296875" style="1" customWidth="1"/>
    <col min="5" max="5" width="9.1796875" style="4"/>
    <col min="6" max="6" width="1.81640625" style="1" customWidth="1"/>
    <col min="7" max="7" width="12.26953125" style="1" customWidth="1"/>
    <col min="8" max="8" width="1.81640625" style="1" customWidth="1"/>
    <col min="9" max="11" width="11.26953125" style="1" customWidth="1"/>
    <col min="12" max="12" width="12.453125" style="1" customWidth="1"/>
    <col min="13" max="16384" width="9.1796875" style="1"/>
  </cols>
  <sheetData>
    <row r="1" spans="1:12" ht="15">
      <c r="A1" s="9" t="s">
        <v>0</v>
      </c>
      <c r="L1" s="195" t="s">
        <v>173</v>
      </c>
    </row>
    <row r="2" spans="1:12">
      <c r="A2" s="10" t="s">
        <v>174</v>
      </c>
      <c r="L2" s="196" t="str">
        <f>'Schedule 1'!$L$2</f>
        <v>2023/24 GRA Compliance Filing</v>
      </c>
    </row>
    <row r="3" spans="1:12">
      <c r="A3" s="10" t="s">
        <v>7</v>
      </c>
    </row>
    <row r="6" spans="1:12" s="4" customFormat="1">
      <c r="G6" s="11"/>
      <c r="I6" s="11"/>
      <c r="J6" s="11"/>
      <c r="K6" s="8"/>
      <c r="L6" s="8"/>
    </row>
    <row r="7" spans="1:12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2021 GRA
Compliance</v>
      </c>
      <c r="I7" s="12" t="str">
        <f>'Schedule 1'!I7</f>
        <v>Actual 2021</v>
      </c>
      <c r="J7" s="12" t="str">
        <f>'Schedule 1'!J7</f>
        <v>Actual 2022</v>
      </c>
      <c r="K7" s="12" t="str">
        <f>'Schedule 1'!K7</f>
        <v>Forecast 2023</v>
      </c>
      <c r="L7" s="12" t="str">
        <f>'Schedule 1'!L7</f>
        <v>Forecast 2024</v>
      </c>
    </row>
    <row r="9" spans="1:12">
      <c r="A9" s="1">
        <v>1</v>
      </c>
      <c r="C9" s="1" t="s">
        <v>175</v>
      </c>
      <c r="E9" s="4" t="s">
        <v>483</v>
      </c>
      <c r="G9" s="14">
        <f>'Schedule 1'!G48</f>
        <v>309465.73782139423</v>
      </c>
      <c r="I9" s="14">
        <f>'Schedule 1'!I48</f>
        <v>300951.49216369144</v>
      </c>
      <c r="J9" s="14">
        <f>'Schedule 1'!J48</f>
        <v>307792.93101314537</v>
      </c>
      <c r="K9" s="14">
        <f>'Schedule 1'!K48</f>
        <v>331838.09919499437</v>
      </c>
      <c r="L9" s="14">
        <f>'Schedule 1'!L48</f>
        <v>372099.81972175208</v>
      </c>
    </row>
    <row r="10" spans="1:12">
      <c r="G10" s="1" t="s">
        <v>13</v>
      </c>
      <c r="I10" s="1" t="s">
        <v>13</v>
      </c>
      <c r="J10" s="1" t="s">
        <v>13</v>
      </c>
      <c r="K10" s="1" t="s">
        <v>13</v>
      </c>
      <c r="L10" s="1" t="s">
        <v>13</v>
      </c>
    </row>
    <row r="11" spans="1:12">
      <c r="A11" s="1">
        <v>2</v>
      </c>
      <c r="C11" s="1" t="s">
        <v>176</v>
      </c>
      <c r="G11" s="32">
        <f>SUM(G13)/(G9)</f>
        <v>5.2220878757247173E-2</v>
      </c>
      <c r="I11" s="32">
        <f>SUM(I13)/(I9)</f>
        <v>5.4652830556128379E-2</v>
      </c>
      <c r="J11" s="32">
        <f>SUM(J13)/(J9)</f>
        <v>5.9638020426224382E-2</v>
      </c>
      <c r="K11" s="32">
        <f>SUM(K13)/(K9)</f>
        <v>5.6326331842384489E-2</v>
      </c>
      <c r="L11" s="32">
        <f>SUM(L13)/(L9)</f>
        <v>5.7170552843083117E-2</v>
      </c>
    </row>
    <row r="13" spans="1:12">
      <c r="A13" s="1">
        <v>3</v>
      </c>
      <c r="C13" s="1" t="s">
        <v>177</v>
      </c>
      <c r="E13" s="4" t="s">
        <v>178</v>
      </c>
      <c r="G13" s="14">
        <f>'Schedule 4'!Q15</f>
        <v>16160.572774293069</v>
      </c>
      <c r="I13" s="14">
        <f>'Schedule 4'!Q24</f>
        <v>16447.850906836225</v>
      </c>
      <c r="J13" s="14">
        <f>'Schedule 4'!Q33</f>
        <v>18356.161106809435</v>
      </c>
      <c r="K13" s="14">
        <f>'Schedule 4'!Q42</f>
        <v>18691.222893203354</v>
      </c>
      <c r="L13" s="14">
        <f>'Schedule 4'!Q51</f>
        <v>21273.152406304129</v>
      </c>
    </row>
    <row r="15" spans="1:12">
      <c r="A15" s="1">
        <v>4</v>
      </c>
      <c r="C15" s="1" t="s">
        <v>179</v>
      </c>
    </row>
    <row r="16" spans="1:12">
      <c r="A16" s="1">
        <v>5</v>
      </c>
      <c r="C16" s="1" t="s">
        <v>180</v>
      </c>
      <c r="E16" s="4" t="s">
        <v>181</v>
      </c>
      <c r="G16" s="14">
        <f>'Schedule 6'!G12</f>
        <v>43211.338227249857</v>
      </c>
      <c r="I16" s="14">
        <f>'Schedule 6'!I12</f>
        <v>40095.822196157591</v>
      </c>
      <c r="J16" s="14">
        <f>'Schedule 6'!J12</f>
        <v>44640.58821570412</v>
      </c>
      <c r="K16" s="14">
        <f>'Schedule 6'!K12</f>
        <v>49804.80171852425</v>
      </c>
      <c r="L16" s="14">
        <f>'Schedule 6'!L12</f>
        <v>54095.584483041021</v>
      </c>
    </row>
    <row r="17" spans="1:12">
      <c r="A17" s="1">
        <v>6</v>
      </c>
      <c r="C17" s="1" t="s">
        <v>44</v>
      </c>
      <c r="E17" s="4" t="s">
        <v>182</v>
      </c>
      <c r="G17" s="14">
        <f>'Schedule 6'!G13</f>
        <v>749.75450131960019</v>
      </c>
      <c r="I17" s="14">
        <f>'Schedule 6'!I13</f>
        <v>739.14745000000005</v>
      </c>
      <c r="J17" s="14">
        <f>'Schedule 6'!J13</f>
        <v>743.01589000000001</v>
      </c>
      <c r="K17" s="14">
        <f>'Schedule 6'!K13</f>
        <v>757.77395548800007</v>
      </c>
      <c r="L17" s="14">
        <f>'Schedule 6'!L13</f>
        <v>776.69908654176004</v>
      </c>
    </row>
    <row r="18" spans="1:12">
      <c r="A18" s="1">
        <v>7</v>
      </c>
      <c r="C18" s="1" t="s">
        <v>183</v>
      </c>
      <c r="E18" s="4" t="s">
        <v>184</v>
      </c>
      <c r="G18" s="14">
        <f>'Schedule 6'!G14</f>
        <v>4062.7451901111117</v>
      </c>
      <c r="I18" s="14">
        <f>'Schedule 6'!I14</f>
        <v>5528.5029999999997</v>
      </c>
      <c r="J18" s="14">
        <f>'Schedule 6'!J14</f>
        <v>4032.4830000000002</v>
      </c>
      <c r="K18" s="14">
        <f>'Schedule 6'!K14</f>
        <v>4535.5</v>
      </c>
      <c r="L18" s="14">
        <f>'Schedule 6'!L14</f>
        <v>5345.1559999999999</v>
      </c>
    </row>
    <row r="19" spans="1:12">
      <c r="A19" s="1">
        <v>8</v>
      </c>
      <c r="C19" s="1" t="s">
        <v>80</v>
      </c>
      <c r="E19" s="4" t="s">
        <v>95</v>
      </c>
      <c r="G19" s="14">
        <f>'Schedule 6'!G15</f>
        <v>615.80918399999985</v>
      </c>
      <c r="I19" s="14">
        <f>'Schedule 6'!I15</f>
        <v>615.80899999999997</v>
      </c>
      <c r="J19" s="14">
        <f>'Schedule 6'!J15</f>
        <v>615.80899999999997</v>
      </c>
      <c r="K19" s="14">
        <f>'Schedule 6'!K15</f>
        <v>615.80899999999997</v>
      </c>
      <c r="L19" s="14">
        <f>'Schedule 6'!L15</f>
        <v>615.80899999999997</v>
      </c>
    </row>
    <row r="20" spans="1:12">
      <c r="A20" s="1">
        <v>9</v>
      </c>
      <c r="C20" s="1" t="s">
        <v>185</v>
      </c>
      <c r="E20" s="4" t="s">
        <v>73</v>
      </c>
      <c r="G20" s="14">
        <f>'Schedule 6'!G16</f>
        <v>13435.829192331592</v>
      </c>
      <c r="I20" s="14">
        <f>'Schedule 6'!I16</f>
        <v>14927.263000000001</v>
      </c>
      <c r="J20" s="14">
        <f>'Schedule 6'!J16</f>
        <v>13309.912</v>
      </c>
      <c r="K20" s="14">
        <f>'Schedule 6'!K16</f>
        <v>14244.218000000001</v>
      </c>
      <c r="L20" s="14">
        <f>'Schedule 6'!L16</f>
        <v>15349.733</v>
      </c>
    </row>
    <row r="21" spans="1:12" ht="25">
      <c r="A21" s="55">
        <v>10</v>
      </c>
      <c r="C21" s="56" t="s">
        <v>186</v>
      </c>
      <c r="E21" s="2" t="s">
        <v>187</v>
      </c>
      <c r="F21" s="55"/>
      <c r="G21" s="87">
        <f>'Schedule 6'!G17</f>
        <v>-4684.2715019999996</v>
      </c>
      <c r="H21" s="55"/>
      <c r="I21" s="87">
        <f>'Schedule 6'!I17</f>
        <v>-6347.3919999999998</v>
      </c>
      <c r="J21" s="87">
        <f>'Schedule 6'!J17</f>
        <v>-5384.4809999999998</v>
      </c>
      <c r="K21" s="87">
        <f>'Schedule 6'!K17</f>
        <v>-5917.5140000000001</v>
      </c>
      <c r="L21" s="87">
        <f>'Schedule 6'!L17</f>
        <v>-5940.8490000000002</v>
      </c>
    </row>
    <row r="22" spans="1:12">
      <c r="A22" s="1">
        <v>11</v>
      </c>
      <c r="C22" s="1" t="s">
        <v>188</v>
      </c>
      <c r="G22" s="14">
        <v>-238.28448299999997</v>
      </c>
      <c r="I22" s="14">
        <v>-416.25826063888888</v>
      </c>
      <c r="J22" s="14">
        <v>-717.96950833333335</v>
      </c>
      <c r="K22" s="14">
        <v>-51.155907444444438</v>
      </c>
      <c r="L22" s="14">
        <v>-51.155907444444438</v>
      </c>
    </row>
    <row r="23" spans="1:12">
      <c r="A23" s="1">
        <v>12</v>
      </c>
      <c r="C23" s="1" t="s">
        <v>189</v>
      </c>
      <c r="G23" s="14">
        <v>-120.00024999999994</v>
      </c>
      <c r="I23" s="14">
        <v>-117.28974000000001</v>
      </c>
      <c r="J23" s="14">
        <v>-120.58844000000001</v>
      </c>
      <c r="K23" s="14">
        <v>-120.00000000000003</v>
      </c>
      <c r="L23" s="14">
        <v>-120</v>
      </c>
    </row>
    <row r="24" spans="1:12">
      <c r="G24" s="17"/>
      <c r="I24" s="17"/>
      <c r="J24" s="17"/>
      <c r="K24" s="17"/>
      <c r="L24" s="17"/>
    </row>
    <row r="25" spans="1:12">
      <c r="A25" s="1">
        <v>13</v>
      </c>
      <c r="C25" s="1" t="s">
        <v>190</v>
      </c>
      <c r="G25" s="18">
        <f>SUM(G15:G24)</f>
        <v>57032.920060012162</v>
      </c>
      <c r="I25" s="18">
        <f>SUM(I15:I24)</f>
        <v>55025.604645518695</v>
      </c>
      <c r="J25" s="18">
        <f>SUM(J15:J24)</f>
        <v>57118.769157370793</v>
      </c>
      <c r="K25" s="18">
        <f>SUM(K15:K24)</f>
        <v>63869.432766567799</v>
      </c>
      <c r="L25" s="18">
        <f>SUM(L15:L24)</f>
        <v>70070.976662138346</v>
      </c>
    </row>
    <row r="26" spans="1:12">
      <c r="G26" s="15"/>
      <c r="I26" s="15"/>
      <c r="J26" s="15"/>
      <c r="K26" s="15"/>
      <c r="L26" s="15"/>
    </row>
    <row r="27" spans="1:12" ht="13" thickBot="1">
      <c r="A27" s="1">
        <v>14</v>
      </c>
      <c r="C27" s="1" t="s">
        <v>191</v>
      </c>
      <c r="E27" s="4" t="s">
        <v>192</v>
      </c>
      <c r="G27" s="29">
        <f>G13+G25</f>
        <v>73193.492834305231</v>
      </c>
      <c r="I27" s="29">
        <f>I13+I25</f>
        <v>71473.455552354921</v>
      </c>
      <c r="J27" s="29">
        <f>J13+J25</f>
        <v>75474.930264180235</v>
      </c>
      <c r="K27" s="29">
        <f>K13+K25</f>
        <v>82560.655659771146</v>
      </c>
      <c r="L27" s="29">
        <f>L13+L25</f>
        <v>91344.129068442475</v>
      </c>
    </row>
    <row r="29" spans="1:12">
      <c r="C29" s="1" t="s">
        <v>193</v>
      </c>
    </row>
    <row r="30" spans="1:12" ht="12.75" customHeight="1">
      <c r="A30" s="57"/>
      <c r="C30" s="147"/>
      <c r="D30" s="147"/>
      <c r="E30" s="147"/>
      <c r="F30" s="147"/>
      <c r="G30" s="147"/>
      <c r="H30" s="147"/>
      <c r="I30" s="147"/>
      <c r="J30" s="147"/>
      <c r="K30" s="147"/>
    </row>
    <row r="31" spans="1:12">
      <c r="C31" s="147"/>
      <c r="D31" s="147"/>
      <c r="E31" s="147"/>
      <c r="F31" s="147"/>
      <c r="G31" s="147"/>
      <c r="H31" s="147"/>
      <c r="I31" s="87"/>
      <c r="J31" s="87"/>
      <c r="K31" s="87"/>
      <c r="L31" s="87"/>
    </row>
    <row r="32" spans="1:12">
      <c r="G32" s="20"/>
      <c r="I32" s="20"/>
      <c r="J32" s="20"/>
      <c r="K32" s="20"/>
      <c r="L32" s="20"/>
    </row>
    <row r="33" spans="7:12">
      <c r="G33" s="20"/>
      <c r="I33" s="20"/>
      <c r="J33" s="20"/>
      <c r="K33" s="20"/>
      <c r="L33" s="20"/>
    </row>
    <row r="34" spans="7:12">
      <c r="G34" s="35"/>
      <c r="I34" s="35"/>
      <c r="J34" s="35"/>
      <c r="K34" s="35"/>
      <c r="L34" s="35"/>
    </row>
    <row r="35" spans="7:12">
      <c r="G35" s="35"/>
      <c r="I35" s="35"/>
      <c r="J35" s="35"/>
      <c r="K35" s="35"/>
    </row>
    <row r="36" spans="7:12">
      <c r="G36" s="27"/>
      <c r="I36" s="27"/>
      <c r="J36" s="27"/>
      <c r="K36" s="27"/>
    </row>
    <row r="37" spans="7:12">
      <c r="G37" s="35"/>
      <c r="I37" s="35"/>
      <c r="J37" s="35"/>
      <c r="K37" s="35"/>
    </row>
    <row r="38" spans="7:12">
      <c r="J38" s="35"/>
      <c r="K38" s="35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8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theme="9" tint="0.39997558519241921"/>
    <pageSetUpPr fitToPage="1"/>
  </sheetPr>
  <dimension ref="A1:M43"/>
  <sheetViews>
    <sheetView view="pageBreakPreview" zoomScaleSheetLayoutView="100" workbookViewId="0">
      <selection activeCell="H18" sqref="H18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9" style="1" customWidth="1"/>
    <col min="4" max="4" width="1.81640625" style="1" customWidth="1"/>
    <col min="5" max="5" width="11" style="4" customWidth="1"/>
    <col min="6" max="6" width="1.81640625" style="1" customWidth="1"/>
    <col min="7" max="7" width="12.6328125" style="1" customWidth="1"/>
    <col min="8" max="8" width="1.81640625" style="1" customWidth="1"/>
    <col min="9" max="11" width="11.26953125" style="1" customWidth="1"/>
    <col min="12" max="12" width="13.26953125" style="1" customWidth="1"/>
    <col min="13" max="13" width="11.26953125" style="1" customWidth="1"/>
    <col min="14" max="16384" width="9.1796875" style="1"/>
  </cols>
  <sheetData>
    <row r="1" spans="1:13" ht="15">
      <c r="A1" s="9" t="s">
        <v>0</v>
      </c>
      <c r="L1" s="195" t="s">
        <v>194</v>
      </c>
    </row>
    <row r="2" spans="1:13">
      <c r="A2" s="10" t="s">
        <v>195</v>
      </c>
      <c r="L2" s="196" t="str">
        <f>'Schedule 1'!$L$2</f>
        <v>2023/24 GRA Compliance Filing</v>
      </c>
    </row>
    <row r="3" spans="1:13">
      <c r="A3" s="10" t="s">
        <v>7</v>
      </c>
    </row>
    <row r="4" spans="1:13">
      <c r="C4" s="1" t="s">
        <v>13</v>
      </c>
    </row>
    <row r="5" spans="1:13">
      <c r="C5" s="1" t="s">
        <v>13</v>
      </c>
    </row>
    <row r="6" spans="1:13" s="4" customFormat="1">
      <c r="G6" s="11"/>
      <c r="I6" s="11"/>
      <c r="J6" s="11"/>
      <c r="K6" s="8"/>
      <c r="L6" s="8"/>
      <c r="M6" s="11"/>
    </row>
    <row r="7" spans="1:13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2021 GRA
Compliance</v>
      </c>
      <c r="I7" s="12" t="str">
        <f>'Schedule 1'!I7</f>
        <v>Actual 2021</v>
      </c>
      <c r="J7" s="12" t="str">
        <f>'Schedule 1'!J7</f>
        <v>Actual 2022</v>
      </c>
      <c r="K7" s="12" t="str">
        <f>'Schedule 1'!K7</f>
        <v>Forecast 2023</v>
      </c>
      <c r="L7" s="12" t="str">
        <f>'Schedule 1'!L7</f>
        <v>Forecast 2024</v>
      </c>
    </row>
    <row r="9" spans="1:13">
      <c r="A9" s="1">
        <v>1</v>
      </c>
      <c r="C9" s="1" t="s">
        <v>196</v>
      </c>
      <c r="E9" s="4" t="s">
        <v>197</v>
      </c>
      <c r="G9" s="14">
        <f>'Schedule 5'!G27</f>
        <v>73193.492834305231</v>
      </c>
      <c r="I9" s="14">
        <v>71473.455012354927</v>
      </c>
      <c r="J9" s="14">
        <v>75474.930264180221</v>
      </c>
      <c r="K9" s="14">
        <v>82560.605207505534</v>
      </c>
      <c r="L9" s="14">
        <v>91344.174086823419</v>
      </c>
      <c r="M9" s="35"/>
    </row>
    <row r="11" spans="1:13">
      <c r="A11" s="1">
        <v>2</v>
      </c>
      <c r="C11" s="8" t="s">
        <v>198</v>
      </c>
    </row>
    <row r="12" spans="1:13">
      <c r="A12" s="1">
        <v>3</v>
      </c>
      <c r="C12" s="1" t="s">
        <v>42</v>
      </c>
      <c r="E12" s="4" t="s">
        <v>199</v>
      </c>
      <c r="G12" s="14">
        <v>43211.338227249857</v>
      </c>
      <c r="I12" s="14">
        <f>'Schedule 10'!I28</f>
        <v>40095.822196157591</v>
      </c>
      <c r="J12" s="14">
        <f>'Schedule 10'!J28</f>
        <v>44640.58821570412</v>
      </c>
      <c r="K12" s="14">
        <f>'Schedule 10'!K28</f>
        <v>49804.80171852425</v>
      </c>
      <c r="L12" s="14">
        <f>'Schedule 10'!L28</f>
        <v>54095.584483041021</v>
      </c>
      <c r="M12" s="35"/>
    </row>
    <row r="13" spans="1:13">
      <c r="A13" s="1">
        <v>4</v>
      </c>
      <c r="C13" s="1" t="s">
        <v>44</v>
      </c>
      <c r="E13" s="4" t="s">
        <v>45</v>
      </c>
      <c r="G13" s="14">
        <v>749.75450131960019</v>
      </c>
      <c r="I13" s="14">
        <v>739.14745000000005</v>
      </c>
      <c r="J13" s="14">
        <v>743.01589000000001</v>
      </c>
      <c r="K13" s="14">
        <v>757.77395548800007</v>
      </c>
      <c r="L13" s="14">
        <v>776.69908654176004</v>
      </c>
      <c r="M13" s="35"/>
    </row>
    <row r="14" spans="1:13">
      <c r="A14" s="1">
        <v>5</v>
      </c>
      <c r="C14" s="1" t="s">
        <v>200</v>
      </c>
      <c r="G14" s="14">
        <f>-('Schedule 3'!G112+'Schedule 3'!G93+'Schedule 3'!G86)</f>
        <v>4062.7451901111117</v>
      </c>
      <c r="I14" s="14">
        <v>5528.5029999999997</v>
      </c>
      <c r="J14" s="14">
        <v>4032.4830000000002</v>
      </c>
      <c r="K14" s="14">
        <v>4535.5</v>
      </c>
      <c r="L14" s="14">
        <v>5345.1559999999999</v>
      </c>
      <c r="M14" s="35"/>
    </row>
    <row r="15" spans="1:13">
      <c r="A15" s="1">
        <v>6</v>
      </c>
      <c r="C15" s="1" t="s">
        <v>80</v>
      </c>
      <c r="E15" s="4" t="s">
        <v>201</v>
      </c>
      <c r="G15" s="14">
        <v>615.80918399999985</v>
      </c>
      <c r="I15" s="14">
        <v>615.80899999999997</v>
      </c>
      <c r="J15" s="14">
        <v>615.80899999999997</v>
      </c>
      <c r="K15" s="14">
        <v>615.80899999999997</v>
      </c>
      <c r="L15" s="14">
        <v>615.80899999999997</v>
      </c>
      <c r="M15" s="35"/>
    </row>
    <row r="16" spans="1:13">
      <c r="A16" s="1">
        <v>7</v>
      </c>
      <c r="C16" s="1" t="s">
        <v>185</v>
      </c>
      <c r="G16" s="14">
        <f>'Schedule 3'!G17</f>
        <v>13435.829192331592</v>
      </c>
      <c r="I16" s="14">
        <v>14927.263000000001</v>
      </c>
      <c r="J16" s="14">
        <v>13309.912</v>
      </c>
      <c r="K16" s="14">
        <v>14244.218000000001</v>
      </c>
      <c r="L16" s="14">
        <v>15349.733</v>
      </c>
      <c r="M16" s="35"/>
    </row>
    <row r="17" spans="1:13" ht="25">
      <c r="A17" s="59">
        <v>8</v>
      </c>
      <c r="B17" s="2"/>
      <c r="C17" s="56" t="s">
        <v>186</v>
      </c>
      <c r="D17" s="2"/>
      <c r="E17" s="2" t="s">
        <v>203</v>
      </c>
      <c r="F17" s="2"/>
      <c r="G17" s="88">
        <v>-4684.2715019999996</v>
      </c>
      <c r="H17" s="2"/>
      <c r="I17" s="88">
        <v>-6347.3919999999998</v>
      </c>
      <c r="J17" s="88">
        <v>-5384.4809999999998</v>
      </c>
      <c r="K17" s="88">
        <v>-5917.5140000000001</v>
      </c>
      <c r="L17" s="88">
        <v>-5940.8490000000002</v>
      </c>
      <c r="M17" s="35"/>
    </row>
    <row r="18" spans="1:13">
      <c r="G18" s="17"/>
      <c r="I18" s="17"/>
      <c r="J18" s="17"/>
      <c r="K18" s="17"/>
      <c r="L18" s="17"/>
      <c r="M18" s="35"/>
    </row>
    <row r="19" spans="1:13" s="19" customFormat="1">
      <c r="A19" s="19">
        <v>9</v>
      </c>
      <c r="C19" s="19" t="s">
        <v>28</v>
      </c>
      <c r="E19" s="40"/>
      <c r="G19" s="89">
        <f>SUM(G12:G14)+G16+G17+G15+G18</f>
        <v>57391.204793012163</v>
      </c>
      <c r="I19" s="89">
        <f>SUM(I12:I17)</f>
        <v>55559.152646157585</v>
      </c>
      <c r="J19" s="89">
        <f>SUM(J12:J17)</f>
        <v>57957.327105704127</v>
      </c>
      <c r="K19" s="89">
        <f>SUM(K12:K17)</f>
        <v>64040.588674012244</v>
      </c>
      <c r="L19" s="89">
        <f>SUM(L12:L17)</f>
        <v>70242.132569582784</v>
      </c>
    </row>
    <row r="20" spans="1:13">
      <c r="C20" s="1" t="s">
        <v>13</v>
      </c>
    </row>
    <row r="21" spans="1:13">
      <c r="A21" s="19">
        <f>A19+1</f>
        <v>10</v>
      </c>
      <c r="C21" s="8" t="s">
        <v>204</v>
      </c>
      <c r="G21" s="60">
        <f>SUM(G9-G19)</f>
        <v>15802.288041293068</v>
      </c>
      <c r="I21" s="60">
        <f>SUM(I9-I19)</f>
        <v>15914.302366197342</v>
      </c>
      <c r="J21" s="60">
        <f>SUM(J9-J19)</f>
        <v>17517.603158476093</v>
      </c>
      <c r="K21" s="60">
        <f>SUM(K9-K19)</f>
        <v>18520.01653349329</v>
      </c>
      <c r="L21" s="60">
        <f>SUM(L9-L19)</f>
        <v>21102.041517240636</v>
      </c>
    </row>
    <row r="23" spans="1:13">
      <c r="A23" s="19">
        <f>A21+1</f>
        <v>11</v>
      </c>
      <c r="C23" s="8" t="s">
        <v>205</v>
      </c>
    </row>
    <row r="24" spans="1:13">
      <c r="A24" s="19">
        <f>A23+1</f>
        <v>12</v>
      </c>
      <c r="C24" s="1" t="s">
        <v>206</v>
      </c>
      <c r="E24" s="4" t="s">
        <v>207</v>
      </c>
      <c r="G24" s="14">
        <v>1188.3688975539926</v>
      </c>
      <c r="I24" s="14">
        <v>941.58699999999999</v>
      </c>
      <c r="J24" s="14">
        <v>1060.0999999999999</v>
      </c>
      <c r="K24" s="14">
        <v>1989.433</v>
      </c>
      <c r="L24" s="14">
        <v>3353.7710000000002</v>
      </c>
      <c r="M24" s="35"/>
    </row>
    <row r="25" spans="1:13">
      <c r="A25" s="19">
        <f t="shared" ref="A25:A26" si="0">A24+1</f>
        <v>13</v>
      </c>
      <c r="C25" s="1" t="s">
        <v>208</v>
      </c>
      <c r="E25" s="4" t="s">
        <v>209</v>
      </c>
      <c r="G25" s="14">
        <v>-131.07901627275572</v>
      </c>
      <c r="I25" s="14">
        <v>-811.50468629484646</v>
      </c>
      <c r="J25" s="14">
        <v>-887.78498406905089</v>
      </c>
      <c r="K25" s="14">
        <v>-1347.4256984324279</v>
      </c>
      <c r="L25" s="14">
        <v>-3126.1452817654708</v>
      </c>
    </row>
    <row r="26" spans="1:13">
      <c r="A26" s="19">
        <f t="shared" si="0"/>
        <v>14</v>
      </c>
      <c r="C26" s="1" t="s">
        <v>28</v>
      </c>
      <c r="G26" s="18">
        <f t="shared" ref="G26" si="1">SUM(G24+G25)</f>
        <v>1057.2898812812368</v>
      </c>
      <c r="I26" s="18">
        <f t="shared" ref="I26" si="2">SUM(I24+I25)</f>
        <v>130.08231370515352</v>
      </c>
      <c r="J26" s="18">
        <f>SUM(J24+J25)</f>
        <v>172.31501593094902</v>
      </c>
      <c r="K26" s="18">
        <f>SUM(K24+K25)</f>
        <v>642.00730156757209</v>
      </c>
      <c r="L26" s="18">
        <f>SUM(L24+L25)</f>
        <v>227.62571823452936</v>
      </c>
      <c r="M26" s="35"/>
    </row>
    <row r="28" spans="1:13">
      <c r="A28" s="19">
        <f>A26+1</f>
        <v>15</v>
      </c>
      <c r="C28" s="8" t="s">
        <v>210</v>
      </c>
    </row>
    <row r="29" spans="1:13">
      <c r="A29" s="19">
        <f>A28+1</f>
        <v>16</v>
      </c>
      <c r="C29" s="1" t="s">
        <v>211</v>
      </c>
      <c r="E29" s="4" t="s">
        <v>212</v>
      </c>
      <c r="G29" s="15">
        <v>5654.8190086164313</v>
      </c>
      <c r="I29" s="14">
        <v>2768.106399743273</v>
      </c>
      <c r="J29" s="14">
        <v>-1821.6743417021999</v>
      </c>
      <c r="K29" s="14">
        <v>8672.3618285199082</v>
      </c>
      <c r="L29" s="14">
        <v>10157.427782419749</v>
      </c>
      <c r="M29" s="35"/>
    </row>
    <row r="30" spans="1:13">
      <c r="A30" s="19">
        <f t="shared" ref="A30" si="3">A29+1</f>
        <v>17</v>
      </c>
      <c r="C30" s="1" t="s">
        <v>28</v>
      </c>
      <c r="G30" s="18">
        <f t="shared" ref="G30" si="4">SUM(G29:G29)</f>
        <v>5654.8190086164313</v>
      </c>
      <c r="I30" s="18">
        <f t="shared" ref="I30" si="5">SUM(I29:I29)</f>
        <v>2768.106399743273</v>
      </c>
      <c r="J30" s="18">
        <f>SUM(J29:J29)</f>
        <v>-1821.6743417021999</v>
      </c>
      <c r="K30" s="18">
        <f>SUM(K29:K29)</f>
        <v>8672.3618285199082</v>
      </c>
      <c r="L30" s="18">
        <f>SUM(L29:L29)</f>
        <v>10157.427782419749</v>
      </c>
      <c r="M30" s="35"/>
    </row>
    <row r="31" spans="1:13">
      <c r="E31" s="11"/>
    </row>
    <row r="32" spans="1:13" ht="13" thickBot="1">
      <c r="A32" s="19">
        <f>A30+1</f>
        <v>18</v>
      </c>
      <c r="C32" s="8" t="s">
        <v>213</v>
      </c>
      <c r="E32" s="4" t="s">
        <v>214</v>
      </c>
      <c r="G32" s="29">
        <f t="shared" ref="G32" si="6">SUM(G21+G26-G30)</f>
        <v>11204.758913957874</v>
      </c>
      <c r="I32" s="29">
        <f t="shared" ref="I32" si="7">SUM(I21+I26-I30)</f>
        <v>13276.278280159222</v>
      </c>
      <c r="J32" s="29">
        <f>SUM(J21+J26-J30)</f>
        <v>19511.592516109242</v>
      </c>
      <c r="K32" s="29">
        <f>SUM(K21+K26-K30)</f>
        <v>10489.662006540955</v>
      </c>
      <c r="L32" s="29">
        <f>SUM(L21+L26-L30)</f>
        <v>11172.239453055416</v>
      </c>
      <c r="M32" s="35"/>
    </row>
    <row r="33" spans="1:13">
      <c r="A33" s="1" t="s">
        <v>13</v>
      </c>
      <c r="C33" s="1" t="s">
        <v>13</v>
      </c>
      <c r="G33" s="20"/>
      <c r="I33" s="20"/>
    </row>
    <row r="34" spans="1:13" ht="12.75" customHeight="1">
      <c r="A34" s="57"/>
      <c r="C34" s="57" t="s">
        <v>215</v>
      </c>
      <c r="D34" s="57"/>
      <c r="E34" s="57"/>
      <c r="F34" s="57"/>
      <c r="G34" s="57"/>
      <c r="H34" s="57"/>
      <c r="I34" s="57"/>
      <c r="J34" s="57"/>
      <c r="K34" s="57"/>
      <c r="L34" s="57"/>
    </row>
    <row r="35" spans="1:13" ht="12.75" customHeight="1">
      <c r="C35" s="1" t="s">
        <v>216</v>
      </c>
      <c r="E35" s="1"/>
    </row>
    <row r="36" spans="1:13">
      <c r="G36" s="61"/>
      <c r="I36" s="61"/>
      <c r="J36" s="61"/>
      <c r="K36" s="61"/>
    </row>
    <row r="37" spans="1:13">
      <c r="G37" s="19"/>
      <c r="I37" s="19"/>
      <c r="J37" s="19"/>
      <c r="K37" s="19"/>
      <c r="L37" s="19"/>
    </row>
    <row r="38" spans="1:13">
      <c r="G38" s="20"/>
      <c r="I38" s="20"/>
      <c r="J38" s="20"/>
      <c r="K38" s="20"/>
      <c r="L38" s="20"/>
    </row>
    <row r="39" spans="1:13">
      <c r="C39" s="34"/>
      <c r="G39" s="20"/>
      <c r="I39" s="20"/>
      <c r="J39" s="20"/>
      <c r="K39" s="20"/>
      <c r="M39" s="35"/>
    </row>
    <row r="40" spans="1:13">
      <c r="C40" s="34"/>
      <c r="G40" s="20"/>
      <c r="I40" s="20"/>
      <c r="J40" s="20"/>
      <c r="K40" s="20"/>
      <c r="M40" s="35"/>
    </row>
    <row r="41" spans="1:13">
      <c r="G41" s="20"/>
      <c r="I41" s="20"/>
      <c r="J41" s="20"/>
      <c r="K41" s="20"/>
    </row>
    <row r="42" spans="1:13">
      <c r="G42" s="20"/>
      <c r="I42" s="20"/>
      <c r="J42" s="20"/>
      <c r="K42" s="20"/>
    </row>
    <row r="43" spans="1:13">
      <c r="G43" s="20"/>
      <c r="I43" s="20"/>
      <c r="J43" s="20"/>
      <c r="K43" s="20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8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theme="9" tint="0.39997558519241921"/>
    <pageSetUpPr fitToPage="1"/>
  </sheetPr>
  <dimension ref="A1:M29"/>
  <sheetViews>
    <sheetView view="pageBreakPreview" zoomScaleSheetLayoutView="100" workbookViewId="0">
      <selection activeCell="H18" sqref="H18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31.81640625" style="1" customWidth="1"/>
    <col min="4" max="4" width="1.81640625" style="1" customWidth="1"/>
    <col min="5" max="5" width="9.1796875" style="4"/>
    <col min="6" max="6" width="1.81640625" style="1" customWidth="1"/>
    <col min="7" max="7" width="12.1796875" style="1" customWidth="1"/>
    <col min="8" max="8" width="1.81640625" style="1" customWidth="1"/>
    <col min="9" max="11" width="11.26953125" style="1" customWidth="1"/>
    <col min="12" max="12" width="12.90625" style="1" customWidth="1"/>
    <col min="13" max="13" width="11.26953125" style="1" customWidth="1"/>
    <col min="14" max="16384" width="9.1796875" style="1"/>
  </cols>
  <sheetData>
    <row r="1" spans="1:13" ht="15">
      <c r="A1" s="9" t="s">
        <v>0</v>
      </c>
      <c r="L1" s="195" t="s">
        <v>217</v>
      </c>
    </row>
    <row r="2" spans="1:13">
      <c r="A2" s="10" t="s">
        <v>218</v>
      </c>
      <c r="L2" s="196" t="str">
        <f>'Schedule 1'!$L$2</f>
        <v>2023/24 GRA Compliance Filing</v>
      </c>
    </row>
    <row r="3" spans="1:13">
      <c r="A3" s="10" t="s">
        <v>7</v>
      </c>
    </row>
    <row r="6" spans="1:13" s="4" customFormat="1">
      <c r="G6" s="11"/>
      <c r="I6" s="11"/>
      <c r="J6" s="11"/>
      <c r="K6" s="8"/>
      <c r="L6" s="8"/>
    </row>
    <row r="7" spans="1:13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2021 GRA
Compliance</v>
      </c>
      <c r="I7" s="12" t="str">
        <f>'Schedule 1'!I7</f>
        <v>Actual 2021</v>
      </c>
      <c r="J7" s="12" t="str">
        <f>'Schedule 1'!J7</f>
        <v>Actual 2022</v>
      </c>
      <c r="K7" s="12" t="str">
        <f>'Schedule 1'!K7</f>
        <v>Forecast 2023</v>
      </c>
      <c r="L7" s="12" t="str">
        <f>'Schedule 1'!L7</f>
        <v>Forecast 2024</v>
      </c>
    </row>
    <row r="9" spans="1:13">
      <c r="A9" s="1">
        <v>1</v>
      </c>
      <c r="C9" s="1" t="s">
        <v>66</v>
      </c>
      <c r="G9" s="14">
        <v>68882.909827937896</v>
      </c>
      <c r="I9" s="14">
        <v>64262.995534105401</v>
      </c>
      <c r="J9" s="14">
        <f>I19</f>
        <v>82444.973814264624</v>
      </c>
      <c r="K9" s="14">
        <f>J19</f>
        <v>93820.066330373869</v>
      </c>
      <c r="L9" s="14">
        <f>K19</f>
        <v>84615.228336914821</v>
      </c>
    </row>
    <row r="11" spans="1:13">
      <c r="C11" s="1" t="s">
        <v>22</v>
      </c>
    </row>
    <row r="12" spans="1:13">
      <c r="A12" s="1">
        <v>2</v>
      </c>
      <c r="C12" s="1" t="s">
        <v>213</v>
      </c>
      <c r="E12" s="4" t="s">
        <v>219</v>
      </c>
      <c r="G12" s="15">
        <f>'Schedule 6'!G32</f>
        <v>11204.758913957874</v>
      </c>
      <c r="I12" s="15">
        <f>'Schedule 6'!I32</f>
        <v>13276.278280159222</v>
      </c>
      <c r="J12" s="15">
        <f>'Schedule 6'!J32</f>
        <v>19511.592516109242</v>
      </c>
      <c r="K12" s="15">
        <f>'Schedule 6'!K32</f>
        <v>10489.662006540955</v>
      </c>
      <c r="L12" s="15">
        <f>'Schedule 6'!L32</f>
        <v>11172.239453055416</v>
      </c>
      <c r="M12" s="35"/>
    </row>
    <row r="13" spans="1:13">
      <c r="A13" s="1">
        <v>3</v>
      </c>
      <c r="C13" s="1" t="s">
        <v>220</v>
      </c>
      <c r="G13" s="17"/>
      <c r="I13" s="17">
        <v>4905.7</v>
      </c>
      <c r="J13" s="17">
        <v>3363.5</v>
      </c>
      <c r="K13" s="17">
        <v>0</v>
      </c>
      <c r="L13" s="17">
        <v>0</v>
      </c>
      <c r="M13" s="35"/>
    </row>
    <row r="14" spans="1:13">
      <c r="A14" s="1">
        <v>4</v>
      </c>
      <c r="C14" s="1" t="s">
        <v>221</v>
      </c>
      <c r="G14" s="14">
        <f>SUM(G9:G13)</f>
        <v>80087.668741895774</v>
      </c>
      <c r="I14" s="14">
        <f t="shared" ref="I14:K14" si="0">SUM(I9:I13)</f>
        <v>82444.973814264624</v>
      </c>
      <c r="J14" s="14">
        <f t="shared" si="0"/>
        <v>105320.06633037387</v>
      </c>
      <c r="K14" s="14">
        <f t="shared" si="0"/>
        <v>104309.72833691482</v>
      </c>
      <c r="L14" s="14">
        <f>SUM(L9:L13)</f>
        <v>95787.467789970236</v>
      </c>
    </row>
    <row r="16" spans="1:13">
      <c r="C16" s="1" t="s">
        <v>222</v>
      </c>
    </row>
    <row r="17" spans="1:12">
      <c r="A17" s="1">
        <v>5</v>
      </c>
      <c r="C17" s="1" t="s">
        <v>327</v>
      </c>
      <c r="G17" s="17">
        <v>13592.401487454699</v>
      </c>
      <c r="I17" s="17">
        <v>0</v>
      </c>
      <c r="J17" s="17">
        <v>11500</v>
      </c>
      <c r="K17" s="17">
        <v>19694.5</v>
      </c>
      <c r="L17" s="17">
        <v>0</v>
      </c>
    </row>
    <row r="19" spans="1:12" ht="13" thickBot="1">
      <c r="A19" s="1">
        <v>6</v>
      </c>
      <c r="C19" s="1" t="s">
        <v>69</v>
      </c>
      <c r="G19" s="29">
        <f t="shared" ref="G19" si="1">SUM(G14-G17)</f>
        <v>66495.267254441074</v>
      </c>
      <c r="I19" s="29">
        <f t="shared" ref="I19" si="2">SUM(I14-I17)</f>
        <v>82444.973814264624</v>
      </c>
      <c r="J19" s="29">
        <f>SUM(J14-J17)</f>
        <v>93820.066330373869</v>
      </c>
      <c r="K19" s="29">
        <f>SUM(K14-K17)</f>
        <v>84615.228336914821</v>
      </c>
      <c r="L19" s="29">
        <f>SUM(L14-L17)</f>
        <v>95787.467789970236</v>
      </c>
    </row>
    <row r="22" spans="1:12">
      <c r="C22" s="8" t="s">
        <v>223</v>
      </c>
    </row>
    <row r="23" spans="1:12">
      <c r="A23" s="1">
        <f>A19+1</f>
        <v>7</v>
      </c>
      <c r="C23" s="1" t="s">
        <v>224</v>
      </c>
      <c r="G23" s="14">
        <v>56294.076849838588</v>
      </c>
      <c r="I23" s="14">
        <v>54968.307383093925</v>
      </c>
      <c r="J23" s="14">
        <v>54968.307383093925</v>
      </c>
      <c r="K23" s="14">
        <v>54968.307383093925</v>
      </c>
      <c r="L23" s="14">
        <v>61602.807383093925</v>
      </c>
    </row>
    <row r="24" spans="1:12">
      <c r="A24" s="1">
        <f>A23+1</f>
        <v>8</v>
      </c>
      <c r="C24" s="1" t="s">
        <v>225</v>
      </c>
      <c r="G24" s="15">
        <f t="shared" ref="G24" si="3">G19</f>
        <v>66495.267254441074</v>
      </c>
      <c r="I24" s="15">
        <f t="shared" ref="I24" si="4">I19</f>
        <v>82444.973814264624</v>
      </c>
      <c r="J24" s="15">
        <f>J19</f>
        <v>93820.066330373869</v>
      </c>
      <c r="K24" s="15">
        <f>K19</f>
        <v>84615.228336914821</v>
      </c>
      <c r="L24" s="15">
        <f>L19</f>
        <v>95787.467789970236</v>
      </c>
    </row>
    <row r="25" spans="1:12">
      <c r="A25" s="1">
        <f>A24+1</f>
        <v>9</v>
      </c>
      <c r="C25" s="1" t="s">
        <v>28</v>
      </c>
      <c r="G25" s="18">
        <f t="shared" ref="G25" si="5">SUM(G23:G24)</f>
        <v>122789.34410427966</v>
      </c>
      <c r="I25" s="18">
        <f t="shared" ref="I25" si="6">SUM(I23:I24)</f>
        <v>137413.28119735856</v>
      </c>
      <c r="J25" s="18">
        <f>SUM(J23:J24)</f>
        <v>148788.37371346779</v>
      </c>
      <c r="K25" s="18">
        <f>SUM(K23:K24)</f>
        <v>139583.53572000875</v>
      </c>
      <c r="L25" s="18">
        <f>SUM(L23:L24)</f>
        <v>157390.27517306415</v>
      </c>
    </row>
    <row r="28" spans="1:12">
      <c r="C28" s="1" t="s">
        <v>226</v>
      </c>
    </row>
    <row r="29" spans="1:12">
      <c r="C29" s="1" t="s">
        <v>227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8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theme="9" tint="0.39997558519241921"/>
    <pageSetUpPr fitToPage="1"/>
  </sheetPr>
  <dimension ref="A1:L27"/>
  <sheetViews>
    <sheetView view="pageBreakPreview" zoomScaleSheetLayoutView="100" workbookViewId="0">
      <selection activeCell="G4" sqref="G4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32" style="1" customWidth="1"/>
    <col min="4" max="4" width="1.81640625" style="1" customWidth="1"/>
    <col min="5" max="5" width="9.1796875" style="4"/>
    <col min="6" max="6" width="1.81640625" style="1" customWidth="1"/>
    <col min="7" max="7" width="12.36328125" style="1" customWidth="1"/>
    <col min="8" max="8" width="1.81640625" style="1" customWidth="1"/>
    <col min="9" max="11" width="11.26953125" style="1" customWidth="1"/>
    <col min="12" max="12" width="12.7265625" style="1" customWidth="1"/>
    <col min="13" max="16384" width="9.1796875" style="1"/>
  </cols>
  <sheetData>
    <row r="1" spans="1:12" ht="15">
      <c r="A1" s="9" t="s">
        <v>0</v>
      </c>
      <c r="L1" s="195" t="s">
        <v>228</v>
      </c>
    </row>
    <row r="2" spans="1:12">
      <c r="A2" s="10" t="s">
        <v>229</v>
      </c>
      <c r="L2" s="196" t="str">
        <f>'Schedule 1'!$L$2</f>
        <v>2023/24 GRA Compliance Filing</v>
      </c>
    </row>
    <row r="3" spans="1:12">
      <c r="A3" s="10" t="s">
        <v>7</v>
      </c>
    </row>
    <row r="6" spans="1:12" s="4" customFormat="1">
      <c r="G6" s="11"/>
      <c r="I6" s="11"/>
      <c r="J6" s="11"/>
      <c r="K6" s="8"/>
      <c r="L6" s="8"/>
    </row>
    <row r="7" spans="1:12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2021 GRA
Compliance</v>
      </c>
      <c r="I7" s="12" t="str">
        <f>'Schedule 1'!I7</f>
        <v>Actual 2021</v>
      </c>
      <c r="J7" s="12" t="str">
        <f>'Schedule 1'!J7</f>
        <v>Actual 2022</v>
      </c>
      <c r="K7" s="12" t="str">
        <f>'Schedule 1'!K7</f>
        <v>Forecast 2023</v>
      </c>
      <c r="L7" s="12" t="str">
        <f>'Schedule 1'!L7</f>
        <v>Forecast 2024</v>
      </c>
    </row>
    <row r="9" spans="1:12">
      <c r="A9" s="1">
        <v>1</v>
      </c>
      <c r="C9" s="1" t="s">
        <v>230</v>
      </c>
      <c r="E9" s="4" t="s">
        <v>172</v>
      </c>
      <c r="G9" s="14">
        <f>'Schedule 5'!G13</f>
        <v>16160.572774293069</v>
      </c>
      <c r="I9" s="14">
        <f>'Schedule 5'!I13</f>
        <v>16447.850906836225</v>
      </c>
      <c r="J9" s="14">
        <f>'Schedule 5'!J13</f>
        <v>18356.161106809435</v>
      </c>
      <c r="K9" s="14">
        <f>'Schedule 5'!K13</f>
        <v>18691.222893203354</v>
      </c>
      <c r="L9" s="14">
        <f>'Schedule 5'!L13</f>
        <v>21273.152406304129</v>
      </c>
    </row>
    <row r="10" spans="1:12">
      <c r="G10" s="14"/>
      <c r="I10" s="14"/>
      <c r="J10" s="14"/>
      <c r="K10" s="14"/>
      <c r="L10" s="14"/>
    </row>
    <row r="11" spans="1:12">
      <c r="C11" s="1" t="s">
        <v>22</v>
      </c>
      <c r="G11" s="14"/>
      <c r="I11" s="14"/>
      <c r="J11" s="14"/>
      <c r="K11" s="14"/>
      <c r="L11" s="14"/>
    </row>
    <row r="12" spans="1:12">
      <c r="A12" s="1">
        <v>2</v>
      </c>
      <c r="C12" s="62" t="s">
        <v>231</v>
      </c>
      <c r="E12" s="4" t="s">
        <v>232</v>
      </c>
      <c r="G12" s="14">
        <f>'Schedule 6'!G24</f>
        <v>1188.3688975539926</v>
      </c>
      <c r="I12" s="14">
        <f>'Schedule 6'!I24</f>
        <v>941.58699999999999</v>
      </c>
      <c r="J12" s="14">
        <f>'Schedule 6'!J24</f>
        <v>1060.0999999999999</v>
      </c>
      <c r="K12" s="14">
        <f>'Schedule 6'!K24</f>
        <v>1989.433</v>
      </c>
      <c r="L12" s="14">
        <f>'Schedule 6'!L24</f>
        <v>3353.7710000000002</v>
      </c>
    </row>
    <row r="13" spans="1:12">
      <c r="A13" s="1">
        <v>3</v>
      </c>
      <c r="C13" s="1" t="s">
        <v>233</v>
      </c>
      <c r="E13" s="4" t="s">
        <v>234</v>
      </c>
      <c r="G13" s="17">
        <f>'Schedule 6'!G25</f>
        <v>-131.07901627275572</v>
      </c>
      <c r="I13" s="17">
        <f>'Schedule 6'!I25</f>
        <v>-811.50468629484646</v>
      </c>
      <c r="J13" s="17">
        <f>'Schedule 6'!J25</f>
        <v>-887.78498406905089</v>
      </c>
      <c r="K13" s="17">
        <f>'Schedule 6'!K25</f>
        <v>-1347.4256984324279</v>
      </c>
      <c r="L13" s="17">
        <f>'Schedule 6'!L25</f>
        <v>-3126.1452817654708</v>
      </c>
    </row>
    <row r="14" spans="1:12">
      <c r="G14" s="17">
        <f>SUM(G9:G13)</f>
        <v>17217.862655574303</v>
      </c>
      <c r="I14" s="17">
        <f>SUM(I9:I13)</f>
        <v>16577.933220541378</v>
      </c>
      <c r="J14" s="17">
        <f>SUM(J9:J13)</f>
        <v>18528.476122740383</v>
      </c>
      <c r="K14" s="17">
        <f>SUM(K9:K13)</f>
        <v>19333.230194770927</v>
      </c>
      <c r="L14" s="17">
        <f>SUM(L9:L13)</f>
        <v>21500.778124538658</v>
      </c>
    </row>
    <row r="16" spans="1:12">
      <c r="C16" s="1" t="s">
        <v>222</v>
      </c>
    </row>
    <row r="17" spans="1:12">
      <c r="A17" s="1">
        <v>4</v>
      </c>
      <c r="C17" s="1" t="s">
        <v>235</v>
      </c>
      <c r="E17" s="4" t="s">
        <v>236</v>
      </c>
      <c r="G17" s="14">
        <f>'Schedule 6'!G29</f>
        <v>5654.8190086164313</v>
      </c>
      <c r="I17" s="14">
        <f>'Schedule 6'!I29</f>
        <v>2768.106399743273</v>
      </c>
      <c r="J17" s="14">
        <f>'Schedule 6'!J29</f>
        <v>-1821.6743417021999</v>
      </c>
      <c r="K17" s="14">
        <f>'Schedule 6'!K29</f>
        <v>8672.3618285199082</v>
      </c>
      <c r="L17" s="14">
        <f>'Schedule 6'!L29</f>
        <v>10157.427782419749</v>
      </c>
    </row>
    <row r="18" spans="1:12">
      <c r="A18" s="1">
        <v>5</v>
      </c>
      <c r="C18" s="1" t="s">
        <v>189</v>
      </c>
      <c r="E18" s="4" t="s">
        <v>237</v>
      </c>
      <c r="G18" s="14">
        <f>-'Schedule 5'!G23</f>
        <v>120.00024999999994</v>
      </c>
      <c r="I18" s="14">
        <f>-'Schedule 5'!I23</f>
        <v>117.28974000000001</v>
      </c>
      <c r="J18" s="14">
        <f>-'Schedule 5'!J23</f>
        <v>120.58844000000001</v>
      </c>
      <c r="K18" s="14">
        <f>-'Schedule 5'!K23</f>
        <v>120.00000000000003</v>
      </c>
      <c r="L18" s="14">
        <f>-'Schedule 5'!L23</f>
        <v>120</v>
      </c>
    </row>
    <row r="19" spans="1:12">
      <c r="A19" s="1">
        <v>6</v>
      </c>
      <c r="C19" s="1" t="s">
        <v>238</v>
      </c>
      <c r="G19" s="63">
        <f>-'Schedule 5'!G24</f>
        <v>0</v>
      </c>
      <c r="I19" s="63">
        <f>-'Schedule 5'!I24</f>
        <v>0</v>
      </c>
      <c r="J19" s="63">
        <f>-'Schedule 5'!J24</f>
        <v>0</v>
      </c>
      <c r="K19" s="63">
        <f>-'Schedule 5'!K24</f>
        <v>0</v>
      </c>
      <c r="L19" s="63">
        <f>-'Schedule 5'!L24</f>
        <v>0</v>
      </c>
    </row>
    <row r="20" spans="1:12">
      <c r="A20" s="1">
        <v>7</v>
      </c>
      <c r="C20" s="1" t="s">
        <v>188</v>
      </c>
      <c r="E20" s="4" t="s">
        <v>239</v>
      </c>
      <c r="G20" s="17">
        <f>-'Schedule 5'!G22</f>
        <v>238.28448299999997</v>
      </c>
      <c r="I20" s="17">
        <f>-'Schedule 5'!I22</f>
        <v>416.25826063888888</v>
      </c>
      <c r="J20" s="17">
        <f>-'Schedule 5'!J22</f>
        <v>717.96950833333335</v>
      </c>
      <c r="K20" s="17">
        <f>-'Schedule 5'!K22</f>
        <v>51.155907444444438</v>
      </c>
      <c r="L20" s="17">
        <f>-'Schedule 5'!L22</f>
        <v>51.155907444444438</v>
      </c>
    </row>
    <row r="21" spans="1:12">
      <c r="G21" s="17">
        <f>SUM(G17:G20)</f>
        <v>6013.1037416164318</v>
      </c>
      <c r="I21" s="17">
        <f>SUM(I17:I20)</f>
        <v>3301.6544003821618</v>
      </c>
      <c r="J21" s="17">
        <f>SUM(J17:J20)</f>
        <v>-983.11639336886651</v>
      </c>
      <c r="K21" s="17">
        <f>SUM(K17:K20)</f>
        <v>8843.5177359643531</v>
      </c>
      <c r="L21" s="17">
        <f>SUM(L17:L20)</f>
        <v>10328.583689864194</v>
      </c>
    </row>
    <row r="22" spans="1:12">
      <c r="G22" s="35"/>
      <c r="I22" s="35"/>
      <c r="J22" s="35"/>
      <c r="K22" s="35"/>
      <c r="L22" s="35"/>
    </row>
    <row r="23" spans="1:12">
      <c r="A23" s="1">
        <v>8</v>
      </c>
      <c r="C23" s="1" t="s">
        <v>213</v>
      </c>
      <c r="E23" s="4" t="s">
        <v>219</v>
      </c>
      <c r="G23" s="14">
        <f>G14-G21</f>
        <v>11204.75891395787</v>
      </c>
      <c r="I23" s="14">
        <f>I14-I21</f>
        <v>13276.278820159216</v>
      </c>
      <c r="J23" s="14">
        <f>J14-J21</f>
        <v>19511.592516109249</v>
      </c>
      <c r="K23" s="14">
        <f>K14-K21</f>
        <v>10489.712458806574</v>
      </c>
      <c r="L23" s="14">
        <f>L14-L21</f>
        <v>11172.194434674464</v>
      </c>
    </row>
    <row r="24" spans="1:12">
      <c r="G24" s="14"/>
      <c r="I24" s="14"/>
      <c r="J24" s="14"/>
      <c r="K24" s="14"/>
    </row>
    <row r="25" spans="1:12">
      <c r="G25" s="35"/>
      <c r="I25" s="35"/>
      <c r="J25" s="35"/>
      <c r="K25" s="35"/>
    </row>
    <row r="26" spans="1:12">
      <c r="G26" s="14"/>
      <c r="H26" s="14"/>
      <c r="I26" s="14"/>
      <c r="J26" s="14"/>
      <c r="K26" s="14"/>
      <c r="L26" s="14"/>
    </row>
    <row r="27" spans="1:12">
      <c r="G27" s="14"/>
      <c r="I27" s="14"/>
      <c r="J27" s="14"/>
      <c r="K27" s="14"/>
      <c r="L27" s="14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8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theme="9" tint="0.39997558519241921"/>
    <pageSetUpPr fitToPage="1"/>
  </sheetPr>
  <dimension ref="A1:M81"/>
  <sheetViews>
    <sheetView view="pageBreakPreview" zoomScaleSheetLayoutView="100" workbookViewId="0">
      <pane ySplit="7" topLeftCell="A8" activePane="bottomLeft" state="frozen"/>
      <selection activeCell="H18" sqref="H18"/>
      <selection pane="bottomLeft" activeCell="H18" sqref="H18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7.453125" style="1" customWidth="1"/>
    <col min="4" max="4" width="1.81640625" style="1" customWidth="1"/>
    <col min="5" max="5" width="11.90625" style="1" customWidth="1"/>
    <col min="6" max="6" width="1.81640625" style="1" customWidth="1"/>
    <col min="7" max="9" width="11.26953125" style="1" customWidth="1"/>
    <col min="10" max="10" width="12.54296875" style="1" customWidth="1"/>
    <col min="11" max="16384" width="9.1796875" style="1"/>
  </cols>
  <sheetData>
    <row r="1" spans="1:12" ht="15">
      <c r="A1" s="9" t="s">
        <v>0</v>
      </c>
      <c r="J1" s="195" t="s">
        <v>240</v>
      </c>
    </row>
    <row r="2" spans="1:12">
      <c r="A2" s="10" t="s">
        <v>241</v>
      </c>
      <c r="J2" s="196" t="str">
        <f>'Schedule 1'!$L$2</f>
        <v>2023/24 GRA Compliance Filing</v>
      </c>
    </row>
    <row r="3" spans="1:12">
      <c r="A3" s="10" t="s">
        <v>7</v>
      </c>
    </row>
    <row r="4" spans="1:12">
      <c r="C4" s="64"/>
    </row>
    <row r="5" spans="1:12">
      <c r="C5" s="39"/>
    </row>
    <row r="6" spans="1:12" s="4" customFormat="1">
      <c r="C6" s="65"/>
      <c r="E6" s="11"/>
      <c r="G6" s="11"/>
      <c r="H6" s="11"/>
      <c r="I6" s="11"/>
    </row>
    <row r="7" spans="1:12" s="13" customFormat="1" ht="25">
      <c r="A7" s="12" t="s">
        <v>8</v>
      </c>
      <c r="C7" s="12" t="s">
        <v>9</v>
      </c>
      <c r="E7" s="12" t="str">
        <f>'Schedule 1'!G7</f>
        <v>2021 GRA
Compliance</v>
      </c>
      <c r="G7" s="12" t="str">
        <f>'Schedule 1'!I7</f>
        <v>Actual 2021</v>
      </c>
      <c r="H7" s="12" t="str">
        <f>'Schedule 1'!J7</f>
        <v>Actual 2022</v>
      </c>
      <c r="I7" s="12" t="str">
        <f>'Schedule 1'!K7</f>
        <v>Forecast 2023</v>
      </c>
      <c r="J7" s="12" t="str">
        <f>'Schedule 1'!L7</f>
        <v>Forecast 2024</v>
      </c>
    </row>
    <row r="8" spans="1:12">
      <c r="A8" s="1">
        <v>1</v>
      </c>
      <c r="C8" s="8" t="s">
        <v>242</v>
      </c>
      <c r="L8" s="66"/>
    </row>
    <row r="9" spans="1:12">
      <c r="A9" s="1">
        <v>2</v>
      </c>
      <c r="C9" s="67" t="s">
        <v>243</v>
      </c>
      <c r="E9" s="19">
        <v>1779.7967268777782</v>
      </c>
      <c r="G9" s="19">
        <v>1812.6666666666667</v>
      </c>
      <c r="H9" s="19">
        <v>1821.8333333333333</v>
      </c>
      <c r="I9" s="19">
        <v>1858.0820814393944</v>
      </c>
      <c r="J9" s="19">
        <v>1898.2087205643945</v>
      </c>
      <c r="L9" s="68"/>
    </row>
    <row r="10" spans="1:12">
      <c r="A10" s="1">
        <v>3</v>
      </c>
      <c r="C10" s="67" t="s">
        <v>244</v>
      </c>
      <c r="E10" s="19">
        <v>16209.745867303323</v>
      </c>
      <c r="G10" s="19">
        <v>17421.153990000003</v>
      </c>
      <c r="H10" s="19">
        <v>17333.62861</v>
      </c>
      <c r="I10" s="19">
        <v>17692.784046871151</v>
      </c>
      <c r="J10" s="19">
        <v>18090.339959899033</v>
      </c>
      <c r="L10" s="68"/>
    </row>
    <row r="11" spans="1:12">
      <c r="A11" s="1">
        <v>4</v>
      </c>
      <c r="C11" s="67" t="s">
        <v>245</v>
      </c>
      <c r="E11" s="69">
        <f>E10/E9</f>
        <v>9.1076388794912511</v>
      </c>
      <c r="G11" s="69">
        <f>G10/G9</f>
        <v>9.6107874163295346</v>
      </c>
      <c r="H11" s="69">
        <f>H10/H9</f>
        <v>9.5143876735888764</v>
      </c>
      <c r="I11" s="69">
        <f>I10/I9</f>
        <v>9.5220680634114618</v>
      </c>
      <c r="J11" s="69">
        <f>J10/J9</f>
        <v>9.5302164424364406</v>
      </c>
      <c r="L11" s="68"/>
    </row>
    <row r="12" spans="1:12">
      <c r="A12" s="1">
        <v>5</v>
      </c>
      <c r="C12" s="67" t="s">
        <v>246</v>
      </c>
      <c r="D12" s="39"/>
      <c r="E12" s="19">
        <v>2384.1188693170443</v>
      </c>
      <c r="F12" s="39"/>
      <c r="G12" s="19">
        <v>2513.3242800000003</v>
      </c>
      <c r="H12" s="19">
        <v>2472.1443200000003</v>
      </c>
      <c r="I12" s="19">
        <v>2531.7944661363281</v>
      </c>
      <c r="J12" s="19">
        <v>2610.7132577603902</v>
      </c>
      <c r="L12" s="68"/>
    </row>
    <row r="13" spans="1:12">
      <c r="A13" s="1">
        <v>6</v>
      </c>
      <c r="C13" s="67" t="s">
        <v>247</v>
      </c>
      <c r="D13" s="64"/>
      <c r="E13" s="69">
        <f>E12/E10*100</f>
        <v>14.707934898140817</v>
      </c>
      <c r="F13" s="64"/>
      <c r="G13" s="69">
        <f>G12/G10*100</f>
        <v>14.426853016985472</v>
      </c>
      <c r="H13" s="69">
        <f>H12/H10*100</f>
        <v>14.262128118827858</v>
      </c>
      <c r="I13" s="69">
        <f>I12/I10*100</f>
        <v>14.309757353219144</v>
      </c>
      <c r="J13" s="69">
        <f>J12/J10*100</f>
        <v>14.43153231806353</v>
      </c>
      <c r="L13" s="68"/>
    </row>
    <row r="14" spans="1:12">
      <c r="A14" s="1">
        <v>7</v>
      </c>
      <c r="C14" s="8" t="s">
        <v>248</v>
      </c>
      <c r="E14" s="19"/>
      <c r="G14" s="19"/>
      <c r="H14" s="19"/>
      <c r="I14" s="19"/>
      <c r="J14" s="19"/>
      <c r="L14" s="66"/>
    </row>
    <row r="15" spans="1:12">
      <c r="A15" s="1">
        <v>8</v>
      </c>
      <c r="C15" s="67" t="s">
        <v>243</v>
      </c>
      <c r="E15" s="19">
        <v>513.53938439814817</v>
      </c>
      <c r="G15" s="19">
        <v>527.86083333333329</v>
      </c>
      <c r="H15" s="19">
        <v>519.25</v>
      </c>
      <c r="I15" s="19">
        <v>528.82104861111111</v>
      </c>
      <c r="J15" s="19">
        <v>536.12350198263891</v>
      </c>
      <c r="L15" s="68"/>
    </row>
    <row r="16" spans="1:12">
      <c r="A16" s="1">
        <v>9</v>
      </c>
      <c r="C16" s="67" t="s">
        <v>244</v>
      </c>
      <c r="E16" s="19">
        <v>32322.926762187584</v>
      </c>
      <c r="G16" s="19">
        <v>29584.264009999999</v>
      </c>
      <c r="H16" s="19">
        <v>30661.738590000004</v>
      </c>
      <c r="I16" s="19">
        <v>38568.709158506084</v>
      </c>
      <c r="J16" s="19">
        <v>44698.259126585959</v>
      </c>
      <c r="L16" s="68"/>
    </row>
    <row r="17" spans="1:12">
      <c r="A17" s="1">
        <v>10</v>
      </c>
      <c r="C17" s="67" t="s">
        <v>245</v>
      </c>
      <c r="E17" s="69">
        <f>E16/E15</f>
        <v>62.941475852079051</v>
      </c>
      <c r="G17" s="69">
        <f>G16/G15</f>
        <v>56.045575162645463</v>
      </c>
      <c r="H17" s="69">
        <f>H16/H15</f>
        <v>59.050050245546473</v>
      </c>
      <c r="I17" s="69">
        <f>I16/I15</f>
        <v>72.93338504547512</v>
      </c>
      <c r="J17" s="69">
        <f>J16/J15</f>
        <v>83.373064156462604</v>
      </c>
      <c r="L17" s="68"/>
    </row>
    <row r="18" spans="1:12">
      <c r="A18" s="1">
        <v>11</v>
      </c>
      <c r="C18" s="67" t="s">
        <v>246</v>
      </c>
      <c r="E18" s="19">
        <v>5388.0779262706401</v>
      </c>
      <c r="G18" s="19">
        <v>4911.4838699999991</v>
      </c>
      <c r="H18" s="19">
        <v>5004.8550100000011</v>
      </c>
      <c r="I18" s="19">
        <v>6271.980312051458</v>
      </c>
      <c r="J18" s="19">
        <v>7175.0888690444954</v>
      </c>
      <c r="L18" s="68"/>
    </row>
    <row r="19" spans="1:12">
      <c r="A19" s="1">
        <v>12</v>
      </c>
      <c r="C19" s="67" t="s">
        <v>247</v>
      </c>
      <c r="E19" s="69">
        <f>E18/E16*100</f>
        <v>16.669523666321545</v>
      </c>
      <c r="G19" s="69">
        <f>G18/G16*100</f>
        <v>16.601676716851337</v>
      </c>
      <c r="H19" s="69">
        <f>H18/H16*100</f>
        <v>16.322802424622722</v>
      </c>
      <c r="I19" s="69">
        <f>I18/I16*100</f>
        <v>16.261836210995444</v>
      </c>
      <c r="J19" s="69">
        <f>J18/J16*100</f>
        <v>16.052278118314554</v>
      </c>
      <c r="L19" s="68"/>
    </row>
    <row r="20" spans="1:12">
      <c r="A20" s="1">
        <v>13</v>
      </c>
      <c r="C20" s="8" t="s">
        <v>249</v>
      </c>
      <c r="E20" s="19"/>
      <c r="G20" s="19"/>
      <c r="H20" s="19"/>
      <c r="I20" s="19"/>
      <c r="J20" s="19"/>
      <c r="L20" s="66"/>
    </row>
    <row r="21" spans="1:12">
      <c r="A21" s="1">
        <v>14</v>
      </c>
      <c r="C21" s="67" t="s">
        <v>244</v>
      </c>
      <c r="E21" s="19">
        <v>102903.86099999998</v>
      </c>
      <c r="G21" s="19">
        <v>91143.140000000014</v>
      </c>
      <c r="H21" s="19">
        <v>95169.2</v>
      </c>
      <c r="I21" s="19">
        <v>75045.114138777761</v>
      </c>
      <c r="J21" s="19">
        <v>69367.817880341725</v>
      </c>
      <c r="L21" s="68"/>
    </row>
    <row r="22" spans="1:12">
      <c r="A22" s="1">
        <v>15</v>
      </c>
      <c r="C22" s="67" t="s">
        <v>246</v>
      </c>
      <c r="E22" s="19">
        <v>11480.811251316387</v>
      </c>
      <c r="G22" s="19">
        <v>11128.833615399997</v>
      </c>
      <c r="H22" s="19">
        <v>12206.045143999998</v>
      </c>
      <c r="I22" s="19">
        <v>9771.6449237509587</v>
      </c>
      <c r="J22" s="19">
        <v>8808.7146814176231</v>
      </c>
      <c r="L22" s="68"/>
    </row>
    <row r="23" spans="1:12">
      <c r="A23" s="1">
        <v>16</v>
      </c>
      <c r="C23" s="67" t="s">
        <v>247</v>
      </c>
      <c r="E23" s="69">
        <f>E22/E21*100</f>
        <v>11.15683234792948</v>
      </c>
      <c r="G23" s="69">
        <f>G22/G21*100</f>
        <v>12.210281119785861</v>
      </c>
      <c r="H23" s="69">
        <f>H22/H21*100</f>
        <v>12.825625458656789</v>
      </c>
      <c r="I23" s="69">
        <f>I22/I21*100</f>
        <v>13.021027465799664</v>
      </c>
      <c r="J23" s="69">
        <f>J22/J21*100</f>
        <v>12.698561019480966</v>
      </c>
      <c r="L23" s="68"/>
    </row>
    <row r="24" spans="1:12">
      <c r="A24" s="1">
        <v>17</v>
      </c>
      <c r="C24" s="8" t="s">
        <v>250</v>
      </c>
      <c r="E24" s="19"/>
      <c r="G24" s="19"/>
      <c r="H24" s="19"/>
      <c r="I24" s="19"/>
      <c r="J24" s="19"/>
      <c r="L24" s="66"/>
    </row>
    <row r="25" spans="1:12">
      <c r="A25" s="1">
        <v>18</v>
      </c>
      <c r="C25" s="67" t="s">
        <v>244</v>
      </c>
      <c r="E25" s="19">
        <v>167.64</v>
      </c>
      <c r="G25" s="19">
        <v>167.64</v>
      </c>
      <c r="H25" s="19">
        <v>167.685</v>
      </c>
      <c r="I25" s="19">
        <v>168.18</v>
      </c>
      <c r="J25" s="19">
        <v>168.18</v>
      </c>
      <c r="L25" s="68"/>
    </row>
    <row r="26" spans="1:12">
      <c r="A26" s="1">
        <v>19</v>
      </c>
      <c r="C26" s="67" t="s">
        <v>246</v>
      </c>
      <c r="D26" s="28"/>
      <c r="E26" s="19">
        <v>81.841440000000006</v>
      </c>
      <c r="F26" s="28"/>
      <c r="G26" s="19">
        <v>81.841949999999997</v>
      </c>
      <c r="H26" s="19">
        <v>82.014960000000002</v>
      </c>
      <c r="I26" s="19">
        <v>82.172530000000009</v>
      </c>
      <c r="J26" s="19">
        <v>82.172530000000009</v>
      </c>
      <c r="L26" s="68"/>
    </row>
    <row r="27" spans="1:12">
      <c r="A27" s="1">
        <v>20</v>
      </c>
      <c r="C27" s="67" t="s">
        <v>247</v>
      </c>
      <c r="E27" s="69">
        <f>E26/E25*100</f>
        <v>48.819756621331436</v>
      </c>
      <c r="G27" s="69">
        <f>G26/G25*100</f>
        <v>48.820060844667147</v>
      </c>
      <c r="H27" s="69">
        <f>H26/H25*100</f>
        <v>48.910135074693621</v>
      </c>
      <c r="I27" s="69">
        <f>I26/I25*100</f>
        <v>48.859870376977049</v>
      </c>
      <c r="J27" s="69">
        <f>J26/J25*100</f>
        <v>48.859870376977049</v>
      </c>
      <c r="L27" s="68"/>
    </row>
    <row r="28" spans="1:12">
      <c r="A28" s="1">
        <v>21</v>
      </c>
      <c r="C28" s="8" t="s">
        <v>251</v>
      </c>
      <c r="E28" s="19"/>
      <c r="G28" s="19"/>
      <c r="H28" s="19"/>
      <c r="I28" s="19"/>
      <c r="J28" s="19"/>
      <c r="L28" s="66"/>
    </row>
    <row r="29" spans="1:12">
      <c r="A29" s="1">
        <v>22</v>
      </c>
      <c r="C29" s="67" t="s">
        <v>244</v>
      </c>
      <c r="E29" s="19">
        <v>9.8040000000000003</v>
      </c>
      <c r="G29" s="19">
        <v>8.9826700000000006</v>
      </c>
      <c r="H29" s="19">
        <v>8.8439999999999994</v>
      </c>
      <c r="I29" s="19">
        <v>8.8439999999999994</v>
      </c>
      <c r="J29" s="19">
        <v>8.8439999999999994</v>
      </c>
      <c r="L29" s="68"/>
    </row>
    <row r="30" spans="1:12">
      <c r="A30" s="1">
        <v>23</v>
      </c>
      <c r="C30" s="67" t="s">
        <v>246</v>
      </c>
      <c r="E30" s="19">
        <v>2.6050800000000001</v>
      </c>
      <c r="G30" s="19">
        <v>2.4418699999999998</v>
      </c>
      <c r="H30" s="19">
        <v>2.41432</v>
      </c>
      <c r="I30" s="19">
        <v>2.4143700000000003</v>
      </c>
      <c r="J30" s="19">
        <v>2.4143700000000003</v>
      </c>
      <c r="L30" s="68"/>
    </row>
    <row r="31" spans="1:12">
      <c r="A31" s="1">
        <v>24</v>
      </c>
      <c r="C31" s="67" t="s">
        <v>247</v>
      </c>
      <c r="E31" s="69">
        <f>E30/E29*100</f>
        <v>26.57160342717258</v>
      </c>
      <c r="G31" s="69">
        <f>G30/G29*100</f>
        <v>27.184233640999832</v>
      </c>
      <c r="H31" s="69">
        <f>H30/H29*100</f>
        <v>27.298959746720939</v>
      </c>
      <c r="I31" s="69">
        <f>I30/I29*100</f>
        <v>27.299525101763916</v>
      </c>
      <c r="J31" s="69">
        <f>J30/J29*100</f>
        <v>27.299525101763916</v>
      </c>
      <c r="L31" s="68"/>
    </row>
    <row r="32" spans="1:12">
      <c r="A32" s="1">
        <v>25</v>
      </c>
      <c r="C32" s="8" t="s">
        <v>252</v>
      </c>
      <c r="E32" s="19"/>
      <c r="G32" s="19"/>
      <c r="H32" s="19"/>
      <c r="I32" s="19"/>
      <c r="J32" s="19"/>
      <c r="L32" s="71"/>
    </row>
    <row r="33" spans="1:12">
      <c r="A33" s="1">
        <v>26</v>
      </c>
      <c r="C33" s="67" t="s">
        <v>243</v>
      </c>
      <c r="E33" s="72">
        <f t="shared" ref="E33" si="0">E9+E15</f>
        <v>2293.3361112759262</v>
      </c>
      <c r="G33" s="72">
        <f t="shared" ref="G33" si="1">G9+G15</f>
        <v>2340.5275000000001</v>
      </c>
      <c r="H33" s="72">
        <f t="shared" ref="H33:I33" si="2">H9+H15</f>
        <v>2341.083333333333</v>
      </c>
      <c r="I33" s="72">
        <f t="shared" si="2"/>
        <v>2386.9031300505058</v>
      </c>
      <c r="J33" s="72">
        <f t="shared" ref="J33" si="3">J9+J15</f>
        <v>2434.3322225470333</v>
      </c>
      <c r="L33" s="68"/>
    </row>
    <row r="34" spans="1:12">
      <c r="A34" s="1">
        <v>27</v>
      </c>
      <c r="C34" s="67" t="s">
        <v>244</v>
      </c>
      <c r="E34" s="72">
        <f t="shared" ref="E34" si="4">E10+E16+E21+E25+E29</f>
        <v>151613.9776294909</v>
      </c>
      <c r="G34" s="72">
        <f t="shared" ref="G34" si="5">G10+G16+G21+G25+G29</f>
        <v>138325.18067000003</v>
      </c>
      <c r="H34" s="72">
        <f t="shared" ref="H34:I34" si="6">H10+H16+H21+H25+H29</f>
        <v>143341.0962</v>
      </c>
      <c r="I34" s="72">
        <f t="shared" si="6"/>
        <v>131483.631344155</v>
      </c>
      <c r="J34" s="72">
        <f t="shared" ref="J34" si="7">J10+J16+J21+J25+J29</f>
        <v>132333.44096682672</v>
      </c>
      <c r="L34" s="68"/>
    </row>
    <row r="35" spans="1:12">
      <c r="A35" s="1">
        <v>28</v>
      </c>
      <c r="C35" s="67" t="s">
        <v>246</v>
      </c>
      <c r="E35" s="72">
        <f t="shared" ref="E35" si="8">E12+E18+E22+E26+E30</f>
        <v>19337.454566904071</v>
      </c>
      <c r="G35" s="72">
        <f t="shared" ref="G35" si="9">G12+G18+G22+G26+G30</f>
        <v>18637.925585399997</v>
      </c>
      <c r="H35" s="72">
        <f t="shared" ref="H35:I35" si="10">H12+H18+H22+H26+H30</f>
        <v>19767.473753999999</v>
      </c>
      <c r="I35" s="72">
        <f t="shared" si="10"/>
        <v>18660.006601938741</v>
      </c>
      <c r="J35" s="72">
        <f t="shared" ref="J35" si="11">J12+J18+J22+J26+J30</f>
        <v>18679.103708222505</v>
      </c>
      <c r="L35" s="68"/>
    </row>
    <row r="36" spans="1:12">
      <c r="A36" s="1">
        <v>29</v>
      </c>
      <c r="C36" s="67" t="s">
        <v>247</v>
      </c>
      <c r="E36" s="90">
        <f t="shared" ref="E36" si="12">SUM(E35/E34)*100</f>
        <v>12.754400926120605</v>
      </c>
      <c r="G36" s="90">
        <f t="shared" ref="G36" si="13">SUM(G35/G34)*100</f>
        <v>13.473993307020629</v>
      </c>
      <c r="H36" s="90">
        <f t="shared" ref="H36:I36" si="14">SUM(H35/H34)*100</f>
        <v>13.790513870787603</v>
      </c>
      <c r="I36" s="90">
        <f t="shared" si="14"/>
        <v>14.19188564475882</v>
      </c>
      <c r="J36" s="90">
        <f t="shared" ref="J36" si="15">SUM(J35/J34)*100</f>
        <v>14.11518023845913</v>
      </c>
      <c r="L36" s="68"/>
    </row>
    <row r="37" spans="1:12">
      <c r="A37" s="1">
        <v>30</v>
      </c>
      <c r="C37" s="8" t="s">
        <v>253</v>
      </c>
      <c r="E37" s="19"/>
      <c r="G37" s="19"/>
      <c r="H37" s="19"/>
      <c r="I37" s="19"/>
      <c r="J37" s="19"/>
      <c r="L37" s="66"/>
    </row>
    <row r="38" spans="1:12">
      <c r="A38" s="1">
        <v>31</v>
      </c>
      <c r="C38" s="67" t="s">
        <v>244</v>
      </c>
      <c r="E38" s="19">
        <v>343537</v>
      </c>
      <c r="G38" s="19">
        <v>348983.05019999994</v>
      </c>
      <c r="H38" s="19">
        <v>346338.67705500015</v>
      </c>
      <c r="I38" s="19">
        <v>351291.2260568515</v>
      </c>
      <c r="J38" s="19">
        <v>362365.08968331735</v>
      </c>
      <c r="L38" s="68"/>
    </row>
    <row r="39" spans="1:12">
      <c r="A39" s="1">
        <v>32</v>
      </c>
      <c r="C39" s="67" t="s">
        <v>246</v>
      </c>
      <c r="E39" s="19">
        <v>28506.700260000001</v>
      </c>
      <c r="G39" s="19">
        <v>28958.613505595986</v>
      </c>
      <c r="H39" s="19">
        <v>29169.999422023902</v>
      </c>
      <c r="I39" s="19">
        <v>29150.145938197533</v>
      </c>
      <c r="J39" s="19">
        <v>30069.055141921675</v>
      </c>
      <c r="L39" s="68"/>
    </row>
    <row r="40" spans="1:12">
      <c r="A40" s="1">
        <v>33</v>
      </c>
      <c r="C40" s="67" t="s">
        <v>247</v>
      </c>
      <c r="E40" s="69">
        <f>E39/E38*100</f>
        <v>8.298</v>
      </c>
      <c r="G40" s="69">
        <f>G39/G38*100</f>
        <v>8.2979999999999965</v>
      </c>
      <c r="H40" s="69">
        <f>H39/H38*100</f>
        <v>8.4223915359564572</v>
      </c>
      <c r="I40" s="69">
        <f>I39/I38*100</f>
        <v>8.2979999999999983</v>
      </c>
      <c r="J40" s="69">
        <f>J39/J38*100</f>
        <v>8.2980000000000018</v>
      </c>
      <c r="L40" s="68"/>
    </row>
    <row r="41" spans="1:12">
      <c r="A41" s="1">
        <v>34</v>
      </c>
      <c r="C41" s="8" t="s">
        <v>254</v>
      </c>
      <c r="E41" s="19"/>
      <c r="G41" s="19"/>
      <c r="H41" s="19"/>
      <c r="I41" s="19"/>
      <c r="J41" s="19"/>
      <c r="L41" s="71"/>
    </row>
    <row r="42" spans="1:12">
      <c r="A42" s="1">
        <v>35</v>
      </c>
      <c r="C42" s="67" t="s">
        <v>244</v>
      </c>
      <c r="E42" s="72">
        <f t="shared" ref="E42:E43" si="16">E34+E38</f>
        <v>495150.9776294909</v>
      </c>
      <c r="G42" s="72">
        <f t="shared" ref="G42" si="17">G34+G38</f>
        <v>487308.23086999997</v>
      </c>
      <c r="H42" s="72">
        <f t="shared" ref="H42:I42" si="18">H34+H38</f>
        <v>489679.77325500012</v>
      </c>
      <c r="I42" s="72">
        <f t="shared" si="18"/>
        <v>482774.85740100651</v>
      </c>
      <c r="J42" s="72">
        <f t="shared" ref="J42:J43" si="19">J34+J38</f>
        <v>494698.53065014409</v>
      </c>
      <c r="L42" s="68"/>
    </row>
    <row r="43" spans="1:12">
      <c r="A43" s="1">
        <v>36</v>
      </c>
      <c r="C43" s="67" t="s">
        <v>246</v>
      </c>
      <c r="E43" s="72">
        <f t="shared" si="16"/>
        <v>47844.154826904072</v>
      </c>
      <c r="G43" s="72">
        <f t="shared" ref="G43" si="20">G35+G39</f>
        <v>47596.539090995982</v>
      </c>
      <c r="H43" s="72">
        <f t="shared" ref="H43:I43" si="21">H35+H39</f>
        <v>48937.473176023901</v>
      </c>
      <c r="I43" s="72">
        <f t="shared" si="21"/>
        <v>47810.152540136274</v>
      </c>
      <c r="J43" s="72">
        <f t="shared" si="19"/>
        <v>48748.15885014418</v>
      </c>
      <c r="L43" s="68"/>
    </row>
    <row r="44" spans="1:12">
      <c r="A44" s="1">
        <v>37</v>
      </c>
      <c r="C44" s="67" t="s">
        <v>247</v>
      </c>
      <c r="E44" s="70">
        <f t="shared" ref="E44" si="22">E43/E42*100</f>
        <v>9.6625386979856991</v>
      </c>
      <c r="G44" s="70">
        <f t="shared" ref="G44" si="23">G43/G42*100</f>
        <v>9.7672347963466652</v>
      </c>
      <c r="H44" s="70">
        <f t="shared" ref="H44:I44" si="24">H43/H42*100</f>
        <v>9.993770592304978</v>
      </c>
      <c r="I44" s="70">
        <f t="shared" si="24"/>
        <v>9.9031985214639704</v>
      </c>
      <c r="J44" s="70">
        <f t="shared" ref="J44" si="25">J43/J42*100</f>
        <v>9.8541143403191924</v>
      </c>
      <c r="L44" s="68"/>
    </row>
    <row r="45" spans="1:12">
      <c r="A45" s="1">
        <v>38</v>
      </c>
      <c r="C45" s="8" t="s">
        <v>255</v>
      </c>
      <c r="E45" s="19"/>
      <c r="G45" s="19"/>
      <c r="H45" s="19"/>
      <c r="I45" s="19"/>
      <c r="J45" s="19"/>
      <c r="L45" s="66"/>
    </row>
    <row r="46" spans="1:12">
      <c r="A46" s="1">
        <v>39</v>
      </c>
      <c r="C46" s="67" t="s">
        <v>244</v>
      </c>
      <c r="E46" s="19">
        <v>0</v>
      </c>
      <c r="G46" s="19">
        <v>4738.7049999999999</v>
      </c>
      <c r="H46" s="19">
        <v>3448.11</v>
      </c>
      <c r="I46" s="19">
        <v>2931.1849999999999</v>
      </c>
      <c r="J46" s="19">
        <v>2931.11</v>
      </c>
      <c r="L46" s="68"/>
    </row>
    <row r="47" spans="1:12">
      <c r="A47" s="1">
        <v>40</v>
      </c>
      <c r="C47" s="67" t="s">
        <v>246</v>
      </c>
      <c r="E47" s="19">
        <v>0</v>
      </c>
      <c r="G47" s="19">
        <v>330.18346517999998</v>
      </c>
      <c r="H47" s="19">
        <v>364.67514256000004</v>
      </c>
      <c r="I47" s="19">
        <v>357.60426999999999</v>
      </c>
      <c r="J47" s="19">
        <v>357.59541999999999</v>
      </c>
      <c r="L47" s="68"/>
    </row>
    <row r="48" spans="1:12">
      <c r="A48" s="1">
        <v>41</v>
      </c>
      <c r="C48" s="67" t="s">
        <v>247</v>
      </c>
      <c r="E48" s="70">
        <f>IFERROR(E47/E46*100,0)</f>
        <v>0</v>
      </c>
      <c r="G48" s="70">
        <f t="shared" ref="G48" si="26">G47/G46*100</f>
        <v>6.9677995397476735</v>
      </c>
      <c r="H48" s="70">
        <f>IFERROR(H47/H46*100,0)</f>
        <v>10.576087844065301</v>
      </c>
      <c r="I48" s="70">
        <f>IFERROR(I47/I46*100,0)</f>
        <v>12.199989765231468</v>
      </c>
      <c r="J48" s="70">
        <f>IFERROR(J47/J46*100,0)</f>
        <v>12.2</v>
      </c>
      <c r="L48" s="68"/>
    </row>
    <row r="49" spans="1:13">
      <c r="A49" s="1">
        <v>42</v>
      </c>
      <c r="C49" s="8" t="s">
        <v>256</v>
      </c>
      <c r="E49" s="19"/>
      <c r="G49" s="19"/>
      <c r="H49" s="19"/>
      <c r="I49" s="19"/>
      <c r="J49" s="19"/>
      <c r="L49" s="66"/>
    </row>
    <row r="50" spans="1:13">
      <c r="A50" s="1">
        <v>43</v>
      </c>
      <c r="C50" s="67" t="s">
        <v>244</v>
      </c>
      <c r="E50" s="19">
        <f t="shared" ref="E50:E51" si="27">E42+E46</f>
        <v>495150.9776294909</v>
      </c>
      <c r="G50" s="19">
        <f t="shared" ref="G50" si="28">G42+G46</f>
        <v>492046.93586999999</v>
      </c>
      <c r="H50" s="19">
        <f t="shared" ref="H50:I51" si="29">H42+H46</f>
        <v>493127.88325500011</v>
      </c>
      <c r="I50" s="19">
        <f t="shared" si="29"/>
        <v>485706.0424010065</v>
      </c>
      <c r="J50" s="19">
        <f t="shared" ref="J50" si="30">J42+J46</f>
        <v>497629.64065014408</v>
      </c>
      <c r="L50" s="68"/>
    </row>
    <row r="51" spans="1:13">
      <c r="A51" s="1">
        <v>44</v>
      </c>
      <c r="C51" s="67" t="s">
        <v>246</v>
      </c>
      <c r="E51" s="19">
        <f t="shared" si="27"/>
        <v>47844.154826904072</v>
      </c>
      <c r="G51" s="19">
        <f t="shared" ref="G51" si="31">G43+G47</f>
        <v>47926.722556175984</v>
      </c>
      <c r="H51" s="19">
        <f t="shared" si="29"/>
        <v>49302.148318583902</v>
      </c>
      <c r="I51" s="19">
        <f t="shared" si="29"/>
        <v>48167.756810136278</v>
      </c>
      <c r="J51" s="19">
        <f t="shared" ref="J51" si="32">J43+J47</f>
        <v>49105.754270144178</v>
      </c>
      <c r="L51" s="68"/>
    </row>
    <row r="52" spans="1:13">
      <c r="A52" s="1">
        <v>45</v>
      </c>
      <c r="C52" s="67" t="s">
        <v>247</v>
      </c>
      <c r="E52" s="70">
        <f t="shared" ref="E52" si="33">E51/E50*100</f>
        <v>9.6625386979856991</v>
      </c>
      <c r="G52" s="70">
        <f t="shared" ref="G52" si="34">G51/G50*100</f>
        <v>9.7402745677982114</v>
      </c>
      <c r="H52" s="70">
        <f t="shared" ref="H52:I52" si="35">H51/H50*100</f>
        <v>9.9978423432790127</v>
      </c>
      <c r="I52" s="70">
        <f t="shared" si="35"/>
        <v>9.9170594156142329</v>
      </c>
      <c r="J52" s="70">
        <f t="shared" ref="J52" si="36">J51/J50*100</f>
        <v>9.8679319435209685</v>
      </c>
      <c r="L52" s="68"/>
    </row>
    <row r="53" spans="1:13">
      <c r="E53" s="19"/>
      <c r="G53" s="19"/>
      <c r="H53" s="19"/>
      <c r="I53" s="19"/>
      <c r="J53" s="19"/>
    </row>
    <row r="54" spans="1:13">
      <c r="A54" s="1">
        <v>46</v>
      </c>
      <c r="C54" s="73" t="s">
        <v>257</v>
      </c>
      <c r="E54" s="19">
        <v>15886.683639088964</v>
      </c>
      <c r="G54" s="19">
        <v>19429.999700050001</v>
      </c>
      <c r="H54" s="19">
        <v>26347.724681863656</v>
      </c>
      <c r="I54" s="19">
        <v>26281.582190702597</v>
      </c>
      <c r="J54" s="19">
        <v>26194.153610012567</v>
      </c>
    </row>
    <row r="55" spans="1:13" ht="4" customHeight="1">
      <c r="C55" s="73"/>
      <c r="E55" s="19"/>
      <c r="G55" s="19"/>
      <c r="H55" s="19"/>
      <c r="I55" s="19"/>
      <c r="J55" s="19"/>
    </row>
    <row r="56" spans="1:13">
      <c r="A56" s="1">
        <f>A54+1</f>
        <v>47</v>
      </c>
      <c r="C56" s="73" t="s">
        <v>258</v>
      </c>
      <c r="E56" s="19">
        <v>9149.3843553841361</v>
      </c>
      <c r="G56" s="19"/>
      <c r="H56" s="19"/>
      <c r="I56" s="19">
        <v>7717</v>
      </c>
      <c r="J56" s="19">
        <v>15649.999999999998</v>
      </c>
    </row>
    <row r="57" spans="1:13">
      <c r="E57" s="19"/>
      <c r="G57" s="19"/>
      <c r="H57" s="19"/>
      <c r="I57" s="19"/>
      <c r="J57" s="19"/>
    </row>
    <row r="58" spans="1:13" ht="13" thickBot="1">
      <c r="A58" s="1">
        <f>A56+1</f>
        <v>48</v>
      </c>
      <c r="C58" s="73" t="s">
        <v>259</v>
      </c>
      <c r="E58" s="74">
        <f t="shared" ref="E58:G58" si="37">E54+E51+E56</f>
        <v>72880.222821377174</v>
      </c>
      <c r="G58" s="74">
        <f t="shared" si="37"/>
        <v>67356.722256225985</v>
      </c>
      <c r="H58" s="74">
        <f>H54+H51+H56</f>
        <v>75649.873000447551</v>
      </c>
      <c r="I58" s="74">
        <f>I54+I51+I56</f>
        <v>82166.339000838867</v>
      </c>
      <c r="J58" s="74">
        <f t="shared" ref="J58" si="38">J54+J51+J56</f>
        <v>90949.907880156738</v>
      </c>
      <c r="L58" s="19"/>
      <c r="M58" s="19"/>
    </row>
    <row r="59" spans="1:13">
      <c r="C59" s="73"/>
      <c r="E59" s="19"/>
      <c r="G59" s="19"/>
      <c r="H59" s="19"/>
      <c r="I59" s="19"/>
      <c r="J59" s="19"/>
    </row>
    <row r="60" spans="1:13">
      <c r="A60" s="1">
        <f>A58+1</f>
        <v>49</v>
      </c>
      <c r="C60" s="73" t="s">
        <v>260</v>
      </c>
      <c r="E60" s="19">
        <v>368.7</v>
      </c>
      <c r="G60" s="19">
        <v>-1471.0373406418244</v>
      </c>
      <c r="H60" s="19">
        <v>382.36082000000005</v>
      </c>
      <c r="I60" s="19">
        <v>394.26620666666668</v>
      </c>
      <c r="J60" s="19">
        <v>394.26620666666668</v>
      </c>
    </row>
    <row r="61" spans="1:13">
      <c r="C61" s="73"/>
      <c r="E61" s="19"/>
      <c r="G61" s="19"/>
      <c r="H61" s="19"/>
      <c r="I61" s="19"/>
      <c r="J61" s="19"/>
    </row>
    <row r="62" spans="1:13">
      <c r="A62" s="1">
        <f>A60+1</f>
        <v>50</v>
      </c>
      <c r="C62" s="73" t="s">
        <v>261</v>
      </c>
      <c r="E62" s="19">
        <f t="shared" ref="E62" si="39">E58+E60</f>
        <v>73248.922821377171</v>
      </c>
      <c r="G62" s="19">
        <f t="shared" ref="G62" si="40">G58+G60</f>
        <v>65885.684915584163</v>
      </c>
      <c r="H62" s="19">
        <f t="shared" ref="H62:I62" si="41">H58+H60</f>
        <v>76032.233820447553</v>
      </c>
      <c r="I62" s="19">
        <f t="shared" si="41"/>
        <v>82560.605207505534</v>
      </c>
      <c r="J62" s="19">
        <f t="shared" ref="J62" si="42">J58+J60</f>
        <v>91344.174086823405</v>
      </c>
      <c r="K62" s="19"/>
    </row>
    <row r="63" spans="1:13">
      <c r="C63" s="73"/>
      <c r="E63" s="19"/>
      <c r="G63" s="19"/>
      <c r="H63" s="19"/>
      <c r="I63" s="19"/>
    </row>
    <row r="64" spans="1:13" ht="14">
      <c r="B64" s="75"/>
      <c r="C64" s="73"/>
      <c r="E64" s="19"/>
      <c r="G64" s="19"/>
      <c r="H64" s="19"/>
      <c r="I64" s="19"/>
    </row>
    <row r="65" spans="2:9">
      <c r="C65" s="62"/>
      <c r="D65" s="62"/>
      <c r="E65" s="62"/>
      <c r="F65" s="62"/>
      <c r="G65" s="62"/>
      <c r="H65" s="62"/>
      <c r="I65" s="62"/>
    </row>
    <row r="66" spans="2:9">
      <c r="C66" s="73"/>
      <c r="E66" s="19"/>
      <c r="G66" s="19"/>
      <c r="H66" s="19"/>
      <c r="I66" s="19"/>
    </row>
    <row r="67" spans="2:9">
      <c r="C67" s="73"/>
      <c r="E67" s="44"/>
      <c r="G67" s="44"/>
      <c r="H67" s="44"/>
      <c r="I67" s="44"/>
    </row>
    <row r="68" spans="2:9">
      <c r="C68" s="73"/>
      <c r="E68" s="44"/>
      <c r="G68" s="44"/>
      <c r="H68" s="44"/>
      <c r="I68" s="44"/>
    </row>
    <row r="69" spans="2:9">
      <c r="C69" s="73"/>
      <c r="E69" s="44"/>
      <c r="G69" s="44"/>
      <c r="H69" s="44"/>
      <c r="I69" s="44"/>
    </row>
    <row r="70" spans="2:9">
      <c r="C70" s="73"/>
      <c r="E70" s="44"/>
      <c r="G70" s="44"/>
      <c r="H70" s="44"/>
      <c r="I70" s="44"/>
    </row>
    <row r="71" spans="2:9">
      <c r="C71" s="73"/>
      <c r="E71" s="44"/>
      <c r="G71" s="44"/>
      <c r="H71" s="44"/>
      <c r="I71" s="44"/>
    </row>
    <row r="72" spans="2:9">
      <c r="C72" s="73"/>
      <c r="E72" s="44"/>
      <c r="G72" s="44"/>
      <c r="H72" s="44"/>
      <c r="I72" s="44"/>
    </row>
    <row r="73" spans="2:9">
      <c r="C73" s="73"/>
      <c r="E73" s="44"/>
      <c r="G73" s="44"/>
      <c r="H73" s="44"/>
      <c r="I73" s="44"/>
    </row>
    <row r="74" spans="2:9">
      <c r="C74" s="73"/>
      <c r="E74" s="44"/>
      <c r="G74" s="44"/>
      <c r="H74" s="44"/>
      <c r="I74" s="44"/>
    </row>
    <row r="75" spans="2:9">
      <c r="C75" s="73"/>
      <c r="E75" s="44"/>
      <c r="G75" s="44"/>
      <c r="H75" s="44"/>
      <c r="I75" s="44"/>
    </row>
    <row r="76" spans="2:9">
      <c r="C76" s="73"/>
      <c r="E76" s="44"/>
      <c r="G76" s="44"/>
      <c r="H76" s="44"/>
      <c r="I76" s="44"/>
    </row>
    <row r="77" spans="2:9">
      <c r="B77" s="8"/>
      <c r="C77" s="73"/>
      <c r="E77" s="76"/>
      <c r="G77" s="76"/>
      <c r="H77" s="76"/>
      <c r="I77" s="76"/>
    </row>
    <row r="78" spans="2:9">
      <c r="C78" s="73"/>
      <c r="E78" s="19"/>
      <c r="G78" s="19"/>
      <c r="H78" s="19"/>
      <c r="I78" s="19"/>
    </row>
    <row r="79" spans="2:9">
      <c r="E79" s="19"/>
      <c r="G79" s="19"/>
      <c r="H79" s="19"/>
      <c r="I79" s="19"/>
    </row>
    <row r="80" spans="2:9">
      <c r="C80" s="73"/>
      <c r="E80" s="19"/>
      <c r="G80" s="19"/>
      <c r="H80" s="19"/>
      <c r="I80" s="19"/>
    </row>
    <row r="81" spans="3:9">
      <c r="C81" s="73"/>
      <c r="E81" s="19"/>
      <c r="G81" s="19"/>
      <c r="H81" s="19"/>
      <c r="I81" s="19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5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theme="9" tint="0.39997558519241921"/>
    <pageSetUpPr fitToPage="1"/>
  </sheetPr>
  <dimension ref="A1:M49"/>
  <sheetViews>
    <sheetView showGridLines="0" view="pageBreakPreview" zoomScaleSheetLayoutView="100" workbookViewId="0">
      <pane xSplit="3" topLeftCell="D1" activePane="topRight" state="frozen"/>
      <selection activeCell="H18" sqref="H18"/>
      <selection pane="topRight" activeCell="I15" sqref="I15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7.453125" style="1" customWidth="1"/>
    <col min="4" max="4" width="1.81640625" style="1" customWidth="1"/>
    <col min="5" max="5" width="9.1796875" style="4"/>
    <col min="6" max="6" width="1.81640625" style="1" customWidth="1"/>
    <col min="7" max="7" width="11.81640625" style="1" customWidth="1"/>
    <col min="8" max="8" width="1.81640625" style="1" customWidth="1"/>
    <col min="9" max="11" width="11.26953125" style="1" customWidth="1"/>
    <col min="12" max="12" width="13.1796875" style="1" customWidth="1"/>
    <col min="13" max="16384" width="9.1796875" style="1"/>
  </cols>
  <sheetData>
    <row r="1" spans="1:13" ht="15">
      <c r="A1" s="9" t="s">
        <v>0</v>
      </c>
      <c r="G1" s="5"/>
      <c r="I1" s="5"/>
      <c r="L1" s="195" t="s">
        <v>262</v>
      </c>
    </row>
    <row r="2" spans="1:13">
      <c r="A2" s="10" t="s">
        <v>263</v>
      </c>
      <c r="G2" s="11"/>
      <c r="I2" s="11"/>
      <c r="L2" s="196" t="str">
        <f>'Schedule 1'!$L$2</f>
        <v>2023/24 GRA Compliance Filing</v>
      </c>
    </row>
    <row r="3" spans="1:13">
      <c r="A3" s="10" t="s">
        <v>7</v>
      </c>
      <c r="G3" s="11"/>
      <c r="I3" s="11"/>
    </row>
    <row r="6" spans="1:13" s="4" customFormat="1" ht="13.5" customHeight="1">
      <c r="G6" s="11"/>
      <c r="I6" s="11"/>
      <c r="J6" s="11"/>
      <c r="K6" s="8"/>
      <c r="L6" s="8"/>
    </row>
    <row r="7" spans="1:13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2021 GRA
Compliance</v>
      </c>
      <c r="I7" s="12" t="str">
        <f>'Schedule 1'!I7</f>
        <v>Actual 2021</v>
      </c>
      <c r="J7" s="12" t="str">
        <f>'Schedule 1'!J7</f>
        <v>Actual 2022</v>
      </c>
      <c r="K7" s="12" t="str">
        <f>'Schedule 1'!K7</f>
        <v>Forecast 2023</v>
      </c>
      <c r="L7" s="12" t="str">
        <f>'Schedule 1'!L7</f>
        <v>Forecast 2024</v>
      </c>
    </row>
    <row r="9" spans="1:13">
      <c r="A9" s="1">
        <v>1</v>
      </c>
      <c r="C9" s="8" t="s">
        <v>264</v>
      </c>
    </row>
    <row r="10" spans="1:13">
      <c r="A10" s="1">
        <v>2</v>
      </c>
      <c r="C10" s="1" t="s">
        <v>265</v>
      </c>
      <c r="G10" s="19">
        <v>10437.63217051707</v>
      </c>
      <c r="I10" s="19">
        <v>10360.309949999999</v>
      </c>
      <c r="J10" s="19">
        <v>11319.862959999999</v>
      </c>
      <c r="K10" s="19">
        <v>13482.616947282733</v>
      </c>
      <c r="L10" s="19">
        <v>15530.835240660923</v>
      </c>
    </row>
    <row r="11" spans="1:13">
      <c r="A11" s="1">
        <v>3</v>
      </c>
      <c r="C11" s="1" t="s">
        <v>266</v>
      </c>
      <c r="G11" s="19">
        <v>3188.3012624868352</v>
      </c>
      <c r="I11" s="19">
        <v>3132.7795100000003</v>
      </c>
      <c r="J11" s="19">
        <v>2972.0050200000001</v>
      </c>
      <c r="K11" s="19">
        <v>3468.0235670700986</v>
      </c>
      <c r="L11" s="19">
        <v>3267.0841701040531</v>
      </c>
      <c r="M11" s="19"/>
    </row>
    <row r="12" spans="1:13">
      <c r="A12" s="1">
        <v>4</v>
      </c>
      <c r="C12" s="1" t="s">
        <v>267</v>
      </c>
      <c r="G12" s="19">
        <v>1763.0547109749496</v>
      </c>
      <c r="I12" s="19">
        <v>1627.616</v>
      </c>
      <c r="J12" s="19">
        <v>1699.2133399999998</v>
      </c>
      <c r="K12" s="19">
        <v>1710.8112223077032</v>
      </c>
      <c r="L12" s="19">
        <v>1615.1414537274632</v>
      </c>
    </row>
    <row r="13" spans="1:13">
      <c r="A13" s="1">
        <v>5</v>
      </c>
      <c r="C13" s="1" t="s">
        <v>268</v>
      </c>
      <c r="G13" s="19">
        <v>10397.142985764098</v>
      </c>
      <c r="I13" s="19">
        <v>10640.870689999996</v>
      </c>
      <c r="J13" s="19">
        <v>11603.078480000002</v>
      </c>
      <c r="K13" s="19">
        <v>12705.253880421955</v>
      </c>
      <c r="L13" s="19">
        <v>13091.567143529081</v>
      </c>
    </row>
    <row r="14" spans="1:13">
      <c r="A14" s="1">
        <v>6</v>
      </c>
      <c r="C14" s="1" t="s">
        <v>269</v>
      </c>
      <c r="G14" s="19">
        <v>1423.1366550000002</v>
      </c>
      <c r="I14" s="19">
        <v>1549.9819900000002</v>
      </c>
      <c r="J14" s="19">
        <v>1875.2263799999998</v>
      </c>
      <c r="K14" s="19">
        <v>2189.6098390000002</v>
      </c>
      <c r="L14" s="19">
        <v>2417.0457679504998</v>
      </c>
    </row>
    <row r="15" spans="1:13">
      <c r="A15" s="1">
        <v>7</v>
      </c>
      <c r="C15" s="1" t="s">
        <v>270</v>
      </c>
      <c r="G15" s="91">
        <f>SUM(G10:G14)</f>
        <v>27209.267784742951</v>
      </c>
      <c r="I15" s="91">
        <f>SUM(I10:I14)</f>
        <v>27311.558139999994</v>
      </c>
      <c r="J15" s="91">
        <f>SUM(J10:J14)</f>
        <v>29469.386180000001</v>
      </c>
      <c r="K15" s="91">
        <f>SUM(K10:K14)</f>
        <v>33556.315456082491</v>
      </c>
      <c r="L15" s="91">
        <f>SUM(L10:L14)</f>
        <v>35921.673775972013</v>
      </c>
    </row>
    <row r="17" spans="1:12">
      <c r="A17" s="1">
        <v>8</v>
      </c>
      <c r="C17" s="1" t="s">
        <v>189</v>
      </c>
      <c r="G17" s="36">
        <f>-'Schedule 5'!G23</f>
        <v>120.00024999999994</v>
      </c>
      <c r="I17" s="36">
        <f>-'Schedule 5'!I23</f>
        <v>117.28974000000001</v>
      </c>
      <c r="J17" s="36">
        <f>-'Schedule 5'!J23</f>
        <v>120.58844000000001</v>
      </c>
      <c r="K17" s="36">
        <f>-'Schedule 5'!K23</f>
        <v>120.00000000000003</v>
      </c>
      <c r="L17" s="36">
        <f>-'Schedule 5'!L23</f>
        <v>120</v>
      </c>
    </row>
    <row r="19" spans="1:12">
      <c r="A19" s="1">
        <v>9</v>
      </c>
      <c r="C19" s="1" t="s">
        <v>270</v>
      </c>
      <c r="G19" s="91">
        <f>SUM(G17:G17)</f>
        <v>120.00024999999994</v>
      </c>
      <c r="I19" s="91">
        <f>SUM(I17:I17)</f>
        <v>117.28974000000001</v>
      </c>
      <c r="J19" s="91">
        <f>SUM(J17:J17)</f>
        <v>120.58844000000001</v>
      </c>
      <c r="K19" s="91">
        <f>SUM(K17:K17)</f>
        <v>120.00000000000003</v>
      </c>
      <c r="L19" s="91">
        <f t="shared" ref="L19" si="0">SUM(L17:L17)</f>
        <v>120</v>
      </c>
    </row>
    <row r="21" spans="1:12">
      <c r="A21" s="1">
        <v>10</v>
      </c>
      <c r="C21" s="1" t="s">
        <v>271</v>
      </c>
    </row>
    <row r="22" spans="1:12" ht="13" thickBot="1">
      <c r="A22" s="1">
        <v>11</v>
      </c>
      <c r="C22" s="1" t="s">
        <v>272</v>
      </c>
      <c r="G22" s="45">
        <f>SUM(G15+G19)</f>
        <v>27329.268034742952</v>
      </c>
      <c r="I22" s="45">
        <f>SUM(I15+I19)</f>
        <v>27428.847879999994</v>
      </c>
      <c r="J22" s="45">
        <f>SUM(J15+J19)</f>
        <v>29589.974620000001</v>
      </c>
      <c r="K22" s="45">
        <f>SUM(K15+K19)</f>
        <v>33676.315456082491</v>
      </c>
      <c r="L22" s="45">
        <f t="shared" ref="L22" si="1">SUM(L15+L19)</f>
        <v>36041.673775972013</v>
      </c>
    </row>
    <row r="24" spans="1:12">
      <c r="A24" s="1">
        <v>12</v>
      </c>
      <c r="C24" s="1" t="s">
        <v>273</v>
      </c>
      <c r="G24" s="36">
        <v>15828.780301979994</v>
      </c>
      <c r="I24" s="36">
        <v>12617.614516157601</v>
      </c>
      <c r="J24" s="36">
        <v>14725.010195704119</v>
      </c>
      <c r="K24" s="36">
        <v>15748.276821541378</v>
      </c>
      <c r="L24" s="36">
        <v>15294.673706715501</v>
      </c>
    </row>
    <row r="25" spans="1:12">
      <c r="A25" s="1">
        <v>13</v>
      </c>
      <c r="C25" s="1" t="s">
        <v>274</v>
      </c>
      <c r="G25" s="36">
        <v>53.28989052691356</v>
      </c>
      <c r="I25" s="36">
        <v>49.3598</v>
      </c>
      <c r="J25" s="36">
        <v>325.60339999999997</v>
      </c>
      <c r="K25" s="36">
        <v>380.20944090038313</v>
      </c>
      <c r="L25" s="36">
        <v>2759.2370003535048</v>
      </c>
    </row>
    <row r="26" spans="1:12">
      <c r="A26" s="1">
        <v>14</v>
      </c>
      <c r="C26" s="1" t="s">
        <v>270</v>
      </c>
      <c r="G26" s="91">
        <f>SUM(G24:G25)</f>
        <v>15882.070192506908</v>
      </c>
      <c r="I26" s="91">
        <f>SUM(I24:I25)</f>
        <v>12666.974316157601</v>
      </c>
      <c r="J26" s="91">
        <f>SUM(J24:J25)</f>
        <v>15050.613595704119</v>
      </c>
      <c r="K26" s="91">
        <f>SUM(K24:K25)</f>
        <v>16128.486262441762</v>
      </c>
      <c r="L26" s="91">
        <f t="shared" ref="L26" si="2">SUM(L24:L25)</f>
        <v>18053.910707069004</v>
      </c>
    </row>
    <row r="28" spans="1:12" ht="13" thickBot="1">
      <c r="A28" s="1">
        <v>15</v>
      </c>
      <c r="C28" s="1" t="s">
        <v>275</v>
      </c>
      <c r="E28" s="4" t="s">
        <v>181</v>
      </c>
      <c r="G28" s="45">
        <f>SUM(G15+G19+G26)</f>
        <v>43211.338227249857</v>
      </c>
      <c r="I28" s="45">
        <f>SUM(I15+I19+I26)</f>
        <v>40095.822196157591</v>
      </c>
      <c r="J28" s="45">
        <f>SUM(J15+J19+J26)</f>
        <v>44640.58821570412</v>
      </c>
      <c r="K28" s="45">
        <f>SUM(K15+K19+K26)</f>
        <v>49804.80171852425</v>
      </c>
      <c r="L28" s="45">
        <f t="shared" ref="L28" si="3">SUM(L15+L19+L26)</f>
        <v>54095.584483041021</v>
      </c>
    </row>
    <row r="29" spans="1:12">
      <c r="G29" s="19"/>
      <c r="I29" s="19"/>
      <c r="J29" s="19"/>
      <c r="K29" s="19"/>
      <c r="L29" s="19"/>
    </row>
    <row r="30" spans="1:12" s="34" customFormat="1">
      <c r="C30" s="58" t="s">
        <v>359</v>
      </c>
      <c r="E30" s="37"/>
      <c r="G30" s="77"/>
      <c r="I30" s="77"/>
      <c r="J30" s="77"/>
      <c r="K30" s="77"/>
      <c r="L30" s="77"/>
    </row>
    <row r="31" spans="1:12" s="34" customFormat="1">
      <c r="A31" s="34">
        <v>16</v>
      </c>
      <c r="C31" s="34" t="s">
        <v>80</v>
      </c>
      <c r="E31" s="37"/>
      <c r="G31" s="77">
        <f>'Schedule 6'!G15</f>
        <v>615.80918399999985</v>
      </c>
      <c r="I31" s="77">
        <f>'Schedule 6'!I15</f>
        <v>615.80899999999997</v>
      </c>
      <c r="J31" s="77">
        <f>'Schedule 6'!J15</f>
        <v>615.80899999999997</v>
      </c>
      <c r="K31" s="77">
        <f>'Schedule 6'!K15</f>
        <v>615.80899999999997</v>
      </c>
      <c r="L31" s="77">
        <f>'Schedule 6'!L15</f>
        <v>615.80899999999997</v>
      </c>
    </row>
    <row r="32" spans="1:12" s="34" customFormat="1">
      <c r="A32" s="34">
        <v>17</v>
      </c>
      <c r="C32" s="34" t="s">
        <v>276</v>
      </c>
      <c r="E32" s="37"/>
      <c r="G32" s="78">
        <f>'Schedule 6'!G13</f>
        <v>749.75450131960019</v>
      </c>
      <c r="I32" s="78">
        <f>'Schedule 6'!I13</f>
        <v>739.14745000000005</v>
      </c>
      <c r="J32" s="78">
        <f>'Schedule 6'!J13</f>
        <v>743.01589000000001</v>
      </c>
      <c r="K32" s="78">
        <f>'Schedule 6'!K13</f>
        <v>757.77395548800007</v>
      </c>
      <c r="L32" s="78">
        <f>'Schedule 6'!L13</f>
        <v>776.69908654176004</v>
      </c>
    </row>
    <row r="33" spans="1:12" s="34" customFormat="1">
      <c r="A33" s="34">
        <v>18</v>
      </c>
      <c r="C33" s="34" t="s">
        <v>277</v>
      </c>
      <c r="E33" s="37"/>
      <c r="G33" s="92">
        <f>-G17</f>
        <v>-120.00024999999994</v>
      </c>
      <c r="I33" s="92">
        <f>-I17</f>
        <v>-117.28974000000001</v>
      </c>
      <c r="J33" s="92">
        <f>-J17</f>
        <v>-120.58844000000001</v>
      </c>
      <c r="K33" s="92">
        <f>-K17</f>
        <v>-120.00000000000003</v>
      </c>
      <c r="L33" s="92">
        <f t="shared" ref="L33" si="4">-L17</f>
        <v>-120</v>
      </c>
    </row>
    <row r="34" spans="1:12" s="34" customFormat="1">
      <c r="E34" s="37"/>
      <c r="G34" s="77"/>
      <c r="I34" s="77"/>
      <c r="J34" s="77"/>
      <c r="K34" s="77"/>
      <c r="L34" s="77"/>
    </row>
    <row r="35" spans="1:12" s="34" customFormat="1">
      <c r="A35" s="34">
        <v>19</v>
      </c>
      <c r="C35" s="34" t="s">
        <v>278</v>
      </c>
      <c r="E35" s="37"/>
      <c r="G35" s="77">
        <f>G22+G33+G32+G31</f>
        <v>28574.831470062552</v>
      </c>
      <c r="I35" s="77">
        <f>I22+I33+I32+I31</f>
        <v>28666.514589999995</v>
      </c>
      <c r="J35" s="77">
        <f>J22+J33+J32+J31</f>
        <v>30828.211070000001</v>
      </c>
      <c r="K35" s="77">
        <f>K22+K33+K32+K31</f>
        <v>34929.898411570495</v>
      </c>
      <c r="L35" s="77">
        <f t="shared" ref="L35" si="5">L22+L33+L32+L31</f>
        <v>37314.181862513775</v>
      </c>
    </row>
    <row r="36" spans="1:12">
      <c r="G36" s="19"/>
      <c r="I36" s="19"/>
      <c r="J36" s="19"/>
      <c r="K36" s="19"/>
    </row>
    <row r="37" spans="1:12">
      <c r="G37" s="19"/>
      <c r="I37" s="19"/>
      <c r="J37" s="19"/>
      <c r="K37" s="19"/>
    </row>
    <row r="38" spans="1:12" ht="18.75" customHeight="1">
      <c r="A38" s="57"/>
      <c r="C38" s="132"/>
      <c r="D38" s="132"/>
      <c r="E38" s="132"/>
      <c r="F38" s="132"/>
      <c r="G38" s="132"/>
      <c r="H38" s="132"/>
      <c r="I38" s="77"/>
      <c r="J38" s="77"/>
      <c r="K38" s="77"/>
      <c r="L38" s="77"/>
    </row>
    <row r="39" spans="1:12" ht="18.75" customHeight="1">
      <c r="A39" s="57"/>
      <c r="C39" s="132"/>
      <c r="D39" s="132"/>
      <c r="E39" s="132"/>
      <c r="F39" s="132"/>
      <c r="G39" s="132"/>
      <c r="H39" s="132"/>
      <c r="I39" s="77"/>
      <c r="J39" s="77"/>
      <c r="K39" s="77"/>
      <c r="L39" s="77"/>
    </row>
    <row r="40" spans="1:12">
      <c r="G40" s="35"/>
      <c r="I40" s="35"/>
      <c r="J40" s="35"/>
      <c r="K40" s="35"/>
    </row>
    <row r="43" spans="1:12">
      <c r="G43" s="79"/>
      <c r="I43" s="79"/>
      <c r="J43" s="79"/>
      <c r="K43" s="79"/>
    </row>
    <row r="45" spans="1:12">
      <c r="G45" s="80"/>
      <c r="I45" s="80"/>
      <c r="J45" s="80"/>
      <c r="K45" s="80"/>
    </row>
    <row r="47" spans="1:12">
      <c r="G47" s="60"/>
      <c r="I47" s="60"/>
      <c r="J47" s="60"/>
      <c r="K47" s="60"/>
    </row>
    <row r="49" spans="7:11">
      <c r="G49" s="80"/>
      <c r="I49" s="80"/>
      <c r="J49" s="80"/>
      <c r="K49" s="80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92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  <pageSetUpPr fitToPage="1"/>
  </sheetPr>
  <dimension ref="A1:L44"/>
  <sheetViews>
    <sheetView showGridLines="0" view="pageBreakPreview" zoomScaleSheetLayoutView="100" workbookViewId="0">
      <selection activeCell="I3" sqref="I3"/>
    </sheetView>
  </sheetViews>
  <sheetFormatPr defaultColWidth="9.1796875" defaultRowHeight="12.5"/>
  <cols>
    <col min="1" max="1" width="5.26953125" style="94" customWidth="1"/>
    <col min="2" max="2" width="1.81640625" style="94" customWidth="1"/>
    <col min="3" max="3" width="22.54296875" style="94" customWidth="1"/>
    <col min="4" max="4" width="1.81640625" style="94" customWidth="1"/>
    <col min="5" max="5" width="14.7265625" style="95" bestFit="1" customWidth="1"/>
    <col min="6" max="6" width="1.81640625" style="94" customWidth="1"/>
    <col min="7" max="7" width="11.7265625" style="94" customWidth="1"/>
    <col min="8" max="8" width="1.81640625" style="94" customWidth="1"/>
    <col min="9" max="11" width="11.26953125" style="94" customWidth="1"/>
    <col min="12" max="12" width="12.453125" style="94" customWidth="1"/>
    <col min="13" max="16384" width="9.1796875" style="94"/>
  </cols>
  <sheetData>
    <row r="1" spans="1:12" ht="15">
      <c r="A1" s="93" t="s">
        <v>0</v>
      </c>
      <c r="G1" s="96"/>
      <c r="I1" s="96"/>
      <c r="L1" s="199" t="s">
        <v>279</v>
      </c>
    </row>
    <row r="2" spans="1:12">
      <c r="A2" s="97" t="s">
        <v>280</v>
      </c>
      <c r="G2" s="98"/>
      <c r="I2" s="98"/>
      <c r="L2" s="196" t="str">
        <f>'Schedule 1'!$L$2</f>
        <v>2023/24 GRA Compliance Filing</v>
      </c>
    </row>
    <row r="3" spans="1:12">
      <c r="A3" s="97" t="s">
        <v>7</v>
      </c>
      <c r="G3" s="98"/>
      <c r="I3" s="98"/>
    </row>
    <row r="6" spans="1:12" s="95" customFormat="1" ht="13.5" customHeight="1">
      <c r="G6" s="98"/>
      <c r="I6" s="98"/>
      <c r="J6" s="11"/>
      <c r="K6" s="66"/>
      <c r="L6" s="66"/>
    </row>
    <row r="7" spans="1:12" s="100" customFormat="1" ht="25">
      <c r="A7" s="99" t="s">
        <v>8</v>
      </c>
      <c r="C7" s="99" t="s">
        <v>9</v>
      </c>
      <c r="E7" s="99" t="s">
        <v>10</v>
      </c>
      <c r="G7" s="12" t="str">
        <f>'Schedule 1'!G7</f>
        <v>2021 GRA
Compliance</v>
      </c>
      <c r="I7" s="12" t="str">
        <f>'Schedule 1'!I7</f>
        <v>Actual 2021</v>
      </c>
      <c r="J7" s="12" t="str">
        <f>'Schedule 1'!J7</f>
        <v>Actual 2022</v>
      </c>
      <c r="K7" s="12" t="str">
        <f>'Schedule 1'!K7</f>
        <v>Forecast 2023</v>
      </c>
      <c r="L7" s="12" t="str">
        <f>'Schedule 1'!L7</f>
        <v>Forecast 2024</v>
      </c>
    </row>
    <row r="9" spans="1:12">
      <c r="A9" s="94">
        <v>1</v>
      </c>
      <c r="C9" s="66" t="s">
        <v>321</v>
      </c>
      <c r="E9" s="95" t="s">
        <v>322</v>
      </c>
      <c r="G9" s="90">
        <v>100.6</v>
      </c>
      <c r="H9" s="90"/>
      <c r="I9" s="90">
        <v>101.86461538461539</v>
      </c>
      <c r="J9" s="90">
        <v>107.0275</v>
      </c>
      <c r="K9" s="90">
        <v>113.0454326923077</v>
      </c>
      <c r="L9" s="90">
        <v>119.8104326923077</v>
      </c>
    </row>
    <row r="11" spans="1:12">
      <c r="A11" s="94">
        <f>A9+1</f>
        <v>2</v>
      </c>
      <c r="C11" s="66" t="s">
        <v>323</v>
      </c>
      <c r="E11" s="94"/>
      <c r="G11" s="72">
        <f>SUM(G12:G13)</f>
        <v>15719.217702888971</v>
      </c>
      <c r="H11" s="72"/>
      <c r="I11" s="72">
        <f>SUM(I12:I13)</f>
        <v>15806.84418</v>
      </c>
      <c r="J11" s="72">
        <f>SUM(J12:J13)</f>
        <v>15752.626549999999</v>
      </c>
      <c r="K11" s="72">
        <f>SUM(K12:K13)</f>
        <v>18361.739007151285</v>
      </c>
      <c r="L11" s="72">
        <f>SUM(L12:L13)</f>
        <v>19651.05678806212</v>
      </c>
    </row>
    <row r="12" spans="1:12">
      <c r="A12" s="94">
        <f>A11+1</f>
        <v>3</v>
      </c>
      <c r="C12" s="68" t="s">
        <v>325</v>
      </c>
      <c r="E12" s="95" t="s">
        <v>324</v>
      </c>
      <c r="G12" s="72">
        <f>G22</f>
        <v>13016.041129742953</v>
      </c>
      <c r="H12" s="72"/>
      <c r="I12" s="72">
        <f>I22</f>
        <v>13166.78672</v>
      </c>
      <c r="J12" s="72">
        <f>J22</f>
        <v>13675.212599999999</v>
      </c>
      <c r="K12" s="72">
        <f>K22</f>
        <v>15069.351851368203</v>
      </c>
      <c r="L12" s="72">
        <f>L22</f>
        <v>16131.584517821524</v>
      </c>
    </row>
    <row r="13" spans="1:12">
      <c r="A13" s="94">
        <f>A12+1</f>
        <v>4</v>
      </c>
      <c r="C13" s="68" t="s">
        <v>326</v>
      </c>
      <c r="G13" s="154">
        <v>2703.1765731460187</v>
      </c>
      <c r="H13" s="154"/>
      <c r="I13" s="72">
        <v>2640.05746</v>
      </c>
      <c r="J13" s="72">
        <v>2077.4139500000001</v>
      </c>
      <c r="K13" s="72">
        <v>3292.3871557830835</v>
      </c>
      <c r="L13" s="72">
        <v>3519.4722702405975</v>
      </c>
    </row>
    <row r="14" spans="1:12">
      <c r="G14" s="72"/>
      <c r="H14" s="72"/>
      <c r="I14" s="72"/>
      <c r="J14" s="72"/>
      <c r="K14" s="72"/>
      <c r="L14" s="72"/>
    </row>
    <row r="15" spans="1:12">
      <c r="C15" s="66" t="s">
        <v>281</v>
      </c>
    </row>
    <row r="16" spans="1:12">
      <c r="A16" s="94">
        <f>A13+1</f>
        <v>5</v>
      </c>
      <c r="C16" s="94" t="s">
        <v>265</v>
      </c>
      <c r="G16" s="72">
        <v>4801.7381705170701</v>
      </c>
      <c r="I16" s="72">
        <v>5075.5393800000002</v>
      </c>
      <c r="J16" s="72">
        <v>5050.5962299999992</v>
      </c>
      <c r="K16" s="72">
        <v>5685.9001815684469</v>
      </c>
      <c r="L16" s="72">
        <v>6040.0497404609259</v>
      </c>
    </row>
    <row r="17" spans="1:12">
      <c r="A17" s="94">
        <f>A16+1</f>
        <v>6</v>
      </c>
      <c r="C17" s="94" t="s">
        <v>282</v>
      </c>
      <c r="G17" s="72">
        <v>674.07088968521123</v>
      </c>
      <c r="I17" s="72">
        <v>644.78761499999996</v>
      </c>
      <c r="J17" s="72">
        <v>548.23663499999998</v>
      </c>
      <c r="K17" s="72">
        <v>656.34336269706205</v>
      </c>
      <c r="L17" s="72">
        <v>666.4309920119349</v>
      </c>
    </row>
    <row r="18" spans="1:12">
      <c r="A18" s="94">
        <f t="shared" ref="A18:A20" si="0">A17+1</f>
        <v>7</v>
      </c>
      <c r="C18" s="94" t="s">
        <v>283</v>
      </c>
      <c r="G18" s="72">
        <v>629.08037280162375</v>
      </c>
      <c r="I18" s="72">
        <v>701.187185</v>
      </c>
      <c r="J18" s="72">
        <v>686.79607499999997</v>
      </c>
      <c r="K18" s="72">
        <v>750.9842043730365</v>
      </c>
      <c r="L18" s="72">
        <v>763.95617809211831</v>
      </c>
    </row>
    <row r="19" spans="1:12">
      <c r="A19" s="94">
        <f t="shared" si="0"/>
        <v>8</v>
      </c>
      <c r="C19" s="94" t="s">
        <v>267</v>
      </c>
      <c r="G19" s="72">
        <v>371.94771097494993</v>
      </c>
      <c r="I19" s="72">
        <v>274.59100000000001</v>
      </c>
      <c r="J19" s="72">
        <v>291.27460000000002</v>
      </c>
      <c r="K19" s="72">
        <v>342.27322230770352</v>
      </c>
      <c r="L19" s="72">
        <v>349.97245372746323</v>
      </c>
    </row>
    <row r="20" spans="1:12">
      <c r="A20" s="94">
        <f t="shared" si="0"/>
        <v>9</v>
      </c>
      <c r="C20" s="94" t="s">
        <v>284</v>
      </c>
      <c r="G20" s="72">
        <v>6539.2039857640975</v>
      </c>
      <c r="I20" s="72">
        <v>6470.6815399999987</v>
      </c>
      <c r="J20" s="72">
        <v>7098.3090599999996</v>
      </c>
      <c r="K20" s="72">
        <v>7633.8508804219546</v>
      </c>
      <c r="L20" s="72">
        <v>8311.1751535290823</v>
      </c>
    </row>
    <row r="21" spans="1:12">
      <c r="G21" s="72"/>
      <c r="I21" s="72"/>
      <c r="J21" s="72"/>
      <c r="K21" s="72"/>
      <c r="L21" s="72"/>
    </row>
    <row r="22" spans="1:12">
      <c r="A22" s="94">
        <f>A20+1</f>
        <v>10</v>
      </c>
      <c r="C22" s="94" t="s">
        <v>285</v>
      </c>
      <c r="G22" s="101">
        <f>SUM(G16:G20)</f>
        <v>13016.041129742953</v>
      </c>
      <c r="I22" s="101">
        <f>SUM(I16:I20)</f>
        <v>13166.78672</v>
      </c>
      <c r="J22" s="101">
        <f>SUM(J16:J20)</f>
        <v>13675.212599999999</v>
      </c>
      <c r="K22" s="101">
        <f>SUM(K16:K20)</f>
        <v>15069.351851368203</v>
      </c>
      <c r="L22" s="101">
        <f>SUM(L16:L20)</f>
        <v>16131.584517821524</v>
      </c>
    </row>
    <row r="24" spans="1:12">
      <c r="G24" s="72"/>
      <c r="I24" s="72"/>
      <c r="J24" s="72"/>
      <c r="K24" s="72"/>
    </row>
    <row r="25" spans="1:12" s="102" customFormat="1">
      <c r="E25" s="103"/>
      <c r="G25" s="104"/>
      <c r="I25" s="104"/>
      <c r="J25" s="104"/>
      <c r="K25" s="104"/>
      <c r="L25" s="104"/>
    </row>
    <row r="26" spans="1:12" s="102" customFormat="1">
      <c r="E26" s="103"/>
      <c r="G26" s="104"/>
      <c r="I26" s="104"/>
      <c r="J26" s="104"/>
      <c r="K26" s="104"/>
      <c r="L26" s="104"/>
    </row>
    <row r="27" spans="1:12" s="102" customFormat="1">
      <c r="E27" s="103"/>
      <c r="G27" s="104"/>
      <c r="I27" s="104"/>
      <c r="J27" s="104"/>
      <c r="K27" s="104"/>
      <c r="L27" s="104"/>
    </row>
    <row r="28" spans="1:12" s="102" customFormat="1">
      <c r="E28" s="103"/>
      <c r="G28" s="104"/>
      <c r="I28" s="104"/>
      <c r="J28" s="104"/>
      <c r="K28" s="104"/>
      <c r="L28" s="104"/>
    </row>
    <row r="29" spans="1:12" s="102" customFormat="1">
      <c r="E29" s="103"/>
      <c r="G29" s="104"/>
      <c r="I29" s="104"/>
      <c r="J29" s="104"/>
      <c r="K29" s="104"/>
      <c r="L29" s="104"/>
    </row>
    <row r="30" spans="1:12" ht="18.75" customHeight="1">
      <c r="A30" s="105"/>
      <c r="C30" s="106"/>
      <c r="D30" s="106"/>
      <c r="E30" s="106"/>
      <c r="F30" s="106"/>
      <c r="G30" s="106"/>
      <c r="H30" s="106"/>
      <c r="I30" s="106"/>
      <c r="J30" s="106"/>
      <c r="K30" s="106"/>
    </row>
    <row r="31" spans="1:12" ht="18.75" customHeight="1">
      <c r="A31" s="105"/>
      <c r="C31" s="106"/>
      <c r="D31" s="106"/>
      <c r="E31" s="106"/>
      <c r="F31" s="106"/>
      <c r="G31" s="106"/>
      <c r="H31" s="106"/>
      <c r="I31" s="106"/>
      <c r="J31" s="106"/>
      <c r="K31" s="106"/>
    </row>
    <row r="32" spans="1:12" ht="18.75" customHeight="1">
      <c r="A32" s="105"/>
      <c r="C32" s="106"/>
      <c r="D32" s="106"/>
      <c r="E32" s="106"/>
      <c r="F32" s="106"/>
      <c r="G32" s="106"/>
      <c r="H32" s="106"/>
      <c r="I32" s="106"/>
      <c r="J32" s="106"/>
      <c r="K32" s="106"/>
    </row>
    <row r="33" spans="1:11" ht="18.75" customHeight="1">
      <c r="A33" s="105"/>
      <c r="C33" s="106"/>
      <c r="D33" s="106"/>
      <c r="E33" s="106"/>
      <c r="F33" s="106"/>
      <c r="G33" s="106"/>
      <c r="H33" s="106"/>
      <c r="I33" s="106"/>
      <c r="J33" s="106"/>
      <c r="K33" s="106"/>
    </row>
    <row r="34" spans="1:11" ht="18.75" customHeight="1">
      <c r="A34" s="105"/>
      <c r="C34" s="106"/>
      <c r="D34" s="106"/>
      <c r="E34" s="106"/>
      <c r="F34" s="106"/>
      <c r="G34" s="106"/>
      <c r="H34" s="106"/>
      <c r="I34" s="106"/>
      <c r="J34" s="106"/>
      <c r="K34" s="106"/>
    </row>
    <row r="35" spans="1:11">
      <c r="G35" s="107"/>
      <c r="I35" s="107"/>
      <c r="J35" s="107"/>
      <c r="K35" s="107"/>
    </row>
    <row r="38" spans="1:11">
      <c r="G38" s="108"/>
      <c r="I38" s="108"/>
      <c r="J38" s="108"/>
      <c r="K38" s="108"/>
    </row>
    <row r="40" spans="1:11">
      <c r="G40" s="109"/>
      <c r="I40" s="109"/>
      <c r="J40" s="109"/>
      <c r="K40" s="109"/>
    </row>
    <row r="42" spans="1:11">
      <c r="G42" s="110"/>
      <c r="I42" s="110"/>
      <c r="J42" s="110"/>
      <c r="K42" s="110"/>
    </row>
    <row r="44" spans="1:11">
      <c r="G44" s="109"/>
      <c r="I44" s="109"/>
      <c r="J44" s="109"/>
      <c r="K44" s="109"/>
    </row>
  </sheetData>
  <printOptions horizontalCentered="1"/>
  <pageMargins left="0.55118110236220474" right="0.31496062992125984" top="0.82677165354330717" bottom="0.9055118110236221" header="0.51181102362204722" footer="0.51181102362204722"/>
  <pageSetup scale="92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">
    <tabColor theme="9" tint="0.39997558519241921"/>
    <pageSetUpPr fitToPage="1"/>
  </sheetPr>
  <dimension ref="A1:R56"/>
  <sheetViews>
    <sheetView view="pageBreakPreview" zoomScaleSheetLayoutView="100" workbookViewId="0">
      <pane ySplit="7" topLeftCell="A44" activePane="bottomLeft" state="frozen"/>
      <selection activeCell="H18" sqref="H18"/>
      <selection pane="bottomLeft" activeCell="F47" sqref="F47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7.453125" style="1" customWidth="1"/>
    <col min="4" max="4" width="1.81640625" style="1" customWidth="1"/>
    <col min="5" max="5" width="9.1796875" style="4" customWidth="1"/>
    <col min="6" max="6" width="1.81640625" style="1" customWidth="1"/>
    <col min="7" max="7" width="12.26953125" style="1" customWidth="1"/>
    <col min="8" max="8" width="1.81640625" style="1" customWidth="1"/>
    <col min="9" max="11" width="11.26953125" style="1" customWidth="1"/>
    <col min="12" max="12" width="12.54296875" style="1" customWidth="1"/>
    <col min="19" max="16384" width="9.1796875" style="1"/>
  </cols>
  <sheetData>
    <row r="1" spans="1:12" ht="15">
      <c r="A1" s="9" t="s">
        <v>0</v>
      </c>
      <c r="L1" s="195" t="s">
        <v>286</v>
      </c>
    </row>
    <row r="2" spans="1:12">
      <c r="A2" s="10" t="s">
        <v>287</v>
      </c>
      <c r="L2" s="196" t="str">
        <f>'Schedule 1'!$L$2</f>
        <v>2023/24 GRA Compliance Filing</v>
      </c>
    </row>
    <row r="3" spans="1:12">
      <c r="A3" s="10" t="s">
        <v>7</v>
      </c>
    </row>
    <row r="6" spans="1:12" s="4" customFormat="1">
      <c r="G6" s="11"/>
      <c r="I6" s="11"/>
      <c r="J6" s="11"/>
      <c r="K6" s="8"/>
      <c r="L6" s="8"/>
    </row>
    <row r="7" spans="1:12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2021 GRA
Compliance</v>
      </c>
      <c r="I7" s="12" t="str">
        <f>'Schedule 1'!I7</f>
        <v>Actual 2021</v>
      </c>
      <c r="J7" s="12" t="str">
        <f>'Schedule 1'!J7</f>
        <v>Actual 2022</v>
      </c>
      <c r="K7" s="12" t="str">
        <f>'Schedule 1'!K7</f>
        <v>Forecast 2023</v>
      </c>
      <c r="L7" s="12" t="str">
        <f>'Schedule 1'!L7</f>
        <v>Forecast 2024</v>
      </c>
    </row>
    <row r="9" spans="1:12" ht="12.75" customHeight="1">
      <c r="C9" s="8" t="s">
        <v>356</v>
      </c>
    </row>
    <row r="10" spans="1:12" ht="12.75" customHeight="1">
      <c r="C10" s="67"/>
      <c r="G10" s="19"/>
      <c r="I10" s="19"/>
      <c r="J10" s="19"/>
      <c r="K10" s="19"/>
      <c r="L10" s="19"/>
    </row>
    <row r="11" spans="1:12" ht="12.75" customHeight="1">
      <c r="A11" s="1">
        <v>1</v>
      </c>
      <c r="C11" s="1" t="s">
        <v>288</v>
      </c>
      <c r="G11" s="19">
        <v>18530.76972</v>
      </c>
      <c r="I11" s="19">
        <v>18530.76972</v>
      </c>
      <c r="J11" s="19">
        <v>18193.846719999998</v>
      </c>
      <c r="K11" s="19">
        <v>17856.923719999999</v>
      </c>
      <c r="L11" s="19">
        <v>17520.00072</v>
      </c>
    </row>
    <row r="12" spans="1:12" ht="12.75" customHeight="1">
      <c r="A12" s="1">
        <f>A11+1</f>
        <v>2</v>
      </c>
      <c r="C12" s="1" t="s">
        <v>413</v>
      </c>
      <c r="G12" s="19">
        <v>7857.594420540514</v>
      </c>
      <c r="I12" s="19">
        <v>7830.8869999999997</v>
      </c>
      <c r="J12" s="19">
        <v>7413.4139999999998</v>
      </c>
      <c r="K12" s="19">
        <v>6987.2510000000002</v>
      </c>
      <c r="L12" s="19">
        <v>6552.2169999999996</v>
      </c>
    </row>
    <row r="13" spans="1:12" ht="12.75" customHeight="1">
      <c r="A13" s="1">
        <f>A12+1</f>
        <v>3</v>
      </c>
      <c r="C13" s="1" t="s">
        <v>415</v>
      </c>
      <c r="G13" s="19">
        <v>66671.87328</v>
      </c>
      <c r="I13" s="19">
        <v>66671.87328</v>
      </c>
      <c r="J13" s="19">
        <v>62988.073280000004</v>
      </c>
      <c r="K13" s="19">
        <v>59304.273280000001</v>
      </c>
      <c r="L13" s="19">
        <v>55620.473279999998</v>
      </c>
    </row>
    <row r="14" spans="1:12" ht="12.75" customHeight="1">
      <c r="A14" s="1">
        <f>A13+1</f>
        <v>4</v>
      </c>
      <c r="C14" s="1" t="s">
        <v>416</v>
      </c>
      <c r="G14" s="19">
        <v>5505</v>
      </c>
      <c r="I14" s="19">
        <v>5505</v>
      </c>
      <c r="J14" s="19">
        <v>5505</v>
      </c>
      <c r="K14" s="19">
        <v>5505</v>
      </c>
      <c r="L14" s="19">
        <v>5505</v>
      </c>
    </row>
    <row r="15" spans="1:12" ht="12.75" customHeight="1">
      <c r="A15" s="1">
        <f>A14+1</f>
        <v>5</v>
      </c>
      <c r="C15" s="1" t="s">
        <v>417</v>
      </c>
      <c r="G15" s="19">
        <v>15948.14704</v>
      </c>
      <c r="I15" s="19">
        <v>15948.14704</v>
      </c>
      <c r="J15" s="19">
        <v>15108.770879999998</v>
      </c>
      <c r="K15" s="19">
        <v>14269.394719999998</v>
      </c>
      <c r="L15" s="19">
        <v>13430.018559999999</v>
      </c>
    </row>
    <row r="16" spans="1:12" ht="12.75" customHeight="1">
      <c r="A16" s="1">
        <f>A15+1</f>
        <v>6</v>
      </c>
      <c r="C16" s="1" t="s">
        <v>414</v>
      </c>
      <c r="G16" s="19">
        <v>12136</v>
      </c>
      <c r="I16" s="19">
        <v>12136</v>
      </c>
      <c r="J16" s="19">
        <v>12136</v>
      </c>
      <c r="K16" s="19">
        <v>12136</v>
      </c>
      <c r="L16" s="19">
        <v>12136</v>
      </c>
    </row>
    <row r="17" spans="1:12" ht="12.75" customHeight="1">
      <c r="A17" s="1">
        <f>A16+1</f>
        <v>7</v>
      </c>
      <c r="C17" s="1" t="s">
        <v>413</v>
      </c>
      <c r="G17" s="19">
        <v>21553.985000000001</v>
      </c>
      <c r="I17" s="19">
        <v>21527.346000000001</v>
      </c>
      <c r="J17" s="19">
        <v>20843.112000000001</v>
      </c>
      <c r="K17" s="19">
        <v>20135.260999999999</v>
      </c>
      <c r="L17" s="19">
        <v>19402.978999999999</v>
      </c>
    </row>
    <row r="18" spans="1:12" ht="12.75" customHeight="1">
      <c r="A18" s="1">
        <f>A17+1</f>
        <v>8</v>
      </c>
      <c r="C18" s="1" t="s">
        <v>413</v>
      </c>
      <c r="G18" s="19">
        <v>6303.4709999999995</v>
      </c>
      <c r="I18" s="19">
        <v>6295.4759999999997</v>
      </c>
      <c r="J18" s="19">
        <v>6088.8389999999999</v>
      </c>
      <c r="K18" s="19">
        <v>5876.6790000000001</v>
      </c>
      <c r="L18" s="19">
        <v>5658.8459999999995</v>
      </c>
    </row>
    <row r="19" spans="1:12" ht="12.75" customHeight="1">
      <c r="A19" s="1">
        <f>A18+1</f>
        <v>9</v>
      </c>
      <c r="C19" s="1" t="s">
        <v>418</v>
      </c>
      <c r="G19" s="19">
        <v>2871</v>
      </c>
      <c r="I19" s="19">
        <v>2871</v>
      </c>
      <c r="J19" s="19">
        <v>2871</v>
      </c>
      <c r="K19" s="19">
        <v>2871</v>
      </c>
      <c r="L19" s="19">
        <v>2871</v>
      </c>
    </row>
    <row r="20" spans="1:12" ht="12.75" customHeight="1">
      <c r="A20" s="1">
        <f>A19+1</f>
        <v>10</v>
      </c>
      <c r="C20" s="1" t="s">
        <v>350</v>
      </c>
      <c r="G20" s="19">
        <v>12715</v>
      </c>
      <c r="I20" s="19">
        <v>4640.0200000000004</v>
      </c>
      <c r="J20" s="19">
        <v>4488.2120000000004</v>
      </c>
      <c r="K20" s="19">
        <v>4333.2539999999999</v>
      </c>
      <c r="L20" s="19">
        <v>4175.0810000000001</v>
      </c>
    </row>
    <row r="21" spans="1:12" ht="12.75" customHeight="1">
      <c r="A21" s="1">
        <f>A20+1</f>
        <v>11</v>
      </c>
      <c r="C21" s="1" t="s">
        <v>358</v>
      </c>
      <c r="G21" s="19">
        <v>8759.7450000000008</v>
      </c>
      <c r="I21" s="19">
        <v>3958.7449999999999</v>
      </c>
      <c r="J21" s="19">
        <v>3958.7449999999999</v>
      </c>
      <c r="K21" s="19">
        <v>3958.7449999999999</v>
      </c>
      <c r="L21" s="19">
        <v>3958.7449999999999</v>
      </c>
    </row>
    <row r="22" spans="1:12" ht="12.75" customHeight="1">
      <c r="A22" s="1">
        <f>A21+1</f>
        <v>12</v>
      </c>
      <c r="C22" s="1" t="s">
        <v>351</v>
      </c>
      <c r="G22" s="19">
        <f>F22</f>
        <v>0</v>
      </c>
      <c r="I22" s="19">
        <v>7517.692</v>
      </c>
      <c r="J22" s="19">
        <v>7301.3459999999995</v>
      </c>
      <c r="K22" s="19">
        <v>7078.6790000000001</v>
      </c>
      <c r="L22" s="19">
        <v>6849.5069999999996</v>
      </c>
    </row>
    <row r="23" spans="1:12" ht="12.75" customHeight="1">
      <c r="A23" s="1">
        <f>A22+1</f>
        <v>13</v>
      </c>
      <c r="C23" s="1" t="s">
        <v>352</v>
      </c>
      <c r="G23" s="19">
        <v>1648.312882516097</v>
      </c>
      <c r="I23" s="19">
        <v>0</v>
      </c>
      <c r="J23" s="19">
        <v>17913.993999999999</v>
      </c>
      <c r="K23" s="19">
        <v>17598.021000000001</v>
      </c>
      <c r="L23" s="19">
        <v>17268.931</v>
      </c>
    </row>
    <row r="24" spans="1:12" ht="12.75" customHeight="1">
      <c r="A24" s="1">
        <f>A23+1</f>
        <v>14</v>
      </c>
      <c r="C24" s="1" t="s">
        <v>353</v>
      </c>
      <c r="G24" s="19"/>
      <c r="I24" s="19">
        <v>0</v>
      </c>
      <c r="J24" s="19">
        <v>0</v>
      </c>
      <c r="K24" s="19">
        <v>28873.613182975794</v>
      </c>
      <c r="L24" s="19">
        <v>28873.613182975794</v>
      </c>
    </row>
    <row r="25" spans="1:12" ht="12.75" customHeight="1">
      <c r="A25" s="1">
        <f>A24+1</f>
        <v>15</v>
      </c>
      <c r="C25" s="1" t="s">
        <v>354</v>
      </c>
      <c r="G25" s="19"/>
      <c r="I25" s="19">
        <v>0</v>
      </c>
      <c r="J25" s="19">
        <v>0</v>
      </c>
      <c r="K25" s="19">
        <v>0</v>
      </c>
      <c r="L25" s="19">
        <v>33561.277350582997</v>
      </c>
    </row>
    <row r="26" spans="1:12" ht="12.75" customHeight="1">
      <c r="A26" s="1">
        <f>A25+1</f>
        <v>16</v>
      </c>
      <c r="C26" s="1" t="s">
        <v>289</v>
      </c>
      <c r="G26" s="19">
        <v>2815.6821380665024</v>
      </c>
      <c r="I26" s="19">
        <v>2812.0384992828463</v>
      </c>
      <c r="J26" s="19">
        <v>2843.0371652137956</v>
      </c>
      <c r="K26" s="19">
        <v>2976.3732078907974</v>
      </c>
      <c r="L26" s="19">
        <v>3086.8127297745518</v>
      </c>
    </row>
    <row r="27" spans="1:12">
      <c r="G27" s="19"/>
      <c r="I27" s="19"/>
      <c r="J27" s="19"/>
      <c r="K27" s="19"/>
      <c r="L27" s="19"/>
    </row>
    <row r="28" spans="1:12" ht="12.75" customHeight="1">
      <c r="A28" s="1">
        <f>A26+1</f>
        <v>17</v>
      </c>
      <c r="C28" s="1" t="s">
        <v>26</v>
      </c>
      <c r="G28" s="19">
        <f>SUM(G11:G27)</f>
        <v>183316.58048112309</v>
      </c>
      <c r="I28" s="19">
        <f>SUM(I11:I27)</f>
        <v>176244.99453928284</v>
      </c>
      <c r="J28" s="19">
        <f>SUM(J11:J27)</f>
        <v>187653.39004521378</v>
      </c>
      <c r="K28" s="19">
        <f>SUM(K11:K27)</f>
        <v>209760.46811086661</v>
      </c>
      <c r="L28" s="19">
        <f>SUM(L11:L27)</f>
        <v>236470.50182333332</v>
      </c>
    </row>
    <row r="29" spans="1:12" ht="12.75" customHeight="1">
      <c r="A29" s="1">
        <f>A28+1</f>
        <v>18</v>
      </c>
      <c r="C29" s="1" t="s">
        <v>27</v>
      </c>
      <c r="G29" s="43">
        <v>187735.7374206224</v>
      </c>
      <c r="I29" s="43">
        <v>174995.24883557769</v>
      </c>
      <c r="J29" s="43">
        <f>I28</f>
        <v>176244.99453928284</v>
      </c>
      <c r="K29" s="43">
        <f>J28</f>
        <v>187653.39004521378</v>
      </c>
      <c r="L29" s="43">
        <f>K28</f>
        <v>209760.46811086661</v>
      </c>
    </row>
    <row r="30" spans="1:12">
      <c r="A30" s="1">
        <f>A29+1</f>
        <v>19</v>
      </c>
      <c r="C30" s="1" t="s">
        <v>290</v>
      </c>
      <c r="G30" s="19">
        <f>(G29+G28)/2</f>
        <v>185526.15895087275</v>
      </c>
      <c r="I30" s="19">
        <f>(I29+I28)/2</f>
        <v>175620.12168743025</v>
      </c>
      <c r="J30" s="19">
        <f>(J29+J28)/2</f>
        <v>181949.19229224831</v>
      </c>
      <c r="K30" s="19">
        <f>(K29+K28)/2</f>
        <v>198706.92907804018</v>
      </c>
      <c r="L30" s="19">
        <f>(L29+L28)/2</f>
        <v>223115.48496709997</v>
      </c>
    </row>
    <row r="32" spans="1:12">
      <c r="C32" s="81"/>
      <c r="D32" s="81"/>
      <c r="E32" s="82"/>
      <c r="F32" s="81"/>
      <c r="G32" s="83"/>
      <c r="H32" s="81"/>
      <c r="I32" s="83"/>
      <c r="J32" s="83"/>
      <c r="K32" s="83"/>
      <c r="L32" s="83"/>
    </row>
    <row r="33" spans="1:12">
      <c r="C33" s="8" t="s">
        <v>357</v>
      </c>
      <c r="E33" s="1"/>
    </row>
    <row r="35" spans="1:12">
      <c r="A35" s="1">
        <f>A30+1</f>
        <v>20</v>
      </c>
      <c r="C35" s="1" t="str">
        <f t="shared" ref="C35:C41" si="0">C11</f>
        <v>YDC Mayo B Flexible Term Debt</v>
      </c>
      <c r="G35" s="19">
        <v>1030.1760034019999</v>
      </c>
      <c r="I35" s="19">
        <v>1030.1760034019999</v>
      </c>
      <c r="J35" s="19">
        <v>1011.7800037799999</v>
      </c>
      <c r="K35" s="19">
        <v>993.38400415799993</v>
      </c>
      <c r="L35" s="19">
        <v>974.98800453599983</v>
      </c>
    </row>
    <row r="36" spans="1:12">
      <c r="A36" s="1">
        <f t="shared" ref="A36:A51" si="1">A35+1</f>
        <v>21</v>
      </c>
      <c r="C36" s="1" t="str">
        <f t="shared" si="0"/>
        <v>TD Bank Swap</v>
      </c>
      <c r="G36" s="19">
        <v>217.04362</v>
      </c>
      <c r="I36" s="19">
        <v>166.05500619833333</v>
      </c>
      <c r="J36" s="19">
        <v>157.54190105833331</v>
      </c>
      <c r="K36" s="19">
        <v>148.85198763833333</v>
      </c>
      <c r="L36" s="19">
        <v>139.98098698666666</v>
      </c>
    </row>
    <row r="37" spans="1:12">
      <c r="A37" s="1">
        <f t="shared" si="1"/>
        <v>22</v>
      </c>
      <c r="C37" s="1" t="str">
        <f t="shared" si="0"/>
        <v>YDC $92.5M Debt</v>
      </c>
      <c r="G37" s="19">
        <v>1885.5320439040004</v>
      </c>
      <c r="I37" s="19">
        <v>1885.5320439040004</v>
      </c>
      <c r="J37" s="19">
        <v>1786.8062039040003</v>
      </c>
      <c r="K37" s="19">
        <v>1688.080363904</v>
      </c>
      <c r="L37" s="19">
        <v>1589.3545239040006</v>
      </c>
    </row>
    <row r="38" spans="1:12">
      <c r="A38" s="1">
        <f t="shared" si="1"/>
        <v>23</v>
      </c>
      <c r="C38" s="1" t="str">
        <f t="shared" si="0"/>
        <v>YDC $5.5M Debt</v>
      </c>
      <c r="G38" s="19">
        <v>132.12</v>
      </c>
      <c r="I38" s="19">
        <v>132.12</v>
      </c>
      <c r="J38" s="19">
        <v>132.12</v>
      </c>
      <c r="K38" s="19">
        <v>132.12</v>
      </c>
      <c r="L38" s="19">
        <v>132.12</v>
      </c>
    </row>
    <row r="39" spans="1:12">
      <c r="A39" s="1">
        <f t="shared" si="1"/>
        <v>24</v>
      </c>
      <c r="C39" s="1" t="str">
        <f t="shared" si="0"/>
        <v>YDC $21.0M Debt</v>
      </c>
      <c r="G39" s="19">
        <v>371.00426271999999</v>
      </c>
      <c r="I39" s="19">
        <v>371.00426271999999</v>
      </c>
      <c r="J39" s="19">
        <v>352.45404958400002</v>
      </c>
      <c r="K39" s="19">
        <v>333.90383644799999</v>
      </c>
      <c r="L39" s="19">
        <v>315.35362331200002</v>
      </c>
    </row>
    <row r="40" spans="1:12">
      <c r="A40" s="1">
        <f t="shared" si="1"/>
        <v>25</v>
      </c>
      <c r="C40" s="1" t="str">
        <f t="shared" si="0"/>
        <v>YDC $12.1M Debt</v>
      </c>
      <c r="G40" s="19">
        <v>254.85600000000005</v>
      </c>
      <c r="I40" s="19">
        <v>254.85600000000005</v>
      </c>
      <c r="J40" s="19">
        <v>254.85600000000005</v>
      </c>
      <c r="K40" s="19">
        <v>358.012</v>
      </c>
      <c r="L40" s="19">
        <v>358.99285479452055</v>
      </c>
    </row>
    <row r="41" spans="1:12">
      <c r="A41" s="1">
        <f t="shared" si="1"/>
        <v>26</v>
      </c>
      <c r="C41" s="1" t="str">
        <f t="shared" si="0"/>
        <v>TD Bank Swap</v>
      </c>
      <c r="G41" s="19">
        <v>802.73423903749995</v>
      </c>
      <c r="I41" s="19">
        <v>743.73608335333324</v>
      </c>
      <c r="J41" s="19">
        <v>720.90907396833347</v>
      </c>
      <c r="K41" s="19">
        <v>697.29228448166668</v>
      </c>
      <c r="L41" s="19">
        <v>672.86135824000007</v>
      </c>
    </row>
    <row r="42" spans="1:12">
      <c r="A42" s="1">
        <f t="shared" si="1"/>
        <v>27</v>
      </c>
      <c r="C42" s="1" t="s">
        <v>413</v>
      </c>
      <c r="G42" s="19">
        <v>185.81168523666668</v>
      </c>
      <c r="I42" s="19">
        <v>169.15419029583336</v>
      </c>
      <c r="J42" s="19">
        <v>163.77418498666668</v>
      </c>
      <c r="K42" s="19">
        <v>158.25036402250004</v>
      </c>
      <c r="L42" s="19">
        <v>152.57887374416666</v>
      </c>
    </row>
    <row r="43" spans="1:12">
      <c r="A43" s="1">
        <f t="shared" si="1"/>
        <v>28</v>
      </c>
      <c r="C43" s="1" t="s">
        <v>418</v>
      </c>
      <c r="G43" s="19">
        <v>83.230289999999997</v>
      </c>
      <c r="I43" s="19">
        <v>83.230289999999997</v>
      </c>
      <c r="J43" s="19">
        <v>83.230289999999997</v>
      </c>
      <c r="K43" s="19">
        <v>83.230289999999997</v>
      </c>
      <c r="L43" s="19">
        <v>83.230289999999997</v>
      </c>
    </row>
    <row r="44" spans="1:12">
      <c r="A44" s="1">
        <f t="shared" si="1"/>
        <v>29</v>
      </c>
      <c r="C44" s="1" t="s">
        <v>350</v>
      </c>
      <c r="G44" s="19">
        <v>278.462012961563</v>
      </c>
      <c r="I44" s="19">
        <v>97.013087324999987</v>
      </c>
      <c r="J44" s="19">
        <v>93.928607874999997</v>
      </c>
      <c r="K44" s="19">
        <v>90.778648875000016</v>
      </c>
      <c r="L44" s="19">
        <v>87.564097999999973</v>
      </c>
    </row>
    <row r="45" spans="1:12">
      <c r="A45" s="1">
        <f t="shared" si="1"/>
        <v>30</v>
      </c>
      <c r="C45" s="1" t="s">
        <v>358</v>
      </c>
      <c r="G45" s="19">
        <v>191.8384155</v>
      </c>
      <c r="I45" s="19">
        <v>61.756422000000001</v>
      </c>
      <c r="J45" s="19">
        <v>61.756422000000001</v>
      </c>
      <c r="K45" s="19">
        <v>61.756422000000001</v>
      </c>
      <c r="L45" s="19">
        <v>61.756422000000001</v>
      </c>
    </row>
    <row r="46" spans="1:12">
      <c r="A46" s="1">
        <f t="shared" si="1"/>
        <v>31</v>
      </c>
      <c r="C46" s="1" t="s">
        <v>351</v>
      </c>
      <c r="G46" s="19">
        <v>0</v>
      </c>
      <c r="I46" s="19">
        <v>146.01662717999997</v>
      </c>
      <c r="J46" s="19">
        <v>213.89118987750001</v>
      </c>
      <c r="K46" s="19">
        <v>207.57083702750003</v>
      </c>
      <c r="L46" s="19">
        <v>201.06583763749995</v>
      </c>
    </row>
    <row r="47" spans="1:12">
      <c r="A47" s="1">
        <f t="shared" si="1"/>
        <v>32</v>
      </c>
      <c r="C47" s="1" t="s">
        <v>352</v>
      </c>
      <c r="G47" s="19"/>
      <c r="I47" s="19">
        <v>0</v>
      </c>
      <c r="J47" s="19">
        <v>182.97749036000002</v>
      </c>
      <c r="K47" s="19">
        <v>723.95942482500004</v>
      </c>
      <c r="L47" s="19">
        <v>710.84356546000004</v>
      </c>
    </row>
    <row r="48" spans="1:12">
      <c r="A48" s="1">
        <f t="shared" si="1"/>
        <v>33</v>
      </c>
      <c r="C48" s="1" t="s">
        <v>353</v>
      </c>
      <c r="G48" s="19"/>
      <c r="I48" s="19">
        <v>0</v>
      </c>
      <c r="J48" s="19">
        <v>0</v>
      </c>
      <c r="K48" s="19">
        <v>716.08142809570802</v>
      </c>
      <c r="L48" s="19">
        <v>1221.353837639876</v>
      </c>
    </row>
    <row r="49" spans="1:12">
      <c r="A49" s="1">
        <f t="shared" si="1"/>
        <v>34</v>
      </c>
      <c r="C49" s="1" t="s">
        <v>354</v>
      </c>
      <c r="G49" s="19"/>
      <c r="I49" s="19">
        <v>0</v>
      </c>
      <c r="J49" s="19">
        <v>0</v>
      </c>
      <c r="K49" s="19">
        <v>0</v>
      </c>
      <c r="L49" s="19">
        <v>832.33806803547213</v>
      </c>
    </row>
    <row r="50" spans="1:12">
      <c r="A50" s="1">
        <f t="shared" si="1"/>
        <v>35</v>
      </c>
      <c r="C50" s="1" t="str">
        <f>C26</f>
        <v>Minto Decommissioning Reserve</v>
      </c>
      <c r="G50" s="19">
        <v>15.748015856760089</v>
      </c>
      <c r="I50" s="19">
        <v>12.500863705153577</v>
      </c>
      <c r="J50" s="19">
        <v>30.998665930949151</v>
      </c>
      <c r="K50" s="19">
        <v>133.33604267700204</v>
      </c>
      <c r="L50" s="19">
        <v>110.43952188375452</v>
      </c>
    </row>
    <row r="51" spans="1:12">
      <c r="A51" s="1">
        <f t="shared" si="1"/>
        <v>36</v>
      </c>
      <c r="C51" s="1" t="s">
        <v>355</v>
      </c>
      <c r="G51" s="19"/>
      <c r="I51" s="19">
        <v>0</v>
      </c>
      <c r="J51" s="19">
        <v>2.2813757194236133</v>
      </c>
      <c r="K51" s="19">
        <v>6.0212908374412475</v>
      </c>
      <c r="L51" s="19">
        <v>4.7264925790540762</v>
      </c>
    </row>
    <row r="52" spans="1:12">
      <c r="C52" s="84"/>
      <c r="G52" s="19"/>
      <c r="I52" s="19"/>
      <c r="J52" s="19"/>
      <c r="K52" s="19"/>
      <c r="L52" s="19"/>
    </row>
    <row r="53" spans="1:12">
      <c r="A53" s="1">
        <f>A51+1</f>
        <v>37</v>
      </c>
      <c r="C53" s="8" t="s">
        <v>291</v>
      </c>
      <c r="G53" s="19">
        <f>SUM(G35:G52)</f>
        <v>5448.5565886184913</v>
      </c>
      <c r="I53" s="19">
        <f>SUM(I35:I52)</f>
        <v>5153.1508800836546</v>
      </c>
      <c r="J53" s="19">
        <f>SUM(J35:J52)</f>
        <v>5249.305459044208</v>
      </c>
      <c r="K53" s="19">
        <f>SUM(K35:K52)</f>
        <v>6532.6292249901544</v>
      </c>
      <c r="L53" s="19">
        <f>SUM(L35:L52)</f>
        <v>7649.5483587530107</v>
      </c>
    </row>
    <row r="55" spans="1:12">
      <c r="A55" s="1">
        <f>A53+1</f>
        <v>38</v>
      </c>
      <c r="C55" s="1" t="s">
        <v>292</v>
      </c>
      <c r="G55" s="86">
        <f>G53/G30</f>
        <v>2.9368131262078611E-2</v>
      </c>
      <c r="I55" s="86">
        <f>I53/I30</f>
        <v>2.9342599416115105E-2</v>
      </c>
      <c r="J55" s="86">
        <f>J53/J30</f>
        <v>2.8850391655560251E-2</v>
      </c>
      <c r="K55" s="86">
        <f>K53/K30</f>
        <v>3.2875699178182803E-2</v>
      </c>
      <c r="L55" s="86">
        <f>L53/L30</f>
        <v>3.4285152193183691E-2</v>
      </c>
    </row>
    <row r="56" spans="1:12">
      <c r="G56" s="85"/>
      <c r="I56" s="85"/>
      <c r="J56" s="86"/>
      <c r="K56" s="86"/>
      <c r="L56" s="85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92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  <pageSetUpPr fitToPage="1"/>
  </sheetPr>
  <dimension ref="A1:AD52"/>
  <sheetViews>
    <sheetView view="pageBreakPreview" zoomScaleNormal="100" zoomScaleSheetLayoutView="100" workbookViewId="0">
      <pane ySplit="7" topLeftCell="A28" activePane="bottomLeft" state="frozen"/>
      <selection activeCell="H18" sqref="H18"/>
      <selection pane="bottomLeft" activeCell="A29" sqref="A29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42.26953125" style="1" customWidth="1"/>
    <col min="4" max="4" width="1.81640625" style="1" customWidth="1"/>
    <col min="5" max="5" width="9.1796875" style="4" customWidth="1"/>
    <col min="6" max="6" width="1.81640625" style="1" customWidth="1"/>
    <col min="7" max="7" width="12.6328125" style="1" customWidth="1"/>
    <col min="8" max="8" width="1.81640625" style="1" customWidth="1"/>
    <col min="9" max="11" width="11.26953125" style="1" customWidth="1"/>
    <col min="12" max="12" width="12.7265625" style="1" customWidth="1"/>
    <col min="21" max="16384" width="9.1796875" style="1"/>
  </cols>
  <sheetData>
    <row r="1" spans="1:12" ht="15">
      <c r="A1" s="9" t="s">
        <v>0</v>
      </c>
      <c r="L1" s="195" t="s">
        <v>5</v>
      </c>
    </row>
    <row r="2" spans="1:12">
      <c r="A2" s="10" t="s">
        <v>6</v>
      </c>
      <c r="L2" s="196" t="s">
        <v>487</v>
      </c>
    </row>
    <row r="3" spans="1:12">
      <c r="A3" s="10" t="s">
        <v>7</v>
      </c>
    </row>
    <row r="4" spans="1:12">
      <c r="A4" s="10"/>
    </row>
    <row r="5" spans="1:12">
      <c r="A5" s="10"/>
    </row>
    <row r="6" spans="1:12" s="4" customFormat="1">
      <c r="G6" s="11"/>
      <c r="I6" s="11"/>
      <c r="J6" s="11"/>
      <c r="K6" s="8"/>
      <c r="L6" s="1"/>
    </row>
    <row r="7" spans="1:12" s="13" customFormat="1" ht="25">
      <c r="A7" s="12" t="s">
        <v>8</v>
      </c>
      <c r="C7" s="12" t="s">
        <v>9</v>
      </c>
      <c r="E7" s="12" t="s">
        <v>10</v>
      </c>
      <c r="G7" s="12" t="s">
        <v>336</v>
      </c>
      <c r="I7" s="12" t="s">
        <v>346</v>
      </c>
      <c r="J7" s="12" t="s">
        <v>373</v>
      </c>
      <c r="K7" s="12" t="s">
        <v>347</v>
      </c>
      <c r="L7" s="12" t="s">
        <v>348</v>
      </c>
    </row>
    <row r="9" spans="1:12">
      <c r="A9" s="1">
        <v>1</v>
      </c>
      <c r="C9" s="8" t="s">
        <v>11</v>
      </c>
    </row>
    <row r="10" spans="1:12">
      <c r="A10" s="1">
        <f>A9+1</f>
        <v>2</v>
      </c>
      <c r="C10" s="1" t="s">
        <v>12</v>
      </c>
      <c r="E10" s="4" t="s">
        <v>318</v>
      </c>
      <c r="G10" s="14">
        <f>'Schedule 3'!G13</f>
        <v>728281.80911846145</v>
      </c>
      <c r="I10" s="14">
        <f>'Schedule 3'!I13</f>
        <v>691597.64155000006</v>
      </c>
      <c r="J10" s="14">
        <f>'Schedule 3'!J13</f>
        <v>735254.06204999995</v>
      </c>
      <c r="K10" s="14">
        <f>'Schedule 3'!K13</f>
        <v>799031.29677999986</v>
      </c>
      <c r="L10" s="14">
        <f>'Schedule 3'!L13</f>
        <v>891508.96603999985</v>
      </c>
    </row>
    <row r="11" spans="1:12">
      <c r="E11" s="4" t="s">
        <v>13</v>
      </c>
      <c r="G11" s="14"/>
      <c r="I11" s="14"/>
      <c r="J11" s="14"/>
      <c r="K11" s="14"/>
      <c r="L11" s="14"/>
    </row>
    <row r="12" spans="1:12">
      <c r="C12" s="1" t="s">
        <v>14</v>
      </c>
      <c r="G12" s="14"/>
      <c r="I12" s="14"/>
      <c r="J12" s="14"/>
      <c r="K12" s="14"/>
      <c r="L12" s="14"/>
    </row>
    <row r="13" spans="1:12">
      <c r="A13" s="1">
        <f>A10+1</f>
        <v>3</v>
      </c>
      <c r="C13" s="1" t="s">
        <v>15</v>
      </c>
      <c r="E13" s="4" t="s">
        <v>202</v>
      </c>
      <c r="G13" s="14">
        <f>'Schedule 3'!G19</f>
        <v>198403.27302694708</v>
      </c>
      <c r="I13" s="14">
        <f>'Schedule 3'!I19</f>
        <v>198509.39069999999</v>
      </c>
      <c r="J13" s="14">
        <f>'Schedule 3'!J19</f>
        <v>211204.98384999999</v>
      </c>
      <c r="K13" s="14">
        <f>'Schedule 3'!K19</f>
        <v>223323.00612999999</v>
      </c>
      <c r="L13" s="14">
        <f>'Schedule 3'!L19</f>
        <v>238671.18309000001</v>
      </c>
    </row>
    <row r="14" spans="1:12">
      <c r="G14" s="14"/>
      <c r="I14" s="14"/>
      <c r="J14" s="14"/>
      <c r="K14" s="14"/>
      <c r="L14" s="14"/>
    </row>
    <row r="15" spans="1:12">
      <c r="A15" s="1">
        <f>A13+1</f>
        <v>4</v>
      </c>
      <c r="C15" s="1" t="s">
        <v>16</v>
      </c>
      <c r="E15" s="4" t="s">
        <v>19</v>
      </c>
      <c r="G15" s="14">
        <f>'Schedule 3'!G26</f>
        <v>40571.94255</v>
      </c>
      <c r="I15" s="14">
        <f>'Schedule 3'!I26</f>
        <v>3808.3901400000004</v>
      </c>
      <c r="J15" s="14">
        <f>'Schedule 3'!J26</f>
        <v>33637.833770000005</v>
      </c>
      <c r="K15" s="14">
        <f>'Schedule 3'!K26</f>
        <v>80910.87387000001</v>
      </c>
      <c r="L15" s="14">
        <f>'Schedule 3'!L26</f>
        <v>116829.42595999998</v>
      </c>
    </row>
    <row r="16" spans="1:12">
      <c r="A16" s="1">
        <f>A15+1</f>
        <v>5</v>
      </c>
      <c r="C16" s="1" t="s">
        <v>18</v>
      </c>
      <c r="E16" s="4" t="s">
        <v>17</v>
      </c>
      <c r="G16" s="14">
        <f>'Schedule 3'!G24</f>
        <v>12152.327230000001</v>
      </c>
      <c r="I16" s="14">
        <f>'Schedule 3'!I24</f>
        <v>14406.105322361109</v>
      </c>
      <c r="J16" s="14">
        <f>'Schedule 3'!J24</f>
        <v>13688.135814027775</v>
      </c>
      <c r="K16" s="14">
        <f>'Schedule 3'!K24</f>
        <v>905.19606955555514</v>
      </c>
      <c r="L16" s="14">
        <f>'Schedule 3'!L24</f>
        <v>854.0401621111107</v>
      </c>
    </row>
    <row r="17" spans="1:30">
      <c r="A17" s="1">
        <f>A16+1</f>
        <v>6</v>
      </c>
      <c r="C17" s="1" t="s">
        <v>20</v>
      </c>
      <c r="E17" s="4" t="s">
        <v>420</v>
      </c>
      <c r="G17" s="17">
        <f>'Schedule 3'!G33</f>
        <v>7608.9731785037347</v>
      </c>
      <c r="I17" s="17">
        <f>'Schedule 3'!I33</f>
        <v>7622.6012945037346</v>
      </c>
      <c r="J17" s="17">
        <f>'Schedule 3'!J33</f>
        <v>13283.302338098914</v>
      </c>
      <c r="K17" s="17">
        <f>'Schedule 3'!K33</f>
        <v>2078.7731599999993</v>
      </c>
      <c r="L17" s="17">
        <f>'Schedule 3'!L33</f>
        <v>1750.8411599999995</v>
      </c>
    </row>
    <row r="18" spans="1:30">
      <c r="A18" s="1">
        <f>A17+1</f>
        <v>7</v>
      </c>
      <c r="C18" s="1" t="s">
        <v>21</v>
      </c>
      <c r="G18" s="14">
        <f>SUM(G13:G17)</f>
        <v>258736.51598545082</v>
      </c>
      <c r="I18" s="14">
        <f>SUM(I13:I17)</f>
        <v>224346.48745686482</v>
      </c>
      <c r="J18" s="14">
        <f>SUM(J13:J17)</f>
        <v>271814.25577212666</v>
      </c>
      <c r="K18" s="14">
        <f>SUM(K13:K17)</f>
        <v>307217.84922955552</v>
      </c>
      <c r="L18" s="14">
        <f>SUM(L13:L17)</f>
        <v>358105.49037211109</v>
      </c>
    </row>
    <row r="19" spans="1:30">
      <c r="G19" s="14"/>
      <c r="I19" s="14"/>
      <c r="J19" s="14"/>
      <c r="K19" s="14"/>
      <c r="L19" s="14"/>
    </row>
    <row r="20" spans="1:30">
      <c r="C20" s="1" t="s">
        <v>22</v>
      </c>
      <c r="G20" s="14"/>
      <c r="I20" s="14"/>
      <c r="J20" s="14"/>
      <c r="K20" s="14"/>
      <c r="L20" s="14"/>
      <c r="U20" s="14"/>
      <c r="V20" s="14"/>
      <c r="W20" s="14"/>
      <c r="X20" s="14"/>
      <c r="Y20" s="14"/>
      <c r="Z20" s="14"/>
      <c r="AB20" s="14"/>
      <c r="AC20" s="14"/>
      <c r="AD20" s="14"/>
    </row>
    <row r="21" spans="1:30">
      <c r="A21" s="1">
        <f>A18+1</f>
        <v>8</v>
      </c>
      <c r="C21" s="1" t="s">
        <v>411</v>
      </c>
      <c r="E21" s="4" t="s">
        <v>421</v>
      </c>
      <c r="G21" s="15">
        <f>'Schedule 3'!G113</f>
        <v>44228.610902888897</v>
      </c>
      <c r="I21" s="15">
        <f>'Schedule 3'!I113</f>
        <v>42172.886250999996</v>
      </c>
      <c r="J21" s="15">
        <f>'Schedule 3'!J113</f>
        <v>43509.031560999996</v>
      </c>
      <c r="K21" s="15">
        <f>'Schedule 3'!K113</f>
        <v>53612.503650999999</v>
      </c>
      <c r="L21" s="15">
        <f>'Schedule 3'!L113</f>
        <v>64819.315311000006</v>
      </c>
      <c r="U21" s="14"/>
      <c r="V21" s="14"/>
      <c r="X21" s="14"/>
      <c r="Y21" s="14"/>
      <c r="Z21" s="14"/>
      <c r="AB21" s="14"/>
      <c r="AC21" s="14"/>
      <c r="AD21" s="14"/>
    </row>
    <row r="22" spans="1:30">
      <c r="A22" s="1">
        <f>A21+1</f>
        <v>9</v>
      </c>
      <c r="C22" s="1" t="s">
        <v>412</v>
      </c>
      <c r="E22" s="4" t="s">
        <v>479</v>
      </c>
      <c r="G22" s="15">
        <f>'Schedule 3'!G115</f>
        <v>30489.241899999997</v>
      </c>
      <c r="I22" s="15">
        <f>'Schedule 3'!I115</f>
        <v>29343.424080000001</v>
      </c>
      <c r="J22" s="15">
        <f>'Schedule 3'!J115</f>
        <v>19476.114099999999</v>
      </c>
      <c r="K22" s="15">
        <f>'Schedule 3'!K115</f>
        <v>25985.702689999998</v>
      </c>
      <c r="L22" s="15">
        <f>'Schedule 3'!L115</f>
        <v>38780.100539999999</v>
      </c>
      <c r="U22" s="14"/>
      <c r="V22" s="14"/>
      <c r="X22" s="14"/>
      <c r="Y22" s="14"/>
      <c r="Z22" s="14"/>
      <c r="AB22" s="14"/>
      <c r="AC22" s="14"/>
      <c r="AD22" s="14"/>
    </row>
    <row r="23" spans="1:30">
      <c r="A23" s="1">
        <f>A22+1</f>
        <v>10</v>
      </c>
      <c r="C23" s="1" t="s">
        <v>24</v>
      </c>
      <c r="G23" s="18">
        <f>G21-G22</f>
        <v>13739.3690028889</v>
      </c>
      <c r="I23" s="18">
        <f>I21-I22</f>
        <v>12829.462170999996</v>
      </c>
      <c r="J23" s="18">
        <f>J21-J22</f>
        <v>24032.917460999997</v>
      </c>
      <c r="K23" s="18">
        <f>K21-K22</f>
        <v>27626.800961000001</v>
      </c>
      <c r="L23" s="18">
        <f>L21-L22</f>
        <v>26039.214771000006</v>
      </c>
      <c r="U23" s="16"/>
      <c r="V23" s="16"/>
      <c r="X23" s="16"/>
      <c r="Y23" s="16"/>
      <c r="Z23" s="16"/>
      <c r="AB23" s="16"/>
      <c r="AC23" s="16"/>
      <c r="AD23" s="16"/>
    </row>
    <row r="24" spans="1:30">
      <c r="G24" s="15"/>
      <c r="I24" s="15"/>
      <c r="J24" s="15"/>
      <c r="K24" s="15"/>
      <c r="L24" s="15"/>
      <c r="U24" s="14"/>
      <c r="V24" s="14"/>
      <c r="X24" s="14"/>
      <c r="Y24" s="14"/>
      <c r="Z24" s="14"/>
      <c r="AB24" s="14"/>
      <c r="AC24" s="14"/>
      <c r="AD24" s="14"/>
    </row>
    <row r="25" spans="1:30">
      <c r="C25" s="8" t="s">
        <v>25</v>
      </c>
      <c r="G25" s="14"/>
      <c r="I25" s="14"/>
      <c r="J25" s="14"/>
      <c r="K25" s="14"/>
      <c r="L25" s="14"/>
      <c r="X25" s="16"/>
      <c r="Y25" s="16"/>
      <c r="Z25" s="16"/>
      <c r="AC25" s="16"/>
      <c r="AD25" s="16"/>
    </row>
    <row r="26" spans="1:30">
      <c r="A26" s="1">
        <f>A23+1</f>
        <v>11</v>
      </c>
      <c r="C26" s="1" t="s">
        <v>26</v>
      </c>
      <c r="E26" s="4" t="s">
        <v>480</v>
      </c>
      <c r="G26" s="14">
        <f>G10-G18+G23</f>
        <v>483284.66213589953</v>
      </c>
      <c r="I26" s="14">
        <f>I10-I18+I23</f>
        <v>480080.61626413529</v>
      </c>
      <c r="J26" s="14">
        <f>J10-J18+J23</f>
        <v>487472.72373887326</v>
      </c>
      <c r="K26" s="14">
        <f>K10-K18+K23</f>
        <v>519440.24851144431</v>
      </c>
      <c r="L26" s="14">
        <f>L10-L18+L23</f>
        <v>559442.69043888873</v>
      </c>
      <c r="X26" s="16"/>
      <c r="Y26" s="16"/>
      <c r="Z26" s="16"/>
      <c r="AA26" s="16"/>
      <c r="AB26" s="16"/>
      <c r="AC26" s="14"/>
      <c r="AD26" s="14"/>
    </row>
    <row r="27" spans="1:30">
      <c r="A27" s="1">
        <f>A26+1</f>
        <v>12</v>
      </c>
      <c r="C27" s="1" t="s">
        <v>27</v>
      </c>
      <c r="G27" s="17">
        <f>485050.22777437+'Schedule 3'!G90</f>
        <v>486566.84219637001</v>
      </c>
      <c r="I27" s="17">
        <v>461515.2507595513</v>
      </c>
      <c r="J27" s="17">
        <f>I26</f>
        <v>480080.61626413529</v>
      </c>
      <c r="K27" s="17">
        <f>J26</f>
        <v>487472.72373887326</v>
      </c>
      <c r="L27" s="17">
        <f>K26</f>
        <v>519440.24851144431</v>
      </c>
      <c r="X27" s="16"/>
      <c r="Y27" s="16"/>
      <c r="Z27" s="16"/>
    </row>
    <row r="28" spans="1:30">
      <c r="G28" s="14"/>
      <c r="I28" s="14"/>
      <c r="J28" s="14"/>
      <c r="K28" s="14"/>
      <c r="L28" s="14"/>
    </row>
    <row r="29" spans="1:30">
      <c r="A29" s="1">
        <f>A27+1</f>
        <v>13</v>
      </c>
      <c r="C29" s="1" t="s">
        <v>29</v>
      </c>
      <c r="G29" s="14">
        <f>(G27+G26)/2</f>
        <v>484925.75216613477</v>
      </c>
      <c r="I29" s="14">
        <f>(I27+I26)/2</f>
        <v>470797.93351184332</v>
      </c>
      <c r="J29" s="14">
        <f>(J27+J26)/2</f>
        <v>483776.67000150424</v>
      </c>
      <c r="K29" s="14">
        <f>(K27+K26)/2</f>
        <v>503456.48612515879</v>
      </c>
      <c r="L29" s="14">
        <f>(L27+L26)/2</f>
        <v>539441.46947516652</v>
      </c>
    </row>
    <row r="30" spans="1:30">
      <c r="G30" s="14"/>
      <c r="I30" s="14"/>
      <c r="J30" s="14"/>
      <c r="K30" s="14"/>
      <c r="L30" s="14"/>
    </row>
    <row r="31" spans="1:30">
      <c r="A31" s="1">
        <f>A29+1</f>
        <v>14</v>
      </c>
      <c r="C31" s="1" t="s">
        <v>30</v>
      </c>
      <c r="E31" s="4" t="s">
        <v>31</v>
      </c>
      <c r="G31" s="17">
        <f>'Schedule 2'!G21</f>
        <v>7091.9572242594759</v>
      </c>
      <c r="I31" s="17">
        <f>'Schedule 2'!I21</f>
        <v>6924.5684668481863</v>
      </c>
      <c r="J31" s="17">
        <f>'Schedule 2'!J21</f>
        <v>7581.3090466411268</v>
      </c>
      <c r="K31" s="17">
        <f>'Schedule 2'!K21</f>
        <v>8215.8364748356089</v>
      </c>
      <c r="L31" s="17">
        <f>'Schedule 2'!L21</f>
        <v>8696.8057715855757</v>
      </c>
    </row>
    <row r="32" spans="1:30">
      <c r="G32" s="15"/>
      <c r="I32" s="15"/>
      <c r="J32" s="15"/>
      <c r="K32" s="15"/>
      <c r="L32" s="15"/>
    </row>
    <row r="33" spans="1:26">
      <c r="G33" s="15"/>
      <c r="I33" s="15"/>
      <c r="J33" s="15"/>
      <c r="K33" s="15"/>
      <c r="L33" s="15"/>
    </row>
    <row r="34" spans="1:26">
      <c r="A34" s="1">
        <f>A31+1</f>
        <v>15</v>
      </c>
      <c r="C34" s="8" t="s">
        <v>32</v>
      </c>
      <c r="G34" s="14">
        <f>G29+G31</f>
        <v>492017.70939039427</v>
      </c>
      <c r="I34" s="14">
        <f>I29+I31</f>
        <v>477722.50197869149</v>
      </c>
      <c r="J34" s="14">
        <f>J29+J31</f>
        <v>491357.97904814535</v>
      </c>
      <c r="K34" s="14">
        <f>K29+K31</f>
        <v>511672.32259999437</v>
      </c>
      <c r="L34" s="14">
        <f>L29+L31</f>
        <v>548138.27524675208</v>
      </c>
    </row>
    <row r="35" spans="1:26">
      <c r="G35" s="15"/>
      <c r="I35" s="15"/>
      <c r="J35" s="15"/>
      <c r="K35" s="15"/>
      <c r="L35" s="15"/>
    </row>
    <row r="36" spans="1:26">
      <c r="C36" s="1" t="s">
        <v>14</v>
      </c>
      <c r="G36" s="14"/>
      <c r="I36" s="14"/>
      <c r="J36" s="14"/>
      <c r="K36" s="14"/>
      <c r="L36" s="14"/>
      <c r="U36" s="16"/>
      <c r="V36" s="16"/>
      <c r="X36" s="16"/>
      <c r="Y36" s="16"/>
      <c r="Z36" s="16"/>
    </row>
    <row r="37" spans="1:26">
      <c r="C37" s="8" t="s">
        <v>310</v>
      </c>
      <c r="G37" s="14"/>
      <c r="I37" s="14"/>
      <c r="J37" s="14"/>
      <c r="K37" s="14"/>
      <c r="L37" s="14"/>
      <c r="U37" s="19"/>
      <c r="X37" s="16"/>
      <c r="Y37" s="16"/>
      <c r="Z37" s="16"/>
    </row>
    <row r="38" spans="1:26">
      <c r="A38" s="1">
        <f>A34+1</f>
        <v>16</v>
      </c>
      <c r="C38" s="1" t="s">
        <v>26</v>
      </c>
      <c r="G38" s="14">
        <v>254347.60061000002</v>
      </c>
      <c r="I38" s="14">
        <v>235303.28444000002</v>
      </c>
      <c r="J38" s="14">
        <v>247475.15891999999</v>
      </c>
      <c r="K38" s="14">
        <v>258062.10051999998</v>
      </c>
      <c r="L38" s="14">
        <v>264508.87426000001</v>
      </c>
      <c r="U38" s="16"/>
      <c r="V38" s="16"/>
      <c r="X38" s="16"/>
      <c r="Y38" s="16"/>
      <c r="Z38" s="16"/>
    </row>
    <row r="39" spans="1:26">
      <c r="A39" s="1">
        <f>A38+1</f>
        <v>17</v>
      </c>
      <c r="C39" s="1" t="s">
        <v>33</v>
      </c>
      <c r="G39" s="17">
        <v>20776.282090000001</v>
      </c>
      <c r="I39" s="17">
        <v>1385.7724499999999</v>
      </c>
      <c r="J39" s="17">
        <v>12787.722890000001</v>
      </c>
      <c r="K39" s="17">
        <v>21504.399300000001</v>
      </c>
      <c r="L39" s="17">
        <v>26515.609039999999</v>
      </c>
    </row>
    <row r="40" spans="1:26">
      <c r="A40" s="1">
        <f>A39+1</f>
        <v>18</v>
      </c>
      <c r="C40" s="1" t="s">
        <v>34</v>
      </c>
      <c r="G40" s="14">
        <f>G38-G39</f>
        <v>233571.31852000003</v>
      </c>
      <c r="I40" s="14">
        <f>I38-I39</f>
        <v>233917.51199000003</v>
      </c>
      <c r="J40" s="14">
        <f>J38-J39</f>
        <v>234687.43602999998</v>
      </c>
      <c r="K40" s="14">
        <f>K38-K39</f>
        <v>236557.70121999999</v>
      </c>
      <c r="L40" s="14">
        <f>L38-L39</f>
        <v>237993.26522</v>
      </c>
    </row>
    <row r="41" spans="1:26">
      <c r="A41" s="1">
        <f>A40+1</f>
        <v>19</v>
      </c>
      <c r="C41" s="1" t="s">
        <v>35</v>
      </c>
      <c r="G41" s="17">
        <v>48721.982702000001</v>
      </c>
      <c r="I41" s="17">
        <v>48400.850669999993</v>
      </c>
      <c r="J41" s="17">
        <v>53074.001280000004</v>
      </c>
      <c r="K41" s="17">
        <v>58502.689160000002</v>
      </c>
      <c r="L41" s="17">
        <v>63971.36623</v>
      </c>
    </row>
    <row r="42" spans="1:26">
      <c r="A42" s="1">
        <f>A41+1</f>
        <v>20</v>
      </c>
      <c r="C42" s="1" t="s">
        <v>36</v>
      </c>
      <c r="G42" s="14">
        <f>G40-G41</f>
        <v>184849.33581800002</v>
      </c>
      <c r="I42" s="14">
        <f>I40-I41</f>
        <v>185516.66132000004</v>
      </c>
      <c r="J42" s="14">
        <f>J40-J41</f>
        <v>181613.43474999999</v>
      </c>
      <c r="K42" s="14">
        <f>K40-K41</f>
        <v>178055.01205999998</v>
      </c>
      <c r="L42" s="14">
        <f>L40-L41</f>
        <v>174021.89899000002</v>
      </c>
      <c r="Y42" s="16"/>
      <c r="Z42" s="16"/>
    </row>
    <row r="43" spans="1:26">
      <c r="G43" s="14"/>
      <c r="I43" s="14"/>
      <c r="J43" s="14"/>
      <c r="K43" s="14"/>
      <c r="L43" s="14"/>
      <c r="Y43" s="16"/>
      <c r="Z43" s="16"/>
    </row>
    <row r="44" spans="1:26">
      <c r="A44" s="1">
        <f>A42+1</f>
        <v>21</v>
      </c>
      <c r="C44" s="1" t="s">
        <v>27</v>
      </c>
      <c r="G44" s="17">
        <v>180254.60732000001</v>
      </c>
      <c r="I44" s="155">
        <v>168025.35831000001</v>
      </c>
      <c r="J44" s="17">
        <f>I42</f>
        <v>185516.66132000004</v>
      </c>
      <c r="K44" s="17">
        <f>J42</f>
        <v>181613.43474999999</v>
      </c>
      <c r="L44" s="17">
        <f>K42</f>
        <v>178055.01205999998</v>
      </c>
    </row>
    <row r="45" spans="1:26">
      <c r="G45" s="14"/>
      <c r="I45" s="14"/>
      <c r="J45" s="14"/>
      <c r="K45" s="14"/>
      <c r="L45" s="14"/>
    </row>
    <row r="46" spans="1:26">
      <c r="A46" s="1">
        <f>A44+1</f>
        <v>22</v>
      </c>
      <c r="C46" s="1" t="s">
        <v>29</v>
      </c>
      <c r="G46" s="17">
        <f>(G42+G44)/2</f>
        <v>182551.97156900002</v>
      </c>
      <c r="I46" s="17">
        <f>(I42+I44)/2</f>
        <v>176771.00981500003</v>
      </c>
      <c r="J46" s="17">
        <f>(J42+J44)/2</f>
        <v>183565.04803500001</v>
      </c>
      <c r="K46" s="17">
        <f>(K42+K44)/2</f>
        <v>179834.223405</v>
      </c>
      <c r="L46" s="17">
        <f>(L42+L44)/2</f>
        <v>176038.455525</v>
      </c>
      <c r="Y46" s="16"/>
      <c r="Z46" s="16"/>
    </row>
    <row r="47" spans="1:26">
      <c r="G47" s="14"/>
      <c r="I47" s="14"/>
      <c r="J47" s="14"/>
      <c r="K47" s="14"/>
      <c r="L47" s="14"/>
    </row>
    <row r="48" spans="1:26" ht="13" thickBot="1">
      <c r="A48" s="1">
        <f>A46+1</f>
        <v>23</v>
      </c>
      <c r="C48" s="8" t="s">
        <v>37</v>
      </c>
      <c r="E48" s="4" t="s">
        <v>38</v>
      </c>
      <c r="G48" s="21">
        <f>G34-G46</f>
        <v>309465.73782139423</v>
      </c>
      <c r="I48" s="21">
        <f>I34-I46</f>
        <v>300951.49216369144</v>
      </c>
      <c r="J48" s="21">
        <f>J34-J46</f>
        <v>307792.93101314537</v>
      </c>
      <c r="K48" s="21">
        <f>K34-K46</f>
        <v>331838.09919499437</v>
      </c>
      <c r="L48" s="21">
        <f>L34-L46</f>
        <v>372099.81972175208</v>
      </c>
    </row>
    <row r="49" spans="3:12">
      <c r="G49" s="14"/>
      <c r="I49" s="14"/>
      <c r="J49" s="14"/>
      <c r="K49" s="14"/>
    </row>
    <row r="50" spans="3:12">
      <c r="C50" s="1" t="s">
        <v>39</v>
      </c>
      <c r="G50" s="14"/>
      <c r="I50" s="14"/>
      <c r="J50" s="14"/>
      <c r="K50" s="14"/>
    </row>
    <row r="51" spans="3:12" ht="31.5" customHeight="1">
      <c r="C51" s="202" t="s">
        <v>422</v>
      </c>
      <c r="D51" s="202"/>
      <c r="E51" s="202"/>
      <c r="F51" s="202"/>
      <c r="G51" s="202"/>
      <c r="H51" s="202"/>
      <c r="I51" s="202"/>
      <c r="J51" s="202"/>
      <c r="K51" s="202"/>
      <c r="L51" s="202"/>
    </row>
    <row r="52" spans="3:12">
      <c r="C52" s="202"/>
      <c r="D52" s="202"/>
      <c r="E52" s="202"/>
      <c r="F52" s="202"/>
      <c r="G52" s="22"/>
      <c r="H52" s="22"/>
      <c r="I52" s="22"/>
      <c r="J52" s="22"/>
      <c r="K52" s="22"/>
    </row>
  </sheetData>
  <mergeCells count="2">
    <mergeCell ref="C52:F52"/>
    <mergeCell ref="C51:L51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  <pageSetUpPr fitToPage="1"/>
  </sheetPr>
  <dimension ref="A1:L25"/>
  <sheetViews>
    <sheetView view="pageBreakPreview" zoomScaleSheetLayoutView="100" workbookViewId="0">
      <selection activeCell="H18" sqref="H18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27.54296875" style="1" customWidth="1"/>
    <col min="4" max="4" width="1.81640625" style="1" customWidth="1"/>
    <col min="5" max="5" width="9.1796875" style="4"/>
    <col min="6" max="6" width="1.81640625" style="1" customWidth="1"/>
    <col min="7" max="7" width="12.81640625" style="1" customWidth="1"/>
    <col min="8" max="8" width="1.81640625" style="1" customWidth="1"/>
    <col min="9" max="11" width="11.26953125" style="1" customWidth="1"/>
    <col min="12" max="12" width="12.90625" style="1" customWidth="1"/>
    <col min="13" max="16384" width="9.1796875" style="1"/>
  </cols>
  <sheetData>
    <row r="1" spans="1:12" ht="15">
      <c r="A1" s="9" t="s">
        <v>0</v>
      </c>
      <c r="L1" s="195" t="s">
        <v>40</v>
      </c>
    </row>
    <row r="2" spans="1:12" ht="14">
      <c r="A2" s="23" t="s">
        <v>41</v>
      </c>
      <c r="E2" s="24"/>
      <c r="F2" s="25"/>
      <c r="H2" s="25"/>
      <c r="L2" s="196" t="str">
        <f>'Schedule 1'!$L$2</f>
        <v>2023/24 GRA Compliance Filing</v>
      </c>
    </row>
    <row r="3" spans="1:12">
      <c r="A3" s="10" t="s">
        <v>7</v>
      </c>
    </row>
    <row r="6" spans="1:12" s="4" customFormat="1">
      <c r="G6" s="11"/>
      <c r="I6" s="11"/>
      <c r="J6" s="11"/>
      <c r="K6" s="8"/>
      <c r="L6" s="8"/>
    </row>
    <row r="7" spans="1:12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2021 GRA
Compliance</v>
      </c>
      <c r="I7" s="12" t="str">
        <f>'Schedule 1'!I7</f>
        <v>Actual 2021</v>
      </c>
      <c r="J7" s="12" t="str">
        <f>'Schedule 1'!J7</f>
        <v>Actual 2022</v>
      </c>
      <c r="K7" s="12" t="str">
        <f>'Schedule 1'!K7</f>
        <v>Forecast 2023</v>
      </c>
      <c r="L7" s="12" t="str">
        <f>'Schedule 1'!L7</f>
        <v>Forecast 2024</v>
      </c>
    </row>
    <row r="9" spans="1:12">
      <c r="A9" s="1">
        <v>1</v>
      </c>
      <c r="C9" s="1" t="s">
        <v>42</v>
      </c>
      <c r="E9" s="4" t="s">
        <v>43</v>
      </c>
      <c r="G9" s="14">
        <f>'Schedule 5'!G16</f>
        <v>43211.338227249857</v>
      </c>
      <c r="I9" s="14">
        <f>'Schedule 5'!I16</f>
        <v>40095.822196157591</v>
      </c>
      <c r="J9" s="14">
        <f>'Schedule 5'!J16</f>
        <v>44640.58821570412</v>
      </c>
      <c r="K9" s="14">
        <f>'Schedule 5'!K16</f>
        <v>49804.80171852425</v>
      </c>
      <c r="L9" s="14">
        <f>'Schedule 5'!L16</f>
        <v>54095.584483041021</v>
      </c>
    </row>
    <row r="10" spans="1:12">
      <c r="A10" s="1">
        <v>2</v>
      </c>
      <c r="C10" s="1" t="s">
        <v>44</v>
      </c>
      <c r="E10" s="4" t="s">
        <v>45</v>
      </c>
      <c r="G10" s="14">
        <f>'Schedule 5'!G17</f>
        <v>749.75450131960019</v>
      </c>
      <c r="I10" s="14">
        <f>'Schedule 5'!I17</f>
        <v>739.14745000000005</v>
      </c>
      <c r="J10" s="14">
        <f>'Schedule 5'!J17</f>
        <v>743.01589000000001</v>
      </c>
      <c r="K10" s="14">
        <f>'Schedule 5'!K17</f>
        <v>757.77395548800007</v>
      </c>
      <c r="L10" s="14">
        <f>'Schedule 5'!L17</f>
        <v>776.69908654176004</v>
      </c>
    </row>
    <row r="11" spans="1:12">
      <c r="A11" s="1">
        <v>3</v>
      </c>
      <c r="C11" s="1" t="s">
        <v>46</v>
      </c>
      <c r="E11" s="4" t="s">
        <v>237</v>
      </c>
      <c r="G11" s="14">
        <v>-120.00024999999994</v>
      </c>
      <c r="I11" s="14">
        <v>-117.28974000000001</v>
      </c>
      <c r="J11" s="14">
        <v>-120.58844000000001</v>
      </c>
      <c r="K11" s="14">
        <v>-120.00000000000003</v>
      </c>
      <c r="L11" s="14">
        <v>-120</v>
      </c>
    </row>
    <row r="12" spans="1:12">
      <c r="G12" s="14"/>
      <c r="I12" s="14"/>
      <c r="J12" s="14"/>
      <c r="K12" s="14"/>
      <c r="L12" s="14"/>
    </row>
    <row r="13" spans="1:12">
      <c r="A13" s="1">
        <v>4</v>
      </c>
      <c r="C13" s="1" t="s">
        <v>47</v>
      </c>
      <c r="G13" s="14">
        <f>SUM(G9:G11)</f>
        <v>43841.092478569459</v>
      </c>
      <c r="I13" s="14">
        <f>SUM(I9:I11)</f>
        <v>40717.679906157588</v>
      </c>
      <c r="J13" s="14">
        <f>SUM(J9:J11)</f>
        <v>45263.015665704123</v>
      </c>
      <c r="K13" s="14">
        <f>SUM(K9:K11)</f>
        <v>50442.575674012252</v>
      </c>
      <c r="L13" s="14">
        <f>SUM(L9:L11)</f>
        <v>54752.283569582782</v>
      </c>
    </row>
    <row r="14" spans="1:12">
      <c r="G14" s="26"/>
      <c r="I14" s="26"/>
      <c r="J14" s="26"/>
      <c r="K14" s="26"/>
      <c r="L14" s="26"/>
    </row>
    <row r="15" spans="1:12">
      <c r="A15" s="1">
        <v>5</v>
      </c>
      <c r="C15" s="1" t="s">
        <v>48</v>
      </c>
      <c r="G15" s="26">
        <f>G13*27/365</f>
        <v>3243.0397175928092</v>
      </c>
      <c r="I15" s="26">
        <f>I13*27/365</f>
        <v>3011.9927601815202</v>
      </c>
      <c r="J15" s="26">
        <f>J13*27/365</f>
        <v>3348.2230766411271</v>
      </c>
      <c r="K15" s="26">
        <f>K13*27/365</f>
        <v>3731.3686115022761</v>
      </c>
      <c r="L15" s="26">
        <f>L13*27/365</f>
        <v>4050.1689215855754</v>
      </c>
    </row>
    <row r="16" spans="1:12">
      <c r="G16" s="14"/>
      <c r="I16" s="14"/>
      <c r="J16" s="14"/>
      <c r="K16" s="14"/>
      <c r="L16" s="14"/>
    </row>
    <row r="17" spans="1:12">
      <c r="A17" s="1">
        <v>6</v>
      </c>
      <c r="C17" s="1" t="s">
        <v>49</v>
      </c>
      <c r="G17" s="14">
        <v>4013.9175066666667</v>
      </c>
      <c r="I17" s="14">
        <v>4155.5757066666665</v>
      </c>
      <c r="J17" s="14">
        <v>4464.0859700000001</v>
      </c>
      <c r="K17" s="14">
        <v>4683.4678633333324</v>
      </c>
      <c r="L17" s="14">
        <v>4816.6368499999999</v>
      </c>
    </row>
    <row r="18" spans="1:12">
      <c r="G18" s="14"/>
      <c r="I18" s="14"/>
      <c r="J18" s="14"/>
      <c r="K18" s="14"/>
      <c r="L18" s="14"/>
    </row>
    <row r="19" spans="1:12">
      <c r="A19" s="1">
        <v>7</v>
      </c>
      <c r="C19" s="1" t="s">
        <v>50</v>
      </c>
      <c r="E19" s="4" t="s">
        <v>51</v>
      </c>
      <c r="G19" s="17">
        <f>'Schedule 2A'!G30</f>
        <v>-165</v>
      </c>
      <c r="I19" s="17">
        <f>'Schedule 2A'!I30</f>
        <v>-243</v>
      </c>
      <c r="J19" s="17">
        <f>'Schedule 2A'!J30</f>
        <v>-231</v>
      </c>
      <c r="K19" s="17">
        <f>'Schedule 2A'!K30</f>
        <v>-199</v>
      </c>
      <c r="L19" s="17">
        <f>'Schedule 2A'!L30</f>
        <v>-170</v>
      </c>
    </row>
    <row r="20" spans="1:12">
      <c r="G20" s="14"/>
      <c r="I20" s="14"/>
      <c r="J20" s="14"/>
      <c r="K20" s="14"/>
      <c r="L20" s="14"/>
    </row>
    <row r="21" spans="1:12" ht="13" thickBot="1">
      <c r="A21" s="1">
        <v>8</v>
      </c>
      <c r="C21" s="1" t="s">
        <v>30</v>
      </c>
      <c r="E21" s="4" t="s">
        <v>481</v>
      </c>
      <c r="G21" s="29">
        <f>G15+G17+G19</f>
        <v>7091.9572242594759</v>
      </c>
      <c r="I21" s="29">
        <f>I15+I17+I19</f>
        <v>6924.5684668481863</v>
      </c>
      <c r="J21" s="29">
        <f>J15+J17+J19</f>
        <v>7581.3090466411268</v>
      </c>
      <c r="K21" s="29">
        <f>K15+K17+K19</f>
        <v>8215.8364748356089</v>
      </c>
      <c r="L21" s="29">
        <f>L15+L17+L19</f>
        <v>8696.8057715855757</v>
      </c>
    </row>
    <row r="22" spans="1:12">
      <c r="G22" s="14"/>
      <c r="I22" s="14"/>
      <c r="J22" s="14"/>
      <c r="K22" s="14"/>
    </row>
    <row r="23" spans="1:12">
      <c r="C23" s="28" t="s">
        <v>13</v>
      </c>
      <c r="G23" s="14"/>
      <c r="I23" s="14"/>
      <c r="J23" s="14"/>
      <c r="K23" s="14"/>
    </row>
    <row r="25" spans="1:12">
      <c r="E25" s="11"/>
      <c r="F25" s="8"/>
      <c r="G25" s="30"/>
      <c r="H25" s="8"/>
      <c r="I25" s="30"/>
      <c r="J25" s="30"/>
      <c r="K25" s="30"/>
      <c r="L25" s="30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91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39997558519241921"/>
    <pageSetUpPr fitToPage="1"/>
  </sheetPr>
  <dimension ref="A1:L30"/>
  <sheetViews>
    <sheetView view="pageBreakPreview" zoomScaleSheetLayoutView="100" workbookViewId="0">
      <selection activeCell="H18" sqref="H18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35.26953125" style="1" customWidth="1"/>
    <col min="4" max="4" width="1.81640625" style="1" customWidth="1"/>
    <col min="5" max="5" width="9.1796875" style="1"/>
    <col min="6" max="6" width="1.81640625" style="1" customWidth="1"/>
    <col min="7" max="7" width="12.26953125" style="1" customWidth="1"/>
    <col min="8" max="8" width="1.81640625" style="1" customWidth="1"/>
    <col min="9" max="11" width="11.26953125" style="1" customWidth="1"/>
    <col min="12" max="12" width="13.1796875" style="1" customWidth="1"/>
    <col min="13" max="16384" width="9.1796875" style="1"/>
  </cols>
  <sheetData>
    <row r="1" spans="1:12" ht="15">
      <c r="A1" s="9" t="s">
        <v>0</v>
      </c>
      <c r="L1" s="195" t="s">
        <v>52</v>
      </c>
    </row>
    <row r="2" spans="1:12">
      <c r="A2" s="10" t="s">
        <v>53</v>
      </c>
      <c r="L2" s="196" t="str">
        <f>'Schedule 1'!$L$2</f>
        <v>2023/24 GRA Compliance Filing</v>
      </c>
    </row>
    <row r="3" spans="1:12">
      <c r="A3" s="10" t="s">
        <v>7</v>
      </c>
    </row>
    <row r="6" spans="1:12" s="4" customFormat="1">
      <c r="G6" s="11"/>
      <c r="I6" s="11"/>
      <c r="J6" s="11"/>
      <c r="K6" s="8"/>
      <c r="L6" s="8"/>
    </row>
    <row r="7" spans="1:12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2021 GRA
Compliance</v>
      </c>
      <c r="I7" s="12" t="str">
        <f>'Schedule 1'!I7</f>
        <v>Actual 2021</v>
      </c>
      <c r="J7" s="12" t="str">
        <f>'Schedule 1'!J7</f>
        <v>Actual 2022</v>
      </c>
      <c r="K7" s="12" t="str">
        <f>'Schedule 1'!K7</f>
        <v>Forecast 2023</v>
      </c>
      <c r="L7" s="12" t="str">
        <f>'Schedule 1'!L7</f>
        <v>Forecast 2024</v>
      </c>
    </row>
    <row r="9" spans="1:12">
      <c r="A9" s="1">
        <v>1</v>
      </c>
      <c r="C9" s="1" t="s">
        <v>54</v>
      </c>
      <c r="G9" s="16">
        <v>96059.393034098932</v>
      </c>
      <c r="I9" s="16">
        <v>50415.452729999939</v>
      </c>
      <c r="J9" s="16">
        <v>69788.352070000008</v>
      </c>
      <c r="K9" s="16">
        <v>102511.81412456665</v>
      </c>
      <c r="L9" s="16">
        <v>139615.18510921171</v>
      </c>
    </row>
    <row r="11" spans="1:12">
      <c r="A11" s="1">
        <v>2</v>
      </c>
      <c r="C11" s="1" t="s">
        <v>55</v>
      </c>
      <c r="G11" s="31">
        <v>0.05</v>
      </c>
      <c r="I11" s="31">
        <v>0.05</v>
      </c>
      <c r="J11" s="31">
        <v>0.05</v>
      </c>
      <c r="K11" s="31">
        <v>0.05</v>
      </c>
      <c r="L11" s="31">
        <v>0.05</v>
      </c>
    </row>
    <row r="13" spans="1:12">
      <c r="A13" s="1">
        <v>3</v>
      </c>
      <c r="C13" s="1" t="s">
        <v>56</v>
      </c>
      <c r="G13" s="14">
        <f>G11*G9</f>
        <v>4802.969651704947</v>
      </c>
      <c r="I13" s="14">
        <f>I11*I9</f>
        <v>2520.7726364999971</v>
      </c>
      <c r="J13" s="14">
        <f>J11*J9</f>
        <v>3489.4176035000005</v>
      </c>
      <c r="K13" s="14">
        <f>K11*K9</f>
        <v>5125.5907062283331</v>
      </c>
      <c r="L13" s="14">
        <f>L11*L9</f>
        <v>6980.7592554605862</v>
      </c>
    </row>
    <row r="15" spans="1:12">
      <c r="A15" s="1">
        <v>4</v>
      </c>
      <c r="C15" s="1" t="s">
        <v>57</v>
      </c>
      <c r="G15" s="17">
        <v>14</v>
      </c>
      <c r="I15" s="17">
        <v>14</v>
      </c>
      <c r="J15" s="17">
        <v>14</v>
      </c>
      <c r="K15" s="17">
        <v>14</v>
      </c>
      <c r="L15" s="17">
        <v>14</v>
      </c>
    </row>
    <row r="17" spans="1:12">
      <c r="A17" s="1">
        <v>5</v>
      </c>
      <c r="C17" s="1" t="s">
        <v>58</v>
      </c>
      <c r="G17" s="17">
        <f>ROUND(G13*G15/365,0)</f>
        <v>184</v>
      </c>
      <c r="I17" s="17">
        <f>ROUND(I13*I15/365,0)</f>
        <v>97</v>
      </c>
      <c r="J17" s="17">
        <f>ROUND(J13*J15/365,0)</f>
        <v>134</v>
      </c>
      <c r="K17" s="17">
        <f>ROUND(K13*K15/365,0)</f>
        <v>197</v>
      </c>
      <c r="L17" s="17">
        <f>ROUND(L13*L15/365,0)</f>
        <v>268</v>
      </c>
    </row>
    <row r="20" spans="1:12">
      <c r="A20" s="1">
        <v>6</v>
      </c>
      <c r="C20" s="1" t="s">
        <v>59</v>
      </c>
      <c r="G20" s="14">
        <v>72824.85648652495</v>
      </c>
      <c r="I20" s="14">
        <v>70916.151456087595</v>
      </c>
      <c r="J20" s="14">
        <v>76032.233820447553</v>
      </c>
      <c r="K20" s="14">
        <v>82560.605207505534</v>
      </c>
      <c r="L20" s="14">
        <v>91344.174086823419</v>
      </c>
    </row>
    <row r="22" spans="1:12">
      <c r="A22" s="1">
        <v>7</v>
      </c>
      <c r="C22" s="1" t="s">
        <v>372</v>
      </c>
      <c r="G22" s="31">
        <v>0.05</v>
      </c>
      <c r="I22" s="31">
        <v>0.05</v>
      </c>
      <c r="J22" s="31">
        <v>0.05</v>
      </c>
      <c r="K22" s="31">
        <v>0.05</v>
      </c>
      <c r="L22" s="31">
        <v>0.05</v>
      </c>
    </row>
    <row r="24" spans="1:12">
      <c r="A24" s="1">
        <v>8</v>
      </c>
      <c r="C24" s="1" t="s">
        <v>60</v>
      </c>
      <c r="G24" s="14">
        <f>G22*G20</f>
        <v>3641.2428243262475</v>
      </c>
      <c r="I24" s="14">
        <f>I22*I20</f>
        <v>3545.80757280438</v>
      </c>
      <c r="J24" s="14">
        <f>J22*J20</f>
        <v>3801.6116910223777</v>
      </c>
      <c r="K24" s="14">
        <f>K22*K20</f>
        <v>4128.0302603752771</v>
      </c>
      <c r="L24" s="14">
        <f>L22*L20</f>
        <v>4567.2087043411711</v>
      </c>
    </row>
    <row r="26" spans="1:12">
      <c r="A26" s="1">
        <v>9</v>
      </c>
      <c r="C26" s="1" t="s">
        <v>61</v>
      </c>
      <c r="F26" s="1" t="s">
        <v>13</v>
      </c>
      <c r="G26" s="17">
        <v>35</v>
      </c>
      <c r="H26" s="1" t="s">
        <v>13</v>
      </c>
      <c r="I26" s="17">
        <v>35</v>
      </c>
      <c r="J26" s="17">
        <v>35</v>
      </c>
      <c r="K26" s="17">
        <v>35</v>
      </c>
      <c r="L26" s="17">
        <v>35</v>
      </c>
    </row>
    <row r="28" spans="1:12">
      <c r="A28" s="1">
        <v>10</v>
      </c>
      <c r="C28" s="1" t="s">
        <v>62</v>
      </c>
      <c r="G28" s="17">
        <f>ROUND(G24*G26/365,0)</f>
        <v>349</v>
      </c>
      <c r="I28" s="17">
        <f>ROUND(I24*I26/365,0)</f>
        <v>340</v>
      </c>
      <c r="J28" s="17">
        <f>ROUND(J24*J26/365,0)</f>
        <v>365</v>
      </c>
      <c r="K28" s="17">
        <f>ROUND(K24*K26/365,0)</f>
        <v>396</v>
      </c>
      <c r="L28" s="17">
        <f>ROUND(L24*L26/365,0)</f>
        <v>438</v>
      </c>
    </row>
    <row r="30" spans="1:12" ht="13" thickBot="1">
      <c r="A30" s="1">
        <v>11</v>
      </c>
      <c r="C30" s="1" t="s">
        <v>63</v>
      </c>
      <c r="E30" s="1" t="s">
        <v>64</v>
      </c>
      <c r="G30" s="33">
        <f>G17-G28</f>
        <v>-165</v>
      </c>
      <c r="I30" s="33">
        <f>I17-I28</f>
        <v>-243</v>
      </c>
      <c r="J30" s="33">
        <f>J17-J28</f>
        <v>-231</v>
      </c>
      <c r="K30" s="33">
        <f>K17-K28</f>
        <v>-199</v>
      </c>
      <c r="L30" s="33">
        <f>L17-L28</f>
        <v>-170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5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0.39997558519241921"/>
  </sheetPr>
  <dimension ref="A1:Q125"/>
  <sheetViews>
    <sheetView view="pageBreakPreview" zoomScaleSheetLayoutView="100" workbookViewId="0">
      <pane ySplit="7" topLeftCell="A8" activePane="bottomLeft" state="frozen"/>
      <selection activeCell="H18" sqref="H18"/>
      <selection pane="bottomLeft" activeCell="C12" sqref="C12"/>
    </sheetView>
  </sheetViews>
  <sheetFormatPr defaultColWidth="9.1796875" defaultRowHeight="12.5"/>
  <cols>
    <col min="1" max="1" width="5.26953125" style="1" customWidth="1"/>
    <col min="2" max="2" width="1.81640625" style="1" customWidth="1"/>
    <col min="3" max="3" width="55" style="1" customWidth="1"/>
    <col min="4" max="4" width="1.81640625" style="1" customWidth="1"/>
    <col min="5" max="5" width="9.1796875" style="4" customWidth="1"/>
    <col min="6" max="6" width="1.81640625" style="1" customWidth="1"/>
    <col min="7" max="7" width="12.6328125" style="1" customWidth="1"/>
    <col min="8" max="8" width="1.81640625" style="1" customWidth="1"/>
    <col min="9" max="10" width="11.26953125" style="1" customWidth="1"/>
    <col min="11" max="11" width="11.1796875" style="1" customWidth="1"/>
    <col min="12" max="12" width="13.08984375" style="1" customWidth="1"/>
    <col min="18" max="16384" width="9.1796875" style="1"/>
  </cols>
  <sheetData>
    <row r="1" spans="1:12" ht="15">
      <c r="A1" s="9" t="s">
        <v>0</v>
      </c>
      <c r="L1" s="195" t="s">
        <v>65</v>
      </c>
    </row>
    <row r="2" spans="1:12">
      <c r="A2" s="10" t="s">
        <v>331</v>
      </c>
      <c r="L2" s="196" t="str">
        <f>'Schedule 1'!$L$2</f>
        <v>2023/24 GRA Compliance Filing</v>
      </c>
    </row>
    <row r="3" spans="1:12">
      <c r="A3" s="10" t="s">
        <v>7</v>
      </c>
    </row>
    <row r="6" spans="1:12" s="4" customFormat="1">
      <c r="E6" s="4" t="s">
        <v>13</v>
      </c>
      <c r="G6" s="11"/>
      <c r="I6" s="11"/>
      <c r="J6" s="11"/>
      <c r="K6" s="8"/>
      <c r="L6" s="8"/>
    </row>
    <row r="7" spans="1:12" s="13" customFormat="1" ht="25">
      <c r="A7" s="12" t="s">
        <v>8</v>
      </c>
      <c r="C7" s="12" t="s">
        <v>9</v>
      </c>
      <c r="E7" s="12" t="s">
        <v>10</v>
      </c>
      <c r="G7" s="12" t="str">
        <f>'Schedule 1'!G7</f>
        <v>2021 GRA
Compliance</v>
      </c>
      <c r="I7" s="12" t="str">
        <f>'Schedule 1'!I7</f>
        <v>Actual 2021</v>
      </c>
      <c r="J7" s="12" t="str">
        <f>'Schedule 1'!J7</f>
        <v>Actual 2022</v>
      </c>
      <c r="K7" s="12" t="str">
        <f>'Schedule 1'!K7</f>
        <v>Forecast 2023</v>
      </c>
      <c r="L7" s="12" t="str">
        <f>'Schedule 1'!L7</f>
        <v>Forecast 2024</v>
      </c>
    </row>
    <row r="9" spans="1:12">
      <c r="C9" s="8" t="s">
        <v>11</v>
      </c>
    </row>
    <row r="10" spans="1:12">
      <c r="A10" s="1">
        <v>1</v>
      </c>
      <c r="C10" s="1" t="s">
        <v>66</v>
      </c>
      <c r="F10" s="34"/>
      <c r="G10" s="14">
        <v>672466.67311999993</v>
      </c>
      <c r="H10" s="34"/>
      <c r="I10" s="14">
        <v>667961.78300000005</v>
      </c>
      <c r="J10" s="14">
        <f>I13</f>
        <v>691597.64155000006</v>
      </c>
      <c r="K10" s="14">
        <f>J13</f>
        <v>735254.06204999995</v>
      </c>
      <c r="L10" s="14">
        <f>K13</f>
        <v>799031.29677999986</v>
      </c>
    </row>
    <row r="11" spans="1:12">
      <c r="A11" s="1">
        <f>A10+1</f>
        <v>2</v>
      </c>
      <c r="C11" s="1" t="s">
        <v>67</v>
      </c>
      <c r="F11" s="34"/>
      <c r="G11" s="14">
        <v>57151.639539999989</v>
      </c>
      <c r="H11" s="34"/>
      <c r="I11" s="14">
        <v>26668.276719999998</v>
      </c>
      <c r="J11" s="14">
        <v>44506.015249999997</v>
      </c>
      <c r="K11" s="14">
        <v>66315.251949999991</v>
      </c>
      <c r="L11" s="14">
        <v>92477.66926000001</v>
      </c>
    </row>
    <row r="12" spans="1:12">
      <c r="A12" s="1">
        <f>A11+1</f>
        <v>3</v>
      </c>
      <c r="C12" s="1" t="s">
        <v>68</v>
      </c>
      <c r="F12" s="34"/>
      <c r="G12" s="17">
        <v>-1336.5035415384614</v>
      </c>
      <c r="H12" s="34"/>
      <c r="I12" s="17">
        <v>-3032.4181699999999</v>
      </c>
      <c r="J12" s="17">
        <v>-849.59474999999998</v>
      </c>
      <c r="K12" s="17">
        <v>-2538.0172200000002</v>
      </c>
      <c r="L12" s="17">
        <v>0</v>
      </c>
    </row>
    <row r="13" spans="1:12">
      <c r="A13" s="1">
        <f>A12+1</f>
        <v>4</v>
      </c>
      <c r="C13" s="1" t="s">
        <v>69</v>
      </c>
      <c r="E13" s="4" t="s">
        <v>70</v>
      </c>
      <c r="F13" s="34"/>
      <c r="G13" s="14">
        <f>G10+G11+G12</f>
        <v>728281.80911846145</v>
      </c>
      <c r="H13" s="34"/>
      <c r="I13" s="14">
        <f>I10+I11+I12</f>
        <v>691597.64155000006</v>
      </c>
      <c r="J13" s="14">
        <f>J10+J11+J12</f>
        <v>735254.06204999995</v>
      </c>
      <c r="K13" s="14">
        <f>K10+K11+K12</f>
        <v>799031.29677999986</v>
      </c>
      <c r="L13" s="14">
        <f>L10+L11+L12</f>
        <v>891508.96603999985</v>
      </c>
    </row>
    <row r="14" spans="1:12">
      <c r="F14" s="34"/>
      <c r="H14" s="34"/>
    </row>
    <row r="15" spans="1:12">
      <c r="C15" s="8" t="s">
        <v>71</v>
      </c>
    </row>
    <row r="16" spans="1:12">
      <c r="A16" s="1">
        <f>A13+1</f>
        <v>5</v>
      </c>
      <c r="C16" s="1" t="s">
        <v>66</v>
      </c>
      <c r="G16" s="14">
        <v>185384.1806900001</v>
      </c>
      <c r="I16" s="14">
        <v>184570.33900000001</v>
      </c>
      <c r="J16" s="14">
        <f>I19</f>
        <v>198509.39069999999</v>
      </c>
      <c r="K16" s="14">
        <f>J19</f>
        <v>211204.98384999999</v>
      </c>
      <c r="L16" s="14">
        <f>K19</f>
        <v>223323.00612999999</v>
      </c>
    </row>
    <row r="17" spans="1:12">
      <c r="A17" s="1">
        <f>A16+1</f>
        <v>6</v>
      </c>
      <c r="C17" s="1" t="s">
        <v>72</v>
      </c>
      <c r="E17" s="4" t="s">
        <v>73</v>
      </c>
      <c r="G17" s="14">
        <v>13435.829192331592</v>
      </c>
      <c r="I17" s="14">
        <v>14925.707289999998</v>
      </c>
      <c r="J17" s="14">
        <v>13308.356180000004</v>
      </c>
      <c r="K17" s="14">
        <v>14242.661619999997</v>
      </c>
      <c r="L17" s="14">
        <v>15348.176959999999</v>
      </c>
    </row>
    <row r="18" spans="1:12">
      <c r="A18" s="1">
        <f>A17+1</f>
        <v>7</v>
      </c>
      <c r="C18" s="1" t="s">
        <v>68</v>
      </c>
      <c r="G18" s="17">
        <v>-416.7368553846153</v>
      </c>
      <c r="I18" s="17">
        <v>-986.65558999999996</v>
      </c>
      <c r="J18" s="17">
        <v>-612.76303000000007</v>
      </c>
      <c r="K18" s="17">
        <v>-2124.6393399999997</v>
      </c>
      <c r="L18" s="17">
        <v>0</v>
      </c>
    </row>
    <row r="19" spans="1:12">
      <c r="A19" s="1">
        <f>A18+1</f>
        <v>8</v>
      </c>
      <c r="C19" s="1" t="s">
        <v>69</v>
      </c>
      <c r="E19" s="4" t="s">
        <v>293</v>
      </c>
      <c r="G19" s="16">
        <f>SUM(G16:G18)</f>
        <v>198403.27302694708</v>
      </c>
      <c r="I19" s="16">
        <f>SUM(I16:I18)</f>
        <v>198509.39069999999</v>
      </c>
      <c r="J19" s="16">
        <f>SUM(J16:J18)</f>
        <v>211204.98384999999</v>
      </c>
      <c r="K19" s="16">
        <f>SUM(K16:K18)</f>
        <v>223323.00612999999</v>
      </c>
      <c r="L19" s="16">
        <f>SUM(L16:L18)</f>
        <v>238671.18309000001</v>
      </c>
    </row>
    <row r="20" spans="1:12">
      <c r="G20" s="16"/>
      <c r="I20" s="16"/>
      <c r="J20" s="16"/>
      <c r="K20" s="16"/>
      <c r="L20" s="16"/>
    </row>
    <row r="21" spans="1:12">
      <c r="C21" s="1" t="s">
        <v>74</v>
      </c>
    </row>
    <row r="22" spans="1:12">
      <c r="A22" s="1">
        <f>A19+1</f>
        <v>9</v>
      </c>
      <c r="C22" s="1" t="s">
        <v>18</v>
      </c>
      <c r="G22" s="14">
        <v>13191.62039</v>
      </c>
      <c r="I22" s="14">
        <v>15165.952259999998</v>
      </c>
      <c r="J22" s="14">
        <v>15165.952259999998</v>
      </c>
      <c r="K22" s="14">
        <v>1388.4635799999996</v>
      </c>
      <c r="L22" s="14">
        <v>1388.4635799999996</v>
      </c>
    </row>
    <row r="23" spans="1:12">
      <c r="A23" s="1">
        <f>A22+1</f>
        <v>10</v>
      </c>
      <c r="C23" s="1" t="s">
        <v>23</v>
      </c>
      <c r="G23" s="17">
        <v>-1039.2931599999999</v>
      </c>
      <c r="I23" s="17">
        <v>-759.8469376388889</v>
      </c>
      <c r="J23" s="17">
        <v>-1477.8164459722223</v>
      </c>
      <c r="K23" s="17">
        <v>-483.2675104444445</v>
      </c>
      <c r="L23" s="17">
        <v>-534.42341788888893</v>
      </c>
    </row>
    <row r="24" spans="1:12">
      <c r="A24" s="1">
        <f>A23+1</f>
        <v>11</v>
      </c>
      <c r="C24" s="1" t="s">
        <v>77</v>
      </c>
      <c r="E24" s="4" t="s">
        <v>75</v>
      </c>
      <c r="G24" s="15">
        <f>SUM(G22:G23)</f>
        <v>12152.327230000001</v>
      </c>
      <c r="I24" s="15">
        <f>SUM(I22:I23)</f>
        <v>14406.105322361109</v>
      </c>
      <c r="J24" s="15">
        <f>SUM(J22:J23)</f>
        <v>13688.135814027775</v>
      </c>
      <c r="K24" s="15">
        <f>SUM(K22:K23)</f>
        <v>905.19606955555514</v>
      </c>
      <c r="L24" s="15">
        <f>SUM(L22:L23)</f>
        <v>854.0401621111107</v>
      </c>
    </row>
    <row r="26" spans="1:12">
      <c r="A26" s="1">
        <f>A24+1</f>
        <v>12</v>
      </c>
      <c r="C26" s="1" t="s">
        <v>16</v>
      </c>
      <c r="E26" s="4" t="s">
        <v>78</v>
      </c>
      <c r="G26" s="26">
        <v>40571.94255</v>
      </c>
      <c r="I26" s="26">
        <v>3808.3901400000004</v>
      </c>
      <c r="J26" s="26">
        <v>33637.833770000005</v>
      </c>
      <c r="K26" s="26">
        <v>80910.87387000001</v>
      </c>
      <c r="L26" s="26">
        <v>116829.42595999998</v>
      </c>
    </row>
    <row r="27" spans="1:12">
      <c r="G27" s="14"/>
      <c r="I27" s="14"/>
      <c r="J27" s="14"/>
      <c r="K27" s="14"/>
      <c r="L27" s="14"/>
    </row>
    <row r="28" spans="1:12">
      <c r="C28" s="1" t="s">
        <v>79</v>
      </c>
      <c r="G28" s="14"/>
      <c r="I28" s="14"/>
      <c r="J28" s="14"/>
      <c r="K28" s="14"/>
      <c r="L28" s="14"/>
    </row>
    <row r="29" spans="1:12">
      <c r="A29" s="1">
        <f>A26+1</f>
        <v>13</v>
      </c>
      <c r="C29" s="128" t="s">
        <v>335</v>
      </c>
      <c r="G29" s="14">
        <v>3918.2389999999987</v>
      </c>
      <c r="I29" s="14">
        <v>3918.2389999999996</v>
      </c>
      <c r="J29" s="14">
        <v>3656.2389999999996</v>
      </c>
      <c r="K29" s="14">
        <v>3394.2389999999996</v>
      </c>
      <c r="L29" s="14">
        <v>3132.2389999999996</v>
      </c>
    </row>
    <row r="30" spans="1:12">
      <c r="A30" s="1">
        <f>A29+1</f>
        <v>14</v>
      </c>
      <c r="C30" s="128" t="s">
        <v>334</v>
      </c>
      <c r="G30" s="14">
        <v>2743.5471945037352</v>
      </c>
      <c r="I30" s="14">
        <f>G30</f>
        <v>2743.5471945037352</v>
      </c>
      <c r="J30" s="14">
        <v>9895.3273680989132</v>
      </c>
      <c r="K30" s="14"/>
      <c r="L30" s="14"/>
    </row>
    <row r="31" spans="1:12">
      <c r="A31" s="1">
        <f>A30+1</f>
        <v>15</v>
      </c>
      <c r="C31" s="128" t="s">
        <v>80</v>
      </c>
      <c r="G31" s="14">
        <v>-1843.2813259999998</v>
      </c>
      <c r="I31" s="14">
        <v>-1776.74865</v>
      </c>
      <c r="J31" s="14">
        <v>-2997.2910899999997</v>
      </c>
      <c r="K31" s="14">
        <v>-3281.4</v>
      </c>
      <c r="L31" s="14">
        <v>-3347.3319999999999</v>
      </c>
    </row>
    <row r="32" spans="1:12">
      <c r="A32" s="1">
        <f>A31+1</f>
        <v>16</v>
      </c>
      <c r="C32" s="128" t="s">
        <v>81</v>
      </c>
      <c r="G32" s="17">
        <v>2790.4683099999997</v>
      </c>
      <c r="I32" s="17">
        <v>2737.5637499999998</v>
      </c>
      <c r="J32" s="17">
        <v>2729.0270600000003</v>
      </c>
      <c r="K32" s="17">
        <v>1965.9341599999998</v>
      </c>
      <c r="L32" s="17">
        <v>1965.9341599999998</v>
      </c>
    </row>
    <row r="33" spans="1:12">
      <c r="A33" s="1">
        <f>A32+1</f>
        <v>17</v>
      </c>
      <c r="C33" s="1" t="s">
        <v>311</v>
      </c>
      <c r="E33" s="4" t="s">
        <v>82</v>
      </c>
      <c r="G33" s="15">
        <f>SUM(G29:G32)</f>
        <v>7608.9731785037347</v>
      </c>
      <c r="I33" s="15">
        <f>SUM(I29:I32)</f>
        <v>7622.6012945037346</v>
      </c>
      <c r="J33" s="15">
        <f>SUM(J29:J32)</f>
        <v>13283.302338098914</v>
      </c>
      <c r="K33" s="15">
        <f>SUM(K29:K32)</f>
        <v>2078.7731599999993</v>
      </c>
      <c r="L33" s="15">
        <f>SUM(L29:L32)</f>
        <v>1750.8411599999995</v>
      </c>
    </row>
    <row r="34" spans="1:12">
      <c r="G34" s="14"/>
      <c r="I34" s="14"/>
      <c r="J34" s="14"/>
      <c r="K34" s="14"/>
      <c r="L34" s="14"/>
    </row>
    <row r="35" spans="1:12">
      <c r="A35" s="1">
        <f>A33+1</f>
        <v>18</v>
      </c>
      <c r="C35" s="1" t="s">
        <v>83</v>
      </c>
      <c r="G35" s="17">
        <f>G24+G26+G33</f>
        <v>60333.242958503739</v>
      </c>
      <c r="I35" s="17">
        <f>I24+I26+I33</f>
        <v>25837.096756864841</v>
      </c>
      <c r="J35" s="17">
        <f>J24+J26+J33</f>
        <v>60609.271922126689</v>
      </c>
      <c r="K35" s="17">
        <f>K24+K26+K33</f>
        <v>83894.843099555568</v>
      </c>
      <c r="L35" s="17">
        <f>L24+L26+L33</f>
        <v>119434.30728211108</v>
      </c>
    </row>
    <row r="36" spans="1:12">
      <c r="G36" s="14"/>
      <c r="I36" s="14"/>
      <c r="J36" s="14"/>
      <c r="K36" s="14"/>
      <c r="L36" s="14"/>
    </row>
    <row r="37" spans="1:12" ht="13" thickBot="1">
      <c r="A37" s="1">
        <f>A35+1</f>
        <v>19</v>
      </c>
      <c r="C37" s="1" t="s">
        <v>84</v>
      </c>
      <c r="G37" s="21">
        <f>G13-G19-G35</f>
        <v>469545.29313301068</v>
      </c>
      <c r="I37" s="21">
        <f>I13-I19-I35</f>
        <v>467251.15409313521</v>
      </c>
      <c r="J37" s="21">
        <f>J13-J19-J35</f>
        <v>463439.80627787329</v>
      </c>
      <c r="K37" s="21">
        <f>K13-K19-K35</f>
        <v>491813.44755044428</v>
      </c>
      <c r="L37" s="21">
        <f>L13-L19-L35</f>
        <v>533403.47566788876</v>
      </c>
    </row>
    <row r="38" spans="1:12">
      <c r="G38" s="14"/>
      <c r="I38" s="14"/>
      <c r="J38" s="14"/>
      <c r="K38" s="14"/>
      <c r="L38" s="14"/>
    </row>
    <row r="39" spans="1:12">
      <c r="C39" s="1" t="s">
        <v>22</v>
      </c>
    </row>
    <row r="40" spans="1:12">
      <c r="A40" s="1">
        <f>A37+1</f>
        <v>20</v>
      </c>
      <c r="C40" s="1" t="s">
        <v>330</v>
      </c>
      <c r="G40" s="14"/>
      <c r="I40" s="14"/>
      <c r="J40" s="14"/>
      <c r="K40" s="14"/>
      <c r="L40" s="14"/>
    </row>
    <row r="41" spans="1:12">
      <c r="A41" s="1">
        <f>A40+1</f>
        <v>21</v>
      </c>
      <c r="C41" s="128" t="s">
        <v>85</v>
      </c>
      <c r="G41" s="14"/>
      <c r="I41" s="14"/>
      <c r="J41" s="14"/>
      <c r="K41" s="14"/>
      <c r="L41" s="14"/>
    </row>
    <row r="42" spans="1:12">
      <c r="A42" s="1">
        <f>A41+1</f>
        <v>22</v>
      </c>
      <c r="C42" s="129" t="s">
        <v>86</v>
      </c>
      <c r="G42" s="14">
        <v>16797.595870000005</v>
      </c>
      <c r="I42" s="14">
        <v>15973.549309999999</v>
      </c>
      <c r="J42" s="14">
        <f>I45</f>
        <v>15148.937179999999</v>
      </c>
      <c r="K42" s="14">
        <f>J45</f>
        <v>13618.43309</v>
      </c>
      <c r="L42" s="14">
        <f>K45</f>
        <v>11541.019820000001</v>
      </c>
    </row>
    <row r="43" spans="1:12">
      <c r="A43" s="1">
        <f>A42+1</f>
        <v>23</v>
      </c>
      <c r="C43" s="130" t="s">
        <v>87</v>
      </c>
      <c r="G43" s="14">
        <f>G45-G42-G44</f>
        <v>6685.9286200000006</v>
      </c>
      <c r="I43" s="14">
        <f>I45-I42-I44</f>
        <v>1342.9158700000003</v>
      </c>
      <c r="J43" s="14">
        <f>J45-J42-J44</f>
        <v>107.04653000000144</v>
      </c>
      <c r="K43" s="14">
        <f>K45-K42-K44</f>
        <v>-149.91562999999906</v>
      </c>
      <c r="L43" s="14">
        <f>L45-L42-L44</f>
        <v>1175.0000000000005</v>
      </c>
    </row>
    <row r="44" spans="1:12">
      <c r="A44" s="1">
        <f>A43+1</f>
        <v>24</v>
      </c>
      <c r="C44" s="130" t="s">
        <v>88</v>
      </c>
      <c r="G44" s="17">
        <v>-2273.6872999999996</v>
      </c>
      <c r="I44" s="17">
        <v>-2167.5279999999998</v>
      </c>
      <c r="J44" s="17">
        <v>-1637.55062</v>
      </c>
      <c r="K44" s="17">
        <v>-1927.49764</v>
      </c>
      <c r="L44" s="17">
        <v>-2133.7426</v>
      </c>
    </row>
    <row r="45" spans="1:12">
      <c r="A45" s="1">
        <f>A44+1</f>
        <v>25</v>
      </c>
      <c r="C45" s="129" t="s">
        <v>89</v>
      </c>
      <c r="G45" s="14">
        <v>21209.837190000006</v>
      </c>
      <c r="I45" s="14">
        <v>15148.937179999999</v>
      </c>
      <c r="J45" s="14">
        <v>13618.43309</v>
      </c>
      <c r="K45" s="14">
        <v>11541.019820000001</v>
      </c>
      <c r="L45" s="14">
        <v>10582.277220000002</v>
      </c>
    </row>
    <row r="46" spans="1:12">
      <c r="A46" s="1">
        <f>A45+1</f>
        <v>26</v>
      </c>
      <c r="C46" s="128" t="s">
        <v>360</v>
      </c>
      <c r="G46" s="14"/>
      <c r="I46" s="14">
        <v>10343.198199999999</v>
      </c>
      <c r="J46" s="14">
        <v>1255.3533799999998</v>
      </c>
      <c r="K46" s="14">
        <v>150</v>
      </c>
      <c r="L46" s="14">
        <v>785</v>
      </c>
    </row>
    <row r="47" spans="1:12">
      <c r="C47" s="129"/>
      <c r="G47" s="14"/>
      <c r="I47" s="14"/>
      <c r="J47" s="14"/>
      <c r="K47" s="14"/>
      <c r="L47" s="14"/>
    </row>
    <row r="48" spans="1:12">
      <c r="A48" s="1">
        <f>A46+1</f>
        <v>27</v>
      </c>
      <c r="C48" s="128" t="s">
        <v>90</v>
      </c>
      <c r="G48" s="14"/>
      <c r="I48" s="14"/>
      <c r="J48" s="14"/>
      <c r="K48" s="14"/>
      <c r="L48" s="14"/>
    </row>
    <row r="49" spans="1:12">
      <c r="A49" s="1">
        <f>A48+1</f>
        <v>28</v>
      </c>
      <c r="C49" s="129" t="s">
        <v>86</v>
      </c>
      <c r="G49" s="14">
        <v>11881.954470000001</v>
      </c>
      <c r="I49" s="14">
        <v>12484.77079</v>
      </c>
      <c r="J49" s="14">
        <f>I52</f>
        <v>13883.55631</v>
      </c>
      <c r="K49" s="14">
        <f>J52</f>
        <v>17088.781999999999</v>
      </c>
      <c r="L49" s="14">
        <f>K52</f>
        <v>26961.318859999999</v>
      </c>
    </row>
    <row r="50" spans="1:12">
      <c r="A50" s="1">
        <f>A49+1</f>
        <v>29</v>
      </c>
      <c r="C50" s="130" t="s">
        <v>87</v>
      </c>
      <c r="G50" s="14">
        <f>G52-G49-G51</f>
        <v>1745.0000000000009</v>
      </c>
      <c r="I50" s="14">
        <f>I52-I49-I51</f>
        <v>1737.5505299999995</v>
      </c>
      <c r="J50" s="14">
        <f>J52-J49-J51</f>
        <v>3543.9906899999992</v>
      </c>
      <c r="K50" s="14">
        <f>K52-K49-K51</f>
        <v>10692.094999999999</v>
      </c>
      <c r="L50" s="14">
        <f>L52-L49-L51</f>
        <v>7326.7949999999983</v>
      </c>
    </row>
    <row r="51" spans="1:12">
      <c r="A51" s="1">
        <f>A50+1</f>
        <v>30</v>
      </c>
      <c r="C51" s="130" t="s">
        <v>88</v>
      </c>
      <c r="G51" s="17">
        <v>-338.76501000000002</v>
      </c>
      <c r="I51" s="17">
        <v>-338.76501000000002</v>
      </c>
      <c r="J51" s="17">
        <v>-338.76499999999999</v>
      </c>
      <c r="K51" s="17">
        <v>-819.55813999999998</v>
      </c>
      <c r="L51" s="17">
        <v>-812.46312</v>
      </c>
    </row>
    <row r="52" spans="1:12">
      <c r="A52" s="1">
        <f>A51+1</f>
        <v>31</v>
      </c>
      <c r="C52" s="129" t="s">
        <v>89</v>
      </c>
      <c r="G52" s="14">
        <v>13288.189460000001</v>
      </c>
      <c r="I52" s="14">
        <v>13883.55631</v>
      </c>
      <c r="J52" s="14">
        <v>17088.781999999999</v>
      </c>
      <c r="K52" s="14">
        <v>26961.318859999999</v>
      </c>
      <c r="L52" s="14">
        <v>33475.650739999997</v>
      </c>
    </row>
    <row r="53" spans="1:12">
      <c r="A53" s="1">
        <f>A52+1</f>
        <v>32</v>
      </c>
      <c r="C53" s="128" t="s">
        <v>361</v>
      </c>
      <c r="G53" s="14"/>
      <c r="I53" s="14">
        <v>13425.368779999999</v>
      </c>
      <c r="J53" s="14">
        <v>13065.92995</v>
      </c>
      <c r="K53" s="14">
        <v>23758.024949999999</v>
      </c>
      <c r="L53" s="14">
        <v>29867.4228</v>
      </c>
    </row>
    <row r="54" spans="1:12">
      <c r="C54" s="129"/>
      <c r="G54" s="14"/>
      <c r="I54" s="14"/>
      <c r="J54" s="14"/>
      <c r="K54" s="14"/>
      <c r="L54" s="14"/>
    </row>
    <row r="55" spans="1:12">
      <c r="A55" s="1">
        <f>A53+1</f>
        <v>33</v>
      </c>
      <c r="C55" s="128" t="s">
        <v>91</v>
      </c>
      <c r="G55" s="14"/>
      <c r="I55" s="14"/>
      <c r="J55" s="14"/>
      <c r="K55" s="14"/>
      <c r="L55" s="14"/>
    </row>
    <row r="56" spans="1:12">
      <c r="A56" s="1">
        <f>A55+1</f>
        <v>34</v>
      </c>
      <c r="C56" s="129" t="s">
        <v>86</v>
      </c>
      <c r="G56" s="14">
        <v>203.18117999999998</v>
      </c>
      <c r="I56" s="14">
        <v>203.18118000000001</v>
      </c>
      <c r="J56" s="14">
        <f>I59</f>
        <v>228.69177999999999</v>
      </c>
      <c r="K56" s="14">
        <f>J59</f>
        <v>177.79390999999998</v>
      </c>
      <c r="L56" s="14">
        <f>K59</f>
        <v>126.89604</v>
      </c>
    </row>
    <row r="57" spans="1:12">
      <c r="A57" s="1">
        <f>A56+1</f>
        <v>35</v>
      </c>
      <c r="C57" s="130" t="s">
        <v>87</v>
      </c>
      <c r="G57" s="14">
        <v>80</v>
      </c>
      <c r="I57" s="14">
        <f>I59-I56-I58</f>
        <v>80.850539999999995</v>
      </c>
      <c r="J57" s="14">
        <f>J59-J56-J58</f>
        <v>0</v>
      </c>
      <c r="K57" s="14">
        <f>K59-K56-K58</f>
        <v>0</v>
      </c>
      <c r="L57" s="14">
        <f>L59-L56-L58</f>
        <v>0</v>
      </c>
    </row>
    <row r="58" spans="1:12">
      <c r="A58" s="1">
        <f>A57+1</f>
        <v>36</v>
      </c>
      <c r="C58" s="130" t="s">
        <v>88</v>
      </c>
      <c r="G58" s="17">
        <v>-64.270150000000001</v>
      </c>
      <c r="I58" s="17">
        <v>-55.339940000000006</v>
      </c>
      <c r="J58" s="17">
        <v>-50.897870000000005</v>
      </c>
      <c r="K58" s="17">
        <v>-50.897870000000005</v>
      </c>
      <c r="L58" s="17">
        <v>-50.897870000000005</v>
      </c>
    </row>
    <row r="59" spans="1:12">
      <c r="A59" s="1">
        <f>A58+1</f>
        <v>37</v>
      </c>
      <c r="C59" s="129" t="s">
        <v>89</v>
      </c>
      <c r="G59" s="14">
        <f>SUM(G56:G58)</f>
        <v>218.91102999999998</v>
      </c>
      <c r="I59" s="14">
        <v>228.69177999999999</v>
      </c>
      <c r="J59" s="14">
        <v>177.79390999999998</v>
      </c>
      <c r="K59" s="14">
        <v>126.89604</v>
      </c>
      <c r="L59" s="14">
        <v>75.998169999999988</v>
      </c>
    </row>
    <row r="60" spans="1:12">
      <c r="A60" s="1">
        <f>A59+1</f>
        <v>38</v>
      </c>
      <c r="C60" s="128" t="s">
        <v>362</v>
      </c>
      <c r="G60" s="14"/>
      <c r="I60" s="14">
        <v>0</v>
      </c>
      <c r="J60" s="14">
        <v>0</v>
      </c>
      <c r="K60" s="14">
        <v>0</v>
      </c>
      <c r="L60" s="14">
        <v>0</v>
      </c>
    </row>
    <row r="61" spans="1:12">
      <c r="C61" s="129"/>
      <c r="G61" s="14"/>
      <c r="I61" s="14"/>
      <c r="J61" s="14"/>
      <c r="K61" s="14"/>
      <c r="L61" s="14"/>
    </row>
    <row r="62" spans="1:12">
      <c r="A62" s="1">
        <f>A60+1</f>
        <v>39</v>
      </c>
      <c r="C62" s="128" t="s">
        <v>364</v>
      </c>
      <c r="G62" s="14"/>
      <c r="I62" s="14"/>
      <c r="J62" s="14"/>
      <c r="K62" s="14"/>
      <c r="L62" s="14"/>
    </row>
    <row r="63" spans="1:12">
      <c r="A63" s="1">
        <f>A62+1</f>
        <v>40</v>
      </c>
      <c r="C63" s="129" t="s">
        <v>86</v>
      </c>
      <c r="G63" s="14">
        <v>1329.1874329999991</v>
      </c>
      <c r="I63" s="14">
        <v>1329.185910999998</v>
      </c>
      <c r="J63" s="14">
        <f>I66</f>
        <v>1107.6548709999981</v>
      </c>
      <c r="K63" s="14">
        <f>J66</f>
        <v>886.1235909999981</v>
      </c>
      <c r="L63" s="14">
        <f>K66</f>
        <v>664.59255099999814</v>
      </c>
    </row>
    <row r="64" spans="1:12">
      <c r="A64" s="1">
        <f>A63+1</f>
        <v>41</v>
      </c>
      <c r="C64" s="130" t="s">
        <v>87</v>
      </c>
      <c r="G64" s="14">
        <v>0</v>
      </c>
      <c r="I64" s="14">
        <v>0</v>
      </c>
      <c r="J64" s="14">
        <v>0</v>
      </c>
      <c r="K64" s="14">
        <v>0</v>
      </c>
      <c r="L64" s="14">
        <v>0</v>
      </c>
    </row>
    <row r="65" spans="1:12">
      <c r="A65" s="1">
        <f>A64+1</f>
        <v>42</v>
      </c>
      <c r="C65" s="130" t="s">
        <v>88</v>
      </c>
      <c r="G65" s="17">
        <v>-221.53123899999997</v>
      </c>
      <c r="I65" s="17">
        <v>-221.53103999999993</v>
      </c>
      <c r="J65" s="17">
        <v>-221.53128000000001</v>
      </c>
      <c r="K65" s="17">
        <v>-221.53103999999993</v>
      </c>
      <c r="L65" s="17">
        <v>-221.53103999999993</v>
      </c>
    </row>
    <row r="66" spans="1:12">
      <c r="A66" s="1">
        <f>A65+1</f>
        <v>43</v>
      </c>
      <c r="C66" s="129" t="s">
        <v>89</v>
      </c>
      <c r="G66" s="14">
        <f>SUM(G63:G65)</f>
        <v>1107.6561939999992</v>
      </c>
      <c r="I66" s="14">
        <f>SUM(I63:I65)</f>
        <v>1107.6548709999981</v>
      </c>
      <c r="J66" s="14">
        <f>SUM(J63:J65)</f>
        <v>886.1235909999981</v>
      </c>
      <c r="K66" s="14">
        <f>SUM(K63:K65)</f>
        <v>664.59255099999814</v>
      </c>
      <c r="L66" s="14">
        <f>SUM(L63:L65)</f>
        <v>443.06151099999818</v>
      </c>
    </row>
    <row r="67" spans="1:12">
      <c r="A67" s="1">
        <f>A66+1</f>
        <v>44</v>
      </c>
      <c r="C67" s="128" t="s">
        <v>363</v>
      </c>
      <c r="G67" s="14"/>
      <c r="I67" s="14">
        <v>0</v>
      </c>
      <c r="J67" s="14">
        <v>0</v>
      </c>
      <c r="K67" s="14">
        <v>0</v>
      </c>
      <c r="L67" s="14">
        <v>0</v>
      </c>
    </row>
    <row r="68" spans="1:12">
      <c r="C68" s="129"/>
      <c r="G68" s="14"/>
      <c r="I68" s="14"/>
      <c r="J68" s="14"/>
      <c r="K68" s="14"/>
      <c r="L68" s="14"/>
    </row>
    <row r="69" spans="1:12">
      <c r="A69" s="1">
        <f>A67+1</f>
        <v>45</v>
      </c>
      <c r="C69" s="128" t="s">
        <v>92</v>
      </c>
      <c r="G69" s="14"/>
      <c r="I69" s="14"/>
      <c r="J69" s="14"/>
      <c r="K69" s="14"/>
      <c r="L69" s="14"/>
    </row>
    <row r="70" spans="1:12">
      <c r="A70" s="1">
        <f>A69+1</f>
        <v>46</v>
      </c>
      <c r="C70" s="129" t="s">
        <v>86</v>
      </c>
      <c r="G70" s="14">
        <v>5076.271920000001</v>
      </c>
      <c r="I70" s="14">
        <v>4951.9837800000005</v>
      </c>
      <c r="J70" s="14">
        <f>I73</f>
        <v>5012.4269700000004</v>
      </c>
      <c r="K70" s="14">
        <f>J73</f>
        <v>4582.3754600000011</v>
      </c>
      <c r="L70" s="14">
        <f>K73</f>
        <v>9840.0845800000006</v>
      </c>
    </row>
    <row r="71" spans="1:12">
      <c r="A71" s="1">
        <f>A70+1</f>
        <v>47</v>
      </c>
      <c r="C71" s="130" t="s">
        <v>87</v>
      </c>
      <c r="G71" s="14">
        <v>1095</v>
      </c>
      <c r="I71" s="14">
        <f>I73-I70-I72</f>
        <v>926.36728999999991</v>
      </c>
      <c r="J71" s="14">
        <f>J73-J70-J72</f>
        <v>359.27447000000063</v>
      </c>
      <c r="K71" s="14">
        <f>K73-K70-K72</f>
        <v>5976.1814299999996</v>
      </c>
      <c r="L71" s="14">
        <f>L73-L70-L72</f>
        <v>4830</v>
      </c>
    </row>
    <row r="72" spans="1:12">
      <c r="A72" s="1">
        <f>A71+1</f>
        <v>48</v>
      </c>
      <c r="C72" s="130" t="s">
        <v>88</v>
      </c>
      <c r="G72" s="17">
        <v>-728.80534000000011</v>
      </c>
      <c r="I72" s="17">
        <v>-865.92409999999995</v>
      </c>
      <c r="J72" s="17">
        <v>-789.32597999999996</v>
      </c>
      <c r="K72" s="17">
        <v>-718.47231000000011</v>
      </c>
      <c r="L72" s="17">
        <v>-1280.6828700000001</v>
      </c>
    </row>
    <row r="73" spans="1:12">
      <c r="A73" s="1">
        <f>A72+1</f>
        <v>49</v>
      </c>
      <c r="C73" s="129" t="s">
        <v>89</v>
      </c>
      <c r="G73" s="14">
        <f>SUM(G70:G72)</f>
        <v>5442.4665800000012</v>
      </c>
      <c r="I73" s="14">
        <v>5012.4269700000004</v>
      </c>
      <c r="J73" s="14">
        <v>4582.3754600000011</v>
      </c>
      <c r="K73" s="14">
        <v>9840.0845800000006</v>
      </c>
      <c r="L73" s="14">
        <v>13389.40171</v>
      </c>
    </row>
    <row r="74" spans="1:12">
      <c r="A74" s="1">
        <f>A73+1</f>
        <v>50</v>
      </c>
      <c r="C74" s="128" t="s">
        <v>365</v>
      </c>
      <c r="G74" s="14"/>
      <c r="I74" s="14">
        <v>24.975000000000001</v>
      </c>
      <c r="J74" s="14">
        <v>105.92007000000001</v>
      </c>
      <c r="K74" s="14">
        <v>174.81232</v>
      </c>
      <c r="L74" s="14">
        <v>4624.81232</v>
      </c>
    </row>
    <row r="75" spans="1:12">
      <c r="C75" s="129"/>
      <c r="G75" s="14"/>
      <c r="I75" s="14"/>
      <c r="J75" s="14"/>
      <c r="K75" s="14"/>
      <c r="L75" s="14"/>
    </row>
    <row r="76" spans="1:12">
      <c r="A76" s="1">
        <f>A74+1</f>
        <v>51</v>
      </c>
      <c r="C76" s="128" t="s">
        <v>317</v>
      </c>
      <c r="G76" s="14"/>
      <c r="I76" s="14"/>
      <c r="J76" s="14"/>
      <c r="K76" s="14"/>
      <c r="L76" s="14"/>
    </row>
    <row r="77" spans="1:12">
      <c r="A77" s="1">
        <f>A76+1</f>
        <v>52</v>
      </c>
      <c r="C77" s="129" t="s">
        <v>86</v>
      </c>
      <c r="G77" s="14">
        <v>876.46635000000128</v>
      </c>
      <c r="I77" s="14">
        <v>720.12384409825438</v>
      </c>
      <c r="J77" s="14">
        <f>I80</f>
        <v>622.74152409825479</v>
      </c>
      <c r="K77" s="14">
        <f>J80</f>
        <v>736.26465409825471</v>
      </c>
      <c r="L77" s="14">
        <f>K80</f>
        <v>1856.5061900982544</v>
      </c>
    </row>
    <row r="78" spans="1:12">
      <c r="A78" s="1">
        <f>A77+1</f>
        <v>53</v>
      </c>
      <c r="C78" s="130" t="s">
        <v>87</v>
      </c>
      <c r="G78" s="14">
        <v>119.99999999999977</v>
      </c>
      <c r="I78" s="14">
        <f>I80-I77-I79</f>
        <v>-4.0020599999995738</v>
      </c>
      <c r="J78" s="14">
        <f>J80-J77-J79</f>
        <v>207.9413899999999</v>
      </c>
      <c r="K78" s="14">
        <f>K80-K77-K79</f>
        <v>1249.9999999999995</v>
      </c>
      <c r="L78" s="14">
        <f>L80-L77-L79</f>
        <v>1160.0000000000002</v>
      </c>
    </row>
    <row r="79" spans="1:12">
      <c r="A79" s="1">
        <f>A78+1</f>
        <v>54</v>
      </c>
      <c r="C79" s="130" t="s">
        <v>88</v>
      </c>
      <c r="G79" s="17">
        <v>-161.47457499999996</v>
      </c>
      <c r="I79" s="17">
        <v>-93.380260000000021</v>
      </c>
      <c r="J79" s="17">
        <v>-94.418259999999975</v>
      </c>
      <c r="K79" s="17">
        <v>-129.75846400000012</v>
      </c>
      <c r="L79" s="17">
        <v>-254.758464</v>
      </c>
    </row>
    <row r="80" spans="1:12">
      <c r="A80" s="1">
        <f>A79+1</f>
        <v>55</v>
      </c>
      <c r="C80" s="129" t="s">
        <v>89</v>
      </c>
      <c r="G80" s="14">
        <f>SUM(G77:G79)</f>
        <v>834.9917750000011</v>
      </c>
      <c r="I80" s="14">
        <v>622.74152409825479</v>
      </c>
      <c r="J80" s="14">
        <v>736.26465409825471</v>
      </c>
      <c r="K80" s="14">
        <v>1856.5061900982544</v>
      </c>
      <c r="L80" s="14">
        <v>2761.7477260982546</v>
      </c>
    </row>
    <row r="81" spans="1:12">
      <c r="A81" s="1">
        <f>A80+1</f>
        <v>56</v>
      </c>
      <c r="C81" s="128" t="s">
        <v>366</v>
      </c>
      <c r="G81" s="14"/>
      <c r="I81" s="14">
        <v>145.46065000000013</v>
      </c>
      <c r="J81" s="14">
        <v>0</v>
      </c>
      <c r="K81" s="14">
        <v>0</v>
      </c>
      <c r="L81" s="14">
        <v>0</v>
      </c>
    </row>
    <row r="82" spans="1:12">
      <c r="C82" s="129"/>
      <c r="G82" s="14"/>
      <c r="I82" s="14"/>
      <c r="J82" s="14"/>
      <c r="K82" s="14"/>
      <c r="L82" s="14"/>
    </row>
    <row r="83" spans="1:12">
      <c r="A83" s="1">
        <f>A81+1</f>
        <v>57</v>
      </c>
      <c r="C83" s="128" t="s">
        <v>93</v>
      </c>
      <c r="G83" s="14"/>
      <c r="I83" s="14"/>
      <c r="J83" s="14"/>
      <c r="K83" s="14"/>
      <c r="L83" s="14"/>
    </row>
    <row r="84" spans="1:12">
      <c r="A84" s="1">
        <f>A83+1</f>
        <v>58</v>
      </c>
      <c r="C84" s="129" t="s">
        <v>86</v>
      </c>
      <c r="G84" s="14">
        <v>63.155828000000184</v>
      </c>
      <c r="I84" s="14">
        <v>182.12368800000039</v>
      </c>
      <c r="J84" s="14">
        <f>I87</f>
        <v>227.30555800000036</v>
      </c>
      <c r="K84" s="14">
        <f>J87</f>
        <v>880.79343800000038</v>
      </c>
      <c r="L84" s="14">
        <f>K87</f>
        <v>1016.4312080000004</v>
      </c>
    </row>
    <row r="85" spans="1:12">
      <c r="A85" s="1">
        <f>A84+1</f>
        <v>59</v>
      </c>
      <c r="C85" s="130" t="s">
        <v>87</v>
      </c>
      <c r="G85" s="14">
        <v>0</v>
      </c>
      <c r="I85" s="14">
        <v>100.55083</v>
      </c>
      <c r="J85" s="14">
        <v>903.48795999999993</v>
      </c>
      <c r="K85" s="14">
        <v>385.63777000000005</v>
      </c>
      <c r="L85" s="14">
        <v>0</v>
      </c>
    </row>
    <row r="86" spans="1:12">
      <c r="A86" s="1">
        <f>A85+1</f>
        <v>60</v>
      </c>
      <c r="C86" s="130" t="s">
        <v>88</v>
      </c>
      <c r="G86" s="17">
        <v>-55.368960000000015</v>
      </c>
      <c r="I86" s="17">
        <v>-55.368960000000015</v>
      </c>
      <c r="J86" s="17">
        <v>-250.00008</v>
      </c>
      <c r="K86" s="17">
        <v>-250.00000000000006</v>
      </c>
      <c r="L86" s="17">
        <v>-249.99996000000007</v>
      </c>
    </row>
    <row r="87" spans="1:12">
      <c r="A87" s="1">
        <f>A86+1</f>
        <v>61</v>
      </c>
      <c r="C87" s="129" t="s">
        <v>89</v>
      </c>
      <c r="G87" s="14">
        <f>SUM(G84:G86)</f>
        <v>7.7868680000001689</v>
      </c>
      <c r="I87" s="14">
        <f>SUM(I84:I86)</f>
        <v>227.30555800000036</v>
      </c>
      <c r="J87" s="14">
        <f>SUM(J84:J86)</f>
        <v>880.79343800000038</v>
      </c>
      <c r="K87" s="14">
        <f>SUM(K84:K86)</f>
        <v>1016.4312080000004</v>
      </c>
      <c r="L87" s="14">
        <f>SUM(L84:L86)</f>
        <v>766.43124800000032</v>
      </c>
    </row>
    <row r="88" spans="1:12">
      <c r="C88" s="128"/>
      <c r="G88" s="14"/>
      <c r="I88" s="14"/>
      <c r="J88" s="14"/>
      <c r="K88" s="14"/>
      <c r="L88" s="14"/>
    </row>
    <row r="89" spans="1:12">
      <c r="A89" s="1">
        <f>A87+1</f>
        <v>62</v>
      </c>
      <c r="C89" s="128" t="s">
        <v>316</v>
      </c>
      <c r="G89" s="14"/>
      <c r="I89" s="14"/>
      <c r="J89" s="14"/>
      <c r="K89" s="14"/>
      <c r="L89" s="14"/>
    </row>
    <row r="90" spans="1:12">
      <c r="A90" s="1">
        <f>A89+1</f>
        <v>63</v>
      </c>
      <c r="C90" s="129" t="s">
        <v>86</v>
      </c>
      <c r="G90" s="14">
        <v>1516.6144219999992</v>
      </c>
      <c r="I90" s="14">
        <v>4792.8214679017456</v>
      </c>
      <c r="J90" s="14">
        <v>5941.5720579017461</v>
      </c>
      <c r="K90" s="14">
        <v>5600.865417901744</v>
      </c>
      <c r="L90" s="14">
        <v>1668.0544019017448</v>
      </c>
    </row>
    <row r="91" spans="1:12">
      <c r="A91" s="1">
        <f>A90+1</f>
        <v>64</v>
      </c>
      <c r="C91" s="130" t="s">
        <v>87</v>
      </c>
      <c r="G91" s="14">
        <v>821</v>
      </c>
      <c r="I91" s="14">
        <v>815.41380999999978</v>
      </c>
      <c r="J91" s="14">
        <v>-390.04308000000083</v>
      </c>
      <c r="K91" s="14">
        <v>-3991.8524099999995</v>
      </c>
      <c r="L91" s="14">
        <v>1599.9999999999998</v>
      </c>
    </row>
    <row r="92" spans="1:12">
      <c r="A92" s="1">
        <f>A91+1</f>
        <v>65</v>
      </c>
      <c r="C92" s="130" t="s">
        <v>88</v>
      </c>
      <c r="G92" s="14">
        <f>-224.842616111112+6-G93</f>
        <v>-274.21157611111198</v>
      </c>
      <c r="I92" s="14">
        <v>277.96782000000007</v>
      </c>
      <c r="J92" s="14">
        <v>-200.66364000000004</v>
      </c>
      <c r="K92" s="14">
        <v>-190.95860600000003</v>
      </c>
      <c r="L92" s="14">
        <v>-130.90737599999989</v>
      </c>
    </row>
    <row r="93" spans="1:12">
      <c r="A93" s="1">
        <f>A92+1</f>
        <v>66</v>
      </c>
      <c r="C93" s="130" t="s">
        <v>478</v>
      </c>
      <c r="G93" s="17">
        <f>-G86</f>
        <v>55.368960000000015</v>
      </c>
      <c r="I93" s="17">
        <f>-I86</f>
        <v>55.368960000000015</v>
      </c>
      <c r="J93" s="17">
        <f>-J86</f>
        <v>250.00008</v>
      </c>
      <c r="K93" s="17">
        <f>-K86</f>
        <v>250.00000000000006</v>
      </c>
      <c r="L93" s="17">
        <f>-L86</f>
        <v>249.99996000000007</v>
      </c>
    </row>
    <row r="94" spans="1:12">
      <c r="A94" s="1">
        <f>A93+1</f>
        <v>67</v>
      </c>
      <c r="C94" s="129" t="s">
        <v>89</v>
      </c>
      <c r="G94" s="14">
        <f>SUM(G90:G93)</f>
        <v>2118.7718058888868</v>
      </c>
      <c r="I94" s="14">
        <f>SUM(I90:I93)</f>
        <v>5941.5720579017452</v>
      </c>
      <c r="J94" s="14">
        <f>SUM(J90:J93)</f>
        <v>5600.8654179017458</v>
      </c>
      <c r="K94" s="14">
        <f>SUM(K90:K93)</f>
        <v>1668.0544019017443</v>
      </c>
      <c r="L94" s="14">
        <f>SUM(L90:L93)</f>
        <v>3387.1469859017443</v>
      </c>
    </row>
    <row r="95" spans="1:12">
      <c r="A95" s="1">
        <f>A94+1</f>
        <v>68</v>
      </c>
      <c r="C95" s="128" t="s">
        <v>374</v>
      </c>
      <c r="G95" s="14"/>
      <c r="I95" s="14">
        <v>7959.8773300000003</v>
      </c>
      <c r="J95" s="14">
        <v>6206.4065399999999</v>
      </c>
      <c r="K95" s="14">
        <v>2258.6516299999998</v>
      </c>
      <c r="L95" s="14">
        <v>3858.6516299999998</v>
      </c>
    </row>
    <row r="96" spans="1:12">
      <c r="C96" s="128"/>
      <c r="G96" s="14"/>
      <c r="I96" s="14"/>
      <c r="J96" s="14"/>
      <c r="K96" s="14"/>
      <c r="L96" s="14"/>
    </row>
    <row r="97" spans="1:12">
      <c r="A97" s="1">
        <f>A95+1</f>
        <v>69</v>
      </c>
      <c r="C97" s="128" t="s">
        <v>408</v>
      </c>
      <c r="G97" s="14"/>
      <c r="I97" s="14"/>
      <c r="J97" s="14"/>
      <c r="K97" s="14"/>
      <c r="L97" s="14"/>
    </row>
    <row r="98" spans="1:12">
      <c r="A98" s="1">
        <f>A97+1</f>
        <v>70</v>
      </c>
      <c r="C98" s="129" t="s">
        <v>86</v>
      </c>
      <c r="G98" s="14"/>
      <c r="I98" s="14">
        <v>0</v>
      </c>
      <c r="J98" s="14">
        <v>0</v>
      </c>
      <c r="K98" s="14">
        <f>J101</f>
        <v>0</v>
      </c>
      <c r="L98" s="14">
        <f>K101</f>
        <v>0</v>
      </c>
    </row>
    <row r="99" spans="1:12">
      <c r="A99" s="1">
        <f>A98+1</f>
        <v>71</v>
      </c>
      <c r="C99" s="130" t="s">
        <v>87</v>
      </c>
      <c r="G99" s="14"/>
      <c r="I99" s="14">
        <v>0</v>
      </c>
      <c r="J99" s="14">
        <v>0</v>
      </c>
      <c r="K99" s="14">
        <v>0</v>
      </c>
      <c r="L99" s="14">
        <v>0</v>
      </c>
    </row>
    <row r="100" spans="1:12">
      <c r="A100" s="1">
        <f>A99+1</f>
        <v>72</v>
      </c>
      <c r="C100" s="130" t="s">
        <v>88</v>
      </c>
      <c r="G100" s="17"/>
      <c r="I100" s="17">
        <v>0</v>
      </c>
      <c r="J100" s="17">
        <v>0</v>
      </c>
      <c r="K100" s="17">
        <v>0</v>
      </c>
      <c r="L100" s="17">
        <v>0</v>
      </c>
    </row>
    <row r="101" spans="1:12">
      <c r="A101" s="1">
        <f>A100+1</f>
        <v>73</v>
      </c>
      <c r="C101" s="129" t="s">
        <v>89</v>
      </c>
      <c r="G101" s="14">
        <f>SUM(G98:G100)</f>
        <v>0</v>
      </c>
      <c r="I101" s="14">
        <f>SUM(I98:I100)</f>
        <v>0</v>
      </c>
      <c r="J101" s="14">
        <f>SUM(J98:J100)</f>
        <v>0</v>
      </c>
      <c r="K101" s="14">
        <f>SUM(K98:K100)</f>
        <v>0</v>
      </c>
      <c r="L101" s="14">
        <f>SUM(L98:L100)</f>
        <v>0</v>
      </c>
    </row>
    <row r="102" spans="1:12">
      <c r="C102" s="128"/>
      <c r="G102" s="14"/>
      <c r="I102" s="14"/>
      <c r="J102" s="14"/>
      <c r="K102" s="14"/>
      <c r="L102" s="14"/>
    </row>
    <row r="103" spans="1:12">
      <c r="A103" s="1">
        <f>A101+1</f>
        <v>74</v>
      </c>
      <c r="C103" s="128" t="s">
        <v>409</v>
      </c>
      <c r="G103" s="14"/>
      <c r="I103" s="14"/>
      <c r="J103" s="14"/>
      <c r="K103" s="14"/>
      <c r="L103" s="14"/>
    </row>
    <row r="104" spans="1:12">
      <c r="A104" s="1">
        <f>A103+1</f>
        <v>75</v>
      </c>
      <c r="C104" s="129" t="s">
        <v>86</v>
      </c>
      <c r="G104" s="14"/>
      <c r="I104" s="14">
        <v>0</v>
      </c>
      <c r="J104" s="14">
        <v>0</v>
      </c>
      <c r="K104" s="14">
        <f>J107</f>
        <v>-62.4</v>
      </c>
      <c r="L104" s="14">
        <f>K107</f>
        <v>-62.4</v>
      </c>
    </row>
    <row r="105" spans="1:12">
      <c r="A105" s="1">
        <f>A104+1</f>
        <v>76</v>
      </c>
      <c r="C105" s="130" t="s">
        <v>87</v>
      </c>
      <c r="G105" s="14"/>
      <c r="I105" s="14">
        <v>0</v>
      </c>
      <c r="J105" s="14">
        <v>-62.4</v>
      </c>
      <c r="K105" s="14">
        <v>0</v>
      </c>
      <c r="L105" s="14">
        <v>0</v>
      </c>
    </row>
    <row r="106" spans="1:12">
      <c r="A106" s="1">
        <f>A105+1</f>
        <v>77</v>
      </c>
      <c r="C106" s="130" t="s">
        <v>88</v>
      </c>
      <c r="G106" s="17"/>
      <c r="I106" s="17">
        <v>0</v>
      </c>
      <c r="J106" s="17">
        <v>0</v>
      </c>
      <c r="K106" s="17">
        <v>0</v>
      </c>
      <c r="L106" s="17">
        <v>0</v>
      </c>
    </row>
    <row r="107" spans="1:12">
      <c r="A107" s="1">
        <f>A106+1</f>
        <v>78</v>
      </c>
      <c r="C107" s="129" t="s">
        <v>89</v>
      </c>
      <c r="G107" s="14">
        <f>SUM(G104:G106)</f>
        <v>0</v>
      </c>
      <c r="I107" s="14">
        <f>SUM(I104:I106)</f>
        <v>0</v>
      </c>
      <c r="J107" s="14">
        <f>SUM(J104:J106)</f>
        <v>-62.4</v>
      </c>
      <c r="K107" s="14">
        <f>SUM(K104:K106)</f>
        <v>-62.4</v>
      </c>
      <c r="L107" s="14">
        <f>SUM(L104:L106)</f>
        <v>-62.4</v>
      </c>
    </row>
    <row r="108" spans="1:12">
      <c r="C108" s="128"/>
      <c r="G108" s="14"/>
      <c r="I108" s="14"/>
      <c r="J108" s="14"/>
      <c r="K108" s="14"/>
      <c r="L108" s="14"/>
    </row>
    <row r="109" spans="1:12">
      <c r="A109" s="1">
        <f>A107+1</f>
        <v>79</v>
      </c>
      <c r="C109" s="1" t="s">
        <v>328</v>
      </c>
      <c r="G109" s="14"/>
      <c r="I109" s="14"/>
      <c r="J109" s="14"/>
      <c r="K109" s="14"/>
      <c r="L109" s="14"/>
    </row>
    <row r="110" spans="1:12">
      <c r="A110" s="1">
        <f>A109+1</f>
        <v>80</v>
      </c>
      <c r="C110" s="128" t="s">
        <v>86</v>
      </c>
      <c r="G110" s="14">
        <f>G42+G49+G56+G63+G70+G77+G84+G90</f>
        <v>37744.427473000011</v>
      </c>
      <c r="I110" s="14">
        <f>I42+I49+I56+I63+I70+I77+I84+I90+I98+I104</f>
        <v>40637.739970999995</v>
      </c>
      <c r="J110" s="14">
        <f>J42+J49+J56+J63+J70+J77+J84+J90+J98+J104</f>
        <v>42172.886250999996</v>
      </c>
      <c r="K110" s="14">
        <f>K42+K49+K56+K63+K70+K77+K84+K90+K98+K104</f>
        <v>43509.031560999996</v>
      </c>
      <c r="L110" s="14">
        <f>L42+L49+L56+L63+L70+L77+L84+L90+L98+L104</f>
        <v>53612.503651000006</v>
      </c>
    </row>
    <row r="111" spans="1:12">
      <c r="A111" s="1">
        <f>A110+1</f>
        <v>81</v>
      </c>
      <c r="C111" s="131" t="s">
        <v>87</v>
      </c>
      <c r="G111" s="14">
        <f>G43+G50+G57+G64+G71+G78+G85+G91</f>
        <v>10546.928620000002</v>
      </c>
      <c r="I111" s="14">
        <f>I43+I50+I57+I64+I71+I78+I85+I91+I99+I105</f>
        <v>4999.6468100000002</v>
      </c>
      <c r="J111" s="14">
        <f>J43+J50+J57+J64+J71+J78+J85+J91+J99+J105</f>
        <v>4669.2979599999999</v>
      </c>
      <c r="K111" s="14">
        <f>K43+K50+K57+K64+K71+K78+K85+K91+K99+K105</f>
        <v>14162.14616</v>
      </c>
      <c r="L111" s="14">
        <f>L43+L50+L57+L64+L71+L78+L85+L91+L99+L105</f>
        <v>16091.794999999998</v>
      </c>
    </row>
    <row r="112" spans="1:12">
      <c r="A112" s="1">
        <f>A111+1</f>
        <v>82</v>
      </c>
      <c r="C112" s="131" t="s">
        <v>88</v>
      </c>
      <c r="G112" s="17">
        <f>G44+G51+G58+G65+G72+G79+G86+G93+G100+G106+G92</f>
        <v>-4062.7451901111117</v>
      </c>
      <c r="I112" s="17">
        <f>I44+I51+I58+I65+I72+I79+I86+I93+I100+I106+I92</f>
        <v>-3464.5005299999993</v>
      </c>
      <c r="J112" s="17">
        <f>J44+J51+J58+J65+J72+J79+J86+J93+J100+J106+J92</f>
        <v>-3333.15265</v>
      </c>
      <c r="K112" s="17">
        <f>K44+K51+K58+K65+K72+K79+K86+K93+K100+K106+K92</f>
        <v>-4058.67407</v>
      </c>
      <c r="L112" s="17">
        <f>L44+L51+L58+L65+L72+L79+L86+L93+L100+L106+L92</f>
        <v>-4884.9833399999998</v>
      </c>
    </row>
    <row r="113" spans="1:12">
      <c r="A113" s="1">
        <f>A112+1</f>
        <v>83</v>
      </c>
      <c r="C113" s="128" t="s">
        <v>89</v>
      </c>
      <c r="E113" s="4" t="s">
        <v>319</v>
      </c>
      <c r="G113" s="14">
        <f>SUM(G110:G112)</f>
        <v>44228.610902888897</v>
      </c>
      <c r="I113" s="14">
        <f>SUM(I110:I112)</f>
        <v>42172.886250999996</v>
      </c>
      <c r="J113" s="14">
        <f>SUM(J110:J112)</f>
        <v>43509.031560999996</v>
      </c>
      <c r="K113" s="14">
        <f>SUM(K110:K112)</f>
        <v>53612.503650999999</v>
      </c>
      <c r="L113" s="14">
        <f>SUM(L110:L112)</f>
        <v>64819.315311000006</v>
      </c>
    </row>
    <row r="114" spans="1:12">
      <c r="C114" s="128"/>
      <c r="G114" s="14"/>
      <c r="I114" s="14"/>
      <c r="J114" s="14"/>
      <c r="K114" s="14"/>
      <c r="L114" s="14"/>
    </row>
    <row r="115" spans="1:12">
      <c r="A115" s="1">
        <f>A113+1</f>
        <v>84</v>
      </c>
      <c r="C115" s="1" t="s">
        <v>410</v>
      </c>
      <c r="E115" s="4" t="s">
        <v>94</v>
      </c>
      <c r="G115" s="15">
        <v>30489.241899999997</v>
      </c>
      <c r="I115" s="15">
        <v>29343.424080000001</v>
      </c>
      <c r="J115" s="15">
        <v>19476.114099999999</v>
      </c>
      <c r="K115" s="15">
        <v>25985.702689999998</v>
      </c>
      <c r="L115" s="15">
        <v>38780.100539999999</v>
      </c>
    </row>
    <row r="116" spans="1:12">
      <c r="G116" s="14"/>
      <c r="I116" s="14"/>
      <c r="J116" s="14"/>
      <c r="K116" s="14"/>
      <c r="L116" s="14"/>
    </row>
    <row r="117" spans="1:12">
      <c r="A117" s="1">
        <f>A115+1</f>
        <v>85</v>
      </c>
      <c r="C117" s="1" t="s">
        <v>329</v>
      </c>
      <c r="G117" s="17">
        <f>G113-G115</f>
        <v>13739.3690028889</v>
      </c>
      <c r="I117" s="17">
        <f>I113-I115</f>
        <v>12829.462170999996</v>
      </c>
      <c r="J117" s="17">
        <f>J113-J115</f>
        <v>24032.917460999997</v>
      </c>
      <c r="K117" s="17">
        <f>K113-K115</f>
        <v>27626.800961000001</v>
      </c>
      <c r="L117" s="17">
        <f>L113-L115</f>
        <v>26039.214771000006</v>
      </c>
    </row>
    <row r="119" spans="1:12" ht="13" thickBot="1">
      <c r="A119" s="1">
        <f>A117+1</f>
        <v>86</v>
      </c>
      <c r="C119" s="1" t="s">
        <v>332</v>
      </c>
      <c r="E119" s="4" t="s">
        <v>76</v>
      </c>
      <c r="G119" s="33">
        <f>G37+G117</f>
        <v>483284.66213589959</v>
      </c>
      <c r="I119" s="33">
        <f>I37+I117</f>
        <v>480080.61626413523</v>
      </c>
      <c r="J119" s="33">
        <f>J37+J117</f>
        <v>487472.72373887326</v>
      </c>
      <c r="K119" s="33">
        <f>K37+K117</f>
        <v>519440.24851144431</v>
      </c>
      <c r="L119" s="33">
        <f>L37+L117</f>
        <v>559442.69043888873</v>
      </c>
    </row>
    <row r="120" spans="1:12">
      <c r="G120" s="16"/>
      <c r="I120" s="16"/>
      <c r="J120" s="16"/>
      <c r="K120" s="16"/>
      <c r="L120" s="16"/>
    </row>
    <row r="121" spans="1:12">
      <c r="C121" s="1" t="s">
        <v>405</v>
      </c>
      <c r="G121" s="14"/>
      <c r="I121" s="14"/>
      <c r="J121" s="14"/>
      <c r="K121" s="14"/>
      <c r="L121" s="14"/>
    </row>
    <row r="122" spans="1:12">
      <c r="C122" s="1" t="s">
        <v>419</v>
      </c>
      <c r="G122" s="14"/>
      <c r="I122" s="14"/>
      <c r="J122" s="14"/>
      <c r="K122" s="14"/>
      <c r="L122" s="14"/>
    </row>
    <row r="123" spans="1:12">
      <c r="C123" s="129"/>
      <c r="G123" s="14"/>
      <c r="I123" s="14"/>
      <c r="J123" s="14"/>
      <c r="K123" s="14"/>
      <c r="L123" s="14"/>
    </row>
    <row r="124" spans="1:12">
      <c r="G124" s="14"/>
      <c r="I124" s="14"/>
      <c r="J124" s="14"/>
      <c r="K124" s="14"/>
      <c r="L124" s="14"/>
    </row>
    <row r="125" spans="1:12">
      <c r="E125" s="111"/>
      <c r="G125" s="16"/>
      <c r="I125" s="16"/>
      <c r="J125" s="16"/>
      <c r="K125" s="16"/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2" fitToHeight="2" orientation="portrait" blackAndWhite="1" r:id="rId1"/>
  <headerFooter alignWithMargins="0"/>
  <rowBreaks count="1" manualBreakCount="1">
    <brk id="68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T145"/>
  <sheetViews>
    <sheetView view="pageBreakPreview" zoomScale="85" zoomScaleNormal="100" zoomScaleSheetLayoutView="85" workbookViewId="0">
      <pane ySplit="6" topLeftCell="A7" activePane="bottomLeft" state="frozen"/>
      <selection activeCell="H18" sqref="H18"/>
      <selection pane="bottomLeft" activeCell="F144" sqref="F144"/>
    </sheetView>
  </sheetViews>
  <sheetFormatPr defaultColWidth="9.1796875" defaultRowHeight="12.5"/>
  <cols>
    <col min="1" max="1" width="5.7265625" style="113" customWidth="1"/>
    <col min="2" max="2" width="31.1796875" style="113" customWidth="1"/>
    <col min="3" max="4" width="14.54296875" style="114" customWidth="1"/>
    <col min="5" max="5" width="12.54296875" style="114" bestFit="1" customWidth="1"/>
    <col min="6" max="6" width="14.54296875" style="114" customWidth="1"/>
    <col min="7" max="7" width="15.26953125" style="115" customWidth="1"/>
    <col min="8" max="8" width="17" style="114" customWidth="1"/>
    <col min="21" max="16384" width="9.1796875" style="113"/>
  </cols>
  <sheetData>
    <row r="1" spans="1:20" s="133" customFormat="1" ht="15.75" customHeight="1">
      <c r="A1" s="137" t="s">
        <v>0</v>
      </c>
      <c r="B1" s="134"/>
      <c r="C1" s="134"/>
      <c r="D1" s="134"/>
      <c r="E1" s="138"/>
      <c r="F1" s="134"/>
      <c r="H1" s="197" t="s">
        <v>461</v>
      </c>
    </row>
    <row r="2" spans="1:20" s="133" customFormat="1" ht="15.75" customHeight="1">
      <c r="A2" s="139" t="s">
        <v>370</v>
      </c>
      <c r="B2" s="134"/>
      <c r="C2" s="134"/>
      <c r="D2" s="134"/>
      <c r="E2" s="138"/>
      <c r="F2" s="134"/>
      <c r="H2" s="196" t="str">
        <f>'Schedule 1'!$L$2</f>
        <v>2023/24 GRA Compliance Filing</v>
      </c>
    </row>
    <row r="3" spans="1:20" s="133" customFormat="1" ht="15.75" customHeight="1">
      <c r="A3" s="153" t="s">
        <v>337</v>
      </c>
      <c r="B3" s="134"/>
      <c r="C3" s="134"/>
      <c r="D3" s="134"/>
      <c r="E3" s="138"/>
      <c r="F3" s="134"/>
      <c r="G3" s="134"/>
      <c r="H3" s="134"/>
    </row>
    <row r="4" spans="1:20" s="133" customFormat="1" ht="15.75" customHeight="1">
      <c r="A4" s="135"/>
      <c r="B4" s="135"/>
      <c r="C4" s="135"/>
      <c r="D4" s="135"/>
      <c r="E4" s="135"/>
      <c r="F4" s="135"/>
      <c r="G4" s="135"/>
      <c r="H4" s="135"/>
    </row>
    <row r="5" spans="1:20" s="133" customFormat="1" ht="13" thickBot="1">
      <c r="A5" s="140"/>
      <c r="B5" s="140"/>
      <c r="C5" s="136"/>
      <c r="D5" s="136"/>
      <c r="E5" s="136"/>
      <c r="F5" s="136"/>
      <c r="G5" s="141"/>
      <c r="H5" s="136"/>
    </row>
    <row r="6" spans="1:20" s="142" customFormat="1" ht="38" thickBot="1">
      <c r="A6" s="140"/>
      <c r="B6" s="191" t="s">
        <v>9</v>
      </c>
      <c r="C6" s="192" t="s">
        <v>367</v>
      </c>
      <c r="D6" s="192" t="s">
        <v>368</v>
      </c>
      <c r="E6" s="193" t="s">
        <v>369</v>
      </c>
      <c r="F6" s="192" t="s">
        <v>342</v>
      </c>
      <c r="G6" s="194" t="s">
        <v>484</v>
      </c>
      <c r="H6" s="192" t="s">
        <v>485</v>
      </c>
    </row>
    <row r="7" spans="1:20">
      <c r="A7" s="112" t="s">
        <v>96</v>
      </c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</row>
    <row r="8" spans="1:20">
      <c r="A8" s="116"/>
      <c r="B8" s="117" t="s">
        <v>97</v>
      </c>
      <c r="C8" s="148">
        <v>444911.51999999996</v>
      </c>
      <c r="D8" s="148">
        <v>0</v>
      </c>
      <c r="E8" s="148"/>
      <c r="F8" s="148">
        <f>C8+D8-E8</f>
        <v>444911.51999999996</v>
      </c>
      <c r="G8" s="143">
        <v>0</v>
      </c>
      <c r="H8" s="148">
        <v>0</v>
      </c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</row>
    <row r="9" spans="1:20">
      <c r="A9" s="116"/>
      <c r="B9" s="117" t="s">
        <v>98</v>
      </c>
      <c r="C9" s="148">
        <v>27680.47</v>
      </c>
      <c r="D9" s="148">
        <v>0</v>
      </c>
      <c r="E9" s="148"/>
      <c r="F9" s="148">
        <f>C9+D9-E9</f>
        <v>27680.47</v>
      </c>
      <c r="G9" s="143">
        <v>0</v>
      </c>
      <c r="H9" s="148">
        <v>0</v>
      </c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</row>
    <row r="10" spans="1:20">
      <c r="A10" s="116"/>
      <c r="B10" s="117" t="s">
        <v>99</v>
      </c>
      <c r="C10" s="148">
        <v>576862.49</v>
      </c>
      <c r="D10" s="148">
        <v>0</v>
      </c>
      <c r="E10" s="148"/>
      <c r="F10" s="148">
        <f>C10+D10-E10</f>
        <v>576862.49</v>
      </c>
      <c r="G10" s="143">
        <v>0</v>
      </c>
      <c r="H10" s="148">
        <v>0</v>
      </c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</row>
    <row r="11" spans="1:20">
      <c r="A11" s="116"/>
      <c r="B11" s="117" t="s">
        <v>133</v>
      </c>
      <c r="C11" s="148">
        <v>17775.009999999998</v>
      </c>
      <c r="D11" s="148">
        <v>0</v>
      </c>
      <c r="E11" s="148"/>
      <c r="F11" s="148">
        <f>C11+D11-E11</f>
        <v>17775.009999999998</v>
      </c>
      <c r="G11" s="143">
        <v>0</v>
      </c>
      <c r="H11" s="148">
        <v>0</v>
      </c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</row>
    <row r="12" spans="1:20">
      <c r="A12" s="116"/>
      <c r="B12" s="117" t="s">
        <v>100</v>
      </c>
      <c r="C12" s="148">
        <v>547992.46000000008</v>
      </c>
      <c r="D12" s="148">
        <v>0</v>
      </c>
      <c r="E12" s="148"/>
      <c r="F12" s="148">
        <f>C12+D12-E12</f>
        <v>547992.46000000008</v>
      </c>
      <c r="G12" s="143">
        <v>0</v>
      </c>
      <c r="H12" s="148">
        <v>0</v>
      </c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</row>
    <row r="13" spans="1:20">
      <c r="A13" s="116"/>
      <c r="B13" s="117" t="s">
        <v>101</v>
      </c>
      <c r="C13" s="148">
        <v>128779.83000000002</v>
      </c>
      <c r="D13" s="148">
        <v>0</v>
      </c>
      <c r="E13" s="148">
        <f>H13</f>
        <v>1568.7</v>
      </c>
      <c r="F13" s="148">
        <f>C13+D13-E13</f>
        <v>127211.13000000002</v>
      </c>
      <c r="G13" s="143">
        <v>50</v>
      </c>
      <c r="H13" s="148">
        <v>1568.7</v>
      </c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</row>
    <row r="14" spans="1:20">
      <c r="A14" s="116"/>
      <c r="B14" s="117" t="s">
        <v>315</v>
      </c>
      <c r="C14" s="149"/>
      <c r="D14" s="149"/>
      <c r="E14" s="149"/>
      <c r="F14" s="149"/>
      <c r="G14" s="118"/>
      <c r="H14" s="149">
        <v>-12.96</v>
      </c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</row>
    <row r="15" spans="1:20" s="121" customFormat="1" ht="18.75" customHeight="1">
      <c r="A15" s="112" t="s">
        <v>102</v>
      </c>
      <c r="B15" s="112"/>
      <c r="C15" s="150">
        <f>SUBTOTAL(9,C8:C14)</f>
        <v>1744001.7800000003</v>
      </c>
      <c r="D15" s="150">
        <f>SUBTOTAL(9,D8:D14)</f>
        <v>0</v>
      </c>
      <c r="E15" s="150">
        <f>SUBTOTAL(9,E8:E14)</f>
        <v>1568.7</v>
      </c>
      <c r="F15" s="150">
        <f>SUBTOTAL(9,F8:F14)</f>
        <v>1742433.0800000003</v>
      </c>
      <c r="G15" s="120"/>
      <c r="H15" s="150">
        <f>SUBTOTAL(9,H8:H14)</f>
        <v>1555.74</v>
      </c>
    </row>
    <row r="16" spans="1:20">
      <c r="C16" s="151"/>
      <c r="D16" s="151"/>
      <c r="E16" s="151"/>
      <c r="F16" s="151"/>
      <c r="G16" s="122"/>
      <c r="H16" s="151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</row>
    <row r="17" spans="1:8">
      <c r="A17" s="112" t="s">
        <v>103</v>
      </c>
      <c r="C17" s="151"/>
      <c r="D17" s="151"/>
      <c r="E17" s="151"/>
      <c r="F17" s="151"/>
      <c r="G17" s="122"/>
      <c r="H17" s="151"/>
    </row>
    <row r="18" spans="1:8">
      <c r="A18" s="123"/>
      <c r="B18" s="117" t="s">
        <v>104</v>
      </c>
      <c r="C18" s="148">
        <v>52844456.819999985</v>
      </c>
      <c r="D18" s="148">
        <v>95000</v>
      </c>
      <c r="E18" s="148"/>
      <c r="F18" s="148">
        <f>C18+D18-E18</f>
        <v>52939456.819999985</v>
      </c>
      <c r="G18" s="143">
        <v>72</v>
      </c>
      <c r="H18" s="148">
        <v>731284.88</v>
      </c>
    </row>
    <row r="19" spans="1:8">
      <c r="A19" s="123"/>
      <c r="B19" s="117" t="s">
        <v>111</v>
      </c>
      <c r="C19" s="148">
        <v>10278688.460000001</v>
      </c>
      <c r="D19" s="148">
        <v>0</v>
      </c>
      <c r="E19" s="148"/>
      <c r="F19" s="148">
        <f>C19+D19-E19</f>
        <v>10278688.460000001</v>
      </c>
      <c r="G19" s="143">
        <v>40</v>
      </c>
      <c r="H19" s="148">
        <v>256967.21</v>
      </c>
    </row>
    <row r="20" spans="1:8">
      <c r="A20" s="123"/>
      <c r="B20" s="117" t="s">
        <v>105</v>
      </c>
      <c r="C20" s="148">
        <v>167412116.48000002</v>
      </c>
      <c r="D20" s="148">
        <v>500173.62</v>
      </c>
      <c r="E20" s="148"/>
      <c r="F20" s="148">
        <f>C20+D20-E20</f>
        <v>167912290.10000002</v>
      </c>
      <c r="G20" s="143">
        <v>103</v>
      </c>
      <c r="H20" s="148">
        <v>1844850.23</v>
      </c>
    </row>
    <row r="21" spans="1:8">
      <c r="A21" s="123"/>
      <c r="B21" s="117" t="s">
        <v>371</v>
      </c>
      <c r="C21" s="148">
        <v>6711437.5</v>
      </c>
      <c r="D21" s="148"/>
      <c r="E21" s="148"/>
      <c r="F21" s="148">
        <f>C21+D21-E21</f>
        <v>6711437.5</v>
      </c>
      <c r="G21" s="143">
        <v>103</v>
      </c>
      <c r="H21" s="148">
        <v>0</v>
      </c>
    </row>
    <row r="22" spans="1:8">
      <c r="A22" s="123"/>
      <c r="B22" s="117" t="s">
        <v>294</v>
      </c>
      <c r="C22" s="148">
        <v>9052984.6500000004</v>
      </c>
      <c r="D22" s="148">
        <v>2460966.84</v>
      </c>
      <c r="E22" s="148"/>
      <c r="F22" s="148">
        <f>C22+D22-E22</f>
        <v>11513951.49</v>
      </c>
      <c r="G22" s="143">
        <v>10</v>
      </c>
      <c r="H22" s="148">
        <v>905298.49</v>
      </c>
    </row>
    <row r="23" spans="1:8">
      <c r="A23" s="123"/>
      <c r="B23" s="117" t="s">
        <v>106</v>
      </c>
      <c r="C23" s="148">
        <v>28222837.399999995</v>
      </c>
      <c r="D23" s="148">
        <v>0</v>
      </c>
      <c r="E23" s="148"/>
      <c r="F23" s="148">
        <f>C23+D23-E23</f>
        <v>28222837.399999995</v>
      </c>
      <c r="G23" s="143">
        <v>85</v>
      </c>
      <c r="H23" s="148">
        <v>325384.40000000002</v>
      </c>
    </row>
    <row r="24" spans="1:8">
      <c r="A24" s="123"/>
      <c r="B24" s="117" t="s">
        <v>107</v>
      </c>
      <c r="C24" s="148">
        <v>27366286.300000004</v>
      </c>
      <c r="D24" s="148">
        <v>0</v>
      </c>
      <c r="E24" s="148"/>
      <c r="F24" s="148">
        <f>C24+D24-E24</f>
        <v>27366286.300000004</v>
      </c>
      <c r="G24" s="143">
        <v>40</v>
      </c>
      <c r="H24" s="148">
        <v>684156.98</v>
      </c>
    </row>
    <row r="25" spans="1:8">
      <c r="A25" s="123"/>
      <c r="B25" s="117" t="s">
        <v>313</v>
      </c>
      <c r="C25" s="148">
        <v>851180.05</v>
      </c>
      <c r="D25" s="148">
        <v>0</v>
      </c>
      <c r="E25" s="148"/>
      <c r="F25" s="148">
        <f>C25+D25-E25</f>
        <v>851180.05</v>
      </c>
      <c r="G25" s="143">
        <v>20</v>
      </c>
      <c r="H25" s="148">
        <v>42559</v>
      </c>
    </row>
    <row r="26" spans="1:8">
      <c r="A26" s="123"/>
      <c r="B26" s="117" t="s">
        <v>108</v>
      </c>
      <c r="C26" s="148">
        <v>11691437.920000002</v>
      </c>
      <c r="D26" s="148">
        <v>374037.53</v>
      </c>
      <c r="E26" s="148"/>
      <c r="F26" s="148">
        <f>C26+D26-E26</f>
        <v>12065475.450000001</v>
      </c>
      <c r="G26" s="143">
        <v>30</v>
      </c>
      <c r="H26" s="148">
        <v>389714.59</v>
      </c>
    </row>
    <row r="27" spans="1:8">
      <c r="A27" s="123"/>
      <c r="B27" s="117" t="s">
        <v>109</v>
      </c>
      <c r="C27" s="148">
        <v>107086</v>
      </c>
      <c r="D27" s="148">
        <v>0</v>
      </c>
      <c r="E27" s="148"/>
      <c r="F27" s="148">
        <f>C27+D27-E27</f>
        <v>107086</v>
      </c>
      <c r="G27" s="143">
        <v>30</v>
      </c>
      <c r="H27" s="148">
        <v>2667.14</v>
      </c>
    </row>
    <row r="28" spans="1:8">
      <c r="A28" s="123"/>
      <c r="B28" s="117" t="s">
        <v>315</v>
      </c>
      <c r="C28" s="149"/>
      <c r="D28" s="149"/>
      <c r="E28" s="149"/>
      <c r="F28" s="149"/>
      <c r="G28" s="144"/>
      <c r="H28" s="149">
        <v>-140295.96</v>
      </c>
    </row>
    <row r="29" spans="1:8" s="121" customFormat="1">
      <c r="A29" s="112" t="s">
        <v>110</v>
      </c>
      <c r="B29" s="112"/>
      <c r="C29" s="150">
        <f>SUBTOTAL(9,C18:C28)</f>
        <v>314538511.58000004</v>
      </c>
      <c r="D29" s="150">
        <f>SUBTOTAL(9,D18:D28)</f>
        <v>3430177.99</v>
      </c>
      <c r="E29" s="150">
        <f>SUBTOTAL(9,E18:E28)</f>
        <v>0</v>
      </c>
      <c r="F29" s="150">
        <f>SUBTOTAL(9,F18:F28)</f>
        <v>317968689.56999999</v>
      </c>
      <c r="G29" s="119"/>
      <c r="H29" s="150">
        <f>SUBTOTAL(9,H18:H28)</f>
        <v>5042586.959999999</v>
      </c>
    </row>
    <row r="30" spans="1:8">
      <c r="C30" s="151"/>
      <c r="D30" s="151"/>
      <c r="E30" s="151"/>
      <c r="F30" s="151"/>
      <c r="G30" s="122"/>
      <c r="H30" s="151"/>
    </row>
    <row r="31" spans="1:8">
      <c r="A31" s="112" t="s">
        <v>98</v>
      </c>
      <c r="C31" s="151"/>
      <c r="D31" s="151"/>
      <c r="E31" s="151"/>
      <c r="F31" s="151"/>
      <c r="G31" s="122"/>
      <c r="H31" s="151"/>
    </row>
    <row r="32" spans="1:8">
      <c r="A32" s="123"/>
      <c r="B32" s="117" t="s">
        <v>104</v>
      </c>
      <c r="C32" s="148">
        <v>1562351.7</v>
      </c>
      <c r="D32" s="148">
        <v>0</v>
      </c>
      <c r="E32" s="148"/>
      <c r="F32" s="148">
        <f>C32+D32-E32</f>
        <v>1562351.7</v>
      </c>
      <c r="G32" s="143">
        <v>72</v>
      </c>
      <c r="H32" s="148">
        <v>21699.33</v>
      </c>
    </row>
    <row r="33" spans="1:8">
      <c r="A33" s="123"/>
      <c r="B33" s="117" t="s">
        <v>111</v>
      </c>
      <c r="C33" s="148">
        <v>474668.13</v>
      </c>
      <c r="D33" s="148">
        <v>0</v>
      </c>
      <c r="E33" s="148"/>
      <c r="F33" s="148">
        <f>C33+D33-E33</f>
        <v>474668.13</v>
      </c>
      <c r="G33" s="143">
        <v>55</v>
      </c>
      <c r="H33" s="148">
        <v>8630.31</v>
      </c>
    </row>
    <row r="34" spans="1:8">
      <c r="A34" s="123"/>
      <c r="B34" s="117" t="s">
        <v>112</v>
      </c>
      <c r="C34" s="148">
        <v>2735507.95</v>
      </c>
      <c r="D34" s="148">
        <v>97.94</v>
      </c>
      <c r="E34" s="148"/>
      <c r="F34" s="148">
        <f>C34+D34-E34</f>
        <v>2735605.89</v>
      </c>
      <c r="G34" s="143">
        <v>40</v>
      </c>
      <c r="H34" s="148">
        <v>45025.19</v>
      </c>
    </row>
    <row r="35" spans="1:8">
      <c r="A35" s="123"/>
      <c r="B35" s="117" t="s">
        <v>113</v>
      </c>
      <c r="C35" s="148">
        <v>14202332.549999997</v>
      </c>
      <c r="D35" s="148">
        <v>5289676.53</v>
      </c>
      <c r="E35" s="148">
        <v>1996147.56</v>
      </c>
      <c r="F35" s="148">
        <f>C35+D35-E35</f>
        <v>17495861.52</v>
      </c>
      <c r="G35" s="143">
        <v>40</v>
      </c>
      <c r="H35" s="148">
        <v>283909.78999999998</v>
      </c>
    </row>
    <row r="36" spans="1:8">
      <c r="A36" s="123"/>
      <c r="B36" s="117" t="s">
        <v>294</v>
      </c>
      <c r="C36" s="148">
        <v>2962780.46</v>
      </c>
      <c r="D36" s="148">
        <v>0</v>
      </c>
      <c r="E36" s="148"/>
      <c r="F36" s="148">
        <f>C36+D36-E36</f>
        <v>2962780.46</v>
      </c>
      <c r="G36" s="143">
        <v>5</v>
      </c>
      <c r="H36" s="148">
        <v>0</v>
      </c>
    </row>
    <row r="37" spans="1:8">
      <c r="A37" s="123"/>
      <c r="B37" s="117" t="s">
        <v>314</v>
      </c>
      <c r="C37" s="148">
        <v>243547.65000000002</v>
      </c>
      <c r="D37" s="148">
        <v>0</v>
      </c>
      <c r="E37" s="148"/>
      <c r="F37" s="148">
        <f>C37+D37-E37</f>
        <v>243547.65000000002</v>
      </c>
      <c r="G37" s="143">
        <v>12</v>
      </c>
      <c r="H37" s="148">
        <v>0</v>
      </c>
    </row>
    <row r="38" spans="1:8">
      <c r="A38" s="123"/>
      <c r="B38" s="117" t="s">
        <v>107</v>
      </c>
      <c r="C38" s="148">
        <v>9428053.0000000019</v>
      </c>
      <c r="D38" s="148">
        <v>51860.62</v>
      </c>
      <c r="E38" s="148">
        <v>541869.66</v>
      </c>
      <c r="F38" s="148">
        <f>C38+D38-E38</f>
        <v>8938043.9600000009</v>
      </c>
      <c r="G38" s="143">
        <v>45</v>
      </c>
      <c r="H38" s="148">
        <v>208369.71</v>
      </c>
    </row>
    <row r="39" spans="1:8">
      <c r="A39" s="123"/>
      <c r="B39" s="117" t="s">
        <v>108</v>
      </c>
      <c r="C39" s="148">
        <v>1874382.7200000002</v>
      </c>
      <c r="D39" s="148">
        <v>0</v>
      </c>
      <c r="E39" s="148"/>
      <c r="F39" s="148">
        <f>C39+D39-E39</f>
        <v>1874382.7200000002</v>
      </c>
      <c r="G39" s="143">
        <v>30</v>
      </c>
      <c r="H39" s="148">
        <v>60438.53</v>
      </c>
    </row>
    <row r="40" spans="1:8">
      <c r="A40" s="123"/>
      <c r="B40" s="117" t="s">
        <v>315</v>
      </c>
      <c r="C40" s="149"/>
      <c r="D40" s="149"/>
      <c r="E40" s="149"/>
      <c r="F40" s="149"/>
      <c r="G40" s="118"/>
      <c r="H40" s="149">
        <v>-74396.160000000003</v>
      </c>
    </row>
    <row r="41" spans="1:8" s="121" customFormat="1" ht="18.75" customHeight="1">
      <c r="A41" s="112" t="s">
        <v>114</v>
      </c>
      <c r="B41" s="112"/>
      <c r="C41" s="150">
        <f>SUBTOTAL(9,C32:C40)</f>
        <v>33483624.159999996</v>
      </c>
      <c r="D41" s="150">
        <f>SUBTOTAL(9,D32:D40)</f>
        <v>5341635.0900000008</v>
      </c>
      <c r="E41" s="150">
        <f>SUBTOTAL(9,E32:E40)</f>
        <v>2538017.2200000002</v>
      </c>
      <c r="F41" s="150">
        <f>SUBTOTAL(9,F32:F40)</f>
        <v>36287242.030000001</v>
      </c>
      <c r="G41" s="120"/>
      <c r="H41" s="150">
        <f>SUBTOTAL(9,H32:H40)</f>
        <v>553676.69999999995</v>
      </c>
    </row>
    <row r="42" spans="1:8">
      <c r="C42" s="151"/>
      <c r="D42" s="151"/>
      <c r="E42" s="151"/>
      <c r="F42" s="151"/>
      <c r="G42" s="122"/>
      <c r="H42" s="151"/>
    </row>
    <row r="43" spans="1:8">
      <c r="A43" s="112" t="s">
        <v>115</v>
      </c>
      <c r="C43" s="151"/>
      <c r="D43" s="151"/>
      <c r="E43" s="151"/>
      <c r="F43" s="151"/>
      <c r="G43" s="122"/>
      <c r="H43" s="151"/>
    </row>
    <row r="44" spans="1:8">
      <c r="A44" s="123"/>
      <c r="B44" s="117" t="s">
        <v>115</v>
      </c>
      <c r="C44" s="149">
        <v>0</v>
      </c>
      <c r="D44" s="149">
        <v>0</v>
      </c>
      <c r="E44" s="149"/>
      <c r="F44" s="149">
        <f>C44+D44-E44</f>
        <v>0</v>
      </c>
      <c r="G44" s="144">
        <v>0</v>
      </c>
      <c r="H44" s="149">
        <v>0</v>
      </c>
    </row>
    <row r="45" spans="1:8" s="121" customFormat="1" ht="18.75" customHeight="1">
      <c r="A45" s="112" t="s">
        <v>116</v>
      </c>
      <c r="B45" s="112"/>
      <c r="C45" s="150">
        <f>C44</f>
        <v>0</v>
      </c>
      <c r="D45" s="150">
        <f>D44</f>
        <v>0</v>
      </c>
      <c r="E45" s="150">
        <f>E44</f>
        <v>0</v>
      </c>
      <c r="F45" s="150">
        <f>F44</f>
        <v>0</v>
      </c>
      <c r="G45" s="120"/>
      <c r="H45" s="150">
        <f>SUBTOTAL(9,H44)</f>
        <v>0</v>
      </c>
    </row>
    <row r="46" spans="1:8">
      <c r="C46" s="151"/>
      <c r="D46" s="151"/>
      <c r="E46" s="151"/>
      <c r="F46" s="151"/>
      <c r="G46" s="122"/>
      <c r="H46" s="151"/>
    </row>
    <row r="47" spans="1:8">
      <c r="A47" s="112" t="s">
        <v>99</v>
      </c>
      <c r="C47" s="151"/>
      <c r="D47" s="151"/>
      <c r="E47" s="151"/>
      <c r="F47" s="151"/>
      <c r="G47" s="122"/>
      <c r="H47" s="151"/>
    </row>
    <row r="48" spans="1:8">
      <c r="A48" s="123"/>
      <c r="B48" s="117" t="s">
        <v>117</v>
      </c>
      <c r="C48" s="148">
        <v>82825492.48999998</v>
      </c>
      <c r="D48" s="148">
        <v>1963276.92</v>
      </c>
      <c r="E48" s="148"/>
      <c r="F48" s="148">
        <f>C48+D48-E48</f>
        <v>84788769.409999982</v>
      </c>
      <c r="G48" s="143">
        <v>65</v>
      </c>
      <c r="H48" s="148">
        <v>1274238.32</v>
      </c>
    </row>
    <row r="49" spans="1:8">
      <c r="A49" s="123"/>
      <c r="B49" s="117" t="s">
        <v>118</v>
      </c>
      <c r="C49" s="148">
        <v>16756318.379999999</v>
      </c>
      <c r="D49" s="148">
        <v>0</v>
      </c>
      <c r="E49" s="148"/>
      <c r="F49" s="148">
        <f>C49+D49-E49</f>
        <v>16756318.379999999</v>
      </c>
      <c r="G49" s="143">
        <v>60</v>
      </c>
      <c r="H49" s="148">
        <v>263220.65999999997</v>
      </c>
    </row>
    <row r="50" spans="1:8">
      <c r="A50" s="123"/>
      <c r="B50" s="117" t="s">
        <v>119</v>
      </c>
      <c r="C50" s="148">
        <v>4297239.04</v>
      </c>
      <c r="D50" s="148">
        <v>0</v>
      </c>
      <c r="E50" s="148"/>
      <c r="F50" s="148">
        <f>C50+D50-E50</f>
        <v>4297239.04</v>
      </c>
      <c r="G50" s="143">
        <v>60</v>
      </c>
      <c r="H50" s="148">
        <v>67865.73</v>
      </c>
    </row>
    <row r="51" spans="1:8">
      <c r="A51" s="123"/>
      <c r="B51" s="117" t="s">
        <v>120</v>
      </c>
      <c r="C51" s="148">
        <v>20202888.569999997</v>
      </c>
      <c r="D51" s="148">
        <v>0</v>
      </c>
      <c r="E51" s="148"/>
      <c r="F51" s="148">
        <f>C51+D51-E51</f>
        <v>20202888.569999997</v>
      </c>
      <c r="G51" s="143">
        <v>60</v>
      </c>
      <c r="H51" s="148">
        <v>313161.65999999997</v>
      </c>
    </row>
    <row r="52" spans="1:8">
      <c r="A52" s="123"/>
      <c r="B52" s="117" t="s">
        <v>121</v>
      </c>
      <c r="C52" s="148">
        <v>277975</v>
      </c>
      <c r="D52" s="148">
        <v>0</v>
      </c>
      <c r="E52" s="148"/>
      <c r="F52" s="148">
        <f>C52+D52-E52</f>
        <v>277975</v>
      </c>
      <c r="G52" s="143">
        <v>60</v>
      </c>
      <c r="H52" s="148">
        <v>4144.75</v>
      </c>
    </row>
    <row r="53" spans="1:8">
      <c r="A53" s="123"/>
      <c r="B53" s="117" t="s">
        <v>122</v>
      </c>
      <c r="C53" s="148">
        <v>62928127.179999962</v>
      </c>
      <c r="D53" s="148">
        <v>54426.51</v>
      </c>
      <c r="E53" s="148"/>
      <c r="F53" s="148">
        <f>C53+D53-E53</f>
        <v>62982553.68999996</v>
      </c>
      <c r="G53" s="143">
        <v>54</v>
      </c>
      <c r="H53" s="148">
        <v>1278367</v>
      </c>
    </row>
    <row r="54" spans="1:8">
      <c r="A54" s="123"/>
      <c r="B54" s="117" t="s">
        <v>333</v>
      </c>
      <c r="C54" s="148">
        <v>10688553.15</v>
      </c>
      <c r="D54" s="148">
        <v>0</v>
      </c>
      <c r="E54" s="148"/>
      <c r="F54" s="148">
        <f>C54+D54-E54</f>
        <v>10688553.15</v>
      </c>
      <c r="G54" s="143">
        <v>10</v>
      </c>
      <c r="H54" s="148">
        <v>890712.76</v>
      </c>
    </row>
    <row r="55" spans="1:8">
      <c r="A55" s="123"/>
      <c r="B55" s="117" t="s">
        <v>339</v>
      </c>
      <c r="C55" s="148">
        <v>13991451.050000001</v>
      </c>
      <c r="D55" s="148">
        <v>0</v>
      </c>
      <c r="E55" s="148"/>
      <c r="F55" s="148">
        <f>C55+D55-E55</f>
        <v>13991451.050000001</v>
      </c>
      <c r="G55" s="143">
        <v>10</v>
      </c>
      <c r="H55" s="148">
        <v>1399145.105</v>
      </c>
    </row>
    <row r="56" spans="1:8">
      <c r="A56" s="123"/>
      <c r="B56" s="117" t="s">
        <v>340</v>
      </c>
      <c r="C56" s="148">
        <v>848040.31</v>
      </c>
      <c r="D56" s="148">
        <v>0</v>
      </c>
      <c r="E56" s="148"/>
      <c r="F56" s="148">
        <f>C56+D56-E56</f>
        <v>848040.31</v>
      </c>
      <c r="G56" s="143">
        <v>10</v>
      </c>
      <c r="H56" s="148">
        <v>84804.031000000003</v>
      </c>
    </row>
    <row r="57" spans="1:8">
      <c r="A57" s="123"/>
      <c r="B57" s="117" t="s">
        <v>123</v>
      </c>
      <c r="C57" s="148">
        <v>8907593.5500000007</v>
      </c>
      <c r="D57" s="148">
        <v>0</v>
      </c>
      <c r="E57" s="148"/>
      <c r="F57" s="148">
        <f>C57+D57-E57</f>
        <v>8907593.5500000007</v>
      </c>
      <c r="G57" s="143">
        <v>55</v>
      </c>
      <c r="H57" s="148">
        <v>28093.143999999855</v>
      </c>
    </row>
    <row r="58" spans="1:8">
      <c r="A58" s="123"/>
      <c r="B58" s="117" t="s">
        <v>124</v>
      </c>
      <c r="C58" s="148">
        <v>274477.45</v>
      </c>
      <c r="D58" s="148">
        <v>0</v>
      </c>
      <c r="E58" s="148"/>
      <c r="F58" s="148">
        <f>C58+D58-E58</f>
        <v>274477.45</v>
      </c>
      <c r="G58" s="143">
        <v>30</v>
      </c>
      <c r="H58" s="148">
        <v>7085.05</v>
      </c>
    </row>
    <row r="59" spans="1:8">
      <c r="A59" s="123"/>
      <c r="B59" s="117" t="s">
        <v>315</v>
      </c>
      <c r="C59" s="149"/>
      <c r="D59" s="149"/>
      <c r="E59" s="149"/>
      <c r="F59" s="149"/>
      <c r="G59" s="144"/>
      <c r="H59" s="149">
        <v>-79596.960000000006</v>
      </c>
    </row>
    <row r="60" spans="1:8" s="121" customFormat="1" ht="18" customHeight="1">
      <c r="A60" s="112" t="s">
        <v>125</v>
      </c>
      <c r="B60" s="112"/>
      <c r="C60" s="150">
        <f>SUBTOTAL(9,C48:C59)</f>
        <v>221998156.16999996</v>
      </c>
      <c r="D60" s="150">
        <f>SUBTOTAL(9,D48:D59)</f>
        <v>2017703.43</v>
      </c>
      <c r="E60" s="150">
        <f>SUBTOTAL(9,E48:E59)</f>
        <v>0</v>
      </c>
      <c r="F60" s="150">
        <f>SUBTOTAL(9,F48:F59)</f>
        <v>224015859.59999996</v>
      </c>
      <c r="G60" s="120"/>
      <c r="H60" s="150">
        <f>SUBTOTAL(9,H48:H59)</f>
        <v>5531241.25</v>
      </c>
    </row>
    <row r="61" spans="1:8">
      <c r="C61" s="151"/>
      <c r="D61" s="151"/>
      <c r="E61" s="151"/>
      <c r="F61" s="151"/>
      <c r="G61" s="122"/>
      <c r="H61" s="151"/>
    </row>
    <row r="62" spans="1:8">
      <c r="A62" s="112" t="s">
        <v>126</v>
      </c>
      <c r="C62" s="151"/>
      <c r="D62" s="151"/>
      <c r="E62" s="151"/>
      <c r="F62" s="151"/>
      <c r="G62" s="122"/>
      <c r="H62" s="151"/>
    </row>
    <row r="63" spans="1:8">
      <c r="A63" s="123"/>
      <c r="B63" s="117" t="s">
        <v>117</v>
      </c>
      <c r="C63" s="148">
        <v>4583998.2</v>
      </c>
      <c r="D63" s="148">
        <v>0</v>
      </c>
      <c r="E63" s="148"/>
      <c r="F63" s="148">
        <f>C63+D63-E63</f>
        <v>4583998.2</v>
      </c>
      <c r="G63" s="143">
        <v>65</v>
      </c>
      <c r="H63" s="148">
        <v>68509.09</v>
      </c>
    </row>
    <row r="64" spans="1:8">
      <c r="A64" s="123"/>
      <c r="B64" s="117" t="s">
        <v>127</v>
      </c>
      <c r="C64" s="148">
        <v>2646131.54</v>
      </c>
      <c r="D64" s="148">
        <v>0</v>
      </c>
      <c r="E64" s="148"/>
      <c r="F64" s="148">
        <f>C64+D64-E64</f>
        <v>2646131.54</v>
      </c>
      <c r="G64" s="143">
        <v>12</v>
      </c>
      <c r="H64" s="148">
        <v>13328.76</v>
      </c>
    </row>
    <row r="65" spans="1:8">
      <c r="A65" s="123"/>
      <c r="B65" s="117" t="s">
        <v>128</v>
      </c>
      <c r="C65" s="148">
        <v>41597.199999999997</v>
      </c>
      <c r="D65" s="148">
        <v>0</v>
      </c>
      <c r="E65" s="148"/>
      <c r="F65" s="148">
        <f>C65+D65-E65</f>
        <v>41597.199999999997</v>
      </c>
      <c r="G65" s="143">
        <v>60</v>
      </c>
      <c r="H65" s="148">
        <v>685.52</v>
      </c>
    </row>
    <row r="66" spans="1:8">
      <c r="A66" s="123"/>
      <c r="B66" s="117" t="s">
        <v>295</v>
      </c>
      <c r="C66" s="148">
        <v>432532.51</v>
      </c>
      <c r="D66" s="148">
        <v>0</v>
      </c>
      <c r="E66" s="148"/>
      <c r="F66" s="148">
        <f>C66+D66-E66</f>
        <v>432532.51</v>
      </c>
      <c r="G66" s="143">
        <v>12</v>
      </c>
      <c r="H66" s="148">
        <v>2178.2399999999998</v>
      </c>
    </row>
    <row r="67" spans="1:8">
      <c r="A67" s="123"/>
      <c r="B67" s="117" t="s">
        <v>129</v>
      </c>
      <c r="C67" s="148">
        <v>0</v>
      </c>
      <c r="D67" s="148">
        <v>0</v>
      </c>
      <c r="E67" s="148"/>
      <c r="F67" s="148">
        <f>C67+D67-E67</f>
        <v>0</v>
      </c>
      <c r="G67" s="143">
        <v>60</v>
      </c>
      <c r="H67" s="148">
        <v>0</v>
      </c>
    </row>
    <row r="68" spans="1:8">
      <c r="A68" s="123"/>
      <c r="B68" s="117" t="s">
        <v>296</v>
      </c>
      <c r="C68" s="148">
        <v>95136.43</v>
      </c>
      <c r="D68" s="148">
        <v>0</v>
      </c>
      <c r="E68" s="148"/>
      <c r="F68" s="148">
        <f>C68+D68-E68</f>
        <v>95136.43</v>
      </c>
      <c r="G68" s="143">
        <v>12</v>
      </c>
      <c r="H68" s="148">
        <v>479.16</v>
      </c>
    </row>
    <row r="69" spans="1:8">
      <c r="A69" s="123"/>
      <c r="B69" s="117" t="s">
        <v>130</v>
      </c>
      <c r="C69" s="148">
        <v>1837887.92</v>
      </c>
      <c r="D69" s="148">
        <v>0</v>
      </c>
      <c r="E69" s="148"/>
      <c r="F69" s="148">
        <f>C69+D69-E69</f>
        <v>1837887.92</v>
      </c>
      <c r="G69" s="143">
        <v>60</v>
      </c>
      <c r="H69" s="148">
        <v>24349.43</v>
      </c>
    </row>
    <row r="70" spans="1:8">
      <c r="A70" s="123"/>
      <c r="B70" s="117" t="s">
        <v>131</v>
      </c>
      <c r="C70" s="148">
        <v>78813.429999999993</v>
      </c>
      <c r="D70" s="148">
        <v>0</v>
      </c>
      <c r="E70" s="148"/>
      <c r="F70" s="148">
        <f>C70+D70-E70</f>
        <v>78813.429999999993</v>
      </c>
      <c r="G70" s="143">
        <v>45</v>
      </c>
      <c r="H70" s="148">
        <v>1751.41</v>
      </c>
    </row>
    <row r="71" spans="1:8">
      <c r="A71" s="123"/>
      <c r="B71" s="117" t="s">
        <v>297</v>
      </c>
      <c r="C71" s="148">
        <v>920692.5</v>
      </c>
      <c r="D71" s="148">
        <v>0</v>
      </c>
      <c r="E71" s="148"/>
      <c r="F71" s="148">
        <f>C71+D71-E71</f>
        <v>920692.5</v>
      </c>
      <c r="G71" s="143">
        <v>12</v>
      </c>
      <c r="H71" s="148">
        <v>4637.6400000000003</v>
      </c>
    </row>
    <row r="72" spans="1:8">
      <c r="A72" s="123"/>
      <c r="B72" s="117" t="s">
        <v>298</v>
      </c>
      <c r="C72" s="148">
        <v>8092849.4799999995</v>
      </c>
      <c r="D72" s="148">
        <v>0</v>
      </c>
      <c r="E72" s="148"/>
      <c r="F72" s="148">
        <f>C72+D72-E72</f>
        <v>8092849.4799999995</v>
      </c>
      <c r="G72" s="143">
        <v>54</v>
      </c>
      <c r="H72" s="148">
        <v>149867.57999999999</v>
      </c>
    </row>
    <row r="73" spans="1:8">
      <c r="A73" s="123"/>
      <c r="B73" s="117" t="s">
        <v>299</v>
      </c>
      <c r="C73" s="148">
        <v>7111245.04</v>
      </c>
      <c r="D73" s="148">
        <v>0</v>
      </c>
      <c r="E73" s="148"/>
      <c r="F73" s="148">
        <f>C73+D73-E73</f>
        <v>7111245.04</v>
      </c>
      <c r="G73" s="143">
        <v>12</v>
      </c>
      <c r="H73" s="148">
        <v>38778</v>
      </c>
    </row>
    <row r="74" spans="1:8">
      <c r="A74" s="123"/>
      <c r="B74" s="117" t="s">
        <v>315</v>
      </c>
      <c r="C74" s="149"/>
      <c r="D74" s="149"/>
      <c r="E74" s="149"/>
      <c r="F74" s="149"/>
      <c r="G74" s="144"/>
      <c r="H74" s="149">
        <v>-46018.2</v>
      </c>
    </row>
    <row r="75" spans="1:8" s="121" customFormat="1">
      <c r="A75" s="112" t="s">
        <v>132</v>
      </c>
      <c r="B75" s="112"/>
      <c r="C75" s="150">
        <f>SUBTOTAL(9,C63:C74)</f>
        <v>25840884.25</v>
      </c>
      <c r="D75" s="150">
        <f>SUBTOTAL(9,D63:D74)</f>
        <v>0</v>
      </c>
      <c r="E75" s="150">
        <f>SUBTOTAL(9,E63:E74)</f>
        <v>0</v>
      </c>
      <c r="F75" s="150">
        <f>SUBTOTAL(9,F63:F74)</f>
        <v>25840884.25</v>
      </c>
      <c r="G75" s="120"/>
      <c r="H75" s="150">
        <f>SUBTOTAL(9,H63:H74)</f>
        <v>258546.63</v>
      </c>
    </row>
    <row r="76" spans="1:8">
      <c r="C76" s="151"/>
      <c r="D76" s="151"/>
      <c r="E76" s="151"/>
      <c r="F76" s="151"/>
      <c r="G76" s="122"/>
      <c r="H76" s="151"/>
    </row>
    <row r="77" spans="1:8">
      <c r="A77" s="112" t="s">
        <v>133</v>
      </c>
      <c r="C77" s="151"/>
      <c r="D77" s="151"/>
      <c r="E77" s="151"/>
      <c r="F77" s="151"/>
      <c r="G77" s="122"/>
      <c r="H77" s="151"/>
    </row>
    <row r="78" spans="1:8">
      <c r="A78" s="123"/>
      <c r="B78" s="117" t="s">
        <v>117</v>
      </c>
      <c r="C78" s="148">
        <v>10354693.419999992</v>
      </c>
      <c r="D78" s="148">
        <v>2403066.25</v>
      </c>
      <c r="E78" s="148"/>
      <c r="F78" s="148">
        <f>C78+D78-E78</f>
        <v>12757759.669999992</v>
      </c>
      <c r="G78" s="143">
        <v>40</v>
      </c>
      <c r="H78" s="148">
        <v>246620.76</v>
      </c>
    </row>
    <row r="79" spans="1:8">
      <c r="A79" s="123"/>
      <c r="B79" s="117" t="s">
        <v>118</v>
      </c>
      <c r="C79" s="148">
        <v>44763.01</v>
      </c>
      <c r="D79" s="148">
        <v>0</v>
      </c>
      <c r="E79" s="148"/>
      <c r="F79" s="148">
        <f>C79+D79-E79</f>
        <v>44763.01</v>
      </c>
      <c r="G79" s="143">
        <v>50</v>
      </c>
      <c r="H79" s="148">
        <v>895.26</v>
      </c>
    </row>
    <row r="80" spans="1:8">
      <c r="A80" s="123"/>
      <c r="B80" s="117" t="s">
        <v>129</v>
      </c>
      <c r="C80" s="148">
        <v>662900.07999999984</v>
      </c>
      <c r="D80" s="148">
        <v>0</v>
      </c>
      <c r="E80" s="148"/>
      <c r="F80" s="148">
        <f>C80+D80-E80</f>
        <v>662900.07999999984</v>
      </c>
      <c r="G80" s="143">
        <v>50</v>
      </c>
      <c r="H80" s="148">
        <v>13258.02</v>
      </c>
    </row>
    <row r="81" spans="1:8">
      <c r="A81" s="123"/>
      <c r="B81" s="117" t="s">
        <v>134</v>
      </c>
      <c r="C81" s="148">
        <v>285794.73</v>
      </c>
      <c r="D81" s="148">
        <v>0</v>
      </c>
      <c r="E81" s="148"/>
      <c r="F81" s="148">
        <f>C81+D81-E81</f>
        <v>285794.73</v>
      </c>
      <c r="G81" s="143">
        <v>50</v>
      </c>
      <c r="H81" s="148">
        <v>5388.99</v>
      </c>
    </row>
    <row r="82" spans="1:8">
      <c r="A82" s="123"/>
      <c r="B82" s="117" t="s">
        <v>135</v>
      </c>
      <c r="C82" s="148">
        <v>2119495.4099999983</v>
      </c>
      <c r="D82" s="148">
        <v>0</v>
      </c>
      <c r="E82" s="148"/>
      <c r="F82" s="148">
        <f>C82+D82-E82</f>
        <v>2119495.4099999983</v>
      </c>
      <c r="G82" s="143">
        <v>40</v>
      </c>
      <c r="H82" s="148">
        <v>52980</v>
      </c>
    </row>
    <row r="83" spans="1:8">
      <c r="A83" s="123"/>
      <c r="B83" s="117" t="s">
        <v>136</v>
      </c>
      <c r="C83" s="148">
        <v>385154.92</v>
      </c>
      <c r="D83" s="148">
        <v>0</v>
      </c>
      <c r="E83" s="148"/>
      <c r="F83" s="148">
        <f>C83+D83-E83</f>
        <v>385154.92</v>
      </c>
      <c r="G83" s="143">
        <v>40</v>
      </c>
      <c r="H83" s="148">
        <v>9628.8700000000008</v>
      </c>
    </row>
    <row r="84" spans="1:8">
      <c r="A84" s="123"/>
      <c r="B84" s="117" t="s">
        <v>312</v>
      </c>
      <c r="C84" s="148">
        <v>43376.77</v>
      </c>
      <c r="D84" s="148">
        <v>0</v>
      </c>
      <c r="E84" s="148"/>
      <c r="F84" s="148">
        <f>C84+D84-E84</f>
        <v>43376.77</v>
      </c>
      <c r="G84" s="143">
        <v>40</v>
      </c>
      <c r="H84" s="148">
        <v>1084.43</v>
      </c>
    </row>
    <row r="85" spans="1:8">
      <c r="A85" s="123"/>
      <c r="B85" s="117" t="s">
        <v>137</v>
      </c>
      <c r="C85" s="148">
        <v>0</v>
      </c>
      <c r="D85" s="148">
        <v>0</v>
      </c>
      <c r="E85" s="148"/>
      <c r="F85" s="148">
        <f>C85+D85-E85</f>
        <v>0</v>
      </c>
      <c r="G85" s="143">
        <v>0</v>
      </c>
      <c r="H85" s="148">
        <v>0</v>
      </c>
    </row>
    <row r="86" spans="1:8">
      <c r="A86" s="123"/>
      <c r="B86" s="117" t="s">
        <v>138</v>
      </c>
      <c r="C86" s="148">
        <v>312632.61</v>
      </c>
      <c r="D86" s="148">
        <v>0</v>
      </c>
      <c r="E86" s="148"/>
      <c r="F86" s="148">
        <f>C86+D86-E86</f>
        <v>312632.61</v>
      </c>
      <c r="G86" s="143">
        <v>16</v>
      </c>
      <c r="H86" s="148">
        <v>12367.24</v>
      </c>
    </row>
    <row r="87" spans="1:8">
      <c r="A87" s="123"/>
      <c r="B87" s="117" t="s">
        <v>139</v>
      </c>
      <c r="C87" s="148">
        <v>288392.19</v>
      </c>
      <c r="D87" s="148">
        <v>0</v>
      </c>
      <c r="E87" s="148"/>
      <c r="F87" s="148">
        <f>C87+D87-E87</f>
        <v>288392.19</v>
      </c>
      <c r="G87" s="143">
        <v>16</v>
      </c>
      <c r="H87" s="148">
        <v>11585.06</v>
      </c>
    </row>
    <row r="88" spans="1:8">
      <c r="A88" s="123"/>
      <c r="B88" s="117" t="s">
        <v>122</v>
      </c>
      <c r="C88" s="148">
        <v>1287180.0000000002</v>
      </c>
      <c r="D88" s="148">
        <v>616260.07999999996</v>
      </c>
      <c r="E88" s="148"/>
      <c r="F88" s="148">
        <f>C88+D88-E88</f>
        <v>1903440.08</v>
      </c>
      <c r="G88" s="143">
        <v>40</v>
      </c>
      <c r="H88" s="148">
        <v>30257.29</v>
      </c>
    </row>
    <row r="89" spans="1:8">
      <c r="A89" s="123"/>
      <c r="B89" s="117" t="s">
        <v>123</v>
      </c>
      <c r="C89" s="148">
        <v>64798.340000000004</v>
      </c>
      <c r="D89" s="148">
        <v>0</v>
      </c>
      <c r="E89" s="148"/>
      <c r="F89" s="148">
        <f>C89+D89-E89</f>
        <v>64798.340000000004</v>
      </c>
      <c r="G89" s="143">
        <v>55</v>
      </c>
      <c r="H89" s="148">
        <v>1178.1500000000001</v>
      </c>
    </row>
    <row r="90" spans="1:8">
      <c r="A90" s="123"/>
      <c r="B90" s="117" t="s">
        <v>124</v>
      </c>
      <c r="C90" s="148">
        <v>100328.43</v>
      </c>
      <c r="D90" s="148">
        <v>0</v>
      </c>
      <c r="E90" s="148"/>
      <c r="F90" s="148">
        <f>C90+D90-E90</f>
        <v>100328.43</v>
      </c>
      <c r="G90" s="143">
        <v>30</v>
      </c>
      <c r="H90" s="148">
        <v>3005.45</v>
      </c>
    </row>
    <row r="91" spans="1:8">
      <c r="A91" s="123"/>
      <c r="B91" s="117" t="s">
        <v>140</v>
      </c>
      <c r="C91" s="148">
        <v>603366.85000000009</v>
      </c>
      <c r="D91" s="148">
        <v>0</v>
      </c>
      <c r="E91" s="148"/>
      <c r="F91" s="148">
        <f>C91+D91-E91</f>
        <v>603366.85000000009</v>
      </c>
      <c r="G91" s="143">
        <v>40</v>
      </c>
      <c r="H91" s="148">
        <v>14126.5</v>
      </c>
    </row>
    <row r="92" spans="1:8">
      <c r="A92" s="123"/>
      <c r="B92" s="117" t="s">
        <v>141</v>
      </c>
      <c r="C92" s="148">
        <v>4042479.1899999995</v>
      </c>
      <c r="D92" s="148">
        <v>0</v>
      </c>
      <c r="E92" s="148"/>
      <c r="F92" s="148">
        <f>C92+D92-E92</f>
        <v>4042479.1899999995</v>
      </c>
      <c r="G92" s="143">
        <v>35</v>
      </c>
      <c r="H92" s="148">
        <v>111157.97</v>
      </c>
    </row>
    <row r="93" spans="1:8">
      <c r="A93" s="123"/>
      <c r="B93" s="117" t="s">
        <v>142</v>
      </c>
      <c r="C93" s="148">
        <v>36442.910000000003</v>
      </c>
      <c r="D93" s="148">
        <v>0</v>
      </c>
      <c r="E93" s="148"/>
      <c r="F93" s="148">
        <f>C93+D93-E93</f>
        <v>36442.910000000003</v>
      </c>
      <c r="G93" s="143">
        <v>30</v>
      </c>
      <c r="H93" s="148">
        <v>293.20999999999998</v>
      </c>
    </row>
    <row r="94" spans="1:8">
      <c r="A94" s="123"/>
      <c r="B94" s="117" t="s">
        <v>315</v>
      </c>
      <c r="C94" s="149"/>
      <c r="D94" s="149"/>
      <c r="E94" s="149"/>
      <c r="F94" s="149"/>
      <c r="G94" s="118"/>
      <c r="H94" s="149">
        <v>49978.92</v>
      </c>
    </row>
    <row r="95" spans="1:8" s="121" customFormat="1" ht="18" customHeight="1">
      <c r="A95" s="112" t="s">
        <v>143</v>
      </c>
      <c r="B95" s="112"/>
      <c r="C95" s="150">
        <f>SUBTOTAL(9,C78:C94)</f>
        <v>20631798.859999988</v>
      </c>
      <c r="D95" s="150">
        <f>SUBTOTAL(9,D78:D94)</f>
        <v>3019326.33</v>
      </c>
      <c r="E95" s="150">
        <f>SUBTOTAL(9,E78:E94)</f>
        <v>0</v>
      </c>
      <c r="F95" s="150">
        <f>SUBTOTAL(9,F78:F94)</f>
        <v>23651125.189999994</v>
      </c>
      <c r="G95" s="120"/>
      <c r="H95" s="150">
        <f>SUBTOTAL(9,H78:H94)</f>
        <v>563806.12</v>
      </c>
    </row>
    <row r="96" spans="1:8">
      <c r="C96" s="152"/>
      <c r="D96" s="152"/>
      <c r="E96" s="152"/>
      <c r="F96" s="152"/>
      <c r="G96" s="124"/>
      <c r="H96" s="152"/>
    </row>
    <row r="97" spans="1:8">
      <c r="A97" s="112" t="s">
        <v>144</v>
      </c>
      <c r="C97" s="151"/>
      <c r="D97" s="151"/>
      <c r="E97" s="151"/>
      <c r="F97" s="151"/>
      <c r="G97" s="122"/>
      <c r="H97" s="151"/>
    </row>
    <row r="98" spans="1:8">
      <c r="A98" s="123"/>
      <c r="B98" s="117" t="s">
        <v>145</v>
      </c>
      <c r="C98" s="148">
        <v>4320.91</v>
      </c>
      <c r="D98" s="148">
        <v>0</v>
      </c>
      <c r="E98" s="148"/>
      <c r="F98" s="148">
        <f>C98+D98-E98</f>
        <v>4320.91</v>
      </c>
      <c r="G98" s="143">
        <v>50</v>
      </c>
      <c r="H98" s="148">
        <v>86.42</v>
      </c>
    </row>
    <row r="99" spans="1:8">
      <c r="A99" s="123"/>
      <c r="B99" s="117" t="s">
        <v>146</v>
      </c>
      <c r="C99" s="148">
        <v>2615170.14</v>
      </c>
      <c r="D99" s="148">
        <v>0</v>
      </c>
      <c r="E99" s="148"/>
      <c r="F99" s="148">
        <f>C99+D99-E99</f>
        <v>2615170.14</v>
      </c>
      <c r="G99" s="143">
        <v>50</v>
      </c>
      <c r="H99" s="148">
        <v>49863.92</v>
      </c>
    </row>
    <row r="100" spans="1:8">
      <c r="A100" s="123"/>
      <c r="B100" s="117" t="s">
        <v>147</v>
      </c>
      <c r="C100" s="148">
        <v>10587763.250000004</v>
      </c>
      <c r="D100" s="148">
        <v>135000</v>
      </c>
      <c r="E100" s="148"/>
      <c r="F100" s="148">
        <f>C100+D100-E100</f>
        <v>10722763.250000004</v>
      </c>
      <c r="G100" s="143">
        <v>55</v>
      </c>
      <c r="H100" s="148">
        <v>192504.92</v>
      </c>
    </row>
    <row r="101" spans="1:8">
      <c r="A101" s="123"/>
      <c r="B101" s="117" t="s">
        <v>148</v>
      </c>
      <c r="C101" s="148">
        <v>1919263.0599999998</v>
      </c>
      <c r="D101" s="148">
        <v>40000</v>
      </c>
      <c r="E101" s="148"/>
      <c r="F101" s="148">
        <f>C101+D101-E101</f>
        <v>1959263.0599999998</v>
      </c>
      <c r="G101" s="143">
        <v>20</v>
      </c>
      <c r="H101" s="148">
        <v>43089.43</v>
      </c>
    </row>
    <row r="102" spans="1:8">
      <c r="A102" s="123"/>
      <c r="B102" s="117" t="s">
        <v>149</v>
      </c>
      <c r="C102" s="148">
        <v>19296.990000000002</v>
      </c>
      <c r="D102" s="148">
        <v>0</v>
      </c>
      <c r="E102" s="148"/>
      <c r="F102" s="148">
        <f>C102+D102-E102</f>
        <v>19296.990000000002</v>
      </c>
      <c r="G102" s="143">
        <v>40</v>
      </c>
      <c r="H102" s="148">
        <v>318.87</v>
      </c>
    </row>
    <row r="103" spans="1:8">
      <c r="A103" s="123"/>
      <c r="B103" s="117" t="s">
        <v>150</v>
      </c>
      <c r="C103" s="148">
        <v>88444.14</v>
      </c>
      <c r="D103" s="148">
        <v>63706.7</v>
      </c>
      <c r="E103" s="148"/>
      <c r="F103" s="148">
        <f>C103+D103-E103</f>
        <v>152150.84</v>
      </c>
      <c r="G103" s="143">
        <v>30</v>
      </c>
      <c r="H103" s="148">
        <v>1912.16</v>
      </c>
    </row>
    <row r="104" spans="1:8">
      <c r="A104" s="123"/>
      <c r="B104" s="117" t="s">
        <v>151</v>
      </c>
      <c r="C104" s="148">
        <v>1437633.4100000004</v>
      </c>
      <c r="D104" s="148">
        <v>193000</v>
      </c>
      <c r="E104" s="148"/>
      <c r="F104" s="148">
        <f>C104+D104-E104</f>
        <v>1630633.4100000004</v>
      </c>
      <c r="G104" s="143">
        <v>7</v>
      </c>
      <c r="H104" s="148">
        <v>142371.72</v>
      </c>
    </row>
    <row r="105" spans="1:8">
      <c r="A105" s="123"/>
      <c r="B105" s="117" t="s">
        <v>152</v>
      </c>
      <c r="C105" s="148">
        <v>0</v>
      </c>
      <c r="D105" s="148">
        <v>0</v>
      </c>
      <c r="E105" s="148"/>
      <c r="F105" s="148">
        <f>C105+D105-E105</f>
        <v>0</v>
      </c>
      <c r="G105" s="143">
        <v>5</v>
      </c>
      <c r="H105" s="148">
        <v>0</v>
      </c>
    </row>
    <row r="106" spans="1:8">
      <c r="A106" s="123"/>
      <c r="B106" s="117" t="s">
        <v>153</v>
      </c>
      <c r="C106" s="148">
        <v>2848036.9499999979</v>
      </c>
      <c r="D106" s="148">
        <v>366451.59</v>
      </c>
      <c r="E106" s="148"/>
      <c r="F106" s="148">
        <f>C106+D106-E106</f>
        <v>3214488.5399999977</v>
      </c>
      <c r="G106" s="143">
        <v>20</v>
      </c>
      <c r="H106" s="148">
        <v>111886.23</v>
      </c>
    </row>
    <row r="107" spans="1:8">
      <c r="A107" s="123"/>
      <c r="B107" s="117" t="s">
        <v>137</v>
      </c>
      <c r="C107" s="148">
        <v>0</v>
      </c>
      <c r="D107" s="148">
        <v>0</v>
      </c>
      <c r="E107" s="148"/>
      <c r="F107" s="148">
        <f>C107+D107-E107</f>
        <v>0</v>
      </c>
      <c r="G107" s="143">
        <v>15</v>
      </c>
      <c r="H107" s="148">
        <v>0</v>
      </c>
    </row>
    <row r="108" spans="1:8">
      <c r="A108" s="123"/>
      <c r="B108" s="117" t="s">
        <v>154</v>
      </c>
      <c r="C108" s="148">
        <v>5623403.629999998</v>
      </c>
      <c r="D108" s="148">
        <v>138983.01999999999</v>
      </c>
      <c r="E108" s="148"/>
      <c r="F108" s="148">
        <f>C108+D108-E108</f>
        <v>5762386.6499999976</v>
      </c>
      <c r="G108" s="143">
        <v>20</v>
      </c>
      <c r="H108" s="148">
        <v>222044.94</v>
      </c>
    </row>
    <row r="109" spans="1:8">
      <c r="A109" s="123"/>
      <c r="B109" s="117" t="s">
        <v>155</v>
      </c>
      <c r="C109" s="148">
        <v>59031.369999999995</v>
      </c>
      <c r="D109" s="148">
        <v>0</v>
      </c>
      <c r="E109" s="148"/>
      <c r="F109" s="148">
        <f>C109+D109-E109</f>
        <v>59031.369999999995</v>
      </c>
      <c r="G109" s="143">
        <v>40</v>
      </c>
      <c r="H109" s="148">
        <v>1129.08</v>
      </c>
    </row>
    <row r="110" spans="1:8">
      <c r="A110" s="123"/>
      <c r="B110" s="117" t="s">
        <v>156</v>
      </c>
      <c r="C110" s="148">
        <v>2152408.6399999997</v>
      </c>
      <c r="D110" s="148">
        <v>810234.67</v>
      </c>
      <c r="E110" s="148"/>
      <c r="F110" s="148">
        <f>C110+D110-E110</f>
        <v>2962643.3099999996</v>
      </c>
      <c r="G110" s="143">
        <v>40</v>
      </c>
      <c r="H110" s="148">
        <v>19232.490000000002</v>
      </c>
    </row>
    <row r="111" spans="1:8">
      <c r="A111" s="123"/>
      <c r="B111" s="117" t="s">
        <v>315</v>
      </c>
      <c r="C111" s="149"/>
      <c r="D111" s="149"/>
      <c r="E111" s="149"/>
      <c r="F111" s="149"/>
      <c r="G111" s="144"/>
      <c r="H111" s="149">
        <v>-67343.759999999995</v>
      </c>
    </row>
    <row r="112" spans="1:8" s="121" customFormat="1" ht="18" customHeight="1">
      <c r="A112" s="112" t="s">
        <v>157</v>
      </c>
      <c r="B112" s="112"/>
      <c r="C112" s="150">
        <f>SUBTOTAL(9,C98:C111)</f>
        <v>27354772.490000006</v>
      </c>
      <c r="D112" s="150">
        <f>SUBTOTAL(9,D98:D111)</f>
        <v>1747375.98</v>
      </c>
      <c r="E112" s="150">
        <f>SUBTOTAL(9,E98:E111)</f>
        <v>0</v>
      </c>
      <c r="F112" s="150">
        <f>SUBTOTAL(9,F98:F111)</f>
        <v>29102148.470000003</v>
      </c>
      <c r="G112" s="120"/>
      <c r="H112" s="150">
        <f>SUBTOTAL(9,H98:H111)</f>
        <v>717096.41999999981</v>
      </c>
    </row>
    <row r="113" spans="1:8">
      <c r="C113" s="152"/>
      <c r="D113" s="152"/>
      <c r="E113" s="152"/>
      <c r="F113" s="152"/>
      <c r="G113" s="126"/>
      <c r="H113" s="152"/>
    </row>
    <row r="114" spans="1:8">
      <c r="A114" s="112" t="s">
        <v>158</v>
      </c>
      <c r="C114" s="151"/>
      <c r="D114" s="151"/>
      <c r="E114" s="151"/>
      <c r="F114" s="151"/>
      <c r="G114" s="122"/>
      <c r="H114" s="151"/>
    </row>
    <row r="115" spans="1:8">
      <c r="A115" s="123"/>
      <c r="B115" s="117" t="s">
        <v>159</v>
      </c>
      <c r="C115" s="148">
        <v>357571.19</v>
      </c>
      <c r="D115" s="148">
        <v>35000</v>
      </c>
      <c r="E115" s="148"/>
      <c r="F115" s="148">
        <f>C115+D115-E115</f>
        <v>392571.19</v>
      </c>
      <c r="G115" s="143">
        <v>8</v>
      </c>
      <c r="H115" s="148">
        <v>14005.73</v>
      </c>
    </row>
    <row r="116" spans="1:8">
      <c r="A116" s="123"/>
      <c r="B116" s="117" t="s">
        <v>160</v>
      </c>
      <c r="C116" s="148">
        <v>211681.52</v>
      </c>
      <c r="D116" s="148">
        <v>0</v>
      </c>
      <c r="E116" s="148"/>
      <c r="F116" s="148">
        <f>C116+D116-E116</f>
        <v>211681.52</v>
      </c>
      <c r="G116" s="143">
        <v>11</v>
      </c>
      <c r="H116" s="148">
        <v>14817.83</v>
      </c>
    </row>
    <row r="117" spans="1:8">
      <c r="A117" s="123"/>
      <c r="B117" s="117" t="s">
        <v>300</v>
      </c>
      <c r="C117" s="148">
        <v>71771.58</v>
      </c>
      <c r="D117" s="148">
        <v>0</v>
      </c>
      <c r="E117" s="148"/>
      <c r="F117" s="148">
        <f>C117+D117-E117</f>
        <v>71771.58</v>
      </c>
      <c r="G117" s="143">
        <v>25</v>
      </c>
      <c r="H117" s="148">
        <v>2927.31</v>
      </c>
    </row>
    <row r="118" spans="1:8">
      <c r="A118" s="123"/>
      <c r="B118" s="117" t="s">
        <v>161</v>
      </c>
      <c r="C118" s="148">
        <v>53710.58</v>
      </c>
      <c r="D118" s="148">
        <v>0</v>
      </c>
      <c r="E118" s="148"/>
      <c r="F118" s="148">
        <f>C118+D118-E118</f>
        <v>53710.58</v>
      </c>
      <c r="G118" s="143">
        <v>25</v>
      </c>
      <c r="H118" s="148">
        <v>2546.0100000000002</v>
      </c>
    </row>
    <row r="119" spans="1:8">
      <c r="A119" s="123"/>
      <c r="B119" s="117" t="s">
        <v>162</v>
      </c>
      <c r="C119" s="148">
        <v>3289719.18</v>
      </c>
      <c r="D119" s="148">
        <v>623784</v>
      </c>
      <c r="E119" s="148"/>
      <c r="F119" s="148">
        <f>C119+D119-E119</f>
        <v>3913503.18</v>
      </c>
      <c r="G119" s="143">
        <v>9</v>
      </c>
      <c r="H119" s="148">
        <v>302941.39</v>
      </c>
    </row>
    <row r="120" spans="1:8">
      <c r="A120" s="123"/>
      <c r="B120" s="117" t="s">
        <v>163</v>
      </c>
      <c r="C120" s="148">
        <v>1459849.11</v>
      </c>
      <c r="D120" s="148">
        <v>389475.16</v>
      </c>
      <c r="E120" s="148"/>
      <c r="F120" s="148">
        <f>C120+D120-E120</f>
        <v>1849324.27</v>
      </c>
      <c r="G120" s="143">
        <v>20</v>
      </c>
      <c r="H120" s="148">
        <v>58393.96</v>
      </c>
    </row>
    <row r="121" spans="1:8">
      <c r="A121" s="123"/>
      <c r="B121" s="117" t="s">
        <v>301</v>
      </c>
      <c r="C121" s="148">
        <v>1003858.15</v>
      </c>
      <c r="D121" s="148">
        <v>0</v>
      </c>
      <c r="E121" s="148"/>
      <c r="F121" s="148">
        <f>C121+D121-E121</f>
        <v>1003858.15</v>
      </c>
      <c r="G121" s="145">
        <v>20</v>
      </c>
      <c r="H121" s="148">
        <v>50193.33</v>
      </c>
    </row>
    <row r="122" spans="1:8">
      <c r="A122" s="123"/>
      <c r="B122" s="117" t="s">
        <v>315</v>
      </c>
      <c r="C122" s="149"/>
      <c r="D122" s="149"/>
      <c r="E122" s="149"/>
      <c r="F122" s="149"/>
      <c r="G122" s="146"/>
      <c r="H122" s="149">
        <v>19267.32</v>
      </c>
    </row>
    <row r="123" spans="1:8" s="121" customFormat="1" ht="18" customHeight="1">
      <c r="A123" s="112" t="s">
        <v>164</v>
      </c>
      <c r="B123" s="112"/>
      <c r="C123" s="150">
        <f>SUBTOTAL(9,C115:C122)</f>
        <v>6448161.3100000005</v>
      </c>
      <c r="D123" s="150">
        <f>SUBTOTAL(9,D115:D122)</f>
        <v>1048259.1599999999</v>
      </c>
      <c r="E123" s="150">
        <f>SUBTOTAL(9,E115:E122)</f>
        <v>0</v>
      </c>
      <c r="F123" s="150">
        <f>SUBTOTAL(9,F115:F122)</f>
        <v>7496420.4700000007</v>
      </c>
      <c r="G123" s="119"/>
      <c r="H123" s="150">
        <f>SUBTOTAL(9,H115:H122)</f>
        <v>465092.88000000006</v>
      </c>
    </row>
    <row r="124" spans="1:8">
      <c r="C124" s="152"/>
      <c r="D124" s="152"/>
      <c r="E124" s="152"/>
      <c r="F124" s="152"/>
      <c r="H124" s="152"/>
    </row>
    <row r="125" spans="1:8">
      <c r="A125" s="112" t="s">
        <v>302</v>
      </c>
      <c r="C125" s="151"/>
      <c r="D125" s="151"/>
      <c r="E125" s="151"/>
      <c r="F125" s="151"/>
      <c r="G125" s="122"/>
      <c r="H125" s="151"/>
    </row>
    <row r="126" spans="1:8">
      <c r="A126" s="123"/>
      <c r="B126" s="117" t="s">
        <v>302</v>
      </c>
      <c r="C126" s="149">
        <v>1165687.07</v>
      </c>
      <c r="D126" s="149">
        <v>0</v>
      </c>
      <c r="E126" s="149"/>
      <c r="F126" s="149">
        <f>C126+D126-E126</f>
        <v>1165687.07</v>
      </c>
      <c r="G126" s="144">
        <v>0</v>
      </c>
      <c r="H126" s="149">
        <v>0</v>
      </c>
    </row>
    <row r="127" spans="1:8" s="121" customFormat="1" ht="18.75" customHeight="1">
      <c r="A127" s="112" t="s">
        <v>303</v>
      </c>
      <c r="B127" s="112"/>
      <c r="C127" s="150">
        <f>SUBTOTAL(9,C126)</f>
        <v>1165687.07</v>
      </c>
      <c r="D127" s="150">
        <f>SUBTOTAL(9,D126)</f>
        <v>0</v>
      </c>
      <c r="E127" s="150">
        <f>SUBTOTAL(9,E126)</f>
        <v>0</v>
      </c>
      <c r="F127" s="150">
        <f>SUBTOTAL(9,F126)</f>
        <v>1165687.07</v>
      </c>
      <c r="G127" s="120"/>
      <c r="H127" s="150">
        <f>SUBTOTAL(9,H126)</f>
        <v>0</v>
      </c>
    </row>
    <row r="128" spans="1:8" s="121" customFormat="1" ht="18.75" customHeight="1">
      <c r="A128" s="112"/>
      <c r="B128" s="112"/>
      <c r="C128" s="150"/>
      <c r="D128" s="150"/>
      <c r="E128" s="150"/>
      <c r="F128" s="150"/>
      <c r="G128" s="120"/>
      <c r="H128" s="150"/>
    </row>
    <row r="129" spans="1:8">
      <c r="A129" s="112" t="s">
        <v>304</v>
      </c>
      <c r="C129" s="151"/>
      <c r="D129" s="151"/>
      <c r="E129" s="151"/>
      <c r="F129" s="151"/>
      <c r="G129" s="122"/>
      <c r="H129" s="151"/>
    </row>
    <row r="130" spans="1:8">
      <c r="A130" s="123"/>
      <c r="B130" s="117" t="s">
        <v>104</v>
      </c>
      <c r="C130" s="148">
        <v>6184735</v>
      </c>
      <c r="D130" s="148">
        <v>0</v>
      </c>
      <c r="E130" s="148"/>
      <c r="F130" s="148">
        <f>C130+D130-E130</f>
        <v>6184735</v>
      </c>
      <c r="G130" s="143">
        <v>72</v>
      </c>
      <c r="H130" s="148">
        <v>85899.1</v>
      </c>
    </row>
    <row r="131" spans="1:8">
      <c r="A131" s="123"/>
      <c r="B131" s="117" t="s">
        <v>305</v>
      </c>
      <c r="C131" s="148">
        <v>13200669.02</v>
      </c>
      <c r="D131" s="148">
        <v>0</v>
      </c>
      <c r="E131" s="148"/>
      <c r="F131" s="148">
        <f>C131+D131-E131</f>
        <v>13200669.02</v>
      </c>
      <c r="G131" s="143">
        <v>60</v>
      </c>
      <c r="H131" s="148">
        <v>200436.58</v>
      </c>
    </row>
    <row r="132" spans="1:8">
      <c r="A132" s="123"/>
      <c r="B132" s="117" t="s">
        <v>306</v>
      </c>
      <c r="C132" s="148">
        <v>20890968.260000002</v>
      </c>
      <c r="D132" s="148">
        <v>0</v>
      </c>
      <c r="E132" s="148"/>
      <c r="F132" s="148">
        <f>C132+D132-E132</f>
        <v>20890968.260000002</v>
      </c>
      <c r="G132" s="143">
        <v>40</v>
      </c>
      <c r="H132" s="148">
        <v>522274.21</v>
      </c>
    </row>
    <row r="133" spans="1:8">
      <c r="A133" s="123"/>
      <c r="B133" s="117" t="s">
        <v>294</v>
      </c>
      <c r="C133" s="148">
        <v>548443.35</v>
      </c>
      <c r="D133" s="148">
        <v>800000</v>
      </c>
      <c r="E133" s="148"/>
      <c r="F133" s="148">
        <f>C133+D133-E133</f>
        <v>1348443.35</v>
      </c>
      <c r="G133" s="143">
        <v>2</v>
      </c>
      <c r="H133" s="148">
        <v>0</v>
      </c>
    </row>
    <row r="134" spans="1:8">
      <c r="A134" s="123"/>
      <c r="B134" s="117" t="s">
        <v>107</v>
      </c>
      <c r="C134" s="148">
        <v>3655939.21</v>
      </c>
      <c r="D134" s="148">
        <v>0</v>
      </c>
      <c r="E134" s="148"/>
      <c r="F134" s="148">
        <f>C134+D134-E134</f>
        <v>3655939.21</v>
      </c>
      <c r="G134" s="143">
        <v>45</v>
      </c>
      <c r="H134" s="148">
        <v>81243.09</v>
      </c>
    </row>
    <row r="135" spans="1:8">
      <c r="A135" s="123"/>
      <c r="B135" s="117" t="s">
        <v>108</v>
      </c>
      <c r="C135" s="148">
        <v>2870009.21</v>
      </c>
      <c r="D135" s="148">
        <v>20199.830000000002</v>
      </c>
      <c r="E135" s="148"/>
      <c r="F135" s="148">
        <f>C135+D135-E135</f>
        <v>2890209.04</v>
      </c>
      <c r="G135" s="143">
        <v>30</v>
      </c>
      <c r="H135" s="148">
        <v>95666.97</v>
      </c>
    </row>
    <row r="136" spans="1:8">
      <c r="A136" s="123"/>
      <c r="B136" s="113" t="s">
        <v>307</v>
      </c>
      <c r="C136" s="148">
        <v>779651</v>
      </c>
      <c r="D136" s="148">
        <v>0</v>
      </c>
      <c r="E136" s="148"/>
      <c r="F136" s="148">
        <f>C136+D136-E136</f>
        <v>779651</v>
      </c>
      <c r="G136" s="143">
        <v>30</v>
      </c>
      <c r="H136" s="148">
        <v>25988.37</v>
      </c>
    </row>
    <row r="137" spans="1:8">
      <c r="A137" s="123"/>
      <c r="B137" s="117" t="s">
        <v>315</v>
      </c>
      <c r="C137" s="149"/>
      <c r="D137" s="149"/>
      <c r="E137" s="149"/>
      <c r="F137" s="149"/>
      <c r="G137" s="144"/>
      <c r="H137" s="149">
        <v>-13981.32</v>
      </c>
    </row>
    <row r="138" spans="1:8" s="121" customFormat="1" ht="18" customHeight="1">
      <c r="A138" s="112" t="s">
        <v>308</v>
      </c>
      <c r="B138" s="112"/>
      <c r="C138" s="150">
        <f>SUBTOTAL(9,C130:C137)</f>
        <v>48130415.050000004</v>
      </c>
      <c r="D138" s="150">
        <f>SUBTOTAL(9,D130:D137)</f>
        <v>820199.83</v>
      </c>
      <c r="E138" s="150">
        <f>SUBTOTAL(9,E130:E137)</f>
        <v>0</v>
      </c>
      <c r="F138" s="150">
        <f>SUBTOTAL(9,F130:F137)</f>
        <v>48950614.880000003</v>
      </c>
      <c r="G138" s="127"/>
      <c r="H138" s="150">
        <f>SUBTOTAL(9,H130:H137)</f>
        <v>997527</v>
      </c>
    </row>
    <row r="139" spans="1:8">
      <c r="C139" s="152"/>
      <c r="D139" s="152"/>
      <c r="E139" s="152"/>
      <c r="F139" s="152"/>
      <c r="H139" s="152"/>
    </row>
    <row r="140" spans="1:8">
      <c r="A140" s="121" t="s">
        <v>375</v>
      </c>
      <c r="C140" s="152"/>
      <c r="D140" s="152"/>
      <c r="E140" s="152"/>
      <c r="F140" s="152"/>
      <c r="H140" s="152"/>
    </row>
    <row r="141" spans="1:8">
      <c r="B141" s="113" t="s">
        <v>375</v>
      </c>
      <c r="C141" s="149">
        <v>1180856</v>
      </c>
      <c r="D141" s="149">
        <v>750134.11</v>
      </c>
      <c r="E141" s="149"/>
      <c r="F141" s="149">
        <f>C141+D141</f>
        <v>1930990.1099999999</v>
      </c>
      <c r="G141" s="144"/>
      <c r="H141" s="149">
        <v>113077.75999999999</v>
      </c>
    </row>
    <row r="142" spans="1:8">
      <c r="A142" s="121" t="s">
        <v>376</v>
      </c>
      <c r="C142" s="150">
        <f>SUBTOTAL(9,C141)</f>
        <v>1180856</v>
      </c>
      <c r="D142" s="150">
        <f>SUBTOTAL(9,D141)</f>
        <v>750134.11</v>
      </c>
      <c r="E142" s="150">
        <f>SUBTOTAL(9,E141)</f>
        <v>0</v>
      </c>
      <c r="F142" s="150">
        <f>SUBTOTAL(9,F141)</f>
        <v>1930990.1099999999</v>
      </c>
      <c r="G142" s="156"/>
      <c r="H142" s="150">
        <f>SUBTOTAL(9,H141)</f>
        <v>113077.75999999999</v>
      </c>
    </row>
    <row r="143" spans="1:8">
      <c r="C143" s="152"/>
      <c r="D143" s="152"/>
      <c r="E143" s="152"/>
      <c r="F143" s="152"/>
      <c r="H143" s="152"/>
    </row>
    <row r="144" spans="1:8" s="121" customFormat="1" ht="18" customHeight="1">
      <c r="A144" s="112" t="s">
        <v>28</v>
      </c>
      <c r="B144" s="112"/>
      <c r="C144" s="150">
        <f>SUBTOTAL(9,C8:C142)</f>
        <v>702516868.71999979</v>
      </c>
      <c r="D144" s="150">
        <f>SUBTOTAL(9,D8:D142)</f>
        <v>18174811.919999994</v>
      </c>
      <c r="E144" s="150">
        <f>SUBTOTAL(9,E8:E142)</f>
        <v>2539585.92</v>
      </c>
      <c r="F144" s="150">
        <f>SUBTOTAL(9,F8:F142)</f>
        <v>718152094.71999955</v>
      </c>
      <c r="G144" s="127"/>
      <c r="H144" s="150">
        <f>SUBTOTAL(9,H8:H142)</f>
        <v>14244207.460000001</v>
      </c>
    </row>
    <row r="145" spans="3:8">
      <c r="C145" s="125"/>
      <c r="D145" s="125"/>
      <c r="E145" s="125"/>
      <c r="F145" s="125"/>
      <c r="H145" s="125"/>
    </row>
  </sheetData>
  <printOptions horizontalCentered="1"/>
  <pageMargins left="0.55118110236220474" right="0.31496062992125984" top="0.82677165354330717" bottom="0.9055118110236221" header="0.51181102362204722" footer="0.51181102362204722"/>
  <pageSetup scale="42" fitToHeight="2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  <pageSetUpPr fitToPage="1"/>
  </sheetPr>
  <dimension ref="A1:U156"/>
  <sheetViews>
    <sheetView view="pageBreakPreview" zoomScaleNormal="100" zoomScaleSheetLayoutView="100" workbookViewId="0">
      <pane ySplit="6" topLeftCell="A7" activePane="bottomLeft" state="frozen"/>
      <selection activeCell="H18" sqref="H18"/>
      <selection pane="bottomLeft"/>
    </sheetView>
  </sheetViews>
  <sheetFormatPr defaultColWidth="9.1796875" defaultRowHeight="12.5"/>
  <cols>
    <col min="1" max="1" width="5.7265625" style="113" customWidth="1"/>
    <col min="2" max="2" width="31.1796875" style="113" customWidth="1"/>
    <col min="3" max="4" width="14.54296875" style="114" customWidth="1"/>
    <col min="5" max="5" width="12.54296875" style="114" bestFit="1" customWidth="1"/>
    <col min="6" max="6" width="14.54296875" style="114" customWidth="1"/>
    <col min="7" max="7" width="15.26953125" style="115" customWidth="1"/>
    <col min="8" max="8" width="17" style="114" customWidth="1"/>
    <col min="22" max="16384" width="9.1796875" style="113"/>
  </cols>
  <sheetData>
    <row r="1" spans="1:21" s="133" customFormat="1" ht="15.75" customHeight="1">
      <c r="A1" s="137" t="s">
        <v>0</v>
      </c>
      <c r="B1" s="134"/>
      <c r="C1" s="134"/>
      <c r="D1" s="134"/>
      <c r="E1" s="138"/>
      <c r="F1" s="134"/>
      <c r="H1" s="197" t="s">
        <v>462</v>
      </c>
    </row>
    <row r="2" spans="1:21" s="133" customFormat="1" ht="15.75" customHeight="1">
      <c r="A2" s="139" t="s">
        <v>341</v>
      </c>
      <c r="B2" s="134"/>
      <c r="C2" s="134"/>
      <c r="D2" s="134"/>
      <c r="E2" s="138"/>
      <c r="F2" s="134"/>
      <c r="H2" s="196" t="str">
        <f>'Schedule 1'!$L$2</f>
        <v>2023/24 GRA Compliance Filing</v>
      </c>
    </row>
    <row r="3" spans="1:21" s="133" customFormat="1" ht="15.75" customHeight="1">
      <c r="A3" s="153" t="s">
        <v>337</v>
      </c>
      <c r="B3" s="134"/>
      <c r="C3" s="134"/>
      <c r="D3" s="134"/>
      <c r="E3" s="138"/>
      <c r="F3" s="134"/>
      <c r="G3" s="134"/>
      <c r="H3" s="134"/>
    </row>
    <row r="4" spans="1:21" s="133" customFormat="1" ht="15.75" customHeight="1">
      <c r="A4" s="135"/>
      <c r="B4" s="135"/>
      <c r="C4" s="135"/>
      <c r="D4" s="135"/>
      <c r="E4" s="135"/>
      <c r="F4" s="135"/>
      <c r="G4" s="135"/>
      <c r="H4" s="135"/>
    </row>
    <row r="5" spans="1:21" s="133" customFormat="1" ht="13" thickBot="1">
      <c r="A5" s="140"/>
      <c r="B5" s="140"/>
      <c r="C5" s="136"/>
      <c r="D5" s="136"/>
      <c r="E5" s="136"/>
      <c r="F5" s="136"/>
      <c r="G5" s="141"/>
      <c r="H5" s="136"/>
    </row>
    <row r="6" spans="1:21" s="142" customFormat="1" ht="38" thickBot="1">
      <c r="A6" s="140"/>
      <c r="B6" s="191" t="s">
        <v>9</v>
      </c>
      <c r="C6" s="192" t="s">
        <v>342</v>
      </c>
      <c r="D6" s="192" t="s">
        <v>343</v>
      </c>
      <c r="E6" s="193" t="s">
        <v>344</v>
      </c>
      <c r="F6" s="192" t="s">
        <v>345</v>
      </c>
      <c r="G6" s="194" t="s">
        <v>484</v>
      </c>
      <c r="H6" s="192" t="str">
        <f>'Schedule 1'!L7</f>
        <v>Forecast 2024</v>
      </c>
    </row>
    <row r="7" spans="1:21">
      <c r="A7" s="112" t="s">
        <v>96</v>
      </c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</row>
    <row r="8" spans="1:21">
      <c r="A8" s="116"/>
      <c r="B8" s="117" t="s">
        <v>97</v>
      </c>
      <c r="C8" s="148">
        <f>'Schedule 3A - 2023'!F8</f>
        <v>444911.51999999996</v>
      </c>
      <c r="D8" s="148">
        <v>0</v>
      </c>
      <c r="E8" s="148"/>
      <c r="F8" s="148">
        <f>C8+D8-E8</f>
        <v>444911.51999999996</v>
      </c>
      <c r="G8" s="143">
        <v>0</v>
      </c>
      <c r="H8" s="148">
        <v>0</v>
      </c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</row>
    <row r="9" spans="1:21">
      <c r="A9" s="116"/>
      <c r="B9" s="117" t="s">
        <v>98</v>
      </c>
      <c r="C9" s="148">
        <f>'Schedule 3A - 2023'!F9</f>
        <v>27680.47</v>
      </c>
      <c r="D9" s="148">
        <v>0</v>
      </c>
      <c r="E9" s="148"/>
      <c r="F9" s="148">
        <f>C9+D9-E9</f>
        <v>27680.47</v>
      </c>
      <c r="G9" s="143">
        <v>0</v>
      </c>
      <c r="H9" s="148">
        <v>0</v>
      </c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</row>
    <row r="10" spans="1:21">
      <c r="A10" s="116"/>
      <c r="B10" s="117" t="s">
        <v>99</v>
      </c>
      <c r="C10" s="148">
        <f>'Schedule 3A - 2023'!F10</f>
        <v>576862.49</v>
      </c>
      <c r="D10" s="148">
        <v>0</v>
      </c>
      <c r="E10" s="148"/>
      <c r="F10" s="148">
        <f>C10+D10-E10</f>
        <v>576862.49</v>
      </c>
      <c r="G10" s="143">
        <v>0</v>
      </c>
      <c r="H10" s="148">
        <v>0</v>
      </c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</row>
    <row r="11" spans="1:21">
      <c r="A11" s="116"/>
      <c r="B11" s="117" t="s">
        <v>133</v>
      </c>
      <c r="C11" s="148">
        <f>'Schedule 3A - 2023'!F11</f>
        <v>17775.009999999998</v>
      </c>
      <c r="D11" s="148">
        <v>0</v>
      </c>
      <c r="E11" s="148"/>
      <c r="F11" s="148">
        <f>C11+D11-E11</f>
        <v>17775.009999999998</v>
      </c>
      <c r="G11" s="143">
        <v>0</v>
      </c>
      <c r="H11" s="148">
        <v>0</v>
      </c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</row>
    <row r="12" spans="1:21">
      <c r="A12" s="116"/>
      <c r="B12" s="117" t="s">
        <v>100</v>
      </c>
      <c r="C12" s="148">
        <f>'Schedule 3A - 2023'!F12</f>
        <v>547992.46000000008</v>
      </c>
      <c r="D12" s="148">
        <v>0</v>
      </c>
      <c r="E12" s="148"/>
      <c r="F12" s="148">
        <f>C12+D12-E12</f>
        <v>547992.46000000008</v>
      </c>
      <c r="G12" s="143">
        <v>0</v>
      </c>
      <c r="H12" s="148">
        <v>0</v>
      </c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</row>
    <row r="13" spans="1:21">
      <c r="A13" s="116"/>
      <c r="B13" s="117" t="s">
        <v>101</v>
      </c>
      <c r="C13" s="148">
        <f>'Schedule 3A - 2023'!F13</f>
        <v>127211.13000000002</v>
      </c>
      <c r="D13" s="148">
        <v>0</v>
      </c>
      <c r="E13" s="148">
        <f>H13</f>
        <v>1568.7</v>
      </c>
      <c r="F13" s="148">
        <f>C13+D13-E13</f>
        <v>125642.43000000002</v>
      </c>
      <c r="G13" s="143">
        <v>50</v>
      </c>
      <c r="H13" s="148">
        <v>1568.7</v>
      </c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</row>
    <row r="14" spans="1:21">
      <c r="A14" s="116"/>
      <c r="B14" s="117" t="s">
        <v>315</v>
      </c>
      <c r="C14" s="149"/>
      <c r="D14" s="149"/>
      <c r="E14" s="149"/>
      <c r="F14" s="149"/>
      <c r="G14" s="118"/>
      <c r="H14" s="149">
        <v>-12.96</v>
      </c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</row>
    <row r="15" spans="1:21" s="121" customFormat="1" ht="18.75" customHeight="1">
      <c r="A15" s="112" t="s">
        <v>102</v>
      </c>
      <c r="B15" s="112"/>
      <c r="C15" s="150">
        <f>SUBTOTAL(9,C8:C14)</f>
        <v>1742433.0800000003</v>
      </c>
      <c r="D15" s="150">
        <f>SUBTOTAL(9,D8:D14)</f>
        <v>0</v>
      </c>
      <c r="E15" s="150">
        <f>SUBTOTAL(9,E8:E14)</f>
        <v>1568.7</v>
      </c>
      <c r="F15" s="150">
        <f>SUBTOTAL(9,F8:F14)</f>
        <v>1740864.3800000001</v>
      </c>
      <c r="G15" s="120"/>
      <c r="H15" s="150">
        <f>SUBTOTAL(9,H8:H14)</f>
        <v>1555.74</v>
      </c>
    </row>
    <row r="16" spans="1:21">
      <c r="C16" s="151"/>
      <c r="D16" s="151"/>
      <c r="E16" s="151"/>
      <c r="F16" s="151"/>
      <c r="G16" s="122"/>
      <c r="H16" s="151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</row>
    <row r="17" spans="1:8">
      <c r="A17" s="112" t="s">
        <v>103</v>
      </c>
      <c r="C17" s="151"/>
      <c r="D17" s="151"/>
      <c r="E17" s="151"/>
      <c r="F17" s="151"/>
      <c r="G17" s="122"/>
      <c r="H17" s="151"/>
    </row>
    <row r="18" spans="1:8">
      <c r="A18" s="123"/>
      <c r="B18" s="117" t="s">
        <v>104</v>
      </c>
      <c r="C18" s="148">
        <f>'Schedule 3A - 2023'!F18</f>
        <v>52939456.819999985</v>
      </c>
      <c r="D18" s="148">
        <v>2874356.53</v>
      </c>
      <c r="E18" s="148"/>
      <c r="F18" s="148">
        <f>C18+D18-E18</f>
        <v>55813813.349999987</v>
      </c>
      <c r="G18" s="143">
        <v>72</v>
      </c>
      <c r="H18" s="148">
        <v>732604.32</v>
      </c>
    </row>
    <row r="19" spans="1:8">
      <c r="A19" s="123"/>
      <c r="B19" s="117" t="s">
        <v>111</v>
      </c>
      <c r="C19" s="148">
        <f>'Schedule 3A - 2023'!F19</f>
        <v>10278688.460000001</v>
      </c>
      <c r="D19" s="148">
        <v>0</v>
      </c>
      <c r="E19" s="148"/>
      <c r="F19" s="148">
        <f>C19+D19-E19</f>
        <v>10278688.460000001</v>
      </c>
      <c r="G19" s="143">
        <v>40</v>
      </c>
      <c r="H19" s="148">
        <v>256967.21</v>
      </c>
    </row>
    <row r="20" spans="1:8">
      <c r="A20" s="123"/>
      <c r="B20" s="117" t="s">
        <v>105</v>
      </c>
      <c r="C20" s="148">
        <f>'Schedule 3A - 2023'!F20</f>
        <v>167912290.10000002</v>
      </c>
      <c r="D20" s="148">
        <v>0</v>
      </c>
      <c r="E20" s="148"/>
      <c r="F20" s="148">
        <f>C20+D20-E20</f>
        <v>167912290.10000002</v>
      </c>
      <c r="G20" s="143">
        <v>103</v>
      </c>
      <c r="H20" s="148">
        <v>1849706.29</v>
      </c>
    </row>
    <row r="21" spans="1:8">
      <c r="A21" s="123"/>
      <c r="B21" s="117" t="s">
        <v>371</v>
      </c>
      <c r="C21" s="148">
        <f>'Schedule 3A - 2023'!F21</f>
        <v>6711437.5</v>
      </c>
      <c r="D21" s="148">
        <v>0</v>
      </c>
      <c r="E21" s="148"/>
      <c r="F21" s="148">
        <f>C21+D21-E21</f>
        <v>6711437.5</v>
      </c>
      <c r="G21" s="143">
        <v>103</v>
      </c>
      <c r="H21" s="148">
        <v>0</v>
      </c>
    </row>
    <row r="22" spans="1:8">
      <c r="A22" s="123"/>
      <c r="B22" s="117" t="s">
        <v>294</v>
      </c>
      <c r="C22" s="148">
        <f>'Schedule 3A - 2023'!F22</f>
        <v>11513951.49</v>
      </c>
      <c r="D22" s="148">
        <v>2200000</v>
      </c>
      <c r="E22" s="148"/>
      <c r="F22" s="148">
        <f>C22+D22-E22</f>
        <v>13713951.49</v>
      </c>
      <c r="G22" s="143">
        <v>10</v>
      </c>
      <c r="H22" s="148">
        <v>1151395.17</v>
      </c>
    </row>
    <row r="23" spans="1:8">
      <c r="A23" s="123"/>
      <c r="B23" s="117" t="s">
        <v>106</v>
      </c>
      <c r="C23" s="148">
        <f>'Schedule 3A - 2023'!F23</f>
        <v>28222837.399999995</v>
      </c>
      <c r="D23" s="148">
        <v>0</v>
      </c>
      <c r="E23" s="148"/>
      <c r="F23" s="148">
        <f>C23+D23-E23</f>
        <v>28222837.399999995</v>
      </c>
      <c r="G23" s="143">
        <v>85</v>
      </c>
      <c r="H23" s="148">
        <v>325384.40000000002</v>
      </c>
    </row>
    <row r="24" spans="1:8">
      <c r="A24" s="123"/>
      <c r="B24" s="117" t="s">
        <v>107</v>
      </c>
      <c r="C24" s="148">
        <f>'Schedule 3A - 2023'!F24</f>
        <v>27366286.300000004</v>
      </c>
      <c r="D24" s="148">
        <v>0</v>
      </c>
      <c r="E24" s="148"/>
      <c r="F24" s="148">
        <f>C24+D24-E24</f>
        <v>27366286.300000004</v>
      </c>
      <c r="G24" s="143">
        <v>40</v>
      </c>
      <c r="H24" s="148">
        <v>684157.61</v>
      </c>
    </row>
    <row r="25" spans="1:8">
      <c r="A25" s="123"/>
      <c r="B25" s="117" t="s">
        <v>313</v>
      </c>
      <c r="C25" s="148">
        <f>'Schedule 3A - 2023'!F25</f>
        <v>851180.05</v>
      </c>
      <c r="D25" s="148">
        <v>0</v>
      </c>
      <c r="E25" s="148"/>
      <c r="F25" s="148">
        <f>C25+D25-E25</f>
        <v>851180.05</v>
      </c>
      <c r="G25" s="143">
        <v>20</v>
      </c>
      <c r="H25" s="148">
        <v>42559</v>
      </c>
    </row>
    <row r="26" spans="1:8">
      <c r="A26" s="123"/>
      <c r="B26" s="117" t="s">
        <v>108</v>
      </c>
      <c r="C26" s="148">
        <f>'Schedule 3A - 2023'!F26</f>
        <v>12065475.450000001</v>
      </c>
      <c r="D26" s="148">
        <v>1321741.02</v>
      </c>
      <c r="E26" s="148"/>
      <c r="F26" s="148">
        <f>C26+D26-E26</f>
        <v>13387216.470000001</v>
      </c>
      <c r="G26" s="143">
        <v>30</v>
      </c>
      <c r="H26" s="148">
        <v>402182.52</v>
      </c>
    </row>
    <row r="27" spans="1:8">
      <c r="A27" s="123"/>
      <c r="B27" s="117" t="s">
        <v>109</v>
      </c>
      <c r="C27" s="148">
        <f>'Schedule 3A - 2023'!F27</f>
        <v>107086</v>
      </c>
      <c r="D27" s="148">
        <v>0</v>
      </c>
      <c r="E27" s="148"/>
      <c r="F27" s="148">
        <f>C27+D27-E27</f>
        <v>107086</v>
      </c>
      <c r="G27" s="143">
        <v>30</v>
      </c>
      <c r="H27" s="148">
        <v>2667.14</v>
      </c>
    </row>
    <row r="28" spans="1:8">
      <c r="A28" s="123"/>
      <c r="B28" s="117" t="s">
        <v>315</v>
      </c>
      <c r="C28" s="149"/>
      <c r="D28" s="149"/>
      <c r="E28" s="149"/>
      <c r="F28" s="149"/>
      <c r="G28" s="144"/>
      <c r="H28" s="149">
        <v>-140295.96</v>
      </c>
    </row>
    <row r="29" spans="1:8" s="121" customFormat="1">
      <c r="A29" s="112" t="s">
        <v>110</v>
      </c>
      <c r="B29" s="112"/>
      <c r="C29" s="150">
        <f>SUBTOTAL(9,C18:C28)</f>
        <v>317968689.56999999</v>
      </c>
      <c r="D29" s="150">
        <f>SUBTOTAL(9,D18:D28)</f>
        <v>6396097.5499999989</v>
      </c>
      <c r="E29" s="150">
        <f>SUBTOTAL(9,E18:E28)</f>
        <v>0</v>
      </c>
      <c r="F29" s="150">
        <f>SUBTOTAL(9,F18:F28)</f>
        <v>324364787.12000006</v>
      </c>
      <c r="G29" s="119"/>
      <c r="H29" s="150">
        <f>SUBTOTAL(9,H18:H28)</f>
        <v>5307327.6999999993</v>
      </c>
    </row>
    <row r="30" spans="1:8">
      <c r="C30" s="151"/>
      <c r="D30" s="151"/>
      <c r="E30" s="151"/>
      <c r="F30" s="151"/>
      <c r="G30" s="122"/>
      <c r="H30" s="151"/>
    </row>
    <row r="31" spans="1:8">
      <c r="A31" s="112" t="s">
        <v>98</v>
      </c>
      <c r="C31" s="151"/>
      <c r="D31" s="151"/>
      <c r="E31" s="151"/>
      <c r="F31" s="151"/>
      <c r="G31" s="122"/>
      <c r="H31" s="151"/>
    </row>
    <row r="32" spans="1:8">
      <c r="A32" s="123"/>
      <c r="B32" s="117" t="s">
        <v>104</v>
      </c>
      <c r="C32" s="148">
        <f>'Schedule 3A - 2023'!F32</f>
        <v>1562351.7</v>
      </c>
      <c r="D32" s="148">
        <v>0</v>
      </c>
      <c r="E32" s="148"/>
      <c r="F32" s="148">
        <f>C32+D32-E32</f>
        <v>1562351.7</v>
      </c>
      <c r="G32" s="143">
        <v>72</v>
      </c>
      <c r="H32" s="148">
        <v>21699.33</v>
      </c>
    </row>
    <row r="33" spans="1:8">
      <c r="A33" s="123"/>
      <c r="B33" s="117" t="s">
        <v>111</v>
      </c>
      <c r="C33" s="148">
        <f>'Schedule 3A - 2023'!F33</f>
        <v>474668.13</v>
      </c>
      <c r="D33" s="148">
        <v>0</v>
      </c>
      <c r="E33" s="148"/>
      <c r="F33" s="148">
        <f>C33+D33-E33</f>
        <v>474668.13</v>
      </c>
      <c r="G33" s="143">
        <v>55</v>
      </c>
      <c r="H33" s="148">
        <v>8630.31</v>
      </c>
    </row>
    <row r="34" spans="1:8">
      <c r="A34" s="123"/>
      <c r="B34" s="117" t="s">
        <v>112</v>
      </c>
      <c r="C34" s="148">
        <f>'Schedule 3A - 2023'!F34</f>
        <v>2735605.89</v>
      </c>
      <c r="D34" s="148">
        <v>0</v>
      </c>
      <c r="E34" s="148"/>
      <c r="F34" s="148">
        <f>C34+D34-E34</f>
        <v>2735605.89</v>
      </c>
      <c r="G34" s="143">
        <v>40</v>
      </c>
      <c r="H34" s="148">
        <v>45079.31</v>
      </c>
    </row>
    <row r="35" spans="1:8">
      <c r="A35" s="123"/>
      <c r="B35" s="117" t="s">
        <v>113</v>
      </c>
      <c r="C35" s="148">
        <f>'Schedule 3A - 2023'!F35</f>
        <v>17495861.52</v>
      </c>
      <c r="D35" s="148">
        <v>18585778.469999999</v>
      </c>
      <c r="E35" s="148"/>
      <c r="F35" s="148">
        <f>C35+D35-E35</f>
        <v>36081639.989999995</v>
      </c>
      <c r="G35" s="143">
        <v>40</v>
      </c>
      <c r="H35" s="148">
        <v>415289.74</v>
      </c>
    </row>
    <row r="36" spans="1:8">
      <c r="A36" s="123"/>
      <c r="B36" s="117" t="s">
        <v>294</v>
      </c>
      <c r="C36" s="148">
        <f>'Schedule 3A - 2023'!F36</f>
        <v>2962780.46</v>
      </c>
      <c r="D36" s="148">
        <v>0</v>
      </c>
      <c r="E36" s="148"/>
      <c r="F36" s="148">
        <f>C36+D36-E36</f>
        <v>2962780.46</v>
      </c>
      <c r="G36" s="143">
        <v>5</v>
      </c>
      <c r="H36" s="148">
        <v>0</v>
      </c>
    </row>
    <row r="37" spans="1:8">
      <c r="A37" s="123"/>
      <c r="B37" s="117" t="s">
        <v>314</v>
      </c>
      <c r="C37" s="148">
        <f>'Schedule 3A - 2023'!F37</f>
        <v>243547.65000000002</v>
      </c>
      <c r="D37" s="148">
        <v>0</v>
      </c>
      <c r="E37" s="148"/>
      <c r="F37" s="148">
        <f>C37+D37-E37</f>
        <v>243547.65000000002</v>
      </c>
      <c r="G37" s="143">
        <v>12</v>
      </c>
      <c r="H37" s="148">
        <v>0</v>
      </c>
    </row>
    <row r="38" spans="1:8">
      <c r="A38" s="123"/>
      <c r="B38" s="117" t="s">
        <v>107</v>
      </c>
      <c r="C38" s="148">
        <f>'Schedule 3A - 2023'!F38</f>
        <v>8938043.9600000009</v>
      </c>
      <c r="D38" s="148">
        <v>0</v>
      </c>
      <c r="E38" s="148"/>
      <c r="F38" s="148">
        <f>C38+D38-E38</f>
        <v>8938043.9600000009</v>
      </c>
      <c r="G38" s="143">
        <v>45</v>
      </c>
      <c r="H38" s="148">
        <v>198622.96</v>
      </c>
    </row>
    <row r="39" spans="1:8">
      <c r="A39" s="123"/>
      <c r="B39" s="117" t="s">
        <v>108</v>
      </c>
      <c r="C39" s="148">
        <f>'Schedule 3A - 2023'!F39</f>
        <v>1874382.7200000002</v>
      </c>
      <c r="D39" s="148">
        <v>50000</v>
      </c>
      <c r="E39" s="148"/>
      <c r="F39" s="148">
        <f>C39+D39-E39</f>
        <v>1924382.7200000002</v>
      </c>
      <c r="G39" s="143">
        <v>30</v>
      </c>
      <c r="H39" s="148">
        <v>60438.53</v>
      </c>
    </row>
    <row r="40" spans="1:8">
      <c r="A40" s="123"/>
      <c r="B40" s="117" t="s">
        <v>315</v>
      </c>
      <c r="C40" s="149"/>
      <c r="D40" s="149"/>
      <c r="E40" s="149"/>
      <c r="F40" s="149"/>
      <c r="G40" s="118"/>
      <c r="H40" s="149">
        <v>-74396.160000000003</v>
      </c>
    </row>
    <row r="41" spans="1:8" s="121" customFormat="1" ht="18.75" customHeight="1">
      <c r="A41" s="112" t="s">
        <v>114</v>
      </c>
      <c r="B41" s="112"/>
      <c r="C41" s="150">
        <f>SUBTOTAL(9,C32:C40)</f>
        <v>36287242.030000001</v>
      </c>
      <c r="D41" s="150">
        <f>SUBTOTAL(9,D32:D40)</f>
        <v>18635778.469999999</v>
      </c>
      <c r="E41" s="150">
        <f>SUBTOTAL(9,E32:E40)</f>
        <v>0</v>
      </c>
      <c r="F41" s="150">
        <f>SUBTOTAL(9,F32:F40)</f>
        <v>54923020.499999993</v>
      </c>
      <c r="G41" s="120"/>
      <c r="H41" s="150">
        <f>SUBTOTAL(9,H32:H40)</f>
        <v>675364.02</v>
      </c>
    </row>
    <row r="42" spans="1:8">
      <c r="C42" s="151"/>
      <c r="D42" s="151"/>
      <c r="E42" s="151"/>
      <c r="F42" s="151"/>
      <c r="G42" s="122"/>
      <c r="H42" s="151"/>
    </row>
    <row r="43" spans="1:8">
      <c r="A43" s="112" t="s">
        <v>115</v>
      </c>
      <c r="C43" s="151"/>
      <c r="D43" s="151"/>
      <c r="E43" s="151"/>
      <c r="F43" s="151"/>
      <c r="G43" s="122"/>
      <c r="H43" s="151"/>
    </row>
    <row r="44" spans="1:8">
      <c r="A44" s="123"/>
      <c r="B44" s="117" t="s">
        <v>115</v>
      </c>
      <c r="C44" s="149">
        <f>'Schedule 3A - 2023'!F44</f>
        <v>0</v>
      </c>
      <c r="D44" s="149">
        <v>0</v>
      </c>
      <c r="E44" s="149"/>
      <c r="F44" s="149">
        <f>C44+D44-E44</f>
        <v>0</v>
      </c>
      <c r="G44" s="144">
        <v>0</v>
      </c>
      <c r="H44" s="149">
        <v>0</v>
      </c>
    </row>
    <row r="45" spans="1:8" s="121" customFormat="1" ht="18.75" customHeight="1">
      <c r="A45" s="112" t="s">
        <v>116</v>
      </c>
      <c r="B45" s="112"/>
      <c r="C45" s="150">
        <f>C44</f>
        <v>0</v>
      </c>
      <c r="D45" s="150">
        <f>D44</f>
        <v>0</v>
      </c>
      <c r="E45" s="150">
        <f>E44</f>
        <v>0</v>
      </c>
      <c r="F45" s="150">
        <f>F44</f>
        <v>0</v>
      </c>
      <c r="G45" s="120"/>
      <c r="H45" s="150">
        <f>SUBTOTAL(9,H44)</f>
        <v>0</v>
      </c>
    </row>
    <row r="46" spans="1:8">
      <c r="C46" s="151"/>
      <c r="D46" s="151"/>
      <c r="E46" s="151"/>
      <c r="F46" s="151"/>
      <c r="G46" s="122"/>
      <c r="H46" s="151"/>
    </row>
    <row r="47" spans="1:8">
      <c r="A47" s="112" t="s">
        <v>99</v>
      </c>
      <c r="C47" s="151"/>
      <c r="D47" s="151"/>
      <c r="E47" s="151"/>
      <c r="F47" s="151"/>
      <c r="G47" s="122"/>
      <c r="H47" s="151"/>
    </row>
    <row r="48" spans="1:8">
      <c r="A48" s="123"/>
      <c r="B48" s="117" t="s">
        <v>117</v>
      </c>
      <c r="C48" s="148">
        <f>'Schedule 3A - 2023'!F48</f>
        <v>84788769.409999982</v>
      </c>
      <c r="D48" s="148">
        <v>16448851.01</v>
      </c>
      <c r="E48" s="148"/>
      <c r="F48" s="148">
        <f>C48+D48-E48</f>
        <v>101237620.41999999</v>
      </c>
      <c r="G48" s="143">
        <v>65</v>
      </c>
      <c r="H48" s="148">
        <v>1304305</v>
      </c>
    </row>
    <row r="49" spans="1:8">
      <c r="A49" s="123"/>
      <c r="B49" s="117" t="s">
        <v>118</v>
      </c>
      <c r="C49" s="148">
        <f>'Schedule 3A - 2023'!F49</f>
        <v>16756318.379999999</v>
      </c>
      <c r="D49" s="148">
        <v>0</v>
      </c>
      <c r="E49" s="148"/>
      <c r="F49" s="148">
        <f>C49+D49-E49</f>
        <v>16756318.379999999</v>
      </c>
      <c r="G49" s="143">
        <v>60</v>
      </c>
      <c r="H49" s="148">
        <v>263819.74</v>
      </c>
    </row>
    <row r="50" spans="1:8">
      <c r="A50" s="123"/>
      <c r="B50" s="117" t="s">
        <v>119</v>
      </c>
      <c r="C50" s="148">
        <f>'Schedule 3A - 2023'!F50</f>
        <v>4297239.04</v>
      </c>
      <c r="D50" s="148">
        <v>0</v>
      </c>
      <c r="E50" s="148"/>
      <c r="F50" s="148">
        <f>C50+D50-E50</f>
        <v>4297239.04</v>
      </c>
      <c r="G50" s="143">
        <v>60</v>
      </c>
      <c r="H50" s="148">
        <v>68017.149999999994</v>
      </c>
    </row>
    <row r="51" spans="1:8">
      <c r="A51" s="123"/>
      <c r="B51" s="117" t="s">
        <v>120</v>
      </c>
      <c r="C51" s="148">
        <f>'Schedule 3A - 2023'!F51</f>
        <v>20202888.569999997</v>
      </c>
      <c r="D51" s="148">
        <v>0</v>
      </c>
      <c r="E51" s="148"/>
      <c r="F51" s="148">
        <f>C51+D51-E51</f>
        <v>20202888.569999997</v>
      </c>
      <c r="G51" s="143">
        <v>60</v>
      </c>
      <c r="H51" s="148">
        <v>314019.61</v>
      </c>
    </row>
    <row r="52" spans="1:8">
      <c r="A52" s="123"/>
      <c r="B52" s="117" t="s">
        <v>121</v>
      </c>
      <c r="C52" s="148">
        <f>'Schedule 3A - 2023'!F52</f>
        <v>277975</v>
      </c>
      <c r="D52" s="148">
        <v>0</v>
      </c>
      <c r="E52" s="148"/>
      <c r="F52" s="148">
        <f>C52+D52-E52</f>
        <v>277975</v>
      </c>
      <c r="G52" s="143">
        <v>60</v>
      </c>
      <c r="H52" s="148">
        <v>4156.1000000000004</v>
      </c>
    </row>
    <row r="53" spans="1:8">
      <c r="A53" s="123"/>
      <c r="B53" s="117" t="s">
        <v>122</v>
      </c>
      <c r="C53" s="148">
        <f>'Schedule 3A - 2023'!F53</f>
        <v>62982553.68999996</v>
      </c>
      <c r="D53" s="148">
        <v>3308928.95</v>
      </c>
      <c r="E53" s="148"/>
      <c r="F53" s="148">
        <f>C53+D53-E53</f>
        <v>66291482.639999963</v>
      </c>
      <c r="G53" s="143">
        <v>54</v>
      </c>
      <c r="H53" s="148">
        <v>1276560.29</v>
      </c>
    </row>
    <row r="54" spans="1:8">
      <c r="A54" s="123"/>
      <c r="B54" s="117" t="s">
        <v>333</v>
      </c>
      <c r="C54" s="148">
        <f>'Schedule 3A - 2023'!F54</f>
        <v>10688553.15</v>
      </c>
      <c r="D54" s="148">
        <v>0</v>
      </c>
      <c r="E54" s="148"/>
      <c r="F54" s="148">
        <f>C54+D54-E54</f>
        <v>10688553.15</v>
      </c>
      <c r="G54" s="143">
        <v>10</v>
      </c>
      <c r="H54" s="148">
        <v>890712.76</v>
      </c>
    </row>
    <row r="55" spans="1:8">
      <c r="A55" s="123"/>
      <c r="B55" s="117" t="s">
        <v>339</v>
      </c>
      <c r="C55" s="148">
        <f>'Schedule 3A - 2023'!F55</f>
        <v>13991451.050000001</v>
      </c>
      <c r="D55" s="148">
        <v>0</v>
      </c>
      <c r="E55" s="148"/>
      <c r="F55" s="148">
        <f>C55+D55-E55</f>
        <v>13991451.050000001</v>
      </c>
      <c r="G55" s="143">
        <v>10</v>
      </c>
      <c r="H55" s="148">
        <v>1399145.105</v>
      </c>
    </row>
    <row r="56" spans="1:8">
      <c r="A56" s="123"/>
      <c r="B56" s="117" t="s">
        <v>340</v>
      </c>
      <c r="C56" s="148">
        <f>'Schedule 3A - 2023'!F56</f>
        <v>848040.31</v>
      </c>
      <c r="D56" s="148">
        <v>0</v>
      </c>
      <c r="E56" s="148"/>
      <c r="F56" s="148">
        <f>C56+D56-E56</f>
        <v>848040.31</v>
      </c>
      <c r="G56" s="143">
        <v>10</v>
      </c>
      <c r="H56" s="148">
        <v>84804.031000000003</v>
      </c>
    </row>
    <row r="57" spans="1:8">
      <c r="A57" s="123"/>
      <c r="B57" s="117" t="s">
        <v>123</v>
      </c>
      <c r="C57" s="148">
        <f>'Schedule 3A - 2023'!F57</f>
        <v>8907593.5500000007</v>
      </c>
      <c r="D57" s="148">
        <v>0</v>
      </c>
      <c r="E57" s="148"/>
      <c r="F57" s="148">
        <f>C57+D57-E57</f>
        <v>8907593.5500000007</v>
      </c>
      <c r="G57" s="143">
        <v>55</v>
      </c>
      <c r="H57" s="148">
        <v>28093.143999999855</v>
      </c>
    </row>
    <row r="58" spans="1:8">
      <c r="A58" s="123"/>
      <c r="B58" s="117" t="s">
        <v>124</v>
      </c>
      <c r="C58" s="148">
        <f>'Schedule 3A - 2023'!F58</f>
        <v>274477.45</v>
      </c>
      <c r="D58" s="148">
        <v>0</v>
      </c>
      <c r="E58" s="148"/>
      <c r="F58" s="148">
        <f>C58+D58-E58</f>
        <v>274477.45</v>
      </c>
      <c r="G58" s="143">
        <v>30</v>
      </c>
      <c r="H58" s="148">
        <v>7104.46</v>
      </c>
    </row>
    <row r="59" spans="1:8">
      <c r="A59" s="123"/>
      <c r="B59" s="117" t="s">
        <v>315</v>
      </c>
      <c r="C59" s="149"/>
      <c r="D59" s="149"/>
      <c r="E59" s="149"/>
      <c r="F59" s="149"/>
      <c r="G59" s="144"/>
      <c r="H59" s="149">
        <v>-79596.960000000006</v>
      </c>
    </row>
    <row r="60" spans="1:8" s="121" customFormat="1" ht="18" customHeight="1">
      <c r="A60" s="112" t="s">
        <v>125</v>
      </c>
      <c r="B60" s="112"/>
      <c r="C60" s="150">
        <f>SUBTOTAL(9,C48:C59)</f>
        <v>224015859.59999996</v>
      </c>
      <c r="D60" s="150">
        <f>SUBTOTAL(9,D48:D59)</f>
        <v>19757779.960000001</v>
      </c>
      <c r="E60" s="150">
        <f>SUBTOTAL(9,E48:E59)</f>
        <v>0</v>
      </c>
      <c r="F60" s="150">
        <f>SUBTOTAL(9,F48:F59)</f>
        <v>243773639.55999997</v>
      </c>
      <c r="G60" s="120"/>
      <c r="H60" s="150">
        <f>SUBTOTAL(9,H48:H59)</f>
        <v>5561140.4300000016</v>
      </c>
    </row>
    <row r="61" spans="1:8">
      <c r="C61" s="151"/>
      <c r="D61" s="151"/>
      <c r="E61" s="151"/>
      <c r="F61" s="151"/>
      <c r="G61" s="122"/>
      <c r="H61" s="151"/>
    </row>
    <row r="62" spans="1:8">
      <c r="A62" s="112" t="s">
        <v>126</v>
      </c>
      <c r="C62" s="151"/>
      <c r="D62" s="151"/>
      <c r="E62" s="151"/>
      <c r="F62" s="151"/>
      <c r="G62" s="122"/>
      <c r="H62" s="151"/>
    </row>
    <row r="63" spans="1:8">
      <c r="A63" s="123"/>
      <c r="B63" s="117" t="s">
        <v>117</v>
      </c>
      <c r="C63" s="148">
        <f>'Schedule 3A - 2023'!F63</f>
        <v>4583998.2</v>
      </c>
      <c r="D63" s="148">
        <v>0</v>
      </c>
      <c r="E63" s="148"/>
      <c r="F63" s="148">
        <f>C63+D63-E63</f>
        <v>4583998.2</v>
      </c>
      <c r="G63" s="143">
        <v>65</v>
      </c>
      <c r="H63" s="148">
        <v>68509.09</v>
      </c>
    </row>
    <row r="64" spans="1:8">
      <c r="A64" s="123"/>
      <c r="B64" s="117" t="s">
        <v>127</v>
      </c>
      <c r="C64" s="148">
        <f>'Schedule 3A - 2023'!F64</f>
        <v>2646131.54</v>
      </c>
      <c r="D64" s="148">
        <v>0</v>
      </c>
      <c r="E64" s="148"/>
      <c r="F64" s="148">
        <f>C64+D64-E64</f>
        <v>2646131.54</v>
      </c>
      <c r="G64" s="143">
        <v>12</v>
      </c>
      <c r="H64" s="148">
        <v>13328.76</v>
      </c>
    </row>
    <row r="65" spans="1:8">
      <c r="A65" s="123"/>
      <c r="B65" s="117" t="s">
        <v>128</v>
      </c>
      <c r="C65" s="148">
        <f>'Schedule 3A - 2023'!F65</f>
        <v>41597.199999999997</v>
      </c>
      <c r="D65" s="148">
        <v>0</v>
      </c>
      <c r="E65" s="148"/>
      <c r="F65" s="148">
        <f>C65+D65-E65</f>
        <v>41597.199999999997</v>
      </c>
      <c r="G65" s="143">
        <v>60</v>
      </c>
      <c r="H65" s="148">
        <v>687.4</v>
      </c>
    </row>
    <row r="66" spans="1:8">
      <c r="A66" s="123"/>
      <c r="B66" s="117" t="s">
        <v>295</v>
      </c>
      <c r="C66" s="148">
        <f>'Schedule 3A - 2023'!F66</f>
        <v>432532.51</v>
      </c>
      <c r="D66" s="148">
        <v>0</v>
      </c>
      <c r="E66" s="148"/>
      <c r="F66" s="148">
        <f>C66+D66-E66</f>
        <v>432532.51</v>
      </c>
      <c r="G66" s="143">
        <v>12</v>
      </c>
      <c r="H66" s="148">
        <v>2178.2399999999998</v>
      </c>
    </row>
    <row r="67" spans="1:8">
      <c r="A67" s="123"/>
      <c r="B67" s="117" t="s">
        <v>129</v>
      </c>
      <c r="C67" s="148">
        <f>'Schedule 3A - 2023'!F67</f>
        <v>0</v>
      </c>
      <c r="D67" s="148">
        <v>0</v>
      </c>
      <c r="E67" s="148"/>
      <c r="F67" s="148">
        <f>C67+D67-E67</f>
        <v>0</v>
      </c>
      <c r="G67" s="143">
        <v>60</v>
      </c>
      <c r="H67" s="148">
        <v>0</v>
      </c>
    </row>
    <row r="68" spans="1:8">
      <c r="A68" s="123"/>
      <c r="B68" s="117" t="s">
        <v>296</v>
      </c>
      <c r="C68" s="148">
        <f>'Schedule 3A - 2023'!F68</f>
        <v>95136.43</v>
      </c>
      <c r="D68" s="148">
        <v>0</v>
      </c>
      <c r="E68" s="148"/>
      <c r="F68" s="148">
        <f>C68+D68-E68</f>
        <v>95136.43</v>
      </c>
      <c r="G68" s="143">
        <v>12</v>
      </c>
      <c r="H68" s="148">
        <v>479.16</v>
      </c>
    </row>
    <row r="69" spans="1:8">
      <c r="A69" s="123"/>
      <c r="B69" s="117" t="s">
        <v>130</v>
      </c>
      <c r="C69" s="148">
        <f>'Schedule 3A - 2023'!F69</f>
        <v>1837887.92</v>
      </c>
      <c r="D69" s="148">
        <v>0</v>
      </c>
      <c r="E69" s="148"/>
      <c r="F69" s="148">
        <f>C69+D69-E69</f>
        <v>1837887.92</v>
      </c>
      <c r="G69" s="143">
        <v>60</v>
      </c>
      <c r="H69" s="148">
        <v>24416.12</v>
      </c>
    </row>
    <row r="70" spans="1:8">
      <c r="A70" s="123"/>
      <c r="B70" s="117" t="s">
        <v>131</v>
      </c>
      <c r="C70" s="148">
        <f>'Schedule 3A - 2023'!F70</f>
        <v>78813.429999999993</v>
      </c>
      <c r="D70" s="148">
        <v>0</v>
      </c>
      <c r="E70" s="148"/>
      <c r="F70" s="148">
        <f>C70+D70-E70</f>
        <v>78813.429999999993</v>
      </c>
      <c r="G70" s="143">
        <v>45</v>
      </c>
      <c r="H70" s="148">
        <v>1751.41</v>
      </c>
    </row>
    <row r="71" spans="1:8">
      <c r="A71" s="123"/>
      <c r="B71" s="117" t="s">
        <v>297</v>
      </c>
      <c r="C71" s="148">
        <f>'Schedule 3A - 2023'!F71</f>
        <v>920692.5</v>
      </c>
      <c r="D71" s="148">
        <v>0</v>
      </c>
      <c r="E71" s="148"/>
      <c r="F71" s="148">
        <f>C71+D71-E71</f>
        <v>920692.5</v>
      </c>
      <c r="G71" s="143">
        <v>12</v>
      </c>
      <c r="H71" s="148">
        <v>4637.6400000000003</v>
      </c>
    </row>
    <row r="72" spans="1:8">
      <c r="A72" s="123"/>
      <c r="B72" s="117" t="s">
        <v>298</v>
      </c>
      <c r="C72" s="148">
        <f>'Schedule 3A - 2023'!F72</f>
        <v>8092849.4799999995</v>
      </c>
      <c r="D72" s="148">
        <v>50000</v>
      </c>
      <c r="E72" s="148"/>
      <c r="F72" s="148">
        <f>C72+D72-E72</f>
        <v>8142849.4799999995</v>
      </c>
      <c r="G72" s="143">
        <v>54</v>
      </c>
      <c r="H72" s="148">
        <v>149867.57999999999</v>
      </c>
    </row>
    <row r="73" spans="1:8">
      <c r="A73" s="123"/>
      <c r="B73" s="117" t="s">
        <v>299</v>
      </c>
      <c r="C73" s="148">
        <f>'Schedule 3A - 2023'!F73</f>
        <v>7111245.04</v>
      </c>
      <c r="D73" s="148">
        <v>0</v>
      </c>
      <c r="E73" s="148"/>
      <c r="F73" s="148">
        <f>C73+D73-E73</f>
        <v>7111245.04</v>
      </c>
      <c r="G73" s="143">
        <v>12</v>
      </c>
      <c r="H73" s="148">
        <v>38778</v>
      </c>
    </row>
    <row r="74" spans="1:8">
      <c r="A74" s="123"/>
      <c r="B74" s="117" t="s">
        <v>315</v>
      </c>
      <c r="C74" s="149"/>
      <c r="D74" s="149"/>
      <c r="E74" s="149"/>
      <c r="F74" s="149"/>
      <c r="G74" s="144"/>
      <c r="H74" s="149">
        <v>-46018.2</v>
      </c>
    </row>
    <row r="75" spans="1:8" s="121" customFormat="1">
      <c r="A75" s="112" t="s">
        <v>132</v>
      </c>
      <c r="B75" s="112"/>
      <c r="C75" s="150">
        <f>SUBTOTAL(9,C63:C74)</f>
        <v>25840884.25</v>
      </c>
      <c r="D75" s="150">
        <f>SUBTOTAL(9,D63:D74)</f>
        <v>50000</v>
      </c>
      <c r="E75" s="150">
        <f>SUBTOTAL(9,E63:E74)</f>
        <v>0</v>
      </c>
      <c r="F75" s="150">
        <f>SUBTOTAL(9,F63:F74)</f>
        <v>25890884.25</v>
      </c>
      <c r="G75" s="120"/>
      <c r="H75" s="150">
        <f>SUBTOTAL(9,H63:H74)</f>
        <v>258615.19999999995</v>
      </c>
    </row>
    <row r="76" spans="1:8">
      <c r="C76" s="151"/>
      <c r="D76" s="151"/>
      <c r="E76" s="151"/>
      <c r="F76" s="151"/>
      <c r="G76" s="122"/>
      <c r="H76" s="151"/>
    </row>
    <row r="77" spans="1:8">
      <c r="A77" s="112" t="s">
        <v>133</v>
      </c>
      <c r="C77" s="151"/>
      <c r="D77" s="151"/>
      <c r="E77" s="151"/>
      <c r="F77" s="151"/>
      <c r="G77" s="122"/>
      <c r="H77" s="151"/>
    </row>
    <row r="78" spans="1:8">
      <c r="A78" s="123"/>
      <c r="B78" s="117" t="s">
        <v>117</v>
      </c>
      <c r="C78" s="148">
        <f>'Schedule 3A - 2023'!F78</f>
        <v>12757759.669999992</v>
      </c>
      <c r="D78" s="148">
        <v>1735564</v>
      </c>
      <c r="E78" s="148"/>
      <c r="F78" s="148">
        <f>C78+D78-E78</f>
        <v>14493323.669999992</v>
      </c>
      <c r="G78" s="143">
        <v>40</v>
      </c>
      <c r="H78" s="148">
        <v>307322.14</v>
      </c>
    </row>
    <row r="79" spans="1:8">
      <c r="A79" s="123"/>
      <c r="B79" s="117" t="s">
        <v>118</v>
      </c>
      <c r="C79" s="148">
        <f>'Schedule 3A - 2023'!F79</f>
        <v>44763.01</v>
      </c>
      <c r="D79" s="148">
        <v>0</v>
      </c>
      <c r="E79" s="148"/>
      <c r="F79" s="148">
        <f>C79+D79-E79</f>
        <v>44763.01</v>
      </c>
      <c r="G79" s="143">
        <v>50</v>
      </c>
      <c r="H79" s="148">
        <v>895.26</v>
      </c>
    </row>
    <row r="80" spans="1:8">
      <c r="A80" s="123"/>
      <c r="B80" s="117" t="s">
        <v>129</v>
      </c>
      <c r="C80" s="148">
        <f>'Schedule 3A - 2023'!F80</f>
        <v>662900.07999999984</v>
      </c>
      <c r="D80" s="148">
        <v>0</v>
      </c>
      <c r="E80" s="148"/>
      <c r="F80" s="148">
        <f>C80+D80-E80</f>
        <v>662900.07999999984</v>
      </c>
      <c r="G80" s="143">
        <v>50</v>
      </c>
      <c r="H80" s="148">
        <v>13258.02</v>
      </c>
    </row>
    <row r="81" spans="1:8">
      <c r="A81" s="123"/>
      <c r="B81" s="117" t="s">
        <v>134</v>
      </c>
      <c r="C81" s="148">
        <f>'Schedule 3A - 2023'!F81</f>
        <v>285794.73</v>
      </c>
      <c r="D81" s="148">
        <v>1926766.14</v>
      </c>
      <c r="E81" s="148"/>
      <c r="F81" s="148">
        <f>C81+D81-E81</f>
        <v>2212560.87</v>
      </c>
      <c r="G81" s="143">
        <v>50</v>
      </c>
      <c r="H81" s="148">
        <v>5403.76</v>
      </c>
    </row>
    <row r="82" spans="1:8">
      <c r="A82" s="123"/>
      <c r="B82" s="117" t="s">
        <v>135</v>
      </c>
      <c r="C82" s="148">
        <f>'Schedule 3A - 2023'!F82</f>
        <v>2119495.4099999983</v>
      </c>
      <c r="D82" s="148">
        <v>0</v>
      </c>
      <c r="E82" s="148"/>
      <c r="F82" s="148">
        <f>C82+D82-E82</f>
        <v>2119495.4099999983</v>
      </c>
      <c r="G82" s="143">
        <v>40</v>
      </c>
      <c r="H82" s="148">
        <v>52958.03</v>
      </c>
    </row>
    <row r="83" spans="1:8">
      <c r="A83" s="123"/>
      <c r="B83" s="117" t="s">
        <v>136</v>
      </c>
      <c r="C83" s="148">
        <f>'Schedule 3A - 2023'!F83</f>
        <v>385154.92</v>
      </c>
      <c r="D83" s="148">
        <v>0</v>
      </c>
      <c r="E83" s="148"/>
      <c r="F83" s="148">
        <f>C83+D83-E83</f>
        <v>385154.92</v>
      </c>
      <c r="G83" s="143">
        <v>40</v>
      </c>
      <c r="H83" s="148">
        <v>9628.8700000000008</v>
      </c>
    </row>
    <row r="84" spans="1:8">
      <c r="A84" s="123"/>
      <c r="B84" s="117" t="s">
        <v>312</v>
      </c>
      <c r="C84" s="148">
        <f>'Schedule 3A - 2023'!F84</f>
        <v>43376.77</v>
      </c>
      <c r="D84" s="148">
        <v>0</v>
      </c>
      <c r="E84" s="148"/>
      <c r="F84" s="148">
        <f>C84+D84-E84</f>
        <v>43376.77</v>
      </c>
      <c r="G84" s="143">
        <v>40</v>
      </c>
      <c r="H84" s="148">
        <v>1084.43</v>
      </c>
    </row>
    <row r="85" spans="1:8">
      <c r="A85" s="123"/>
      <c r="B85" s="117" t="s">
        <v>137</v>
      </c>
      <c r="C85" s="148">
        <f>'Schedule 3A - 2023'!F85</f>
        <v>0</v>
      </c>
      <c r="D85" s="148">
        <v>0</v>
      </c>
      <c r="E85" s="148"/>
      <c r="F85" s="148">
        <f>C85+D85-E85</f>
        <v>0</v>
      </c>
      <c r="G85" s="143">
        <v>0</v>
      </c>
      <c r="H85" s="148">
        <v>0</v>
      </c>
    </row>
    <row r="86" spans="1:8">
      <c r="A86" s="123"/>
      <c r="B86" s="117" t="s">
        <v>138</v>
      </c>
      <c r="C86" s="148">
        <f>'Schedule 3A - 2023'!F86</f>
        <v>312632.61</v>
      </c>
      <c r="D86" s="148">
        <v>0</v>
      </c>
      <c r="E86" s="148"/>
      <c r="F86" s="148">
        <f>C86+D86-E86</f>
        <v>312632.61</v>
      </c>
      <c r="G86" s="143">
        <v>16</v>
      </c>
      <c r="H86" s="148">
        <v>5581.19</v>
      </c>
    </row>
    <row r="87" spans="1:8">
      <c r="A87" s="123"/>
      <c r="B87" s="117" t="s">
        <v>139</v>
      </c>
      <c r="C87" s="148">
        <f>'Schedule 3A - 2023'!F87</f>
        <v>288392.19</v>
      </c>
      <c r="D87" s="148">
        <v>0</v>
      </c>
      <c r="E87" s="148"/>
      <c r="F87" s="148">
        <f>C87+D87-E87</f>
        <v>288392.19</v>
      </c>
      <c r="G87" s="143">
        <v>16</v>
      </c>
      <c r="H87" s="148">
        <v>7017.5</v>
      </c>
    </row>
    <row r="88" spans="1:8">
      <c r="A88" s="123"/>
      <c r="B88" s="117" t="s">
        <v>122</v>
      </c>
      <c r="C88" s="148">
        <f>'Schedule 3A - 2023'!F88</f>
        <v>1903440.08</v>
      </c>
      <c r="D88" s="148">
        <v>0</v>
      </c>
      <c r="E88" s="148"/>
      <c r="F88" s="148">
        <f>C88+D88-E88</f>
        <v>1903440.08</v>
      </c>
      <c r="G88" s="143">
        <v>40</v>
      </c>
      <c r="H88" s="148">
        <v>45663.79</v>
      </c>
    </row>
    <row r="89" spans="1:8">
      <c r="A89" s="123"/>
      <c r="B89" s="117" t="s">
        <v>123</v>
      </c>
      <c r="C89" s="148">
        <f>'Schedule 3A - 2023'!F89</f>
        <v>64798.340000000004</v>
      </c>
      <c r="D89" s="148">
        <v>0</v>
      </c>
      <c r="E89" s="148"/>
      <c r="F89" s="148">
        <f>C89+D89-E89</f>
        <v>64798.340000000004</v>
      </c>
      <c r="G89" s="143">
        <v>55</v>
      </c>
      <c r="H89" s="148">
        <v>1178.1500000000001</v>
      </c>
    </row>
    <row r="90" spans="1:8">
      <c r="A90" s="123"/>
      <c r="B90" s="117" t="s">
        <v>124</v>
      </c>
      <c r="C90" s="148">
        <f>'Schedule 3A - 2023'!F90</f>
        <v>100328.43</v>
      </c>
      <c r="D90" s="148">
        <v>0</v>
      </c>
      <c r="E90" s="148"/>
      <c r="F90" s="148">
        <f>C90+D90-E90</f>
        <v>100328.43</v>
      </c>
      <c r="G90" s="143">
        <v>30</v>
      </c>
      <c r="H90" s="148">
        <v>3013.69</v>
      </c>
    </row>
    <row r="91" spans="1:8">
      <c r="A91" s="123"/>
      <c r="B91" s="117" t="s">
        <v>140</v>
      </c>
      <c r="C91" s="148">
        <f>'Schedule 3A - 2023'!F91</f>
        <v>603366.85000000009</v>
      </c>
      <c r="D91" s="148">
        <v>0</v>
      </c>
      <c r="E91" s="148"/>
      <c r="F91" s="148">
        <f>C91+D91-E91</f>
        <v>603366.85000000009</v>
      </c>
      <c r="G91" s="143">
        <v>40</v>
      </c>
      <c r="H91" s="148">
        <v>14126.5</v>
      </c>
    </row>
    <row r="92" spans="1:8">
      <c r="A92" s="123"/>
      <c r="B92" s="117" t="s">
        <v>141</v>
      </c>
      <c r="C92" s="148">
        <f>'Schedule 3A - 2023'!F92</f>
        <v>4042479.1899999995</v>
      </c>
      <c r="D92" s="148">
        <v>0</v>
      </c>
      <c r="E92" s="148"/>
      <c r="F92" s="148">
        <f>C92+D92-E92</f>
        <v>4042479.1899999995</v>
      </c>
      <c r="G92" s="143">
        <v>35</v>
      </c>
      <c r="H92" s="148">
        <v>111462.58</v>
      </c>
    </row>
    <row r="93" spans="1:8">
      <c r="A93" s="123"/>
      <c r="B93" s="117" t="s">
        <v>142</v>
      </c>
      <c r="C93" s="148">
        <f>'Schedule 3A - 2023'!F93</f>
        <v>36442.910000000003</v>
      </c>
      <c r="D93" s="148">
        <v>0</v>
      </c>
      <c r="E93" s="148"/>
      <c r="F93" s="148">
        <f>C93+D93-E93</f>
        <v>36442.910000000003</v>
      </c>
      <c r="G93" s="143">
        <v>30</v>
      </c>
      <c r="H93" s="148">
        <v>293.20999999999998</v>
      </c>
    </row>
    <row r="94" spans="1:8">
      <c r="A94" s="123"/>
      <c r="B94" s="117" t="s">
        <v>315</v>
      </c>
      <c r="C94" s="149"/>
      <c r="D94" s="149"/>
      <c r="E94" s="149"/>
      <c r="F94" s="149"/>
      <c r="G94" s="118"/>
      <c r="H94" s="149">
        <v>49978.92</v>
      </c>
    </row>
    <row r="95" spans="1:8" s="121" customFormat="1" ht="18" customHeight="1">
      <c r="A95" s="112" t="s">
        <v>143</v>
      </c>
      <c r="B95" s="112"/>
      <c r="C95" s="150">
        <f>SUBTOTAL(9,C78:C94)</f>
        <v>23651125.189999994</v>
      </c>
      <c r="D95" s="150">
        <f>SUBTOTAL(9,D78:D94)</f>
        <v>3662330.1399999997</v>
      </c>
      <c r="E95" s="150">
        <f>SUBTOTAL(9,E78:E94)</f>
        <v>0</v>
      </c>
      <c r="F95" s="150">
        <f>SUBTOTAL(9,F78:F94)</f>
        <v>27313455.329999994</v>
      </c>
      <c r="G95" s="120"/>
      <c r="H95" s="150">
        <f>SUBTOTAL(9,H78:H94)</f>
        <v>628866.04</v>
      </c>
    </row>
    <row r="96" spans="1:8">
      <c r="C96" s="152"/>
      <c r="D96" s="152"/>
      <c r="E96" s="152"/>
      <c r="F96" s="152"/>
      <c r="G96" s="124"/>
      <c r="H96" s="152"/>
    </row>
    <row r="97" spans="1:8">
      <c r="A97" s="112" t="s">
        <v>144</v>
      </c>
      <c r="C97" s="151"/>
      <c r="D97" s="151"/>
      <c r="E97" s="151"/>
      <c r="F97" s="151"/>
      <c r="G97" s="122"/>
      <c r="H97" s="151"/>
    </row>
    <row r="98" spans="1:8">
      <c r="A98" s="123"/>
      <c r="B98" s="117" t="s">
        <v>145</v>
      </c>
      <c r="C98" s="148">
        <f>'Schedule 3A - 2023'!F98</f>
        <v>4320.91</v>
      </c>
      <c r="D98" s="148">
        <v>0</v>
      </c>
      <c r="E98" s="148"/>
      <c r="F98" s="148">
        <f>C98+D98-E98</f>
        <v>4320.91</v>
      </c>
      <c r="G98" s="143">
        <v>50</v>
      </c>
      <c r="H98" s="148">
        <v>86.42</v>
      </c>
    </row>
    <row r="99" spans="1:8">
      <c r="A99" s="123"/>
      <c r="B99" s="117" t="s">
        <v>146</v>
      </c>
      <c r="C99" s="148">
        <f>'Schedule 3A - 2023'!F99</f>
        <v>2615170.14</v>
      </c>
      <c r="D99" s="148">
        <v>4246677.04</v>
      </c>
      <c r="E99" s="148"/>
      <c r="F99" s="148">
        <f>C99+D99-E99</f>
        <v>6861847.1799999997</v>
      </c>
      <c r="G99" s="143">
        <v>50</v>
      </c>
      <c r="H99" s="148">
        <v>49990.1</v>
      </c>
    </row>
    <row r="100" spans="1:8">
      <c r="A100" s="123"/>
      <c r="B100" s="117" t="s">
        <v>147</v>
      </c>
      <c r="C100" s="148">
        <f>'Schedule 3A - 2023'!F100</f>
        <v>10722763.250000004</v>
      </c>
      <c r="D100" s="148">
        <v>90000</v>
      </c>
      <c r="E100" s="148"/>
      <c r="F100" s="148">
        <f>C100+D100-E100</f>
        <v>10812763.250000004</v>
      </c>
      <c r="G100" s="143">
        <v>55</v>
      </c>
      <c r="H100" s="148">
        <v>194959.37</v>
      </c>
    </row>
    <row r="101" spans="1:8">
      <c r="A101" s="123"/>
      <c r="B101" s="117" t="s">
        <v>148</v>
      </c>
      <c r="C101" s="148">
        <f>'Schedule 3A - 2023'!F101</f>
        <v>1959263.0599999998</v>
      </c>
      <c r="D101" s="148">
        <v>25000</v>
      </c>
      <c r="E101" s="148"/>
      <c r="F101" s="148">
        <f>C101+D101-E101</f>
        <v>1984263.0599999998</v>
      </c>
      <c r="G101" s="143">
        <v>20</v>
      </c>
      <c r="H101" s="148">
        <v>43341.01</v>
      </c>
    </row>
    <row r="102" spans="1:8">
      <c r="A102" s="123"/>
      <c r="B102" s="117" t="s">
        <v>149</v>
      </c>
      <c r="C102" s="148">
        <f>'Schedule 3A - 2023'!F102</f>
        <v>19296.990000000002</v>
      </c>
      <c r="D102" s="148">
        <v>0</v>
      </c>
      <c r="E102" s="148"/>
      <c r="F102" s="148">
        <f>C102+D102-E102</f>
        <v>19296.990000000002</v>
      </c>
      <c r="G102" s="143">
        <v>40</v>
      </c>
      <c r="H102" s="148">
        <v>319.75</v>
      </c>
    </row>
    <row r="103" spans="1:8">
      <c r="A103" s="123"/>
      <c r="B103" s="117" t="s">
        <v>150</v>
      </c>
      <c r="C103" s="148">
        <f>'Schedule 3A - 2023'!F103</f>
        <v>152150.84</v>
      </c>
      <c r="D103" s="148">
        <v>25000</v>
      </c>
      <c r="E103" s="148"/>
      <c r="F103" s="148">
        <f>C103+D103-E103</f>
        <v>177150.84</v>
      </c>
      <c r="G103" s="143">
        <v>30</v>
      </c>
      <c r="H103" s="148">
        <v>4038.74</v>
      </c>
    </row>
    <row r="104" spans="1:8">
      <c r="A104" s="123"/>
      <c r="B104" s="117" t="s">
        <v>151</v>
      </c>
      <c r="C104" s="148">
        <f>'Schedule 3A - 2023'!F104</f>
        <v>1630633.4100000004</v>
      </c>
      <c r="D104" s="148">
        <v>730000</v>
      </c>
      <c r="E104" s="148"/>
      <c r="F104" s="148">
        <f>C104+D104-E104</f>
        <v>2360633.41</v>
      </c>
      <c r="G104" s="143">
        <v>7</v>
      </c>
      <c r="H104" s="148">
        <v>153396.03</v>
      </c>
    </row>
    <row r="105" spans="1:8">
      <c r="A105" s="123"/>
      <c r="B105" s="117" t="s">
        <v>152</v>
      </c>
      <c r="C105" s="148">
        <f>'Schedule 3A - 2023'!F105</f>
        <v>0</v>
      </c>
      <c r="D105" s="148">
        <v>0</v>
      </c>
      <c r="E105" s="148"/>
      <c r="F105" s="148">
        <f>C105+D105-E105</f>
        <v>0</v>
      </c>
      <c r="G105" s="143">
        <v>5</v>
      </c>
      <c r="H105" s="148">
        <v>0</v>
      </c>
    </row>
    <row r="106" spans="1:8">
      <c r="A106" s="123"/>
      <c r="B106" s="117" t="s">
        <v>153</v>
      </c>
      <c r="C106" s="148">
        <f>'Schedule 3A - 2023'!F106</f>
        <v>3214488.5399999977</v>
      </c>
      <c r="D106" s="148">
        <v>880000</v>
      </c>
      <c r="E106" s="148"/>
      <c r="F106" s="148">
        <f>C106+D106-E106</f>
        <v>4094488.5399999977</v>
      </c>
      <c r="G106" s="143">
        <v>20</v>
      </c>
      <c r="H106" s="148">
        <v>128592.24</v>
      </c>
    </row>
    <row r="107" spans="1:8">
      <c r="A107" s="123"/>
      <c r="B107" s="117" t="s">
        <v>137</v>
      </c>
      <c r="C107" s="148">
        <f>'Schedule 3A - 2023'!F107</f>
        <v>0</v>
      </c>
      <c r="D107" s="148">
        <v>0</v>
      </c>
      <c r="E107" s="148"/>
      <c r="F107" s="148">
        <f>C107+D107-E107</f>
        <v>0</v>
      </c>
      <c r="G107" s="143">
        <v>15</v>
      </c>
      <c r="H107" s="148">
        <v>0</v>
      </c>
    </row>
    <row r="108" spans="1:8">
      <c r="A108" s="123"/>
      <c r="B108" s="117" t="s">
        <v>154</v>
      </c>
      <c r="C108" s="148">
        <f>'Schedule 3A - 2023'!F108</f>
        <v>5762386.6499999976</v>
      </c>
      <c r="D108" s="148">
        <v>260000</v>
      </c>
      <c r="E108" s="148"/>
      <c r="F108" s="148">
        <f>C108+D108-E108</f>
        <v>6022386.6499999976</v>
      </c>
      <c r="G108" s="143">
        <v>20</v>
      </c>
      <c r="H108" s="148">
        <v>223191.22999999998</v>
      </c>
    </row>
    <row r="109" spans="1:8">
      <c r="A109" s="123"/>
      <c r="B109" s="117" t="s">
        <v>155</v>
      </c>
      <c r="C109" s="148">
        <f>'Schedule 3A - 2023'!F109</f>
        <v>59031.369999999995</v>
      </c>
      <c r="D109" s="148">
        <v>0</v>
      </c>
      <c r="E109" s="148"/>
      <c r="F109" s="148">
        <f>C109+D109-E109</f>
        <v>59031.369999999995</v>
      </c>
      <c r="G109" s="143">
        <v>40</v>
      </c>
      <c r="H109" s="148">
        <v>1132.17</v>
      </c>
    </row>
    <row r="110" spans="1:8">
      <c r="A110" s="123"/>
      <c r="B110" s="117" t="s">
        <v>156</v>
      </c>
      <c r="C110" s="148">
        <f>'Schedule 3A - 2023'!F110</f>
        <v>2962643.3099999996</v>
      </c>
      <c r="D110" s="148">
        <v>0</v>
      </c>
      <c r="E110" s="148"/>
      <c r="F110" s="148">
        <f>C110+D110-E110</f>
        <v>2962643.3099999996</v>
      </c>
      <c r="G110" s="143">
        <v>40</v>
      </c>
      <c r="H110" s="148">
        <v>39539.68</v>
      </c>
    </row>
    <row r="111" spans="1:8">
      <c r="A111" s="123"/>
      <c r="B111" s="117" t="s">
        <v>315</v>
      </c>
      <c r="C111" s="149"/>
      <c r="D111" s="149"/>
      <c r="E111" s="149"/>
      <c r="F111" s="149"/>
      <c r="G111" s="144"/>
      <c r="H111" s="149">
        <v>-67343.759999999995</v>
      </c>
    </row>
    <row r="112" spans="1:8" s="121" customFormat="1" ht="18" customHeight="1">
      <c r="A112" s="112" t="s">
        <v>157</v>
      </c>
      <c r="B112" s="112"/>
      <c r="C112" s="150">
        <f>SUBTOTAL(9,C98:C111)</f>
        <v>29102148.470000003</v>
      </c>
      <c r="D112" s="150">
        <f>SUBTOTAL(9,D98:D111)</f>
        <v>6256677.04</v>
      </c>
      <c r="E112" s="150">
        <f>SUBTOTAL(9,E98:E111)</f>
        <v>0</v>
      </c>
      <c r="F112" s="150">
        <f>SUBTOTAL(9,F98:F111)</f>
        <v>35358825.509999998</v>
      </c>
      <c r="G112" s="120"/>
      <c r="H112" s="150">
        <f>SUBTOTAL(9,H98:H111)</f>
        <v>771242.98</v>
      </c>
    </row>
    <row r="113" spans="1:8">
      <c r="C113" s="152"/>
      <c r="D113" s="152"/>
      <c r="E113" s="152"/>
      <c r="F113" s="152"/>
      <c r="G113" s="126"/>
      <c r="H113" s="152"/>
    </row>
    <row r="114" spans="1:8">
      <c r="A114" s="112" t="s">
        <v>158</v>
      </c>
      <c r="C114" s="151"/>
      <c r="D114" s="151"/>
      <c r="E114" s="151"/>
      <c r="F114" s="151"/>
      <c r="G114" s="122"/>
      <c r="H114" s="151"/>
    </row>
    <row r="115" spans="1:8">
      <c r="A115" s="123"/>
      <c r="B115" s="117" t="s">
        <v>159</v>
      </c>
      <c r="C115" s="148">
        <f>'Schedule 3A - 2023'!F115</f>
        <v>392571.19</v>
      </c>
      <c r="D115" s="148">
        <v>35000</v>
      </c>
      <c r="E115" s="148"/>
      <c r="F115" s="148">
        <f>C115+D115-E115</f>
        <v>427571.19</v>
      </c>
      <c r="G115" s="143">
        <v>8</v>
      </c>
      <c r="H115" s="148">
        <v>16868.97</v>
      </c>
    </row>
    <row r="116" spans="1:8">
      <c r="A116" s="123"/>
      <c r="B116" s="117" t="s">
        <v>160</v>
      </c>
      <c r="C116" s="148">
        <f>'Schedule 3A - 2023'!F116</f>
        <v>211681.52</v>
      </c>
      <c r="D116" s="148">
        <v>0</v>
      </c>
      <c r="E116" s="148"/>
      <c r="F116" s="148">
        <f>C116+D116-E116</f>
        <v>211681.52</v>
      </c>
      <c r="G116" s="143">
        <v>11</v>
      </c>
      <c r="H116" s="148">
        <v>14833.32</v>
      </c>
    </row>
    <row r="117" spans="1:8">
      <c r="A117" s="123"/>
      <c r="B117" s="117" t="s">
        <v>300</v>
      </c>
      <c r="C117" s="148">
        <f>'Schedule 3A - 2023'!F117</f>
        <v>71771.58</v>
      </c>
      <c r="D117" s="148">
        <v>0</v>
      </c>
      <c r="E117" s="148"/>
      <c r="F117" s="148">
        <f>C117+D117-E117</f>
        <v>71771.58</v>
      </c>
      <c r="G117" s="143">
        <v>25</v>
      </c>
      <c r="H117" s="148">
        <v>2928.68</v>
      </c>
    </row>
    <row r="118" spans="1:8">
      <c r="A118" s="123"/>
      <c r="B118" s="117" t="s">
        <v>161</v>
      </c>
      <c r="C118" s="148">
        <f>'Schedule 3A - 2023'!F118</f>
        <v>53710.58</v>
      </c>
      <c r="D118" s="148">
        <v>0</v>
      </c>
      <c r="E118" s="148"/>
      <c r="F118" s="148">
        <f>C118+D118-E118</f>
        <v>53710.58</v>
      </c>
      <c r="G118" s="143">
        <v>25</v>
      </c>
      <c r="H118" s="148">
        <v>2552.9899999999998</v>
      </c>
    </row>
    <row r="119" spans="1:8">
      <c r="A119" s="123"/>
      <c r="B119" s="117" t="s">
        <v>162</v>
      </c>
      <c r="C119" s="148">
        <f>'Schedule 3A - 2023'!F119</f>
        <v>3913503.18</v>
      </c>
      <c r="D119" s="148">
        <v>567010</v>
      </c>
      <c r="E119" s="148"/>
      <c r="F119" s="148">
        <f>C119+D119-E119</f>
        <v>4480513.18</v>
      </c>
      <c r="G119" s="143">
        <v>9</v>
      </c>
      <c r="H119" s="148">
        <v>336751.65</v>
      </c>
    </row>
    <row r="120" spans="1:8">
      <c r="A120" s="123"/>
      <c r="B120" s="117" t="s">
        <v>163</v>
      </c>
      <c r="C120" s="148">
        <f>'Schedule 3A - 2023'!F120</f>
        <v>1849324.27</v>
      </c>
      <c r="D120" s="148">
        <v>0</v>
      </c>
      <c r="E120" s="148"/>
      <c r="F120" s="148">
        <f>C120+D120-E120</f>
        <v>1849324.27</v>
      </c>
      <c r="G120" s="143">
        <v>20</v>
      </c>
      <c r="H120" s="148">
        <v>77867.72</v>
      </c>
    </row>
    <row r="121" spans="1:8">
      <c r="A121" s="123"/>
      <c r="B121" s="117" t="s">
        <v>301</v>
      </c>
      <c r="C121" s="148">
        <f>'Schedule 3A - 2023'!F121</f>
        <v>1003858.15</v>
      </c>
      <c r="D121" s="148">
        <v>0</v>
      </c>
      <c r="E121" s="148"/>
      <c r="F121" s="148">
        <f>C121+D121-E121</f>
        <v>1003858.15</v>
      </c>
      <c r="G121" s="145">
        <v>20</v>
      </c>
      <c r="H121" s="148">
        <v>50192.72</v>
      </c>
    </row>
    <row r="122" spans="1:8">
      <c r="A122" s="123"/>
      <c r="B122" s="117" t="s">
        <v>315</v>
      </c>
      <c r="C122" s="149"/>
      <c r="D122" s="149"/>
      <c r="E122" s="149"/>
      <c r="F122" s="149"/>
      <c r="G122" s="146"/>
      <c r="H122" s="149">
        <v>19267.32</v>
      </c>
    </row>
    <row r="123" spans="1:8" s="121" customFormat="1" ht="18" customHeight="1">
      <c r="A123" s="112" t="s">
        <v>164</v>
      </c>
      <c r="B123" s="112"/>
      <c r="C123" s="150">
        <f>SUBTOTAL(9,C115:C122)</f>
        <v>7496420.4700000007</v>
      </c>
      <c r="D123" s="150">
        <f>SUBTOTAL(9,D115:D122)</f>
        <v>602010</v>
      </c>
      <c r="E123" s="150">
        <f>SUBTOTAL(9,E115:E122)</f>
        <v>0</v>
      </c>
      <c r="F123" s="150">
        <f>SUBTOTAL(9,F115:F122)</f>
        <v>8098430.4700000007</v>
      </c>
      <c r="G123" s="119"/>
      <c r="H123" s="150">
        <f>SUBTOTAL(9,H115:H122)</f>
        <v>521263.37000000005</v>
      </c>
    </row>
    <row r="124" spans="1:8">
      <c r="C124" s="152"/>
      <c r="D124" s="152"/>
      <c r="E124" s="152"/>
      <c r="F124" s="152"/>
      <c r="H124" s="152"/>
    </row>
    <row r="125" spans="1:8">
      <c r="A125" s="112" t="s">
        <v>302</v>
      </c>
      <c r="C125" s="151"/>
      <c r="D125" s="151"/>
      <c r="E125" s="151"/>
      <c r="F125" s="151"/>
      <c r="G125" s="122"/>
      <c r="H125" s="151"/>
    </row>
    <row r="126" spans="1:8">
      <c r="A126" s="123"/>
      <c r="B126" s="117" t="s">
        <v>302</v>
      </c>
      <c r="C126" s="149">
        <f>'Schedule 3A - 2023'!F126</f>
        <v>1165687.07</v>
      </c>
      <c r="D126" s="149">
        <v>0</v>
      </c>
      <c r="E126" s="149"/>
      <c r="F126" s="149">
        <f>C126+D126-E126</f>
        <v>1165687.07</v>
      </c>
      <c r="G126" s="144">
        <v>0</v>
      </c>
      <c r="H126" s="149">
        <v>0</v>
      </c>
    </row>
    <row r="127" spans="1:8" s="121" customFormat="1" ht="18.75" customHeight="1">
      <c r="A127" s="112" t="s">
        <v>303</v>
      </c>
      <c r="B127" s="112"/>
      <c r="C127" s="150">
        <f>SUBTOTAL(9,C126)</f>
        <v>1165687.07</v>
      </c>
      <c r="D127" s="150">
        <f>SUBTOTAL(9,D126)</f>
        <v>0</v>
      </c>
      <c r="E127" s="150">
        <f>SUBTOTAL(9,E126)</f>
        <v>0</v>
      </c>
      <c r="F127" s="150">
        <f>SUBTOTAL(9,F126)</f>
        <v>1165687.07</v>
      </c>
      <c r="G127" s="120"/>
      <c r="H127" s="150">
        <f>SUBTOTAL(9,H126)</f>
        <v>0</v>
      </c>
    </row>
    <row r="128" spans="1:8" s="121" customFormat="1" ht="18.75" customHeight="1">
      <c r="A128" s="112"/>
      <c r="B128" s="112"/>
      <c r="C128" s="150"/>
      <c r="D128" s="150"/>
      <c r="E128" s="150"/>
      <c r="F128" s="150"/>
      <c r="G128" s="120"/>
      <c r="H128" s="150"/>
    </row>
    <row r="129" spans="1:8">
      <c r="A129" s="112" t="s">
        <v>304</v>
      </c>
      <c r="C129" s="151"/>
      <c r="D129" s="151"/>
      <c r="E129" s="151"/>
      <c r="F129" s="151"/>
      <c r="G129" s="122"/>
      <c r="H129" s="151"/>
    </row>
    <row r="130" spans="1:8">
      <c r="A130" s="123"/>
      <c r="B130" s="117" t="s">
        <v>104</v>
      </c>
      <c r="C130" s="148">
        <f>'Schedule 3A - 2023'!F130</f>
        <v>6184735</v>
      </c>
      <c r="D130" s="148">
        <v>0</v>
      </c>
      <c r="E130" s="148"/>
      <c r="F130" s="148">
        <f>C130+D130-E130</f>
        <v>6184735</v>
      </c>
      <c r="G130" s="143">
        <v>72</v>
      </c>
      <c r="H130" s="148">
        <v>85899.1</v>
      </c>
    </row>
    <row r="131" spans="1:8">
      <c r="A131" s="123"/>
      <c r="B131" s="117" t="s">
        <v>305</v>
      </c>
      <c r="C131" s="148">
        <f>'Schedule 3A - 2023'!F131</f>
        <v>13200669.02</v>
      </c>
      <c r="D131" s="148">
        <v>0</v>
      </c>
      <c r="E131" s="148"/>
      <c r="F131" s="148">
        <f>C131+D131-E131</f>
        <v>13200669.02</v>
      </c>
      <c r="G131" s="143">
        <v>60</v>
      </c>
      <c r="H131" s="148">
        <v>200985.73</v>
      </c>
    </row>
    <row r="132" spans="1:8">
      <c r="A132" s="123"/>
      <c r="B132" s="117" t="s">
        <v>306</v>
      </c>
      <c r="C132" s="148">
        <f>'Schedule 3A - 2023'!F132</f>
        <v>20890968.260000002</v>
      </c>
      <c r="D132" s="148">
        <v>0</v>
      </c>
      <c r="E132" s="148"/>
      <c r="F132" s="148">
        <f>C132+D132-E132</f>
        <v>20890968.260000002</v>
      </c>
      <c r="G132" s="143">
        <v>40</v>
      </c>
      <c r="H132" s="148">
        <v>522274.21</v>
      </c>
    </row>
    <row r="133" spans="1:8">
      <c r="A133" s="123"/>
      <c r="B133" s="117" t="s">
        <v>294</v>
      </c>
      <c r="C133" s="148">
        <f>'Schedule 3A - 2023'!F133</f>
        <v>1348443.35</v>
      </c>
      <c r="D133" s="148">
        <v>400000</v>
      </c>
      <c r="E133" s="148"/>
      <c r="F133" s="148">
        <f>C133+D133-E133</f>
        <v>1748443.35</v>
      </c>
      <c r="G133" s="143">
        <v>2</v>
      </c>
      <c r="H133" s="148">
        <v>400000</v>
      </c>
    </row>
    <row r="134" spans="1:8">
      <c r="A134" s="123"/>
      <c r="B134" s="117" t="s">
        <v>107</v>
      </c>
      <c r="C134" s="148">
        <f>'Schedule 3A - 2023'!F134</f>
        <v>3655939.21</v>
      </c>
      <c r="D134" s="148">
        <v>0</v>
      </c>
      <c r="E134" s="148"/>
      <c r="F134" s="148">
        <f>C134+D134-E134</f>
        <v>3655939.21</v>
      </c>
      <c r="G134" s="143">
        <v>45</v>
      </c>
      <c r="H134" s="148">
        <v>81243.09</v>
      </c>
    </row>
    <row r="135" spans="1:8">
      <c r="A135" s="123"/>
      <c r="B135" s="117" t="s">
        <v>108</v>
      </c>
      <c r="C135" s="148">
        <f>'Schedule 3A - 2023'!F135</f>
        <v>2890209.04</v>
      </c>
      <c r="D135" s="148">
        <v>800000</v>
      </c>
      <c r="E135" s="148"/>
      <c r="F135" s="148">
        <f>C135+D135-E135</f>
        <v>3690209.04</v>
      </c>
      <c r="G135" s="143">
        <v>30</v>
      </c>
      <c r="H135" s="148">
        <v>96340.3</v>
      </c>
    </row>
    <row r="136" spans="1:8">
      <c r="A136" s="123"/>
      <c r="B136" s="113" t="s">
        <v>307</v>
      </c>
      <c r="C136" s="148">
        <f>'Schedule 3A - 2023'!F136</f>
        <v>779651</v>
      </c>
      <c r="D136" s="148">
        <v>0</v>
      </c>
      <c r="E136" s="148"/>
      <c r="F136" s="148">
        <f>C136+D136-E136</f>
        <v>779651</v>
      </c>
      <c r="G136" s="143">
        <v>30</v>
      </c>
      <c r="H136" s="148">
        <v>25988.37</v>
      </c>
    </row>
    <row r="137" spans="1:8">
      <c r="A137" s="123"/>
      <c r="B137" s="117" t="s">
        <v>315</v>
      </c>
      <c r="C137" s="149"/>
      <c r="D137" s="149"/>
      <c r="E137" s="149"/>
      <c r="F137" s="149"/>
      <c r="G137" s="144"/>
      <c r="H137" s="149">
        <v>-13981.32</v>
      </c>
    </row>
    <row r="138" spans="1:8" s="121" customFormat="1" ht="18" customHeight="1">
      <c r="A138" s="112" t="s">
        <v>308</v>
      </c>
      <c r="B138" s="112"/>
      <c r="C138" s="150">
        <f>SUBTOTAL(9,C130:C137)</f>
        <v>48950614.880000003</v>
      </c>
      <c r="D138" s="150">
        <f>SUBTOTAL(9,D130:D137)</f>
        <v>1200000</v>
      </c>
      <c r="E138" s="150">
        <f>SUBTOTAL(9,E130:E137)</f>
        <v>0</v>
      </c>
      <c r="F138" s="150">
        <f>SUBTOTAL(9,F130:F137)</f>
        <v>50150614.880000003</v>
      </c>
      <c r="G138" s="127"/>
      <c r="H138" s="150">
        <f>SUBTOTAL(9,H130:H137)</f>
        <v>1398749.4800000002</v>
      </c>
    </row>
    <row r="139" spans="1:8">
      <c r="C139" s="152"/>
      <c r="D139" s="152"/>
      <c r="E139" s="152"/>
      <c r="F139" s="152"/>
      <c r="H139" s="152"/>
    </row>
    <row r="140" spans="1:8">
      <c r="A140" s="121" t="s">
        <v>375</v>
      </c>
      <c r="C140" s="152"/>
      <c r="D140" s="152"/>
      <c r="E140" s="152"/>
      <c r="F140" s="152"/>
      <c r="H140" s="152"/>
    </row>
    <row r="141" spans="1:8">
      <c r="B141" s="113" t="s">
        <v>375</v>
      </c>
      <c r="C141" s="149">
        <f>'Schedule 3A - 2023'!F141</f>
        <v>1930990.1099999999</v>
      </c>
      <c r="D141" s="149"/>
      <c r="E141" s="149"/>
      <c r="F141" s="149">
        <f>C141+D141-E141</f>
        <v>1930990.1099999999</v>
      </c>
      <c r="G141" s="144"/>
      <c r="H141" s="149">
        <v>225597.92</v>
      </c>
    </row>
    <row r="142" spans="1:8">
      <c r="A142" s="121" t="s">
        <v>376</v>
      </c>
      <c r="C142" s="150">
        <f>SUBTOTAL(9,C141)</f>
        <v>1930990.1099999999</v>
      </c>
      <c r="D142" s="150">
        <f>SUBTOTAL(9,D141)</f>
        <v>0</v>
      </c>
      <c r="E142" s="150">
        <f>SUBTOTAL(9,E141)</f>
        <v>0</v>
      </c>
      <c r="F142" s="150">
        <f>SUBTOTAL(9,F141)</f>
        <v>1930990.1099999999</v>
      </c>
      <c r="G142" s="156"/>
      <c r="H142" s="150">
        <f>SUBTOTAL(9,H141)</f>
        <v>225597.92</v>
      </c>
    </row>
    <row r="143" spans="1:8">
      <c r="C143" s="152"/>
      <c r="D143" s="152"/>
      <c r="E143" s="152"/>
      <c r="F143" s="152"/>
      <c r="H143" s="152"/>
    </row>
    <row r="144" spans="1:8" s="121" customFormat="1" ht="18" customHeight="1">
      <c r="A144" s="112" t="s">
        <v>28</v>
      </c>
      <c r="B144" s="112"/>
      <c r="C144" s="150">
        <f>SUBTOTAL(9,C8:C142)</f>
        <v>718152094.71999955</v>
      </c>
      <c r="D144" s="150">
        <f>SUBTOTAL(9,D8:D142)</f>
        <v>56560673.159999996</v>
      </c>
      <c r="E144" s="150">
        <f>SUBTOTAL(9,E8:E142)</f>
        <v>1568.7</v>
      </c>
      <c r="F144" s="150">
        <f>SUBTOTAL(9,F8:F142)</f>
        <v>774711199.17999959</v>
      </c>
      <c r="G144" s="127"/>
      <c r="H144" s="150">
        <f>SUBTOTAL(9,H8:H142)</f>
        <v>15349722.879999999</v>
      </c>
    </row>
    <row r="145" spans="3:21">
      <c r="C145" s="125"/>
      <c r="D145" s="125"/>
      <c r="E145" s="125"/>
      <c r="F145" s="125"/>
      <c r="H145" s="125"/>
    </row>
    <row r="147" spans="3:21"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</row>
    <row r="148" spans="3:21"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</row>
    <row r="149" spans="3:21"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</row>
    <row r="150" spans="3:21"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</row>
    <row r="151" spans="3:21"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</row>
    <row r="152" spans="3:21"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</row>
    <row r="153" spans="3:21"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</row>
    <row r="154" spans="3:21"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</row>
    <row r="155" spans="3:21"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</row>
    <row r="156" spans="3:21"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</row>
  </sheetData>
  <printOptions horizontalCentered="1"/>
  <pageMargins left="0.55118110236220474" right="0.31496062992125984" top="0.82677165354330717" bottom="0.9055118110236221" header="0.51181102362204722" footer="0.51181102362204722"/>
  <pageSetup scale="40" fitToHeight="2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02AC8-B0CF-44A0-B3F6-0CB1F51695BE}">
  <sheetPr>
    <tabColor theme="9" tint="0.39997558519241921"/>
    <pageSetUpPr fitToPage="1"/>
  </sheetPr>
  <dimension ref="A1:W100"/>
  <sheetViews>
    <sheetView view="pageBreakPreview" zoomScaleSheetLayoutView="100" workbookViewId="0">
      <pane ySplit="7" topLeftCell="A56" activePane="bottomLeft" state="frozen"/>
      <selection activeCell="H18" sqref="H18"/>
      <selection pane="bottomLeft" activeCell="A65" sqref="A65"/>
    </sheetView>
  </sheetViews>
  <sheetFormatPr defaultColWidth="9.08984375" defaultRowHeight="12.5"/>
  <cols>
    <col min="1" max="1" width="45.54296875" style="159" customWidth="1"/>
    <col min="2" max="5" width="10" style="159" customWidth="1"/>
    <col min="6" max="6" width="1" style="159" customWidth="1"/>
    <col min="7" max="7" width="10" style="159" customWidth="1"/>
    <col min="8" max="8" width="4.54296875" style="159" customWidth="1"/>
    <col min="9" max="9" width="11.6328125" style="159" customWidth="1"/>
    <col min="10" max="10" width="12.6328125" style="159" customWidth="1"/>
    <col min="11" max="11" width="3.54296875" style="159" customWidth="1"/>
    <col min="16" max="17" width="9.08984375" style="159"/>
    <col min="18" max="18" width="11.36328125" style="159" bestFit="1" customWidth="1"/>
    <col min="19" max="22" width="9.08984375" style="159"/>
    <col min="23" max="23" width="10.36328125" style="159" bestFit="1" customWidth="1"/>
    <col min="24" max="16384" width="9.08984375" style="159"/>
  </cols>
  <sheetData>
    <row r="1" spans="1:11">
      <c r="A1" s="157" t="s">
        <v>377</v>
      </c>
      <c r="B1" s="157"/>
      <c r="C1" s="158"/>
      <c r="D1" s="158"/>
      <c r="E1" s="158"/>
      <c r="F1" s="158"/>
      <c r="G1" s="158"/>
      <c r="H1" s="158"/>
      <c r="I1" s="158"/>
      <c r="J1" s="197" t="s">
        <v>463</v>
      </c>
    </row>
    <row r="2" spans="1:11" ht="15" customHeight="1">
      <c r="A2" s="157" t="s">
        <v>460</v>
      </c>
      <c r="B2" s="157"/>
      <c r="C2" s="158"/>
      <c r="D2" s="158"/>
      <c r="E2" s="158"/>
      <c r="F2" s="158"/>
      <c r="G2" s="158"/>
      <c r="H2" s="158"/>
      <c r="I2" s="158"/>
      <c r="J2" s="196" t="str">
        <f>'Schedule 1'!$L$2</f>
        <v>2023/24 GRA Compliance Filing</v>
      </c>
    </row>
    <row r="3" spans="1:11" ht="15.75" customHeight="1" thickBot="1">
      <c r="A3" s="160" t="s">
        <v>337</v>
      </c>
      <c r="B3" s="161"/>
      <c r="C3" s="162"/>
      <c r="D3" s="162"/>
      <c r="E3" s="162"/>
      <c r="F3" s="162"/>
      <c r="G3" s="162"/>
      <c r="H3" s="162"/>
      <c r="I3" s="162"/>
      <c r="J3" s="162"/>
    </row>
    <row r="4" spans="1:11" ht="13" thickBot="1">
      <c r="A4" s="163"/>
      <c r="B4" s="161"/>
      <c r="C4" s="162"/>
      <c r="D4" s="162"/>
      <c r="E4" s="162"/>
      <c r="F4" s="158"/>
      <c r="G4" s="158"/>
      <c r="H4" s="158"/>
      <c r="I4" s="158"/>
      <c r="J4" s="162"/>
    </row>
    <row r="5" spans="1:11" ht="13" thickBot="1">
      <c r="A5" s="163"/>
      <c r="B5" s="203" t="s">
        <v>378</v>
      </c>
      <c r="C5" s="204"/>
      <c r="D5" s="204"/>
      <c r="E5" s="204"/>
      <c r="F5" s="164"/>
      <c r="G5" s="188" t="s">
        <v>489</v>
      </c>
      <c r="H5" s="164"/>
      <c r="I5" s="158"/>
      <c r="J5" s="188"/>
    </row>
    <row r="6" spans="1:11" ht="18" customHeight="1">
      <c r="A6" s="163"/>
      <c r="B6" s="165" t="s">
        <v>379</v>
      </c>
      <c r="C6" s="166" t="s">
        <v>407</v>
      </c>
      <c r="D6" s="167"/>
      <c r="E6" s="165" t="s">
        <v>379</v>
      </c>
      <c r="F6" s="165"/>
      <c r="G6" s="165" t="s">
        <v>379</v>
      </c>
      <c r="H6" s="168"/>
      <c r="I6" s="205" t="s">
        <v>494</v>
      </c>
      <c r="J6" s="166" t="str">
        <f>C6</f>
        <v>2023 Forecast</v>
      </c>
    </row>
    <row r="7" spans="1:11" ht="31.5" customHeight="1" thickBot="1">
      <c r="A7" s="163"/>
      <c r="B7" s="169">
        <v>2022</v>
      </c>
      <c r="C7" s="170" t="s">
        <v>380</v>
      </c>
      <c r="D7" s="171" t="s">
        <v>381</v>
      </c>
      <c r="E7" s="172">
        <f>B7+1</f>
        <v>2023</v>
      </c>
      <c r="F7" s="172"/>
      <c r="G7" s="169">
        <v>2022</v>
      </c>
      <c r="H7" s="172"/>
      <c r="I7" s="206"/>
      <c r="J7" s="171" t="s">
        <v>382</v>
      </c>
    </row>
    <row r="8" spans="1:11">
      <c r="A8" s="173" t="s">
        <v>383</v>
      </c>
    </row>
    <row r="9" spans="1:11">
      <c r="A9" s="174" t="s">
        <v>384</v>
      </c>
      <c r="I9" s="175"/>
    </row>
    <row r="10" spans="1:11">
      <c r="A10" s="159" t="s">
        <v>387</v>
      </c>
      <c r="B10" s="176">
        <v>4521.2649199999996</v>
      </c>
      <c r="C10" s="176"/>
      <c r="D10" s="176"/>
      <c r="E10" s="176">
        <f>B10+C10+D10</f>
        <v>4521.2649199999996</v>
      </c>
      <c r="F10" s="176"/>
      <c r="G10" s="176">
        <v>1808.5059799999995</v>
      </c>
      <c r="I10" s="95">
        <v>10</v>
      </c>
      <c r="J10" s="181">
        <f>MIN(B10/I10,G10)</f>
        <v>452.12649199999998</v>
      </c>
      <c r="K10" s="177"/>
    </row>
    <row r="11" spans="1:11">
      <c r="A11" s="159" t="s">
        <v>430</v>
      </c>
      <c r="B11" s="176">
        <v>3.7565999999999997</v>
      </c>
      <c r="C11" s="176"/>
      <c r="D11" s="176"/>
      <c r="E11" s="176">
        <f>B11+C11+D11</f>
        <v>3.7565999999999997</v>
      </c>
      <c r="F11" s="176"/>
      <c r="G11" s="176">
        <v>2.881999999999971E-2</v>
      </c>
      <c r="I11" s="95">
        <v>5</v>
      </c>
      <c r="J11" s="181">
        <f>MIN(B11/I11,G11)</f>
        <v>2.881999999999971E-2</v>
      </c>
      <c r="K11" s="200"/>
    </row>
    <row r="12" spans="1:11">
      <c r="A12" s="159" t="s">
        <v>389</v>
      </c>
      <c r="B12" s="176">
        <v>128.91070999999999</v>
      </c>
      <c r="C12" s="176"/>
      <c r="D12" s="176"/>
      <c r="E12" s="176">
        <f>B12+C12+D12</f>
        <v>128.91070999999999</v>
      </c>
      <c r="F12" s="176"/>
      <c r="G12" s="176">
        <v>25.782189999999989</v>
      </c>
      <c r="I12" s="95">
        <v>5</v>
      </c>
      <c r="J12" s="181">
        <f>MIN(B12/I12,G12)</f>
        <v>25.782142</v>
      </c>
      <c r="K12" s="177"/>
    </row>
    <row r="13" spans="1:11">
      <c r="A13" s="159" t="s">
        <v>385</v>
      </c>
      <c r="B13" s="176">
        <v>68.263350000000003</v>
      </c>
      <c r="C13" s="176"/>
      <c r="D13" s="176"/>
      <c r="E13" s="176">
        <f>B13+C13+D13</f>
        <v>68.263350000000003</v>
      </c>
      <c r="F13" s="176"/>
      <c r="G13" s="176">
        <v>23.864180000000008</v>
      </c>
      <c r="I13" s="95">
        <v>5</v>
      </c>
      <c r="J13" s="181">
        <f>MIN(B13/I13,G13)</f>
        <v>13.652670000000001</v>
      </c>
      <c r="K13" s="177"/>
    </row>
    <row r="14" spans="1:11">
      <c r="A14" s="159" t="s">
        <v>431</v>
      </c>
      <c r="B14" s="176">
        <v>78.648449999999997</v>
      </c>
      <c r="C14" s="176"/>
      <c r="D14" s="176"/>
      <c r="E14" s="176">
        <f>B14+C14+D14</f>
        <v>78.648449999999997</v>
      </c>
      <c r="F14" s="176"/>
      <c r="G14" s="176">
        <v>31.459320000000005</v>
      </c>
      <c r="I14" s="95">
        <v>5</v>
      </c>
      <c r="J14" s="181">
        <f>MIN(B14/I14,G14)</f>
        <v>15.72969</v>
      </c>
      <c r="K14" s="177"/>
    </row>
    <row r="15" spans="1:11">
      <c r="A15" s="159" t="s">
        <v>391</v>
      </c>
      <c r="B15" s="176">
        <v>13.408709999999999</v>
      </c>
      <c r="C15" s="176"/>
      <c r="D15" s="176"/>
      <c r="E15" s="176">
        <f>B15+C15+D15</f>
        <v>13.408709999999999</v>
      </c>
      <c r="F15" s="176"/>
      <c r="G15" s="176">
        <v>4.0225799999999996</v>
      </c>
      <c r="I15" s="95">
        <v>5</v>
      </c>
      <c r="J15" s="181">
        <f>MIN(B15/I15,G15)</f>
        <v>2.6817419999999998</v>
      </c>
      <c r="K15" s="177"/>
    </row>
    <row r="16" spans="1:11">
      <c r="A16" s="159" t="s">
        <v>432</v>
      </c>
      <c r="B16" s="176">
        <v>75.010990000000007</v>
      </c>
      <c r="C16" s="176"/>
      <c r="D16" s="176"/>
      <c r="E16" s="176">
        <f>B16+C16+D16</f>
        <v>75.010990000000007</v>
      </c>
      <c r="F16" s="176"/>
      <c r="G16" s="176">
        <v>30.004470000000001</v>
      </c>
      <c r="I16" s="95">
        <v>5</v>
      </c>
      <c r="J16" s="181">
        <f>MIN(B16/I16,G16)</f>
        <v>15.002198000000002</v>
      </c>
      <c r="K16" s="177"/>
    </row>
    <row r="17" spans="1:16">
      <c r="A17" s="159" t="s">
        <v>433</v>
      </c>
      <c r="B17" s="176">
        <v>14.51037</v>
      </c>
      <c r="C17" s="176"/>
      <c r="D17" s="176"/>
      <c r="E17" s="176">
        <f>B17+C17+D17</f>
        <v>14.51037</v>
      </c>
      <c r="F17" s="176"/>
      <c r="G17" s="176">
        <v>4.3531000000000004</v>
      </c>
      <c r="I17" s="95">
        <v>5</v>
      </c>
      <c r="J17" s="181">
        <f>MIN(B17/I17,G17)</f>
        <v>2.9020739999999998</v>
      </c>
      <c r="K17" s="177"/>
    </row>
    <row r="18" spans="1:16">
      <c r="A18" s="159" t="s">
        <v>388</v>
      </c>
      <c r="B18" s="176">
        <v>667.05370999999991</v>
      </c>
      <c r="C18" s="176"/>
      <c r="D18" s="176"/>
      <c r="E18" s="176">
        <f>B18+C18+D18</f>
        <v>667.05370999999991</v>
      </c>
      <c r="F18" s="176"/>
      <c r="G18" s="176">
        <v>344.64445999999998</v>
      </c>
      <c r="I18" s="95">
        <v>5</v>
      </c>
      <c r="J18" s="181">
        <f>MIN(B18/I18,G18)</f>
        <v>133.41074199999997</v>
      </c>
      <c r="K18" s="177"/>
    </row>
    <row r="19" spans="1:16">
      <c r="A19" s="159" t="s">
        <v>434</v>
      </c>
      <c r="B19" s="176">
        <v>5.8006800000000007</v>
      </c>
      <c r="C19" s="176"/>
      <c r="D19" s="176"/>
      <c r="E19" s="176">
        <f>B19+C19+D19</f>
        <v>5.8006800000000007</v>
      </c>
      <c r="F19" s="176"/>
      <c r="G19" s="176">
        <v>3.4803599999999997</v>
      </c>
      <c r="I19" s="95">
        <v>5</v>
      </c>
      <c r="J19" s="181">
        <f>MIN(B19/I19,G19)</f>
        <v>1.1601360000000001</v>
      </c>
      <c r="K19" s="177"/>
    </row>
    <row r="20" spans="1:16">
      <c r="A20" s="159" t="s">
        <v>423</v>
      </c>
      <c r="B20" s="176">
        <v>24.55237</v>
      </c>
      <c r="C20" s="177"/>
      <c r="D20" s="176"/>
      <c r="E20" s="176">
        <f>B20+C20+D20</f>
        <v>24.55237</v>
      </c>
      <c r="F20" s="176"/>
      <c r="G20" s="176">
        <v>14.73133</v>
      </c>
      <c r="I20" s="95">
        <v>5</v>
      </c>
      <c r="J20" s="181">
        <f>MIN(B20/I20,G20)</f>
        <v>4.9104739999999998</v>
      </c>
      <c r="K20" s="177"/>
    </row>
    <row r="21" spans="1:16">
      <c r="A21" s="159" t="s">
        <v>424</v>
      </c>
      <c r="B21" s="176">
        <v>87.526200000000003</v>
      </c>
      <c r="C21" s="177"/>
      <c r="D21" s="176"/>
      <c r="E21" s="176">
        <f>B21+C21+D21</f>
        <v>87.526200000000003</v>
      </c>
      <c r="F21" s="176"/>
      <c r="G21" s="176">
        <v>52.515719999999995</v>
      </c>
      <c r="I21" s="95">
        <v>5</v>
      </c>
      <c r="J21" s="181">
        <f>MIN(B21/I21,G21)</f>
        <v>17.505240000000001</v>
      </c>
      <c r="K21" s="177"/>
    </row>
    <row r="22" spans="1:16">
      <c r="A22" s="159" t="s">
        <v>435</v>
      </c>
      <c r="B22" s="176">
        <v>744.28342000000009</v>
      </c>
      <c r="C22" s="176"/>
      <c r="D22" s="176"/>
      <c r="E22" s="176">
        <f>B22+C22+D22</f>
        <v>744.28342000000009</v>
      </c>
      <c r="F22" s="176"/>
      <c r="G22" s="176">
        <v>446.57014000000009</v>
      </c>
      <c r="I22" s="95">
        <v>5</v>
      </c>
      <c r="J22" s="181">
        <f>MIN(B22/I22,G22)</f>
        <v>148.85668400000003</v>
      </c>
      <c r="K22" s="177"/>
    </row>
    <row r="23" spans="1:16">
      <c r="A23" s="159" t="s">
        <v>436</v>
      </c>
      <c r="B23" s="176">
        <v>16.46069</v>
      </c>
      <c r="C23" s="176"/>
      <c r="D23" s="176"/>
      <c r="E23" s="176">
        <f>B23+C23+D23</f>
        <v>16.46069</v>
      </c>
      <c r="F23" s="176"/>
      <c r="G23" s="176">
        <v>6.5843899999999973</v>
      </c>
      <c r="I23" s="95">
        <v>5</v>
      </c>
      <c r="J23" s="181">
        <f>MIN(B23/I23,G23)</f>
        <v>3.292138</v>
      </c>
      <c r="K23" s="177"/>
    </row>
    <row r="24" spans="1:16">
      <c r="A24" s="159" t="s">
        <v>425</v>
      </c>
      <c r="B24" s="176">
        <v>89.50752</v>
      </c>
      <c r="C24" s="176"/>
      <c r="D24" s="176"/>
      <c r="E24" s="176">
        <f>B24+C24+D24</f>
        <v>89.50752</v>
      </c>
      <c r="F24" s="176"/>
      <c r="G24" s="176">
        <v>61.163490000000003</v>
      </c>
      <c r="I24" s="95">
        <v>5</v>
      </c>
      <c r="J24" s="181">
        <f>MIN(B24/I24,G24)</f>
        <v>17.901503999999999</v>
      </c>
      <c r="K24" s="177"/>
    </row>
    <row r="25" spans="1:16">
      <c r="A25" s="159" t="s">
        <v>437</v>
      </c>
      <c r="B25" s="176">
        <v>73.277100000000004</v>
      </c>
      <c r="C25" s="176"/>
      <c r="D25" s="176"/>
      <c r="E25" s="176">
        <f>B25+C25+D25</f>
        <v>73.277100000000004</v>
      </c>
      <c r="F25" s="176"/>
      <c r="G25" s="176">
        <v>57.095850000000006</v>
      </c>
      <c r="I25" s="95">
        <v>5</v>
      </c>
      <c r="J25" s="181">
        <f>MIN(B25/I25,G25)</f>
        <v>14.655420000000001</v>
      </c>
      <c r="K25" s="177"/>
    </row>
    <row r="26" spans="1:16">
      <c r="A26" s="159" t="s">
        <v>438</v>
      </c>
      <c r="B26" s="176">
        <v>52.514710000000001</v>
      </c>
      <c r="C26" s="176"/>
      <c r="D26" s="176"/>
      <c r="E26" s="176">
        <f>B26+C26+D26</f>
        <v>52.514710000000001</v>
      </c>
      <c r="F26" s="176"/>
      <c r="G26" s="176">
        <v>42.011710000000001</v>
      </c>
      <c r="I26" s="95">
        <v>5</v>
      </c>
      <c r="J26" s="181">
        <f>MIN(B26/I26,G26)</f>
        <v>10.502942000000001</v>
      </c>
      <c r="K26" s="177"/>
      <c r="P26" s="177"/>
    </row>
    <row r="27" spans="1:16">
      <c r="A27" s="159" t="s">
        <v>429</v>
      </c>
      <c r="B27" s="176">
        <v>59.194720000000004</v>
      </c>
      <c r="C27" s="176"/>
      <c r="D27" s="176"/>
      <c r="E27" s="176">
        <f>B27+C27+D27</f>
        <v>59.194720000000004</v>
      </c>
      <c r="F27" s="176"/>
      <c r="G27" s="176">
        <v>47.355760000000004</v>
      </c>
      <c r="I27" s="95">
        <v>5</v>
      </c>
      <c r="J27" s="181">
        <f>MIN(B27/I27,G27)</f>
        <v>11.838944000000001</v>
      </c>
      <c r="K27" s="177"/>
      <c r="P27" s="177"/>
    </row>
    <row r="28" spans="1:16">
      <c r="A28" s="159" t="s">
        <v>390</v>
      </c>
      <c r="B28" s="176">
        <v>77.782899999999998</v>
      </c>
      <c r="C28" s="176"/>
      <c r="D28" s="176"/>
      <c r="E28" s="176">
        <f>B28+C28+D28</f>
        <v>77.782899999999998</v>
      </c>
      <c r="F28" s="176"/>
      <c r="G28" s="176">
        <v>58.262609999999988</v>
      </c>
      <c r="I28" s="95">
        <v>5</v>
      </c>
      <c r="J28" s="181">
        <f>MIN(B28/I28,G28)</f>
        <v>15.55658</v>
      </c>
      <c r="K28" s="177"/>
    </row>
    <row r="29" spans="1:16">
      <c r="A29" s="159" t="s">
        <v>439</v>
      </c>
      <c r="B29" s="176">
        <v>325.99815000000001</v>
      </c>
      <c r="C29" s="176">
        <v>70.308399999999992</v>
      </c>
      <c r="D29" s="176"/>
      <c r="E29" s="176">
        <f>B29+C29+D29</f>
        <v>396.30655000000002</v>
      </c>
      <c r="F29" s="176"/>
      <c r="G29" s="176">
        <v>260.79855000000003</v>
      </c>
      <c r="I29" s="95">
        <v>5</v>
      </c>
      <c r="J29" s="181">
        <f>MIN(B29/I29,G29)</f>
        <v>65.199629999999999</v>
      </c>
      <c r="K29" s="177"/>
    </row>
    <row r="30" spans="1:16">
      <c r="A30" s="159" t="s">
        <v>426</v>
      </c>
      <c r="B30" s="176">
        <v>115.23152999999999</v>
      </c>
      <c r="C30" s="176"/>
      <c r="D30" s="176"/>
      <c r="E30" s="176">
        <f>B30+C30+D30</f>
        <v>115.23152999999999</v>
      </c>
      <c r="F30" s="176"/>
      <c r="G30" s="176">
        <v>107.4021</v>
      </c>
      <c r="I30" s="95">
        <v>5</v>
      </c>
      <c r="J30" s="181">
        <f>MIN(B30/I30,G30)</f>
        <v>23.046305999999998</v>
      </c>
      <c r="K30" s="177"/>
    </row>
    <row r="31" spans="1:16">
      <c r="A31" s="159" t="s">
        <v>386</v>
      </c>
      <c r="B31" s="176">
        <v>59.53539</v>
      </c>
      <c r="C31" s="176"/>
      <c r="D31" s="176"/>
      <c r="E31" s="176">
        <f>B31+C31+D31</f>
        <v>59.53539</v>
      </c>
      <c r="F31" s="176"/>
      <c r="G31" s="176">
        <v>59.53539</v>
      </c>
      <c r="I31" s="95">
        <v>5</v>
      </c>
      <c r="J31" s="181">
        <f>MIN(B31/I31,G31)</f>
        <v>11.907078</v>
      </c>
      <c r="K31" s="177"/>
    </row>
    <row r="32" spans="1:16">
      <c r="A32" s="159" t="s">
        <v>427</v>
      </c>
      <c r="B32" s="176">
        <v>196.33029000000002</v>
      </c>
      <c r="C32" s="176"/>
      <c r="D32" s="176"/>
      <c r="E32" s="176">
        <f>B32+C32+D32</f>
        <v>196.33029000000002</v>
      </c>
      <c r="F32" s="176"/>
      <c r="G32" s="176">
        <v>196.33029000000002</v>
      </c>
      <c r="I32" s="95">
        <v>5</v>
      </c>
      <c r="J32" s="181">
        <f>MIN(B32/I32,G32)</f>
        <v>39.266058000000001</v>
      </c>
      <c r="K32" s="177"/>
    </row>
    <row r="33" spans="1:11">
      <c r="A33" s="159" t="s">
        <v>428</v>
      </c>
      <c r="B33" s="176">
        <v>46.831489999999995</v>
      </c>
      <c r="C33" s="176"/>
      <c r="D33" s="176"/>
      <c r="E33" s="176">
        <f>B33+C33+D33</f>
        <v>46.831489999999995</v>
      </c>
      <c r="F33" s="176"/>
      <c r="G33" s="176">
        <v>46.010339999999999</v>
      </c>
      <c r="I33" s="95">
        <v>5</v>
      </c>
      <c r="J33" s="181">
        <f>MIN(B33/I33,G33)</f>
        <v>9.3662979999999987</v>
      </c>
      <c r="K33" s="177"/>
    </row>
    <row r="34" spans="1:11">
      <c r="A34" s="159" t="s">
        <v>440</v>
      </c>
      <c r="B34" s="176">
        <v>-282.62846000000002</v>
      </c>
      <c r="C34" s="176"/>
      <c r="D34" s="176"/>
      <c r="E34" s="176">
        <f>B34+C34+D34</f>
        <v>-282.62846000000002</v>
      </c>
      <c r="F34" s="176"/>
      <c r="G34" s="176">
        <v>-7.20146</v>
      </c>
      <c r="I34" s="95">
        <v>5</v>
      </c>
      <c r="J34" s="176">
        <f>MAX(B34/I34,G34)</f>
        <v>-7.20146</v>
      </c>
      <c r="K34" s="177"/>
    </row>
    <row r="35" spans="1:11">
      <c r="A35" s="159" t="s">
        <v>448</v>
      </c>
      <c r="B35" s="176">
        <f>8784170.97/1000</f>
        <v>8784.170970000001</v>
      </c>
      <c r="C35" s="176"/>
      <c r="D35" s="176"/>
      <c r="E35" s="176">
        <f>B35+C35+D35</f>
        <v>8784.170970000001</v>
      </c>
      <c r="F35" s="176"/>
      <c r="G35" s="176">
        <v>8784.170970000001</v>
      </c>
      <c r="I35" s="95">
        <v>10</v>
      </c>
      <c r="J35" s="181">
        <f>MIN(B35/I35,G35)</f>
        <v>878.41709700000013</v>
      </c>
      <c r="K35" s="177"/>
    </row>
    <row r="36" spans="1:11">
      <c r="A36" s="159" t="s">
        <v>449</v>
      </c>
      <c r="B36" s="176"/>
      <c r="C36" s="176">
        <v>200</v>
      </c>
      <c r="D36" s="176"/>
      <c r="E36" s="176">
        <f>B36+C36+D36</f>
        <v>200</v>
      </c>
      <c r="F36" s="176"/>
      <c r="G36" s="176">
        <v>0</v>
      </c>
      <c r="I36" s="95">
        <v>5</v>
      </c>
      <c r="J36" s="181">
        <f>MIN(B36/I36,G36)</f>
        <v>0</v>
      </c>
      <c r="K36" s="177"/>
    </row>
    <row r="37" spans="1:11">
      <c r="A37" s="159" t="s">
        <v>450</v>
      </c>
      <c r="B37" s="176"/>
      <c r="C37" s="176">
        <v>197.67159000000001</v>
      </c>
      <c r="D37" s="176"/>
      <c r="E37" s="176">
        <f>B37+C37+D37</f>
        <v>197.67159000000001</v>
      </c>
      <c r="F37" s="176"/>
      <c r="G37" s="176">
        <v>0</v>
      </c>
      <c r="I37" s="95">
        <v>5</v>
      </c>
      <c r="J37" s="181">
        <f>MIN(B37/I37,G37)</f>
        <v>0</v>
      </c>
      <c r="K37" s="177"/>
    </row>
    <row r="38" spans="1:11">
      <c r="A38" s="159" t="s">
        <v>451</v>
      </c>
      <c r="B38" s="176"/>
      <c r="C38" s="176">
        <v>168.41776000000002</v>
      </c>
      <c r="D38" s="176"/>
      <c r="E38" s="176">
        <f>B38+C38+D38</f>
        <v>168.41776000000002</v>
      </c>
      <c r="F38" s="176"/>
      <c r="G38" s="176">
        <v>0</v>
      </c>
      <c r="I38" s="95">
        <v>5</v>
      </c>
      <c r="J38" s="181">
        <f>MIN(B38/I38,G38)</f>
        <v>0</v>
      </c>
      <c r="K38" s="177"/>
    </row>
    <row r="39" spans="1:11">
      <c r="A39" s="159" t="s">
        <v>452</v>
      </c>
      <c r="B39" s="176"/>
      <c r="C39" s="176">
        <v>319.03999999999996</v>
      </c>
      <c r="D39" s="176"/>
      <c r="E39" s="176">
        <f>B39+C39+D39</f>
        <v>319.03999999999996</v>
      </c>
      <c r="F39" s="176"/>
      <c r="G39" s="176">
        <v>0</v>
      </c>
      <c r="I39" s="95">
        <v>5</v>
      </c>
      <c r="J39" s="181">
        <f>MIN(B39/I39,G39)</f>
        <v>0</v>
      </c>
      <c r="K39" s="177"/>
    </row>
    <row r="40" spans="1:11">
      <c r="B40" s="176"/>
      <c r="C40" s="176"/>
      <c r="D40" s="176"/>
      <c r="E40" s="176"/>
      <c r="F40" s="176"/>
      <c r="G40" s="176"/>
      <c r="I40" s="175"/>
      <c r="J40" s="176"/>
      <c r="K40" s="177"/>
    </row>
    <row r="41" spans="1:11">
      <c r="A41" s="173" t="s">
        <v>392</v>
      </c>
      <c r="B41" s="177">
        <f>SUM(B10:B40)</f>
        <v>16047.197480000003</v>
      </c>
      <c r="C41" s="177">
        <f>SUM(C10:C40)</f>
        <v>955.43775000000005</v>
      </c>
      <c r="D41" s="177">
        <f>SUM(D10:D40)</f>
        <v>0</v>
      </c>
      <c r="E41" s="177">
        <f>SUM(E10:E40)</f>
        <v>17002.635230000004</v>
      </c>
      <c r="F41" s="177"/>
      <c r="G41" s="177">
        <f>SUM(G10:G40)</f>
        <v>12509.48264</v>
      </c>
      <c r="I41" s="175"/>
      <c r="J41" s="177">
        <f>SUM(J10:J40)</f>
        <v>1927.4976390000002</v>
      </c>
      <c r="K41" s="177"/>
    </row>
    <row r="42" spans="1:11">
      <c r="I42" s="175"/>
    </row>
    <row r="43" spans="1:11">
      <c r="A43" s="173" t="s">
        <v>393</v>
      </c>
      <c r="B43" s="177"/>
      <c r="C43" s="177"/>
      <c r="D43" s="177"/>
      <c r="E43" s="177"/>
      <c r="F43" s="177"/>
      <c r="G43" s="177"/>
      <c r="J43" s="177"/>
    </row>
    <row r="44" spans="1:11">
      <c r="A44" s="179" t="s">
        <v>384</v>
      </c>
      <c r="E44" s="177"/>
      <c r="F44" s="177"/>
      <c r="G44" s="177"/>
    </row>
    <row r="45" spans="1:11">
      <c r="A45" s="180" t="s">
        <v>317</v>
      </c>
      <c r="B45" s="177">
        <v>3377.6660699999998</v>
      </c>
      <c r="C45" s="177">
        <v>1271.64067</v>
      </c>
      <c r="D45" s="177"/>
      <c r="E45" s="177">
        <f>B45+C45+D45</f>
        <v>4649.30674</v>
      </c>
      <c r="F45" s="177"/>
      <c r="G45" s="176">
        <v>2253.2956899999999</v>
      </c>
      <c r="H45" s="177"/>
      <c r="I45" s="95">
        <v>10</v>
      </c>
      <c r="J45" s="181">
        <f>MIN(B45/I45,G45)</f>
        <v>337.76660699999996</v>
      </c>
      <c r="K45" s="177"/>
    </row>
    <row r="46" spans="1:11">
      <c r="A46" s="180" t="s">
        <v>395</v>
      </c>
      <c r="B46" s="177">
        <v>185.01089000000002</v>
      </c>
      <c r="C46" s="177"/>
      <c r="D46" s="177"/>
      <c r="E46" s="177">
        <f>B46+C46+D46</f>
        <v>185.01089000000002</v>
      </c>
      <c r="F46" s="177"/>
      <c r="G46" s="176">
        <v>123.26966</v>
      </c>
      <c r="H46" s="177"/>
      <c r="I46" s="95">
        <v>45</v>
      </c>
      <c r="J46" s="181">
        <f>MIN(B46/I46,G46)</f>
        <v>4.1113531111111117</v>
      </c>
      <c r="K46" s="177"/>
    </row>
    <row r="47" spans="1:11">
      <c r="A47" s="180" t="s">
        <v>441</v>
      </c>
      <c r="B47" s="177">
        <v>46.630710000000001</v>
      </c>
      <c r="C47" s="177"/>
      <c r="D47" s="177"/>
      <c r="E47" s="177">
        <f>B47+C47+D47</f>
        <v>46.630710000000001</v>
      </c>
      <c r="F47" s="177"/>
      <c r="G47" s="176">
        <v>3.10907</v>
      </c>
      <c r="H47" s="177"/>
      <c r="I47" s="95">
        <v>5</v>
      </c>
      <c r="J47" s="181">
        <f>MIN(B47/I47,G47)</f>
        <v>3.10907</v>
      </c>
      <c r="K47" s="177"/>
    </row>
    <row r="48" spans="1:11">
      <c r="A48" s="180" t="s">
        <v>442</v>
      </c>
      <c r="B48" s="177">
        <v>141.60042999999999</v>
      </c>
      <c r="C48" s="177"/>
      <c r="D48" s="177"/>
      <c r="E48" s="177">
        <f>B48+C48+D48</f>
        <v>141.60042999999999</v>
      </c>
      <c r="F48" s="177"/>
      <c r="G48" s="176">
        <v>16.519950000000001</v>
      </c>
      <c r="H48" s="177"/>
      <c r="I48" s="95">
        <v>5</v>
      </c>
      <c r="J48" s="181">
        <f>MIN(B48/I48,G48)</f>
        <v>16.519950000000001</v>
      </c>
      <c r="K48" s="177"/>
    </row>
    <row r="49" spans="1:11">
      <c r="A49" s="180" t="s">
        <v>443</v>
      </c>
      <c r="B49" s="177">
        <v>260.55056000000002</v>
      </c>
      <c r="C49" s="177"/>
      <c r="D49" s="177"/>
      <c r="E49" s="177">
        <f>B49+C49+D49</f>
        <v>260.55056000000002</v>
      </c>
      <c r="F49" s="177"/>
      <c r="G49" s="176">
        <v>52.110080000000004</v>
      </c>
      <c r="H49" s="177"/>
      <c r="I49" s="95">
        <v>5</v>
      </c>
      <c r="J49" s="181">
        <f>MIN(B49/I49,G49)</f>
        <v>52.110080000000004</v>
      </c>
      <c r="K49" s="177"/>
    </row>
    <row r="50" spans="1:11">
      <c r="A50" s="180" t="s">
        <v>394</v>
      </c>
      <c r="B50" s="177">
        <v>633.98004000000003</v>
      </c>
      <c r="C50" s="177"/>
      <c r="D50" s="177"/>
      <c r="E50" s="177">
        <f>B50+C50+D50</f>
        <v>633.98004000000003</v>
      </c>
      <c r="F50" s="177"/>
      <c r="G50" s="176">
        <v>380.38812000000001</v>
      </c>
      <c r="H50" s="177"/>
      <c r="I50" s="95">
        <v>5</v>
      </c>
      <c r="J50" s="181">
        <f>MIN(B50/I50,G50)</f>
        <v>126.796008</v>
      </c>
      <c r="K50" s="177"/>
    </row>
    <row r="51" spans="1:11">
      <c r="A51" s="180" t="s">
        <v>444</v>
      </c>
      <c r="B51" s="177">
        <v>-2080.08187</v>
      </c>
      <c r="C51" s="177">
        <v>-21.640669999999997</v>
      </c>
      <c r="D51" s="177"/>
      <c r="E51" s="177">
        <f>B51+C51+D51</f>
        <v>-2101.7225399999998</v>
      </c>
      <c r="F51" s="177"/>
      <c r="G51" s="176">
        <v>-1517.01855</v>
      </c>
      <c r="H51" s="177"/>
      <c r="I51" s="95">
        <v>10</v>
      </c>
      <c r="J51" s="176">
        <f>MAX(B51/I51,G51)</f>
        <v>-208.00818699999999</v>
      </c>
      <c r="K51" s="177"/>
    </row>
    <row r="52" spans="1:11">
      <c r="A52" s="180" t="s">
        <v>445</v>
      </c>
      <c r="B52" s="177">
        <v>-100</v>
      </c>
      <c r="C52" s="177"/>
      <c r="D52" s="177"/>
      <c r="E52" s="177">
        <f>B52+C52+D52</f>
        <v>-100</v>
      </c>
      <c r="F52" s="177"/>
      <c r="G52" s="176">
        <v>-11.616280000000001</v>
      </c>
      <c r="H52" s="177"/>
      <c r="I52" s="95">
        <v>5</v>
      </c>
      <c r="J52" s="176">
        <f>MAX(B52/I52,G52)</f>
        <v>-11.616280000000001</v>
      </c>
      <c r="K52" s="177"/>
    </row>
    <row r="53" spans="1:11">
      <c r="A53" s="180" t="s">
        <v>454</v>
      </c>
      <c r="B53" s="177"/>
      <c r="C53" s="177">
        <v>385.63777000000005</v>
      </c>
      <c r="D53" s="177"/>
      <c r="E53" s="177">
        <f>B53+C53+D53</f>
        <v>385.63777000000005</v>
      </c>
      <c r="F53" s="177"/>
      <c r="G53" s="176"/>
      <c r="H53" s="177"/>
      <c r="I53" s="175" t="s">
        <v>93</v>
      </c>
      <c r="J53" s="176"/>
      <c r="K53" s="177"/>
    </row>
    <row r="54" spans="1:11">
      <c r="A54" s="180" t="s">
        <v>453</v>
      </c>
      <c r="B54" s="177"/>
      <c r="C54" s="177">
        <v>23.148499999999999</v>
      </c>
      <c r="D54" s="177"/>
      <c r="E54" s="177">
        <f>B54+C54+D54</f>
        <v>23.148499999999999</v>
      </c>
      <c r="F54" s="177"/>
      <c r="G54" s="176"/>
      <c r="H54" s="177"/>
      <c r="I54" s="175" t="s">
        <v>93</v>
      </c>
      <c r="J54" s="176"/>
      <c r="K54" s="177"/>
    </row>
    <row r="55" spans="1:11">
      <c r="A55" s="180"/>
      <c r="B55" s="177"/>
      <c r="C55" s="177"/>
      <c r="D55" s="177"/>
      <c r="E55" s="177"/>
      <c r="F55" s="177"/>
      <c r="G55" s="177"/>
      <c r="H55" s="177"/>
      <c r="I55" s="175"/>
      <c r="J55" s="176"/>
      <c r="K55" s="177"/>
    </row>
    <row r="56" spans="1:11">
      <c r="A56" s="173" t="s">
        <v>396</v>
      </c>
      <c r="B56" s="177">
        <f>SUM(B44:B55)</f>
        <v>2465.3568299999997</v>
      </c>
      <c r="C56" s="177">
        <f>SUM(C44:C55)</f>
        <v>1658.7862700000001</v>
      </c>
      <c r="D56" s="177">
        <f>SUM(D44:D55)</f>
        <v>0</v>
      </c>
      <c r="E56" s="177">
        <f>SUM(E44:E55)</f>
        <v>4124.1431000000011</v>
      </c>
      <c r="F56" s="177"/>
      <c r="G56" s="177">
        <f>SUM(G44:G55)</f>
        <v>1300.0577399999997</v>
      </c>
      <c r="H56" s="177"/>
      <c r="I56" s="177"/>
      <c r="J56" s="177">
        <f>SUM(J44:J55)</f>
        <v>320.78860111111095</v>
      </c>
      <c r="K56" s="177"/>
    </row>
    <row r="57" spans="1:11">
      <c r="A57" s="180"/>
      <c r="B57" s="177"/>
      <c r="C57" s="177"/>
      <c r="D57" s="177"/>
      <c r="E57" s="177"/>
      <c r="F57" s="177"/>
      <c r="G57" s="177"/>
      <c r="H57" s="177"/>
      <c r="I57" s="175"/>
      <c r="J57" s="177"/>
      <c r="K57" s="177"/>
    </row>
    <row r="59" spans="1:11">
      <c r="A59" s="173" t="s">
        <v>90</v>
      </c>
      <c r="B59" s="177"/>
      <c r="C59" s="177"/>
      <c r="D59" s="177"/>
      <c r="E59" s="177"/>
      <c r="F59" s="177"/>
      <c r="G59" s="177"/>
      <c r="H59" s="177"/>
      <c r="I59" s="177"/>
      <c r="J59" s="177"/>
    </row>
    <row r="60" spans="1:11">
      <c r="A60" s="179" t="s">
        <v>384</v>
      </c>
      <c r="B60" s="177"/>
      <c r="C60" s="177"/>
      <c r="D60" s="177"/>
      <c r="E60" s="177"/>
      <c r="F60" s="177"/>
      <c r="G60" s="177"/>
      <c r="H60" s="177"/>
      <c r="I60" s="177"/>
      <c r="J60" s="177"/>
    </row>
    <row r="61" spans="1:11">
      <c r="A61" s="159" t="s">
        <v>397</v>
      </c>
      <c r="B61" s="177">
        <v>112.27827000000001</v>
      </c>
      <c r="C61" s="177"/>
      <c r="D61" s="177"/>
      <c r="E61" s="177">
        <f>B61+C61+D61</f>
        <v>112.27827000000001</v>
      </c>
      <c r="F61" s="177"/>
      <c r="G61" s="176">
        <v>6.1354900000000052</v>
      </c>
      <c r="H61" s="177"/>
      <c r="I61" s="95">
        <v>3</v>
      </c>
      <c r="J61" s="181">
        <f>MIN(B61/I61,G61)</f>
        <v>6.1354900000000052</v>
      </c>
      <c r="K61" s="177"/>
    </row>
    <row r="62" spans="1:11">
      <c r="A62" s="159" t="s">
        <v>446</v>
      </c>
      <c r="B62" s="177">
        <v>3903.4295200000001</v>
      </c>
      <c r="C62" s="177">
        <v>0</v>
      </c>
      <c r="D62" s="177"/>
      <c r="E62" s="177">
        <f>B62+C62+D62</f>
        <v>3903.4295200000001</v>
      </c>
      <c r="F62" s="177"/>
      <c r="G62" s="176">
        <v>3903.4295200000001</v>
      </c>
      <c r="H62" s="177"/>
      <c r="I62" s="95">
        <v>5</v>
      </c>
      <c r="J62" s="181">
        <f>MIN(B62/I62,G62)</f>
        <v>780.68590400000005</v>
      </c>
      <c r="K62" s="177"/>
    </row>
    <row r="63" spans="1:11">
      <c r="A63" s="159" t="s">
        <v>398</v>
      </c>
      <c r="B63" s="177">
        <f>39986.85/1000</f>
        <v>39.986849999999997</v>
      </c>
      <c r="C63" s="177"/>
      <c r="D63" s="177"/>
      <c r="E63" s="177">
        <f>B63+C63+D63</f>
        <v>39.986849999999997</v>
      </c>
      <c r="F63" s="177"/>
      <c r="G63" s="176">
        <v>34.382121999999995</v>
      </c>
      <c r="H63" s="177"/>
      <c r="I63" s="95">
        <v>25</v>
      </c>
      <c r="J63" s="181">
        <f>MIN(B63/I63,G63)</f>
        <v>1.5994739999999998</v>
      </c>
      <c r="K63" s="177"/>
    </row>
    <row r="64" spans="1:11">
      <c r="A64" s="159" t="s">
        <v>399</v>
      </c>
      <c r="B64" s="177">
        <f>285867.32/1000</f>
        <v>285.86732000000001</v>
      </c>
      <c r="C64" s="177"/>
      <c r="D64" s="177"/>
      <c r="E64" s="177">
        <f>B64+C64+D64</f>
        <v>285.86732000000001</v>
      </c>
      <c r="F64" s="177"/>
      <c r="G64" s="176">
        <v>45.774617000000021</v>
      </c>
      <c r="H64" s="177"/>
      <c r="I64" s="175" t="s">
        <v>447</v>
      </c>
      <c r="J64" s="177">
        <f>20603.54/1000</f>
        <v>20.603540000000002</v>
      </c>
      <c r="K64" s="177" t="s">
        <v>488</v>
      </c>
    </row>
    <row r="65" spans="1:23">
      <c r="A65" s="159" t="s">
        <v>400</v>
      </c>
      <c r="B65" s="177">
        <f>128801.6/1000</f>
        <v>128.80160000000001</v>
      </c>
      <c r="D65" s="177"/>
      <c r="E65" s="177">
        <f>B65+C65+D65</f>
        <v>128.80160000000001</v>
      </c>
      <c r="F65" s="177"/>
      <c r="G65" s="176">
        <v>33.130305333333325</v>
      </c>
      <c r="H65" s="177"/>
      <c r="I65" s="175" t="s">
        <v>447</v>
      </c>
      <c r="J65" s="177">
        <f>10938.3658333333/1000</f>
        <v>10.9383658333333</v>
      </c>
      <c r="K65" s="177" t="s">
        <v>488</v>
      </c>
    </row>
    <row r="66" spans="1:23">
      <c r="B66" s="177"/>
      <c r="C66" s="177"/>
      <c r="D66" s="177"/>
      <c r="E66" s="177"/>
      <c r="F66" s="177"/>
      <c r="G66" s="177"/>
      <c r="H66" s="177"/>
      <c r="I66" s="177"/>
      <c r="J66" s="177"/>
      <c r="Q66" s="177"/>
    </row>
    <row r="67" spans="1:23">
      <c r="A67" s="173" t="s">
        <v>401</v>
      </c>
      <c r="B67" s="177">
        <f>SUM(B60:B66)</f>
        <v>4470.3635599999998</v>
      </c>
      <c r="C67" s="177">
        <f>SUM(C60:C66)</f>
        <v>0</v>
      </c>
      <c r="D67" s="177">
        <f>SUM(D60:D66)</f>
        <v>0</v>
      </c>
      <c r="E67" s="177">
        <f>SUM(E60:E66)</f>
        <v>4470.3635599999998</v>
      </c>
      <c r="F67" s="177"/>
      <c r="G67" s="177">
        <f>SUM(G60:G66)</f>
        <v>4022.8520543333334</v>
      </c>
      <c r="H67" s="177"/>
      <c r="I67" s="177"/>
      <c r="J67" s="177">
        <f>SUM(J60:J66)</f>
        <v>819.96277383333324</v>
      </c>
      <c r="K67" s="177"/>
      <c r="R67" s="177"/>
    </row>
    <row r="68" spans="1:23">
      <c r="B68" s="177"/>
      <c r="C68" s="177"/>
      <c r="D68" s="177"/>
      <c r="E68" s="177"/>
      <c r="F68" s="177"/>
      <c r="G68" s="177"/>
      <c r="H68" s="177"/>
      <c r="I68" s="177"/>
      <c r="J68" s="177"/>
      <c r="R68" s="177"/>
    </row>
    <row r="69" spans="1:23">
      <c r="B69" s="177"/>
      <c r="C69" s="177"/>
      <c r="D69" s="177"/>
      <c r="E69" s="177"/>
      <c r="F69" s="177"/>
      <c r="G69" s="177"/>
      <c r="H69" s="177"/>
      <c r="I69" s="177"/>
      <c r="J69" s="177"/>
      <c r="R69" s="177"/>
    </row>
    <row r="70" spans="1:23">
      <c r="A70" s="173" t="s">
        <v>402</v>
      </c>
      <c r="B70" s="177"/>
      <c r="C70" s="177"/>
      <c r="D70" s="177"/>
      <c r="E70" s="177"/>
      <c r="F70" s="177"/>
      <c r="G70" s="177"/>
      <c r="H70" s="177"/>
      <c r="I70" s="177"/>
      <c r="J70" s="177"/>
      <c r="R70" s="177"/>
    </row>
    <row r="71" spans="1:23">
      <c r="A71" s="174" t="s">
        <v>403</v>
      </c>
      <c r="B71" s="177">
        <v>254.48933</v>
      </c>
      <c r="C71" s="177"/>
      <c r="D71" s="177"/>
      <c r="E71" s="177">
        <f>SUM(B71:D71)</f>
        <v>254.48933</v>
      </c>
      <c r="F71" s="177"/>
      <c r="G71" s="176">
        <v>177.79391000000001</v>
      </c>
      <c r="H71" s="177"/>
      <c r="I71" s="95">
        <v>5</v>
      </c>
      <c r="J71" s="181">
        <f>MIN(B71/I71,G71)</f>
        <v>50.897866</v>
      </c>
      <c r="R71" s="177"/>
    </row>
    <row r="72" spans="1:23">
      <c r="A72" s="182"/>
      <c r="B72" s="178"/>
      <c r="C72" s="178"/>
      <c r="D72" s="178"/>
      <c r="E72" s="178"/>
      <c r="F72" s="177"/>
      <c r="G72" s="177"/>
      <c r="H72" s="183"/>
      <c r="I72" s="184"/>
      <c r="J72" s="178"/>
    </row>
    <row r="73" spans="1:23">
      <c r="A73" s="189" t="s">
        <v>404</v>
      </c>
      <c r="B73" s="185">
        <f>SUM(B41,B56,B67,B71)</f>
        <v>23237.407200000005</v>
      </c>
      <c r="C73" s="185">
        <f>SUM(C41,C56,C67,C71)</f>
        <v>2614.2240200000001</v>
      </c>
      <c r="D73" s="185">
        <f>SUM(D41,D56,D67,D71)</f>
        <v>0</v>
      </c>
      <c r="E73" s="185">
        <f>SUM(E41,E56,E67,E71)</f>
        <v>25851.631220000007</v>
      </c>
      <c r="F73" s="201"/>
      <c r="G73" s="185">
        <f>SUM(G41,G56,G67,G71)</f>
        <v>18010.186344333335</v>
      </c>
      <c r="H73" s="183"/>
      <c r="I73" s="184"/>
      <c r="J73" s="185">
        <f>SUM(J41,J56,J67,J71)</f>
        <v>3119.1468799444442</v>
      </c>
      <c r="K73" s="177"/>
      <c r="R73" s="177"/>
      <c r="W73" s="177"/>
    </row>
    <row r="74" spans="1:23">
      <c r="A74" s="163"/>
      <c r="B74" s="186"/>
      <c r="C74" s="186"/>
      <c r="D74" s="186"/>
      <c r="E74" s="186"/>
      <c r="F74" s="186"/>
      <c r="G74" s="186"/>
      <c r="H74" s="183"/>
      <c r="I74" s="184"/>
      <c r="J74" s="183"/>
      <c r="R74" s="177"/>
      <c r="W74" s="177"/>
    </row>
    <row r="75" spans="1:23">
      <c r="A75" s="173" t="s">
        <v>92</v>
      </c>
      <c r="B75" s="177"/>
      <c r="C75" s="177"/>
      <c r="D75" s="177"/>
      <c r="E75" s="177"/>
      <c r="F75" s="177"/>
      <c r="G75" s="177"/>
      <c r="H75" s="177"/>
      <c r="I75" s="177"/>
      <c r="J75" s="177"/>
      <c r="R75" s="177"/>
      <c r="W75" s="177"/>
    </row>
    <row r="76" spans="1:23">
      <c r="A76" s="179" t="s">
        <v>384</v>
      </c>
      <c r="B76" s="177"/>
      <c r="C76" s="177"/>
      <c r="D76" s="177"/>
      <c r="E76" s="177"/>
      <c r="F76" s="177"/>
      <c r="G76" s="177"/>
      <c r="H76" s="177"/>
      <c r="I76" s="177"/>
      <c r="J76" s="177"/>
      <c r="R76" s="177"/>
      <c r="W76" s="177"/>
    </row>
    <row r="77" spans="1:23">
      <c r="A77" s="159" t="s">
        <v>456</v>
      </c>
      <c r="B77" s="177">
        <v>1185.40842</v>
      </c>
      <c r="C77" s="177">
        <v>441.10774999999995</v>
      </c>
      <c r="D77" s="177"/>
      <c r="E77" s="177">
        <f>B77+C77+D77</f>
        <v>1626.5161699999999</v>
      </c>
      <c r="F77" s="177"/>
      <c r="G77" s="176">
        <v>689.67491999999993</v>
      </c>
      <c r="H77" s="177"/>
      <c r="I77" s="95">
        <v>5</v>
      </c>
      <c r="J77" s="177">
        <v>226.28426000000002</v>
      </c>
      <c r="K77" s="177" t="s">
        <v>491</v>
      </c>
      <c r="R77" s="177"/>
      <c r="W77" s="177"/>
    </row>
    <row r="78" spans="1:23">
      <c r="A78" s="159" t="s">
        <v>457</v>
      </c>
      <c r="B78" s="177">
        <v>2836.4792600000001</v>
      </c>
      <c r="C78" s="177"/>
      <c r="D78" s="177"/>
      <c r="E78" s="177">
        <f>B78+C78+D78</f>
        <v>2836.4792600000001</v>
      </c>
      <c r="F78" s="177"/>
      <c r="G78" s="176">
        <v>37.202721999999994</v>
      </c>
      <c r="H78" s="177"/>
      <c r="I78" s="95">
        <v>10</v>
      </c>
      <c r="J78" s="177">
        <v>37.202717999999948</v>
      </c>
      <c r="K78" s="177" t="s">
        <v>491</v>
      </c>
      <c r="R78" s="177"/>
      <c r="W78" s="177"/>
    </row>
    <row r="79" spans="1:23">
      <c r="A79" s="159" t="s">
        <v>492</v>
      </c>
      <c r="B79" s="177">
        <f>4549853.32/1000</f>
        <v>4549.8533200000002</v>
      </c>
      <c r="C79" s="177"/>
      <c r="D79" s="177"/>
      <c r="E79" s="177">
        <f>B79+C79+D79</f>
        <v>4549.8533200000002</v>
      </c>
      <c r="F79" s="177"/>
      <c r="G79" s="176">
        <f>E79-800.275572</f>
        <v>3749.5777480000002</v>
      </c>
      <c r="H79" s="177"/>
      <c r="I79" s="95">
        <v>10</v>
      </c>
      <c r="J79" s="181">
        <f>MIN(B79/I79,G79)</f>
        <v>454.98533200000003</v>
      </c>
      <c r="K79" s="177"/>
      <c r="R79" s="177"/>
      <c r="W79" s="177"/>
    </row>
    <row r="80" spans="1:23">
      <c r="A80" s="159" t="s">
        <v>455</v>
      </c>
      <c r="B80" s="177"/>
      <c r="C80" s="177">
        <v>5466.1814299999996</v>
      </c>
      <c r="D80" s="177"/>
      <c r="E80" s="177">
        <f>B80+C80+D80</f>
        <v>5466.1814299999996</v>
      </c>
      <c r="F80" s="177"/>
      <c r="G80" s="176"/>
      <c r="H80" s="177"/>
      <c r="I80" s="95">
        <v>10</v>
      </c>
      <c r="J80" s="177"/>
      <c r="K80" s="177"/>
      <c r="R80" s="177"/>
      <c r="W80" s="177"/>
    </row>
    <row r="81" spans="1:23">
      <c r="B81" s="177"/>
      <c r="C81" s="177"/>
      <c r="D81" s="177"/>
      <c r="E81" s="177"/>
      <c r="F81" s="177"/>
      <c r="G81" s="177"/>
      <c r="H81" s="177"/>
      <c r="I81" s="177"/>
      <c r="J81" s="177"/>
      <c r="R81" s="177"/>
      <c r="W81" s="177"/>
    </row>
    <row r="82" spans="1:23">
      <c r="A82" s="173" t="s">
        <v>458</v>
      </c>
      <c r="B82" s="177">
        <f>SUM(B76:B81)</f>
        <v>8571.741</v>
      </c>
      <c r="C82" s="177">
        <f>SUM(C76:C81)</f>
        <v>5907.2891799999998</v>
      </c>
      <c r="D82" s="177">
        <f>SUM(D76:D81)</f>
        <v>0</v>
      </c>
      <c r="E82" s="177">
        <f>SUM(E76:E81)</f>
        <v>14479.030180000002</v>
      </c>
      <c r="F82" s="177"/>
      <c r="G82" s="177"/>
      <c r="H82" s="177"/>
      <c r="I82" s="177"/>
      <c r="J82" s="177">
        <f>SUM(J76:J81)</f>
        <v>718.47230999999999</v>
      </c>
      <c r="K82" s="177"/>
      <c r="R82" s="177"/>
      <c r="W82" s="177"/>
    </row>
    <row r="83" spans="1:23">
      <c r="A83" s="163"/>
      <c r="B83" s="186"/>
      <c r="C83" s="186"/>
      <c r="D83" s="186"/>
      <c r="E83" s="186"/>
      <c r="F83" s="186"/>
      <c r="G83" s="186"/>
      <c r="H83" s="183"/>
      <c r="I83" s="184"/>
      <c r="J83" s="183"/>
      <c r="R83" s="177"/>
      <c r="W83" s="177"/>
    </row>
    <row r="84" spans="1:23">
      <c r="A84" s="163"/>
      <c r="B84" s="186"/>
      <c r="C84" s="186"/>
      <c r="D84" s="186"/>
      <c r="E84" s="186"/>
      <c r="F84" s="186"/>
      <c r="G84" s="186"/>
      <c r="H84" s="183"/>
      <c r="I84" s="184"/>
      <c r="J84" s="183"/>
      <c r="R84" s="177"/>
      <c r="W84" s="177"/>
    </row>
    <row r="85" spans="1:23">
      <c r="A85" s="189" t="s">
        <v>459</v>
      </c>
      <c r="B85" s="185">
        <f>B73+B82</f>
        <v>31809.148200000003</v>
      </c>
      <c r="C85" s="185">
        <f>C73+C82</f>
        <v>8521.5131999999994</v>
      </c>
      <c r="D85" s="185">
        <f>D73+D82</f>
        <v>0</v>
      </c>
      <c r="E85" s="185">
        <f>E73+E82</f>
        <v>40330.661400000012</v>
      </c>
      <c r="F85" s="201"/>
      <c r="G85" s="201"/>
      <c r="H85" s="183"/>
      <c r="I85" s="184"/>
      <c r="J85" s="185">
        <f>J73+J82</f>
        <v>3837.6191899444443</v>
      </c>
      <c r="R85" s="177"/>
      <c r="W85" s="177"/>
    </row>
    <row r="86" spans="1:23">
      <c r="A86" s="163"/>
      <c r="B86" s="186"/>
      <c r="C86" s="186"/>
      <c r="D86" s="186"/>
      <c r="E86" s="186"/>
      <c r="F86" s="186"/>
      <c r="G86" s="186"/>
      <c r="H86" s="183"/>
      <c r="I86" s="184"/>
      <c r="J86" s="183"/>
      <c r="R86" s="177"/>
      <c r="W86" s="177"/>
    </row>
    <row r="88" spans="1:23">
      <c r="A88" s="163" t="s">
        <v>405</v>
      </c>
      <c r="B88" s="186"/>
      <c r="C88" s="186"/>
      <c r="D88" s="186"/>
      <c r="E88" s="186"/>
      <c r="F88" s="186"/>
      <c r="G88" s="186"/>
      <c r="H88" s="183"/>
      <c r="I88" s="184"/>
      <c r="J88" s="183"/>
    </row>
    <row r="89" spans="1:23" ht="12.75" customHeight="1">
      <c r="A89" s="163" t="s">
        <v>406</v>
      </c>
      <c r="B89" s="186"/>
      <c r="C89" s="186"/>
      <c r="D89" s="186"/>
      <c r="E89" s="186"/>
      <c r="F89" s="186"/>
      <c r="G89" s="186"/>
      <c r="H89" s="183"/>
      <c r="I89" s="184"/>
      <c r="J89" s="183"/>
    </row>
    <row r="90" spans="1:23" ht="12.75" customHeight="1">
      <c r="A90" s="163"/>
      <c r="B90" s="186"/>
      <c r="C90" s="186"/>
      <c r="D90" s="186"/>
      <c r="E90" s="186"/>
      <c r="F90" s="186"/>
      <c r="G90" s="186"/>
      <c r="H90" s="183"/>
      <c r="I90" s="184"/>
      <c r="J90" s="183"/>
    </row>
    <row r="91" spans="1:23" ht="29" customHeight="1">
      <c r="A91" s="207" t="s">
        <v>490</v>
      </c>
      <c r="B91" s="207"/>
      <c r="C91" s="207"/>
      <c r="D91" s="207"/>
      <c r="E91" s="207"/>
      <c r="F91" s="207"/>
      <c r="G91" s="207"/>
      <c r="H91" s="207"/>
      <c r="I91" s="207"/>
    </row>
    <row r="92" spans="1:23">
      <c r="A92" s="207" t="s">
        <v>493</v>
      </c>
      <c r="B92" s="207"/>
      <c r="C92" s="207"/>
      <c r="D92" s="207"/>
      <c r="E92" s="207"/>
      <c r="F92" s="207"/>
      <c r="G92" s="207"/>
      <c r="H92" s="207"/>
      <c r="I92" s="207"/>
    </row>
    <row r="93" spans="1:23">
      <c r="C93" s="177"/>
      <c r="J93" s="177"/>
    </row>
    <row r="94" spans="1:23">
      <c r="C94" s="177"/>
      <c r="D94" s="181"/>
      <c r="J94" s="177"/>
    </row>
    <row r="95" spans="1:23">
      <c r="D95" s="181"/>
    </row>
    <row r="96" spans="1:23">
      <c r="D96" s="181"/>
      <c r="E96" s="181"/>
      <c r="F96" s="181"/>
      <c r="G96" s="181"/>
      <c r="H96" s="181"/>
      <c r="I96" s="181"/>
      <c r="J96" s="181"/>
      <c r="K96" s="187"/>
    </row>
    <row r="99" spans="3:9">
      <c r="C99" s="177"/>
      <c r="D99" s="181"/>
    </row>
    <row r="100" spans="3:9">
      <c r="D100" s="181"/>
      <c r="E100" s="181"/>
      <c r="F100" s="181"/>
      <c r="G100" s="181"/>
      <c r="I100" s="187"/>
    </row>
  </sheetData>
  <mergeCells count="4">
    <mergeCell ref="B5:E5"/>
    <mergeCell ref="I6:I7"/>
    <mergeCell ref="A91:I91"/>
    <mergeCell ref="A92:I92"/>
  </mergeCells>
  <printOptions horizontalCentered="1"/>
  <pageMargins left="0.55118110236220474" right="0.31496062992125984" top="0.82677165354330717" bottom="0.9055118110236221" header="0.51181102362204722" footer="0.51181102362204722"/>
  <pageSetup scale="51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BF9E4-4224-4688-8991-B5DDAEBF411B}">
  <sheetPr>
    <tabColor theme="9" tint="0.39997558519241921"/>
    <pageSetUpPr fitToPage="1"/>
  </sheetPr>
  <dimension ref="A1:W98"/>
  <sheetViews>
    <sheetView view="pageBreakPreview" zoomScaleSheetLayoutView="100" workbookViewId="0">
      <pane ySplit="7" topLeftCell="A8" activePane="bottomLeft" state="frozen"/>
      <selection activeCell="H18" sqref="H18"/>
      <selection pane="bottomLeft" activeCell="A14" sqref="A14"/>
    </sheetView>
  </sheetViews>
  <sheetFormatPr defaultColWidth="9.08984375" defaultRowHeight="12.5"/>
  <cols>
    <col min="1" max="1" width="45.453125" style="159" customWidth="1"/>
    <col min="2" max="5" width="10.08984375" style="159" customWidth="1"/>
    <col min="6" max="6" width="1.7265625" style="159" customWidth="1"/>
    <col min="7" max="7" width="10.08984375" style="159" customWidth="1"/>
    <col min="8" max="8" width="2.36328125" style="159" customWidth="1"/>
    <col min="9" max="9" width="11.453125" style="159" customWidth="1"/>
    <col min="10" max="10" width="12.6328125" style="159" customWidth="1"/>
    <col min="11" max="11" width="4.6328125" style="159" customWidth="1"/>
    <col min="15" max="15" width="13.6328125" style="159" customWidth="1"/>
    <col min="16" max="17" width="9.08984375" style="159"/>
    <col min="18" max="18" width="11.36328125" style="159" bestFit="1" customWidth="1"/>
    <col min="19" max="22" width="9.08984375" style="159"/>
    <col min="23" max="23" width="10.36328125" style="159" bestFit="1" customWidth="1"/>
    <col min="24" max="16384" width="9.08984375" style="159"/>
  </cols>
  <sheetData>
    <row r="1" spans="1:15">
      <c r="A1" s="157" t="s">
        <v>377</v>
      </c>
      <c r="B1" s="157"/>
      <c r="C1" s="158"/>
      <c r="D1" s="158"/>
      <c r="E1" s="158"/>
      <c r="F1" s="158"/>
      <c r="G1" s="158"/>
      <c r="H1" s="158"/>
      <c r="I1" s="158"/>
      <c r="J1" s="197" t="s">
        <v>464</v>
      </c>
    </row>
    <row r="2" spans="1:15" ht="15" customHeight="1">
      <c r="A2" s="157" t="s">
        <v>476</v>
      </c>
      <c r="B2" s="157"/>
      <c r="C2" s="158"/>
      <c r="D2" s="158"/>
      <c r="E2" s="158"/>
      <c r="F2" s="158"/>
      <c r="G2" s="158"/>
      <c r="H2" s="158"/>
      <c r="I2" s="158"/>
      <c r="J2" s="196" t="str">
        <f>'Schedule 1'!$L$2</f>
        <v>2023/24 GRA Compliance Filing</v>
      </c>
    </row>
    <row r="3" spans="1:15" ht="15.75" customHeight="1" thickBot="1">
      <c r="A3" s="160" t="s">
        <v>337</v>
      </c>
      <c r="B3" s="161"/>
      <c r="C3" s="162"/>
      <c r="D3" s="162"/>
      <c r="E3" s="162"/>
      <c r="F3" s="162"/>
      <c r="G3" s="162"/>
      <c r="H3" s="162"/>
      <c r="I3" s="162"/>
      <c r="J3" s="162"/>
    </row>
    <row r="4" spans="1:15" ht="13" thickBot="1">
      <c r="A4" s="163"/>
      <c r="B4" s="161"/>
      <c r="C4" s="162"/>
      <c r="D4" s="162"/>
      <c r="E4" s="162"/>
      <c r="F4" s="158"/>
      <c r="G4" s="158"/>
      <c r="H4" s="158"/>
      <c r="I4" s="158"/>
      <c r="J4" s="162"/>
    </row>
    <row r="5" spans="1:15" ht="13" thickBot="1">
      <c r="A5" s="163"/>
      <c r="B5" s="203" t="s">
        <v>378</v>
      </c>
      <c r="C5" s="204"/>
      <c r="D5" s="204"/>
      <c r="E5" s="204"/>
      <c r="F5" s="164"/>
      <c r="G5" s="188" t="s">
        <v>489</v>
      </c>
      <c r="H5" s="164"/>
      <c r="I5" s="158"/>
      <c r="J5" s="188"/>
    </row>
    <row r="6" spans="1:15" ht="18" customHeight="1">
      <c r="A6" s="163"/>
      <c r="B6" s="165" t="s">
        <v>379</v>
      </c>
      <c r="C6" s="166" t="s">
        <v>465</v>
      </c>
      <c r="D6" s="167"/>
      <c r="E6" s="165" t="s">
        <v>379</v>
      </c>
      <c r="F6" s="165"/>
      <c r="G6" s="165" t="s">
        <v>379</v>
      </c>
      <c r="H6" s="168"/>
      <c r="I6" s="205" t="s">
        <v>494</v>
      </c>
      <c r="J6" s="166" t="str">
        <f>C6</f>
        <v>2024 Forecast</v>
      </c>
    </row>
    <row r="7" spans="1:15" ht="31.5" customHeight="1" thickBot="1">
      <c r="A7" s="163"/>
      <c r="B7" s="169">
        <v>2023</v>
      </c>
      <c r="C7" s="170" t="s">
        <v>380</v>
      </c>
      <c r="D7" s="171" t="s">
        <v>381</v>
      </c>
      <c r="E7" s="172">
        <f>B7+1</f>
        <v>2024</v>
      </c>
      <c r="F7" s="172"/>
      <c r="G7" s="169">
        <v>2023</v>
      </c>
      <c r="H7" s="172"/>
      <c r="I7" s="206"/>
      <c r="J7" s="171" t="s">
        <v>382</v>
      </c>
    </row>
    <row r="8" spans="1:15">
      <c r="A8" s="173" t="s">
        <v>383</v>
      </c>
    </row>
    <row r="9" spans="1:15">
      <c r="A9" s="174" t="s">
        <v>384</v>
      </c>
      <c r="I9" s="175"/>
    </row>
    <row r="10" spans="1:15">
      <c r="A10" s="159" t="s">
        <v>387</v>
      </c>
      <c r="B10" s="176">
        <f>'Schedule 3B - 2023'!E10</f>
        <v>4521.2649199999996</v>
      </c>
      <c r="C10" s="176"/>
      <c r="D10" s="176"/>
      <c r="E10" s="176">
        <f>B10+C10+D10</f>
        <v>4521.2649199999996</v>
      </c>
      <c r="F10" s="176"/>
      <c r="G10" s="176">
        <v>1356.3794879999996</v>
      </c>
      <c r="I10" s="95">
        <v>10</v>
      </c>
      <c r="J10" s="181">
        <f>MIN(B10/I10,G10)</f>
        <v>452.12649199999998</v>
      </c>
      <c r="K10" s="177"/>
      <c r="O10" s="177"/>
    </row>
    <row r="11" spans="1:15">
      <c r="A11" s="159" t="s">
        <v>385</v>
      </c>
      <c r="B11" s="176">
        <f>'Schedule 3B - 2023'!E13</f>
        <v>68.263350000000003</v>
      </c>
      <c r="C11" s="176"/>
      <c r="D11" s="176"/>
      <c r="E11" s="176">
        <f>B11+C11+D11</f>
        <v>68.263350000000003</v>
      </c>
      <c r="F11" s="176"/>
      <c r="G11" s="176">
        <v>10.211510000000008</v>
      </c>
      <c r="I11" s="95">
        <v>5</v>
      </c>
      <c r="J11" s="181">
        <f>MIN(B11/I11,G11)</f>
        <v>10.211510000000008</v>
      </c>
      <c r="K11" s="177"/>
      <c r="O11" s="177"/>
    </row>
    <row r="12" spans="1:15">
      <c r="A12" s="159" t="s">
        <v>431</v>
      </c>
      <c r="B12" s="176">
        <f>'Schedule 3B - 2023'!E14</f>
        <v>78.648449999999997</v>
      </c>
      <c r="C12" s="176"/>
      <c r="D12" s="176"/>
      <c r="E12" s="176">
        <f>B12+C12+D12</f>
        <v>78.648449999999997</v>
      </c>
      <c r="F12" s="176"/>
      <c r="G12" s="176">
        <v>15.729630000000006</v>
      </c>
      <c r="I12" s="95">
        <v>5</v>
      </c>
      <c r="J12" s="181">
        <f>MIN(B12/I12,G12)</f>
        <v>15.729630000000006</v>
      </c>
      <c r="K12" s="177"/>
      <c r="O12" s="177"/>
    </row>
    <row r="13" spans="1:15">
      <c r="A13" s="159" t="s">
        <v>391</v>
      </c>
      <c r="B13" s="176">
        <f>'Schedule 3B - 2023'!E15</f>
        <v>13.408709999999999</v>
      </c>
      <c r="C13" s="176"/>
      <c r="D13" s="176"/>
      <c r="E13" s="176">
        <f>B13+C13+D13</f>
        <v>13.408709999999999</v>
      </c>
      <c r="F13" s="176"/>
      <c r="G13" s="176">
        <v>1.3408379999999998</v>
      </c>
      <c r="I13" s="95">
        <v>5</v>
      </c>
      <c r="J13" s="181">
        <f>MIN(B13/I13,G13)</f>
        <v>1.3408379999999998</v>
      </c>
      <c r="K13" s="177"/>
      <c r="O13" s="177"/>
    </row>
    <row r="14" spans="1:15">
      <c r="A14" s="159" t="s">
        <v>432</v>
      </c>
      <c r="B14" s="176">
        <f>'Schedule 3B - 2023'!E16</f>
        <v>75.010990000000007</v>
      </c>
      <c r="C14" s="176"/>
      <c r="D14" s="176"/>
      <c r="E14" s="176">
        <f>B14+C14+D14</f>
        <v>75.010990000000007</v>
      </c>
      <c r="F14" s="176"/>
      <c r="G14" s="176">
        <v>15.002272</v>
      </c>
      <c r="I14" s="95">
        <v>5</v>
      </c>
      <c r="J14" s="181">
        <f>MIN(B14/I14,G14)</f>
        <v>15.002198000000002</v>
      </c>
      <c r="K14" s="177"/>
      <c r="O14" s="177"/>
    </row>
    <row r="15" spans="1:15">
      <c r="A15" s="159" t="s">
        <v>433</v>
      </c>
      <c r="B15" s="176">
        <f>'Schedule 3B - 2023'!E17</f>
        <v>14.51037</v>
      </c>
      <c r="C15" s="176"/>
      <c r="D15" s="176"/>
      <c r="E15" s="176">
        <f>B15+C15+D15</f>
        <v>14.51037</v>
      </c>
      <c r="F15" s="176"/>
      <c r="G15" s="176">
        <v>1.4510260000000006</v>
      </c>
      <c r="I15" s="95">
        <v>5</v>
      </c>
      <c r="J15" s="181">
        <f>MIN(B15/I15,G15)</f>
        <v>1.4510260000000006</v>
      </c>
      <c r="K15" s="177"/>
      <c r="O15" s="177"/>
    </row>
    <row r="16" spans="1:15">
      <c r="A16" s="159" t="s">
        <v>388</v>
      </c>
      <c r="B16" s="176">
        <f>'Schedule 3B - 2023'!E18</f>
        <v>667.05370999999991</v>
      </c>
      <c r="C16" s="176"/>
      <c r="D16" s="176"/>
      <c r="E16" s="176">
        <f>B16+C16+D16</f>
        <v>667.05370999999991</v>
      </c>
      <c r="F16" s="176"/>
      <c r="G16" s="176">
        <v>211.23371800000001</v>
      </c>
      <c r="I16" s="95">
        <v>5</v>
      </c>
      <c r="J16" s="181">
        <f>MIN(B16/I16,G16)</f>
        <v>133.41074199999997</v>
      </c>
      <c r="K16" s="177"/>
      <c r="O16" s="177"/>
    </row>
    <row r="17" spans="1:16">
      <c r="A17" s="159" t="s">
        <v>434</v>
      </c>
      <c r="B17" s="176">
        <f>'Schedule 3B - 2023'!E19</f>
        <v>5.8006800000000007</v>
      </c>
      <c r="C17" s="176"/>
      <c r="D17" s="176"/>
      <c r="E17" s="176">
        <f>B17+C17+D17</f>
        <v>5.8006800000000007</v>
      </c>
      <c r="F17" s="176"/>
      <c r="G17" s="176">
        <v>2.3202239999999996</v>
      </c>
      <c r="I17" s="95">
        <v>5</v>
      </c>
      <c r="J17" s="181">
        <f>MIN(B17/I17,G17)</f>
        <v>1.1601360000000001</v>
      </c>
      <c r="K17" s="177"/>
      <c r="O17" s="177"/>
    </row>
    <row r="18" spans="1:16">
      <c r="A18" s="159" t="s">
        <v>423</v>
      </c>
      <c r="B18" s="176">
        <f>'Schedule 3B - 2023'!E20</f>
        <v>24.55237</v>
      </c>
      <c r="C18" s="177"/>
      <c r="D18" s="176"/>
      <c r="E18" s="176">
        <f>B18+C18+D18</f>
        <v>24.55237</v>
      </c>
      <c r="F18" s="176"/>
      <c r="G18" s="176">
        <v>9.8208559999999991</v>
      </c>
      <c r="I18" s="95">
        <v>5</v>
      </c>
      <c r="J18" s="181">
        <f>MIN(B18/I18,G18)</f>
        <v>4.9104739999999998</v>
      </c>
      <c r="K18" s="177"/>
      <c r="O18" s="177"/>
    </row>
    <row r="19" spans="1:16">
      <c r="A19" s="159" t="s">
        <v>424</v>
      </c>
      <c r="B19" s="176">
        <f>'Schedule 3B - 2023'!E21</f>
        <v>87.526200000000003</v>
      </c>
      <c r="C19" s="177"/>
      <c r="D19" s="176"/>
      <c r="E19" s="176">
        <f>B19+C19+D19</f>
        <v>87.526200000000003</v>
      </c>
      <c r="F19" s="176"/>
      <c r="G19" s="176">
        <v>35.010479999999994</v>
      </c>
      <c r="I19" s="95">
        <v>5</v>
      </c>
      <c r="J19" s="181">
        <f>MIN(B19/I19,G19)</f>
        <v>17.505240000000001</v>
      </c>
      <c r="K19" s="177"/>
      <c r="O19" s="177"/>
    </row>
    <row r="20" spans="1:16">
      <c r="A20" s="159" t="s">
        <v>435</v>
      </c>
      <c r="B20" s="176">
        <f>'Schedule 3B - 2023'!E22</f>
        <v>744.28342000000009</v>
      </c>
      <c r="C20" s="176"/>
      <c r="D20" s="176"/>
      <c r="E20" s="176">
        <f>B20+C20+D20</f>
        <v>744.28342000000009</v>
      </c>
      <c r="F20" s="176"/>
      <c r="G20" s="176">
        <v>297.71345600000006</v>
      </c>
      <c r="I20" s="95">
        <v>5</v>
      </c>
      <c r="J20" s="181">
        <f>MIN(B20/I20,G20)</f>
        <v>148.85668400000003</v>
      </c>
      <c r="K20" s="177"/>
      <c r="O20" s="177"/>
    </row>
    <row r="21" spans="1:16">
      <c r="A21" s="159" t="s">
        <v>436</v>
      </c>
      <c r="B21" s="176">
        <f>'Schedule 3B - 2023'!E23</f>
        <v>16.46069</v>
      </c>
      <c r="C21" s="176"/>
      <c r="D21" s="176"/>
      <c r="E21" s="176">
        <f>B21+C21+D21</f>
        <v>16.46069</v>
      </c>
      <c r="F21" s="176"/>
      <c r="G21" s="176">
        <v>3.2922519999999973</v>
      </c>
      <c r="I21" s="95">
        <v>5</v>
      </c>
      <c r="J21" s="181">
        <f>MIN(B21/I21,G21)</f>
        <v>3.292138</v>
      </c>
      <c r="K21" s="177"/>
      <c r="O21" s="177"/>
    </row>
    <row r="22" spans="1:16">
      <c r="A22" s="159" t="s">
        <v>425</v>
      </c>
      <c r="B22" s="176">
        <f>'Schedule 3B - 2023'!E24</f>
        <v>89.50752</v>
      </c>
      <c r="C22" s="176"/>
      <c r="D22" s="176"/>
      <c r="E22" s="176">
        <f>B22+C22+D22</f>
        <v>89.50752</v>
      </c>
      <c r="F22" s="176"/>
      <c r="G22" s="176">
        <v>43.261986000000007</v>
      </c>
      <c r="I22" s="95">
        <v>5</v>
      </c>
      <c r="J22" s="181">
        <f>MIN(B22/I22,G22)</f>
        <v>17.901503999999999</v>
      </c>
      <c r="K22" s="177"/>
      <c r="O22" s="177"/>
    </row>
    <row r="23" spans="1:16">
      <c r="A23" s="159" t="s">
        <v>437</v>
      </c>
      <c r="B23" s="176">
        <f>'Schedule 3B - 2023'!E25</f>
        <v>73.277100000000004</v>
      </c>
      <c r="C23" s="176"/>
      <c r="D23" s="176"/>
      <c r="E23" s="176">
        <f>B23+C23+D23</f>
        <v>73.277100000000004</v>
      </c>
      <c r="F23" s="176"/>
      <c r="G23" s="176">
        <v>42.440430000000006</v>
      </c>
      <c r="I23" s="95">
        <v>5</v>
      </c>
      <c r="J23" s="181">
        <f>MIN(B23/I23,G23)</f>
        <v>14.655420000000001</v>
      </c>
      <c r="K23" s="177"/>
    </row>
    <row r="24" spans="1:16">
      <c r="A24" s="159" t="s">
        <v>438</v>
      </c>
      <c r="B24" s="176">
        <f>'Schedule 3B - 2023'!E26</f>
        <v>52.514710000000001</v>
      </c>
      <c r="C24" s="176"/>
      <c r="D24" s="176"/>
      <c r="E24" s="176">
        <f>B24+C24+D24</f>
        <v>52.514710000000001</v>
      </c>
      <c r="F24" s="176"/>
      <c r="G24" s="176">
        <v>31.508768</v>
      </c>
      <c r="I24" s="95">
        <v>5</v>
      </c>
      <c r="J24" s="181">
        <f>MIN(B24/I24,G24)</f>
        <v>10.502942000000001</v>
      </c>
      <c r="K24" s="177"/>
      <c r="P24" s="177"/>
    </row>
    <row r="25" spans="1:16">
      <c r="A25" s="159" t="s">
        <v>429</v>
      </c>
      <c r="B25" s="176">
        <f>'Schedule 3B - 2023'!E27</f>
        <v>59.194720000000004</v>
      </c>
      <c r="C25" s="176"/>
      <c r="D25" s="176"/>
      <c r="E25" s="176">
        <f>B25+C25+D25</f>
        <v>59.194720000000004</v>
      </c>
      <c r="F25" s="176"/>
      <c r="G25" s="176">
        <v>35.516816000000006</v>
      </c>
      <c r="I25" s="95">
        <v>5</v>
      </c>
      <c r="J25" s="181">
        <f>MIN(B25/I25,G25)</f>
        <v>11.838944000000001</v>
      </c>
      <c r="K25" s="177"/>
      <c r="P25" s="177"/>
    </row>
    <row r="26" spans="1:16">
      <c r="A26" s="159" t="s">
        <v>390</v>
      </c>
      <c r="B26" s="176">
        <f>'Schedule 3B - 2023'!E28</f>
        <v>77.782899999999998</v>
      </c>
      <c r="C26" s="176"/>
      <c r="D26" s="176"/>
      <c r="E26" s="176">
        <f>B26+C26+D26</f>
        <v>77.782899999999998</v>
      </c>
      <c r="F26" s="176"/>
      <c r="G26" s="176">
        <v>42.706029999999984</v>
      </c>
      <c r="I26" s="95">
        <v>5</v>
      </c>
      <c r="J26" s="181">
        <f>MIN(B26/I26,G26)</f>
        <v>15.55658</v>
      </c>
      <c r="K26" s="177"/>
      <c r="O26" s="177"/>
    </row>
    <row r="27" spans="1:16">
      <c r="A27" s="159" t="s">
        <v>439</v>
      </c>
      <c r="B27" s="176">
        <f>'Schedule 3B - 2023'!E29</f>
        <v>396.30655000000002</v>
      </c>
      <c r="C27" s="176"/>
      <c r="D27" s="176"/>
      <c r="E27" s="176">
        <f>B27+C27+D27</f>
        <v>396.30655000000002</v>
      </c>
      <c r="F27" s="176"/>
      <c r="G27" s="176">
        <v>265.90732000000003</v>
      </c>
      <c r="I27" s="95">
        <v>5</v>
      </c>
      <c r="J27" s="181">
        <f>MIN(B27/I27,G27)</f>
        <v>79.261310000000009</v>
      </c>
      <c r="K27" s="177"/>
    </row>
    <row r="28" spans="1:16">
      <c r="A28" s="159" t="s">
        <v>426</v>
      </c>
      <c r="B28" s="176">
        <f>'Schedule 3B - 2023'!E30</f>
        <v>115.23152999999999</v>
      </c>
      <c r="C28" s="176"/>
      <c r="D28" s="176"/>
      <c r="E28" s="176">
        <f>B28+C28+D28</f>
        <v>115.23152999999999</v>
      </c>
      <c r="F28" s="176"/>
      <c r="G28" s="176">
        <v>84.355794000000003</v>
      </c>
      <c r="I28" s="95">
        <v>5</v>
      </c>
      <c r="J28" s="181">
        <f>MIN(B28/I28,G28)</f>
        <v>23.046305999999998</v>
      </c>
      <c r="K28" s="177"/>
    </row>
    <row r="29" spans="1:16">
      <c r="A29" s="159" t="s">
        <v>386</v>
      </c>
      <c r="B29" s="176">
        <f>'Schedule 3B - 2023'!E31</f>
        <v>59.53539</v>
      </c>
      <c r="C29" s="176"/>
      <c r="D29" s="176"/>
      <c r="E29" s="176">
        <f>B29+C29+D29</f>
        <v>59.53539</v>
      </c>
      <c r="F29" s="176"/>
      <c r="G29" s="176">
        <v>47.628312000000001</v>
      </c>
      <c r="I29" s="95">
        <v>5</v>
      </c>
      <c r="J29" s="181">
        <f>MIN(B29/I29,G29)</f>
        <v>11.907078</v>
      </c>
      <c r="K29" s="177"/>
    </row>
    <row r="30" spans="1:16">
      <c r="A30" s="159" t="s">
        <v>427</v>
      </c>
      <c r="B30" s="176">
        <f>'Schedule 3B - 2023'!E32</f>
        <v>196.33029000000002</v>
      </c>
      <c r="C30" s="176"/>
      <c r="D30" s="176"/>
      <c r="E30" s="176">
        <f>B30+C30+D30</f>
        <v>196.33029000000002</v>
      </c>
      <c r="F30" s="176"/>
      <c r="G30" s="176">
        <v>157.064232</v>
      </c>
      <c r="I30" s="95">
        <v>5</v>
      </c>
      <c r="J30" s="181">
        <f>MIN(B30/I30,G30)</f>
        <v>39.266058000000001</v>
      </c>
      <c r="K30" s="177"/>
    </row>
    <row r="31" spans="1:16">
      <c r="A31" s="159" t="s">
        <v>428</v>
      </c>
      <c r="B31" s="176">
        <f>'Schedule 3B - 2023'!E33</f>
        <v>46.831489999999995</v>
      </c>
      <c r="C31" s="176"/>
      <c r="D31" s="176"/>
      <c r="E31" s="176">
        <f>B31+C31+D31</f>
        <v>46.831489999999995</v>
      </c>
      <c r="F31" s="176"/>
      <c r="G31" s="176">
        <v>36.644041999999999</v>
      </c>
      <c r="I31" s="95">
        <v>5</v>
      </c>
      <c r="J31" s="181">
        <f>MIN(B31/I31,G31)</f>
        <v>9.3662979999999987</v>
      </c>
      <c r="K31" s="177"/>
    </row>
    <row r="32" spans="1:16">
      <c r="A32" s="159" t="s">
        <v>448</v>
      </c>
      <c r="B32" s="176">
        <f>'Schedule 3B - 2023'!E35</f>
        <v>8784.170970000001</v>
      </c>
      <c r="C32" s="176"/>
      <c r="D32" s="176"/>
      <c r="E32" s="176">
        <f>B32+C32+D32</f>
        <v>8784.170970000001</v>
      </c>
      <c r="F32" s="176"/>
      <c r="G32" s="176">
        <v>7905.7538730000006</v>
      </c>
      <c r="I32" s="95">
        <v>10</v>
      </c>
      <c r="J32" s="181">
        <f>MIN(B32/I32,G32)</f>
        <v>878.41709700000013</v>
      </c>
      <c r="K32" s="177"/>
    </row>
    <row r="33" spans="1:15">
      <c r="A33" s="159" t="s">
        <v>449</v>
      </c>
      <c r="B33" s="176">
        <f>'Schedule 3B - 2023'!E36</f>
        <v>200</v>
      </c>
      <c r="C33" s="176"/>
      <c r="D33" s="176"/>
      <c r="E33" s="176">
        <f>B33+C33+D33</f>
        <v>200</v>
      </c>
      <c r="F33" s="176"/>
      <c r="G33" s="176">
        <v>200</v>
      </c>
      <c r="I33" s="95">
        <v>5</v>
      </c>
      <c r="J33" s="181">
        <f>MIN(B33/I33,G33)</f>
        <v>40</v>
      </c>
      <c r="K33" s="177"/>
    </row>
    <row r="34" spans="1:15">
      <c r="A34" s="159" t="s">
        <v>450</v>
      </c>
      <c r="B34" s="176">
        <f>'Schedule 3B - 2023'!E37</f>
        <v>197.67159000000001</v>
      </c>
      <c r="C34" s="176"/>
      <c r="D34" s="176"/>
      <c r="E34" s="176">
        <f>B34+C34+D34</f>
        <v>197.67159000000001</v>
      </c>
      <c r="F34" s="176"/>
      <c r="G34" s="176">
        <v>197.67159000000001</v>
      </c>
      <c r="I34" s="95">
        <v>5</v>
      </c>
      <c r="J34" s="181">
        <f>MIN(B34/I34,G34)</f>
        <v>39.534317999999999</v>
      </c>
      <c r="K34" s="177"/>
    </row>
    <row r="35" spans="1:15">
      <c r="A35" s="159" t="s">
        <v>451</v>
      </c>
      <c r="B35" s="176">
        <f>'Schedule 3B - 2023'!E38</f>
        <v>168.41776000000002</v>
      </c>
      <c r="C35" s="176"/>
      <c r="D35" s="176"/>
      <c r="E35" s="176">
        <f>B35+C35+D35</f>
        <v>168.41776000000002</v>
      </c>
      <c r="F35" s="176"/>
      <c r="G35" s="176">
        <v>168.41776000000002</v>
      </c>
      <c r="I35" s="95">
        <v>5</v>
      </c>
      <c r="J35" s="181">
        <f>MIN(B35/I35,G35)</f>
        <v>33.683552000000006</v>
      </c>
      <c r="K35" s="177"/>
    </row>
    <row r="36" spans="1:15">
      <c r="A36" s="159" t="s">
        <v>466</v>
      </c>
      <c r="B36" s="176"/>
      <c r="C36" s="176">
        <v>250</v>
      </c>
      <c r="D36" s="176"/>
      <c r="E36" s="176">
        <f>B36+C36+D36</f>
        <v>250</v>
      </c>
      <c r="F36" s="176"/>
      <c r="G36" s="176"/>
      <c r="I36" s="95">
        <v>5</v>
      </c>
      <c r="J36" s="176"/>
      <c r="K36" s="177"/>
    </row>
    <row r="37" spans="1:15">
      <c r="A37" s="159" t="s">
        <v>467</v>
      </c>
      <c r="B37" s="176"/>
      <c r="C37" s="176">
        <v>200</v>
      </c>
      <c r="D37" s="176"/>
      <c r="E37" s="176">
        <f>B37+C37+D37</f>
        <v>200</v>
      </c>
      <c r="F37" s="176"/>
      <c r="G37" s="176"/>
      <c r="I37" s="95">
        <v>5</v>
      </c>
      <c r="J37" s="181">
        <f>MIN(C37/I37,G37)</f>
        <v>40</v>
      </c>
      <c r="K37" s="177"/>
    </row>
    <row r="38" spans="1:15">
      <c r="A38" s="159" t="s">
        <v>468</v>
      </c>
      <c r="B38" s="176"/>
      <c r="C38" s="176">
        <v>100</v>
      </c>
      <c r="D38" s="176"/>
      <c r="E38" s="176">
        <f>B38+C38+D38</f>
        <v>100</v>
      </c>
      <c r="F38" s="176"/>
      <c r="G38" s="176"/>
      <c r="I38" s="95">
        <v>5</v>
      </c>
      <c r="J38" s="176"/>
      <c r="K38" s="177"/>
    </row>
    <row r="39" spans="1:15">
      <c r="A39" s="159" t="s">
        <v>452</v>
      </c>
      <c r="B39" s="176">
        <f>'Schedule 3B - 2023'!E39</f>
        <v>319.03999999999996</v>
      </c>
      <c r="C39" s="176">
        <v>-10</v>
      </c>
      <c r="D39" s="176"/>
      <c r="E39" s="176">
        <f>B39+C39+D39</f>
        <v>309.03999999999996</v>
      </c>
      <c r="F39" s="176"/>
      <c r="G39" s="176">
        <v>319.03999999999996</v>
      </c>
      <c r="I39" s="95">
        <v>5</v>
      </c>
      <c r="J39" s="181">
        <f>MIN(B39/I39,G39)</f>
        <v>63.807999999999993</v>
      </c>
      <c r="K39" s="177"/>
    </row>
    <row r="40" spans="1:15">
      <c r="B40" s="176"/>
      <c r="C40" s="176"/>
      <c r="D40" s="176"/>
      <c r="E40" s="176"/>
      <c r="F40" s="176"/>
      <c r="G40" s="176"/>
      <c r="I40" s="175"/>
      <c r="J40" s="176"/>
      <c r="K40" s="177"/>
      <c r="O40" s="177"/>
    </row>
    <row r="41" spans="1:15">
      <c r="A41" s="173" t="s">
        <v>392</v>
      </c>
      <c r="B41" s="177">
        <f>SUM(B10:B40)</f>
        <v>17152.596380000003</v>
      </c>
      <c r="C41" s="177">
        <f>SUM(C10:C40)</f>
        <v>540</v>
      </c>
      <c r="D41" s="177">
        <f>SUM(D10:D40)</f>
        <v>0</v>
      </c>
      <c r="E41" s="177">
        <f>SUM(E10:E40)</f>
        <v>17692.596380000003</v>
      </c>
      <c r="F41" s="177"/>
      <c r="G41" s="177">
        <f>SUM(G10:G40)</f>
        <v>11537.422703</v>
      </c>
      <c r="I41" s="175"/>
      <c r="J41" s="177">
        <f>SUM(J10:J40)</f>
        <v>2133.7425149999999</v>
      </c>
      <c r="O41" s="177"/>
    </row>
    <row r="42" spans="1:15">
      <c r="I42" s="175"/>
    </row>
    <row r="43" spans="1:15">
      <c r="A43" s="173" t="s">
        <v>393</v>
      </c>
      <c r="B43" s="177"/>
      <c r="C43" s="177"/>
      <c r="D43" s="177"/>
      <c r="E43" s="177"/>
      <c r="F43" s="177"/>
      <c r="G43" s="177"/>
      <c r="J43" s="177"/>
    </row>
    <row r="44" spans="1:15">
      <c r="A44" s="179" t="s">
        <v>384</v>
      </c>
      <c r="E44" s="177"/>
      <c r="F44" s="177"/>
      <c r="G44" s="177"/>
    </row>
    <row r="45" spans="1:15">
      <c r="A45" s="180" t="s">
        <v>317</v>
      </c>
      <c r="B45" s="176">
        <f>'Schedule 3B - 2023'!E45</f>
        <v>4649.30674</v>
      </c>
      <c r="C45" s="177">
        <v>1160</v>
      </c>
      <c r="D45" s="177"/>
      <c r="E45" s="177">
        <f>B45+C45+D45</f>
        <v>5809.30674</v>
      </c>
      <c r="F45" s="177"/>
      <c r="G45" s="176">
        <v>3187.1697530000001</v>
      </c>
      <c r="H45" s="177"/>
      <c r="I45" s="95">
        <v>10</v>
      </c>
      <c r="J45" s="181">
        <f>MIN(B45/I45,G45)</f>
        <v>464.93067400000001</v>
      </c>
      <c r="K45" s="177"/>
    </row>
    <row r="46" spans="1:15">
      <c r="A46" s="180" t="s">
        <v>395</v>
      </c>
      <c r="B46" s="176">
        <f>'Schedule 3B - 2023'!E46</f>
        <v>185.01089000000002</v>
      </c>
      <c r="C46" s="177"/>
      <c r="D46" s="177"/>
      <c r="E46" s="177">
        <f>B46+C46+D46</f>
        <v>185.01089000000002</v>
      </c>
      <c r="F46" s="177"/>
      <c r="G46" s="176">
        <v>119.15830688888889</v>
      </c>
      <c r="H46" s="177"/>
      <c r="I46" s="95">
        <v>45</v>
      </c>
      <c r="J46" s="181">
        <f>MIN(B46/I46,G46)</f>
        <v>4.1113531111111117</v>
      </c>
      <c r="K46" s="177"/>
    </row>
    <row r="47" spans="1:15">
      <c r="A47" s="180" t="s">
        <v>394</v>
      </c>
      <c r="B47" s="176">
        <f>'Schedule 3B - 2023'!E50</f>
        <v>633.98004000000003</v>
      </c>
      <c r="C47" s="177"/>
      <c r="D47" s="177"/>
      <c r="E47" s="177">
        <f>B47+C47+D47</f>
        <v>633.98004000000003</v>
      </c>
      <c r="F47" s="177"/>
      <c r="G47" s="176">
        <v>253.59211200000001</v>
      </c>
      <c r="H47" s="177"/>
      <c r="I47" s="95">
        <v>5</v>
      </c>
      <c r="J47" s="181">
        <f>MIN(B47/I47,G47)</f>
        <v>126.796008</v>
      </c>
      <c r="K47" s="177"/>
    </row>
    <row r="48" spans="1:15">
      <c r="A48" s="180" t="s">
        <v>444</v>
      </c>
      <c r="B48" s="176">
        <f>'Schedule 3B - 2023'!E51</f>
        <v>-2101.7225399999998</v>
      </c>
      <c r="C48" s="177"/>
      <c r="D48" s="177"/>
      <c r="E48" s="177">
        <f>B48+C48+D48</f>
        <v>-2101.7225399999998</v>
      </c>
      <c r="F48" s="177"/>
      <c r="G48" s="176">
        <v>-1330.6510330000001</v>
      </c>
      <c r="H48" s="177"/>
      <c r="I48" s="95">
        <v>10</v>
      </c>
      <c r="J48" s="176">
        <f>MAX(B48/I48,G48)</f>
        <v>-210.17225399999998</v>
      </c>
      <c r="K48" s="177"/>
    </row>
    <row r="49" spans="1:18">
      <c r="A49" s="180" t="s">
        <v>454</v>
      </c>
      <c r="B49" s="176">
        <f>'Schedule 3B - 2023'!E53</f>
        <v>385.63777000000005</v>
      </c>
      <c r="C49" s="177"/>
      <c r="D49" s="177"/>
      <c r="E49" s="177">
        <f>B49+C49+D49</f>
        <v>385.63777000000005</v>
      </c>
      <c r="F49" s="177"/>
      <c r="G49" s="177"/>
      <c r="H49" s="177"/>
      <c r="I49" s="175" t="s">
        <v>93</v>
      </c>
      <c r="J49" s="176"/>
      <c r="K49" s="177"/>
    </row>
    <row r="50" spans="1:18">
      <c r="A50" s="180" t="s">
        <v>453</v>
      </c>
      <c r="B50" s="176">
        <f>'Schedule 3B - 2023'!E54</f>
        <v>23.148499999999999</v>
      </c>
      <c r="C50" s="177"/>
      <c r="D50" s="177"/>
      <c r="E50" s="177">
        <f>B50+C50+D50</f>
        <v>23.148499999999999</v>
      </c>
      <c r="F50" s="177"/>
      <c r="G50" s="177"/>
      <c r="H50" s="177"/>
      <c r="I50" s="175" t="s">
        <v>93</v>
      </c>
      <c r="J50" s="176"/>
      <c r="K50" s="177"/>
    </row>
    <row r="51" spans="1:18">
      <c r="A51" s="180" t="s">
        <v>469</v>
      </c>
      <c r="B51" s="176"/>
      <c r="C51" s="177">
        <v>0</v>
      </c>
      <c r="D51" s="177"/>
      <c r="E51" s="177">
        <f>B51+C51+D51</f>
        <v>0</v>
      </c>
      <c r="F51" s="177"/>
      <c r="G51" s="177"/>
      <c r="H51" s="177"/>
      <c r="I51" s="175" t="s">
        <v>93</v>
      </c>
      <c r="J51" s="176"/>
      <c r="K51" s="177"/>
    </row>
    <row r="52" spans="1:18">
      <c r="A52" s="180"/>
      <c r="B52" s="177"/>
      <c r="C52" s="177"/>
      <c r="D52" s="177"/>
      <c r="E52" s="177"/>
      <c r="F52" s="177"/>
      <c r="G52" s="177"/>
      <c r="H52" s="177"/>
      <c r="I52" s="175"/>
      <c r="J52" s="176"/>
      <c r="K52" s="177"/>
    </row>
    <row r="53" spans="1:18">
      <c r="A53" s="173" t="s">
        <v>396</v>
      </c>
      <c r="B53" s="177">
        <f>SUM(B44:B52)</f>
        <v>3775.3614000000002</v>
      </c>
      <c r="C53" s="177">
        <f>SUM(C44:C52)</f>
        <v>1160</v>
      </c>
      <c r="D53" s="177">
        <f>SUM(D44:D52)</f>
        <v>0</v>
      </c>
      <c r="E53" s="177">
        <f>SUM(E44:E52)</f>
        <v>4935.3614000000007</v>
      </c>
      <c r="F53" s="177"/>
      <c r="G53" s="177">
        <f>SUM(G44:G52)</f>
        <v>2229.2691388888888</v>
      </c>
      <c r="H53" s="177"/>
      <c r="I53" s="177"/>
      <c r="J53" s="177">
        <f>SUM(J44:J52)</f>
        <v>385.66578111111119</v>
      </c>
      <c r="K53" s="177"/>
      <c r="O53" s="177"/>
    </row>
    <row r="54" spans="1:18">
      <c r="A54" s="180"/>
      <c r="B54" s="177"/>
      <c r="C54" s="177"/>
      <c r="D54" s="177"/>
      <c r="E54" s="177"/>
      <c r="F54" s="177"/>
      <c r="G54" s="177"/>
      <c r="H54" s="177"/>
      <c r="I54" s="175"/>
      <c r="J54" s="177"/>
      <c r="K54" s="177"/>
    </row>
    <row r="56" spans="1:18">
      <c r="A56" s="173" t="s">
        <v>90</v>
      </c>
      <c r="B56" s="177"/>
      <c r="C56" s="177"/>
      <c r="D56" s="177"/>
      <c r="E56" s="177"/>
      <c r="F56" s="177"/>
      <c r="G56" s="177"/>
      <c r="H56" s="177"/>
      <c r="I56" s="177"/>
      <c r="J56" s="177"/>
    </row>
    <row r="57" spans="1:18">
      <c r="A57" s="179" t="s">
        <v>384</v>
      </c>
      <c r="B57" s="177"/>
      <c r="C57" s="177"/>
      <c r="D57" s="177"/>
      <c r="E57" s="177"/>
      <c r="F57" s="177"/>
      <c r="G57" s="177"/>
      <c r="H57" s="177"/>
      <c r="I57" s="177"/>
      <c r="J57" s="177"/>
    </row>
    <row r="58" spans="1:18">
      <c r="A58" s="159" t="s">
        <v>446</v>
      </c>
      <c r="B58" s="176">
        <f>'Schedule 3B - 2023'!E62</f>
        <v>3903.4295200000001</v>
      </c>
      <c r="C58" s="176">
        <v>804.39715000000001</v>
      </c>
      <c r="D58" s="177"/>
      <c r="E58" s="177">
        <f>B58+C58+D58</f>
        <v>4707.8266700000004</v>
      </c>
      <c r="F58" s="177"/>
      <c r="G58" s="176">
        <v>3122.7436160000002</v>
      </c>
      <c r="H58" s="177"/>
      <c r="I58" s="95">
        <v>5</v>
      </c>
      <c r="J58" s="181">
        <f>MIN(B58/I58,G58)</f>
        <v>780.68590400000005</v>
      </c>
      <c r="K58" s="177"/>
    </row>
    <row r="59" spans="1:18">
      <c r="A59" s="159" t="s">
        <v>398</v>
      </c>
      <c r="B59" s="176">
        <f>'Schedule 3B - 2023'!E63</f>
        <v>39.986849999999997</v>
      </c>
      <c r="C59" s="176"/>
      <c r="D59" s="177"/>
      <c r="E59" s="177">
        <f>B59+C59+D59</f>
        <v>39.986849999999997</v>
      </c>
      <c r="F59" s="177"/>
      <c r="G59" s="176">
        <v>32.782647999999995</v>
      </c>
      <c r="H59" s="177"/>
      <c r="I59" s="95">
        <v>25</v>
      </c>
      <c r="J59" s="181">
        <f>MIN(B59/I59,G59)</f>
        <v>1.5994739999999998</v>
      </c>
      <c r="K59" s="177"/>
    </row>
    <row r="60" spans="1:18">
      <c r="A60" s="159" t="s">
        <v>399</v>
      </c>
      <c r="B60" s="176">
        <f>'Schedule 3B - 2023'!E64</f>
        <v>285.86732000000001</v>
      </c>
      <c r="C60" s="176"/>
      <c r="D60" s="177"/>
      <c r="E60" s="177">
        <f>B60+C60+D60</f>
        <v>285.86732000000001</v>
      </c>
      <c r="F60" s="177"/>
      <c r="G60" s="176">
        <v>25.171077000000018</v>
      </c>
      <c r="H60" s="177"/>
      <c r="I60" s="175" t="s">
        <v>447</v>
      </c>
      <c r="J60" s="177">
        <f>20603.54/1000-1</f>
        <v>19.603540000000002</v>
      </c>
      <c r="K60" s="177" t="s">
        <v>488</v>
      </c>
    </row>
    <row r="61" spans="1:18">
      <c r="A61" s="159" t="s">
        <v>400</v>
      </c>
      <c r="B61" s="176">
        <f>'Schedule 3B - 2023'!E65</f>
        <v>128.80160000000001</v>
      </c>
      <c r="C61" s="176"/>
      <c r="D61" s="177"/>
      <c r="E61" s="177">
        <f>B61+C61+D61</f>
        <v>128.80160000000001</v>
      </c>
      <c r="F61" s="177"/>
      <c r="G61" s="176">
        <v>22.191939500000025</v>
      </c>
      <c r="H61" s="177"/>
      <c r="I61" s="175" t="s">
        <v>447</v>
      </c>
      <c r="J61" s="177">
        <f>10938.3658333333/1000</f>
        <v>10.9383658333333</v>
      </c>
      <c r="K61" s="177" t="s">
        <v>488</v>
      </c>
    </row>
    <row r="62" spans="1:18">
      <c r="A62" s="159" t="s">
        <v>470</v>
      </c>
      <c r="B62" s="176"/>
      <c r="C62" s="176">
        <v>413</v>
      </c>
      <c r="D62" s="177"/>
      <c r="E62" s="177">
        <f>B62+C62+D62</f>
        <v>413</v>
      </c>
      <c r="F62" s="177"/>
      <c r="G62" s="176"/>
      <c r="H62" s="177"/>
      <c r="I62" s="95">
        <v>25</v>
      </c>
      <c r="J62" s="177"/>
    </row>
    <row r="63" spans="1:18"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Q63" s="177"/>
    </row>
    <row r="64" spans="1:18">
      <c r="A64" s="173" t="s">
        <v>401</v>
      </c>
      <c r="B64" s="177">
        <f>SUM(B57:B63)</f>
        <v>4358.08529</v>
      </c>
      <c r="C64" s="177">
        <f>SUM(C57:C63)</f>
        <v>1217.39715</v>
      </c>
      <c r="D64" s="177">
        <f>SUM(D57:D63)</f>
        <v>0</v>
      </c>
      <c r="E64" s="177">
        <f>SUM(E57:E63)</f>
        <v>5575.4824400000007</v>
      </c>
      <c r="F64" s="177"/>
      <c r="G64" s="177">
        <f>SUM(G57:G63)</f>
        <v>3202.8892805</v>
      </c>
      <c r="H64" s="177"/>
      <c r="I64" s="177"/>
      <c r="J64" s="177">
        <f>SUM(J57:J63)</f>
        <v>812.82728383333324</v>
      </c>
      <c r="O64" s="177"/>
      <c r="R64" s="177"/>
    </row>
    <row r="65" spans="1:23">
      <c r="B65" s="177"/>
      <c r="C65" s="177"/>
      <c r="D65" s="177"/>
      <c r="E65" s="177"/>
      <c r="F65" s="177"/>
      <c r="G65" s="177"/>
      <c r="H65" s="177"/>
      <c r="I65" s="177"/>
      <c r="J65" s="177"/>
      <c r="R65" s="177"/>
    </row>
    <row r="66" spans="1:23">
      <c r="B66" s="177"/>
      <c r="C66" s="177"/>
      <c r="D66" s="177"/>
      <c r="E66" s="177"/>
      <c r="F66" s="177"/>
      <c r="G66" s="177"/>
      <c r="H66" s="177"/>
      <c r="I66" s="177"/>
      <c r="J66" s="177"/>
      <c r="R66" s="177"/>
    </row>
    <row r="67" spans="1:23">
      <c r="A67" s="173" t="s">
        <v>402</v>
      </c>
      <c r="B67" s="177"/>
      <c r="C67" s="177"/>
      <c r="D67" s="177"/>
      <c r="E67" s="177"/>
      <c r="F67" s="177"/>
      <c r="G67" s="177"/>
      <c r="H67" s="177"/>
      <c r="I67" s="177"/>
      <c r="J67" s="177"/>
      <c r="R67" s="177"/>
    </row>
    <row r="68" spans="1:23">
      <c r="A68" s="174" t="s">
        <v>403</v>
      </c>
      <c r="B68" s="176">
        <f>'Schedule 3B - 2023'!E71</f>
        <v>254.48933</v>
      </c>
      <c r="C68" s="177"/>
      <c r="D68" s="177"/>
      <c r="E68" s="177">
        <f>SUM(B68:D68)</f>
        <v>254.48933</v>
      </c>
      <c r="F68" s="177"/>
      <c r="G68" s="176">
        <v>126.89604400000002</v>
      </c>
      <c r="H68" s="177"/>
      <c r="I68" s="95">
        <v>5</v>
      </c>
      <c r="J68" s="181">
        <f>MIN(B68/I68,G68)</f>
        <v>50.897866</v>
      </c>
      <c r="R68" s="177"/>
    </row>
    <row r="69" spans="1:23">
      <c r="A69" s="182"/>
      <c r="B69" s="178"/>
      <c r="C69" s="178"/>
      <c r="D69" s="178"/>
      <c r="E69" s="178"/>
      <c r="F69" s="177"/>
      <c r="G69" s="177"/>
      <c r="H69" s="183"/>
      <c r="I69" s="184"/>
      <c r="J69" s="178"/>
      <c r="K69" s="177"/>
    </row>
    <row r="70" spans="1:23">
      <c r="A70" s="189" t="s">
        <v>404</v>
      </c>
      <c r="B70" s="185">
        <f>SUM(B41,B53,B64,B68)</f>
        <v>25540.532400000004</v>
      </c>
      <c r="C70" s="185">
        <f>SUM(C41,C53,C64,C68)</f>
        <v>2917.3971499999998</v>
      </c>
      <c r="D70" s="185">
        <f>SUM(D41,D53,D64,D68)</f>
        <v>0</v>
      </c>
      <c r="E70" s="185">
        <f>SUM(E41,E53,E64,E68)</f>
        <v>28457.929550000004</v>
      </c>
      <c r="F70" s="201"/>
      <c r="G70" s="185">
        <f>SUM(G41,G53,G64,G68)</f>
        <v>17096.47716638889</v>
      </c>
      <c r="H70" s="183"/>
      <c r="I70" s="184"/>
      <c r="J70" s="185">
        <f>SUM(J41,J53,J64,J68)</f>
        <v>3383.1334459444442</v>
      </c>
      <c r="R70" s="177"/>
      <c r="W70" s="177"/>
    </row>
    <row r="71" spans="1:23">
      <c r="A71" s="163"/>
      <c r="B71" s="186"/>
      <c r="C71" s="186"/>
      <c r="D71" s="186"/>
      <c r="E71" s="186"/>
      <c r="F71" s="186"/>
      <c r="G71" s="186"/>
      <c r="H71" s="183"/>
      <c r="I71" s="184"/>
      <c r="J71" s="183"/>
      <c r="R71" s="177"/>
      <c r="W71" s="177"/>
    </row>
    <row r="72" spans="1:23">
      <c r="A72" s="173" t="s">
        <v>92</v>
      </c>
      <c r="B72" s="177"/>
      <c r="C72" s="177"/>
      <c r="D72" s="177"/>
      <c r="E72" s="177"/>
      <c r="F72" s="177"/>
      <c r="G72" s="177"/>
      <c r="H72" s="177"/>
      <c r="I72" s="177"/>
      <c r="J72" s="177"/>
      <c r="R72" s="177"/>
      <c r="W72" s="177"/>
    </row>
    <row r="73" spans="1:23">
      <c r="A73" s="179" t="s">
        <v>384</v>
      </c>
      <c r="B73" s="177"/>
      <c r="C73" s="177"/>
      <c r="D73" s="177"/>
      <c r="E73" s="177"/>
      <c r="F73" s="177"/>
      <c r="G73" s="177"/>
      <c r="H73" s="177"/>
      <c r="I73" s="177"/>
      <c r="J73" s="177"/>
      <c r="R73" s="177"/>
      <c r="W73" s="177"/>
    </row>
    <row r="74" spans="1:23">
      <c r="A74" s="159" t="s">
        <v>456</v>
      </c>
      <c r="B74" s="176">
        <f>'Schedule 3B - 2023'!E77</f>
        <v>1626.5161699999999</v>
      </c>
      <c r="C74" s="190">
        <v>380</v>
      </c>
      <c r="D74" s="177"/>
      <c r="E74" s="177">
        <f>B74+C74+D74</f>
        <v>2006.5161699999999</v>
      </c>
      <c r="F74" s="177"/>
      <c r="G74" s="176">
        <v>904.49840999999992</v>
      </c>
      <c r="H74" s="177"/>
      <c r="I74" s="95">
        <v>5</v>
      </c>
      <c r="J74" s="177">
        <v>279.07940000000002</v>
      </c>
      <c r="K74" s="177" t="s">
        <v>491</v>
      </c>
      <c r="R74" s="177"/>
      <c r="W74" s="177"/>
    </row>
    <row r="75" spans="1:23">
      <c r="A75" s="159" t="s">
        <v>457</v>
      </c>
      <c r="B75" s="176">
        <f>'Schedule 3B - 2023'!E78</f>
        <v>2836.4792600000001</v>
      </c>
      <c r="C75" s="177"/>
      <c r="D75" s="177"/>
      <c r="E75" s="177">
        <f>B75+C75+D75</f>
        <v>2836.4792600000001</v>
      </c>
      <c r="F75" s="177"/>
      <c r="G75" s="176">
        <v>4.0000000467443897E-6</v>
      </c>
      <c r="H75" s="177"/>
      <c r="I75" s="95">
        <v>10</v>
      </c>
      <c r="J75" s="177">
        <v>-4.9999999305327947E-6</v>
      </c>
      <c r="K75" s="177" t="s">
        <v>491</v>
      </c>
      <c r="R75" s="177"/>
      <c r="W75" s="177"/>
    </row>
    <row r="76" spans="1:23">
      <c r="A76" s="159" t="s">
        <v>492</v>
      </c>
      <c r="B76" s="176">
        <f>'Schedule 3B - 2023'!E79</f>
        <v>4549.8533200000002</v>
      </c>
      <c r="C76" s="177"/>
      <c r="D76" s="177"/>
      <c r="E76" s="177">
        <f>B76+C76+D76</f>
        <v>4549.8533200000002</v>
      </c>
      <c r="F76" s="177"/>
      <c r="G76" s="176">
        <v>3294.592416</v>
      </c>
      <c r="H76" s="177"/>
      <c r="I76" s="95">
        <v>10</v>
      </c>
      <c r="J76" s="181">
        <f>MIN(B76/I76,G76)</f>
        <v>454.98533200000003</v>
      </c>
      <c r="K76" s="177"/>
      <c r="R76" s="177"/>
      <c r="W76" s="177"/>
    </row>
    <row r="77" spans="1:23">
      <c r="A77" s="159" t="s">
        <v>455</v>
      </c>
      <c r="B77" s="176">
        <f>'Schedule 3B - 2023'!E80</f>
        <v>5466.1814299999996</v>
      </c>
      <c r="C77" s="177"/>
      <c r="D77" s="177"/>
      <c r="E77" s="177">
        <f>B77+C77+D77</f>
        <v>5466.1814299999996</v>
      </c>
      <c r="F77" s="177"/>
      <c r="G77" s="176">
        <v>5466.1814299999996</v>
      </c>
      <c r="H77" s="177"/>
      <c r="I77" s="95">
        <v>10</v>
      </c>
      <c r="J77" s="181">
        <f>MIN(B77/I77,G77)</f>
        <v>546.61814299999992</v>
      </c>
      <c r="K77" s="177"/>
      <c r="R77" s="177"/>
      <c r="W77" s="177"/>
    </row>
    <row r="78" spans="1:23">
      <c r="B78" s="177"/>
      <c r="C78" s="177"/>
      <c r="D78" s="177"/>
      <c r="E78" s="177"/>
      <c r="F78" s="177"/>
      <c r="G78" s="177"/>
      <c r="H78" s="177"/>
      <c r="I78" s="177"/>
      <c r="J78" s="177"/>
      <c r="R78" s="177"/>
      <c r="W78" s="177"/>
    </row>
    <row r="79" spans="1:23">
      <c r="A79" s="173" t="s">
        <v>458</v>
      </c>
      <c r="B79" s="177">
        <f>SUM(B73:B78)</f>
        <v>14479.030180000002</v>
      </c>
      <c r="C79" s="177">
        <f>SUM(C73:C78)</f>
        <v>380</v>
      </c>
      <c r="D79" s="177">
        <f>SUM(D73:D78)</f>
        <v>0</v>
      </c>
      <c r="E79" s="177">
        <f>SUM(E73:E78)</f>
        <v>14859.030180000002</v>
      </c>
      <c r="F79" s="177"/>
      <c r="G79" s="177">
        <f>SUM(G73:G78)</f>
        <v>9665.2722599999997</v>
      </c>
      <c r="H79" s="177"/>
      <c r="I79" s="177"/>
      <c r="J79" s="177">
        <f>SUM(J73:J78)</f>
        <v>1280.6828700000001</v>
      </c>
      <c r="K79" s="177"/>
      <c r="R79" s="177"/>
      <c r="W79" s="177"/>
    </row>
    <row r="80" spans="1:23">
      <c r="A80" s="163"/>
      <c r="B80" s="186"/>
      <c r="C80" s="186"/>
      <c r="D80" s="186"/>
      <c r="E80" s="186"/>
      <c r="F80" s="186"/>
      <c r="G80" s="186"/>
      <c r="H80" s="183"/>
      <c r="I80" s="184"/>
      <c r="J80" s="183"/>
      <c r="R80" s="177"/>
      <c r="W80" s="177"/>
    </row>
    <row r="81" spans="1:23" ht="9" customHeight="1">
      <c r="A81" s="163"/>
      <c r="B81" s="186"/>
      <c r="C81" s="186"/>
      <c r="D81" s="186"/>
      <c r="E81" s="186"/>
      <c r="F81" s="186"/>
      <c r="G81" s="186"/>
      <c r="H81" s="183"/>
      <c r="I81" s="184"/>
      <c r="J81" s="183"/>
      <c r="R81" s="177"/>
      <c r="W81" s="177"/>
    </row>
    <row r="82" spans="1:23">
      <c r="A82" s="189" t="s">
        <v>459</v>
      </c>
      <c r="B82" s="185">
        <f>B70+B79</f>
        <v>40019.562580000005</v>
      </c>
      <c r="C82" s="185">
        <f>C70+C79</f>
        <v>3297.3971499999998</v>
      </c>
      <c r="D82" s="185">
        <f>D70+D79</f>
        <v>0</v>
      </c>
      <c r="E82" s="185">
        <f>E70+E79</f>
        <v>43316.959730000002</v>
      </c>
      <c r="F82" s="201"/>
      <c r="G82" s="185">
        <f>G70+G79</f>
        <v>26761.749426388888</v>
      </c>
      <c r="H82" s="183"/>
      <c r="I82" s="184"/>
      <c r="J82" s="185">
        <f>J70+J79</f>
        <v>4663.8163159444448</v>
      </c>
      <c r="R82" s="177"/>
      <c r="W82" s="177"/>
    </row>
    <row r="83" spans="1:23" ht="6.5" customHeight="1">
      <c r="A83" s="163"/>
      <c r="B83" s="186"/>
      <c r="C83" s="186"/>
      <c r="D83" s="186"/>
      <c r="E83" s="186"/>
      <c r="F83" s="186"/>
      <c r="G83" s="186"/>
      <c r="H83" s="183"/>
      <c r="I83" s="184"/>
      <c r="J83" s="183"/>
      <c r="R83" s="177"/>
      <c r="W83" s="177"/>
    </row>
    <row r="84" spans="1:23" ht="5.5" customHeight="1"/>
    <row r="85" spans="1:23">
      <c r="A85" s="163" t="s">
        <v>405</v>
      </c>
      <c r="B85" s="186"/>
      <c r="C85" s="186"/>
      <c r="D85" s="186"/>
      <c r="E85" s="186"/>
      <c r="F85" s="186"/>
      <c r="G85" s="186"/>
      <c r="H85" s="183"/>
      <c r="I85" s="184"/>
      <c r="J85" s="183"/>
    </row>
    <row r="86" spans="1:23" ht="12.75" customHeight="1">
      <c r="A86" s="163" t="s">
        <v>406</v>
      </c>
      <c r="B86" s="186"/>
      <c r="C86" s="186"/>
      <c r="D86" s="186"/>
      <c r="E86" s="186"/>
      <c r="F86" s="186"/>
      <c r="G86" s="186"/>
      <c r="H86" s="183"/>
      <c r="I86" s="184"/>
      <c r="J86" s="183"/>
    </row>
    <row r="87" spans="1:23">
      <c r="A87" s="163"/>
    </row>
    <row r="88" spans="1:23" ht="28.5" customHeight="1">
      <c r="A88" s="207" t="s">
        <v>490</v>
      </c>
      <c r="B88" s="207"/>
      <c r="C88" s="207"/>
      <c r="D88" s="207"/>
      <c r="E88" s="207"/>
      <c r="F88" s="207"/>
      <c r="G88" s="207"/>
      <c r="H88" s="207"/>
      <c r="I88" s="207"/>
    </row>
    <row r="89" spans="1:23">
      <c r="A89" s="207" t="s">
        <v>493</v>
      </c>
      <c r="B89" s="207"/>
      <c r="C89" s="207"/>
      <c r="D89" s="207"/>
      <c r="E89" s="207"/>
      <c r="F89" s="207"/>
      <c r="G89" s="207"/>
      <c r="H89" s="207"/>
      <c r="I89" s="207"/>
    </row>
    <row r="91" spans="1:23">
      <c r="C91" s="177"/>
      <c r="J91" s="177"/>
    </row>
    <row r="92" spans="1:23">
      <c r="C92" s="177"/>
      <c r="D92" s="181"/>
      <c r="J92" s="177"/>
    </row>
    <row r="93" spans="1:23">
      <c r="D93" s="181"/>
    </row>
    <row r="94" spans="1:23">
      <c r="D94" s="181"/>
      <c r="E94" s="181"/>
      <c r="F94" s="181"/>
      <c r="G94" s="181"/>
      <c r="H94" s="181"/>
      <c r="I94" s="181"/>
      <c r="J94" s="181"/>
      <c r="K94" s="187"/>
    </row>
    <row r="97" spans="3:9">
      <c r="C97" s="177"/>
      <c r="D97" s="181"/>
    </row>
    <row r="98" spans="3:9">
      <c r="D98" s="181"/>
      <c r="E98" s="181"/>
      <c r="F98" s="181"/>
      <c r="G98" s="181"/>
      <c r="I98" s="187"/>
    </row>
  </sheetData>
  <mergeCells count="4">
    <mergeCell ref="B5:E5"/>
    <mergeCell ref="I6:I7"/>
    <mergeCell ref="A88:I88"/>
    <mergeCell ref="A89:I89"/>
  </mergeCells>
  <conditionalFormatting sqref="A45:A52">
    <cfRule type="expression" dxfId="5" priority="1" stopIfTrue="1">
      <formula>AND(MONTH(#REF!)-MONTH(#REF!)=1,YEAR(#REF!)=YEAR(#REF!),#REF!&gt;0)</formula>
    </cfRule>
    <cfRule type="expression" dxfId="4" priority="2" stopIfTrue="1">
      <formula>AND(MONTH(#REF!)-MONTH(#REF!)=0,YEAR(#REF!)=YEAR(#REF!),#REF!&gt;0)</formula>
    </cfRule>
    <cfRule type="expression" dxfId="3" priority="3" stopIfTrue="1">
      <formula>AND(MONTH(#REF!)-MONTH(#REF!)&lt;0,YEAR(#REF!)=YEAR(#REF!),#REF!&gt;0)</formula>
    </cfRule>
  </conditionalFormatting>
  <conditionalFormatting sqref="A54">
    <cfRule type="expression" dxfId="2" priority="4" stopIfTrue="1">
      <formula>AND(MONTH($E54)-MONTH($B$1)=1,YEAR($E54)=YEAR($B$1),$X54&gt;0)</formula>
    </cfRule>
    <cfRule type="expression" dxfId="1" priority="5" stopIfTrue="1">
      <formula>AND(MONTH($E54)-MONTH($B$1)=0,YEAR($E54)=YEAR($B$1),$X54&gt;0)</formula>
    </cfRule>
    <cfRule type="expression" dxfId="0" priority="6" stopIfTrue="1">
      <formula>AND(MONTH($E54)-MONTH($B$1)&lt;0,YEAR($E54)=YEAR($B$1),$X54&gt;0)</formula>
    </cfRule>
  </conditionalFormatting>
  <printOptions horizontalCentered="1"/>
  <pageMargins left="0.55118110236220474" right="0.31496062992125984" top="0.82677165354330717" bottom="0.9055118110236221" header="0.51181102362204722" footer="0.51181102362204722"/>
  <pageSetup scale="5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Index</vt:lpstr>
      <vt:lpstr>Schedule 1</vt:lpstr>
      <vt:lpstr>Schedule 2</vt:lpstr>
      <vt:lpstr>Schedule 2A</vt:lpstr>
      <vt:lpstr>Schedule 3</vt:lpstr>
      <vt:lpstr>Schedule 3A - 2023</vt:lpstr>
      <vt:lpstr>Schedule 3A - 2024</vt:lpstr>
      <vt:lpstr>Schedule 3B - 2023</vt:lpstr>
      <vt:lpstr>Schedule 3B - 2024</vt:lpstr>
      <vt:lpstr>Schedule 4</vt:lpstr>
      <vt:lpstr>Schedule 5</vt:lpstr>
      <vt:lpstr>Schedule 6</vt:lpstr>
      <vt:lpstr>Schedule 7</vt:lpstr>
      <vt:lpstr>Schedule 8</vt:lpstr>
      <vt:lpstr>Schedule 9</vt:lpstr>
      <vt:lpstr>Schedule 10</vt:lpstr>
      <vt:lpstr>Schedule 10A</vt:lpstr>
      <vt:lpstr>Schedule 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2024-08-05T18:40:43Z</dcterms:created>
  <dcterms:modified xsi:type="dcterms:W3CDTF">2024-08-05T18:41:09Z</dcterms:modified>
  <cp:category/>
  <cp:contentStatus/>
</cp:coreProperties>
</file>