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updateLinks="never" codeName="ThisWorkbook" defaultThemeVersion="124226"/>
  <xr:revisionPtr revIDLastSave="0" documentId="13_ncr:1_{E1A0B648-7403-4DB6-8782-0E44F824DF4A}" xr6:coauthVersionLast="47" xr6:coauthVersionMax="47" xr10:uidLastSave="{00000000-0000-0000-0000-000000000000}"/>
  <bookViews>
    <workbookView xWindow="19090" yWindow="-23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 - 2023" sheetId="42" r:id="rId6"/>
    <sheet name="Schedule 3A - 2024" sheetId="46" r:id="rId7"/>
    <sheet name="Schedule 3B - 2023" sheetId="48" r:id="rId8"/>
    <sheet name="Schedule 3B - 2024" sheetId="50" r:id="rId9"/>
    <sheet name="Schedule 4" sheetId="29" r:id="rId10"/>
    <sheet name="Schedule 5" sheetId="18" r:id="rId11"/>
    <sheet name="Schedule 6" sheetId="19" r:id="rId12"/>
    <sheet name="Schedule 7" sheetId="20" r:id="rId13"/>
    <sheet name="Schedule 8" sheetId="23" r:id="rId14"/>
    <sheet name="Schedule 9" sheetId="25" r:id="rId15"/>
    <sheet name="Schedule 10" sheetId="27" r:id="rId16"/>
    <sheet name="Schedule 10A" sheetId="38" r:id="rId17"/>
    <sheet name="Schedule 11" sheetId="36" r:id="rId18"/>
  </sheets>
  <definedNames>
    <definedName name="_Key1" hidden="1">#REF!</definedName>
    <definedName name="_Order1" hidden="1">255</definedName>
    <definedName name="_Sort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page6_7" localSheetId="7">#REF!,#REF!</definedName>
    <definedName name="page6_7" localSheetId="8">#REF!,#REF!</definedName>
    <definedName name="page6_7">#REF!,#REF!</definedName>
    <definedName name="_xlnm.Print_Area" localSheetId="0">Index!$B$1:$J$34</definedName>
    <definedName name="_xlnm.Print_Area" localSheetId="1">'Schedule 1'!$A$1:$L$51</definedName>
    <definedName name="_xlnm.Print_Area" localSheetId="15">'Schedule 10'!$A$1:$L$36</definedName>
    <definedName name="_xlnm.Print_Area" localSheetId="16">'Schedule 10A'!$A$1:$L$23</definedName>
    <definedName name="_xlnm.Print_Area" localSheetId="17">'Schedule 11'!$A$1:$L$55</definedName>
    <definedName name="_xlnm.Print_Area" localSheetId="2">'Schedule 2'!$A$1:$L$22</definedName>
    <definedName name="_xlnm.Print_Area" localSheetId="3">'Schedule 2A'!$A$1:$L$30</definedName>
    <definedName name="_xlnm.Print_Area" localSheetId="4">'Schedule 3'!$A$1:$L$124</definedName>
    <definedName name="_xlnm.Print_Area" localSheetId="5">'Schedule 3A - 2023'!$A$1:$H$145</definedName>
    <definedName name="_xlnm.Print_Area" localSheetId="6">'Schedule 3A - 2024'!$A$1:$H$145</definedName>
    <definedName name="_xlnm.Print_Area" localSheetId="7">'Schedule 3B - 2023'!$A$1:$H$89</definedName>
    <definedName name="_xlnm.Print_Area" localSheetId="8">'Schedule 3B - 2024'!$A$1:$H$89</definedName>
    <definedName name="_xlnm.Print_Area" localSheetId="9">'Schedule 4'!$A$1:$R$51</definedName>
    <definedName name="_xlnm.Print_Area" localSheetId="10">'Schedule 5'!$A$1:$L$29</definedName>
    <definedName name="_xlnm.Print_Area" localSheetId="11">'Schedule 6'!$A$1:$L$35</definedName>
    <definedName name="_xlnm.Print_Area" localSheetId="12">'Schedule 7'!$A$1:$L$30</definedName>
    <definedName name="_xlnm.Print_Area" localSheetId="13">'Schedule 8'!$A$1:$L$24</definedName>
    <definedName name="_xlnm.Print_Area" localSheetId="14">'Schedule 9'!$A$1:$J$63</definedName>
    <definedName name="_xlnm.Print_Titles" localSheetId="1">'Schedule 1'!$1:$7</definedName>
    <definedName name="_xlnm.Print_Titles" localSheetId="4">'Schedule 3'!$7:$8</definedName>
    <definedName name="_xlnm.Print_Titles" localSheetId="5">'Schedule 3A - 2023'!$1:$6</definedName>
    <definedName name="_xlnm.Print_Titles" localSheetId="6">'Schedule 3A - 2024'!$1:$6</definedName>
    <definedName name="_xlnm.Print_Titles" localSheetId="7">'Schedule 3B - 2023'!$1:$7</definedName>
    <definedName name="_xlnm.Print_Titles" localSheetId="8">'Schedule 3B - 2024'!$1:$7</definedName>
    <definedName name="Z_2E51B7C0_6CEE_11D3_AD1A_A5A650036065_.wvu.Cols" localSheetId="7" hidden="1">#REF!</definedName>
    <definedName name="Z_2E51B7C0_6CEE_11D3_AD1A_A5A650036065_.wvu.Cols" localSheetId="8" hidden="1">#REF!</definedName>
    <definedName name="Z_2E51B7C0_6CEE_11D3_AD1A_A5A650036065_.wvu.Cols" hidden="1">#REF!</definedName>
    <definedName name="Z_418DF6FE_13EF_11D2_8C37_00A0C92A9A63_.wvu.PrintArea" localSheetId="7" hidden="1">#REF!</definedName>
    <definedName name="Z_418DF6FE_13EF_11D2_8C37_00A0C92A9A63_.wvu.PrintArea" localSheetId="8" hidden="1">#REF!</definedName>
    <definedName name="Z_418DF6FE_13EF_11D2_8C37_00A0C92A9A63_.wvu.PrintArea" hidden="1">#REF!</definedName>
    <definedName name="Z_418DF6FE_13EF_11D2_8C37_00A0C92A9A63_.wvu.PrintTitles" localSheetId="7" hidden="1">#REF!</definedName>
    <definedName name="Z_418DF6FE_13EF_11D2_8C37_00A0C92A9A63_.wvu.PrintTitles" localSheetId="8" hidden="1">#REF!</definedName>
    <definedName name="Z_418DF6FE_13EF_11D2_8C37_00A0C92A9A63_.wvu.PrintTitles" hidden="1">#REF!</definedName>
    <definedName name="Z_418DF6FE_13EF_11D2_8C37_00A0C92A9A63_.wvu.Rows" localSheetId="7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50" l="1"/>
  <c r="G93" i="13"/>
  <c r="G92" i="13" l="1"/>
  <c r="G112" i="13" s="1"/>
  <c r="I30" i="13" l="1"/>
  <c r="A56" i="25" l="1"/>
  <c r="D15" i="31"/>
  <c r="D14" i="31"/>
  <c r="D13" i="31"/>
  <c r="D83" i="50"/>
  <c r="D70" i="50"/>
  <c r="H67" i="50"/>
  <c r="D60" i="50"/>
  <c r="D48" i="50"/>
  <c r="E7" i="50"/>
  <c r="H6" i="50"/>
  <c r="H2" i="50"/>
  <c r="H67" i="48"/>
  <c r="H68" i="48"/>
  <c r="B68" i="48"/>
  <c r="B67" i="48"/>
  <c r="B66" i="48"/>
  <c r="H65" i="48"/>
  <c r="E56" i="48"/>
  <c r="H49" i="48"/>
  <c r="D45" i="48"/>
  <c r="B45" i="48"/>
  <c r="D83" i="48"/>
  <c r="E54" i="48"/>
  <c r="B54" i="50" s="1"/>
  <c r="E54" i="50" s="1"/>
  <c r="E53" i="48"/>
  <c r="E52" i="48"/>
  <c r="E51" i="48"/>
  <c r="E50" i="48"/>
  <c r="B53" i="50" s="1"/>
  <c r="H53" i="50" s="1"/>
  <c r="H54" i="48"/>
  <c r="H53" i="48"/>
  <c r="H50" i="48"/>
  <c r="H33" i="48"/>
  <c r="E33" i="48"/>
  <c r="B31" i="50" s="1"/>
  <c r="E31" i="50" s="1"/>
  <c r="H32" i="48"/>
  <c r="H31" i="48"/>
  <c r="H30" i="48"/>
  <c r="H29" i="48"/>
  <c r="H28" i="48"/>
  <c r="H27" i="48"/>
  <c r="E27" i="48"/>
  <c r="B25" i="50" s="1"/>
  <c r="E25" i="50" s="1"/>
  <c r="H25" i="50" l="1"/>
  <c r="H31" i="50"/>
  <c r="H54" i="50"/>
  <c r="D75" i="50"/>
  <c r="D85" i="50" s="1"/>
  <c r="E53" i="50"/>
  <c r="B60" i="48"/>
  <c r="H55" i="48" l="1"/>
  <c r="A31" i="14" l="1"/>
  <c r="I107" i="13" l="1"/>
  <c r="G107" i="13"/>
  <c r="G101" i="13"/>
  <c r="G27" i="14"/>
  <c r="G110" i="13"/>
  <c r="I101" i="13" l="1"/>
  <c r="H2" i="48" l="1"/>
  <c r="D70" i="48"/>
  <c r="B70" i="48"/>
  <c r="E68" i="48"/>
  <c r="B67" i="50" s="1"/>
  <c r="E67" i="50" s="1"/>
  <c r="E67" i="48"/>
  <c r="B66" i="50" s="1"/>
  <c r="E66" i="50" s="1"/>
  <c r="H66" i="48"/>
  <c r="E66" i="48"/>
  <c r="B65" i="50" s="1"/>
  <c r="E64" i="48"/>
  <c r="D60" i="48"/>
  <c r="E24" i="48"/>
  <c r="B22" i="50" s="1"/>
  <c r="D75" i="48"/>
  <c r="D85" i="48" s="1"/>
  <c r="E34" i="48"/>
  <c r="E31" i="48"/>
  <c r="B29" i="50" s="1"/>
  <c r="E30" i="48"/>
  <c r="B28" i="50" s="1"/>
  <c r="E28" i="48"/>
  <c r="B26" i="50" s="1"/>
  <c r="H26" i="48"/>
  <c r="E25" i="48"/>
  <c r="B23" i="50" s="1"/>
  <c r="H24" i="48"/>
  <c r="H23" i="48"/>
  <c r="E23" i="48"/>
  <c r="B21" i="50" s="1"/>
  <c r="H22" i="48"/>
  <c r="H21" i="48"/>
  <c r="E21" i="48"/>
  <c r="B19" i="50" s="1"/>
  <c r="H20" i="48"/>
  <c r="H19" i="48"/>
  <c r="E10" i="48"/>
  <c r="B10" i="50" s="1"/>
  <c r="E18" i="48"/>
  <c r="B16" i="50" s="1"/>
  <c r="E17" i="48"/>
  <c r="B15" i="50" s="1"/>
  <c r="E15" i="50" s="1"/>
  <c r="H16" i="48"/>
  <c r="E16" i="48"/>
  <c r="B14" i="50" s="1"/>
  <c r="H15" i="48"/>
  <c r="E14" i="48"/>
  <c r="B12" i="50" s="1"/>
  <c r="E13" i="48"/>
  <c r="B11" i="50" s="1"/>
  <c r="E11" i="50" s="1"/>
  <c r="E12" i="48"/>
  <c r="H12" i="48"/>
  <c r="E11" i="48"/>
  <c r="H6" i="48"/>
  <c r="E22" i="50" l="1"/>
  <c r="H22" i="50"/>
  <c r="H19" i="50"/>
  <c r="E19" i="50"/>
  <c r="H12" i="50"/>
  <c r="E12" i="50"/>
  <c r="H21" i="50"/>
  <c r="E21" i="50"/>
  <c r="H65" i="50"/>
  <c r="E65" i="50"/>
  <c r="H23" i="50"/>
  <c r="E23" i="50"/>
  <c r="H16" i="50"/>
  <c r="E16" i="50"/>
  <c r="H14" i="50"/>
  <c r="E14" i="50"/>
  <c r="H26" i="50"/>
  <c r="E26" i="50"/>
  <c r="H10" i="50"/>
  <c r="E10" i="50"/>
  <c r="E28" i="50"/>
  <c r="H28" i="50"/>
  <c r="E29" i="50"/>
  <c r="H29" i="50"/>
  <c r="E26" i="48"/>
  <c r="B24" i="50" s="1"/>
  <c r="H60" i="48"/>
  <c r="H70" i="48"/>
  <c r="H17" i="48"/>
  <c r="H10" i="48"/>
  <c r="E15" i="48"/>
  <c r="B13" i="50" s="1"/>
  <c r="E13" i="50" s="1"/>
  <c r="E19" i="48"/>
  <c r="B17" i="50" s="1"/>
  <c r="E22" i="48"/>
  <c r="B20" i="50" s="1"/>
  <c r="H25" i="48"/>
  <c r="H14" i="48"/>
  <c r="H18" i="48"/>
  <c r="E32" i="48"/>
  <c r="B30" i="50" s="1"/>
  <c r="E20" i="48"/>
  <c r="B18" i="50" s="1"/>
  <c r="E7" i="48"/>
  <c r="H13" i="48"/>
  <c r="H18" i="50" l="1"/>
  <c r="E18" i="50"/>
  <c r="H24" i="50"/>
  <c r="E24" i="50"/>
  <c r="H30" i="50"/>
  <c r="E30" i="50"/>
  <c r="H17" i="50"/>
  <c r="E17" i="50"/>
  <c r="H45" i="48"/>
  <c r="H20" i="50"/>
  <c r="E20" i="50"/>
  <c r="H127" i="46" l="1"/>
  <c r="H45" i="46"/>
  <c r="H6" i="46"/>
  <c r="H2" i="46"/>
  <c r="E142" i="46"/>
  <c r="E138" i="46"/>
  <c r="E127" i="46"/>
  <c r="E123" i="46"/>
  <c r="E112" i="46"/>
  <c r="E95" i="46"/>
  <c r="E75" i="46"/>
  <c r="E60" i="46"/>
  <c r="E45" i="46"/>
  <c r="D45" i="46"/>
  <c r="E41" i="46"/>
  <c r="E29" i="46"/>
  <c r="F56" i="42"/>
  <c r="F55" i="42"/>
  <c r="F54" i="42"/>
  <c r="E142" i="42"/>
  <c r="F84" i="42" l="1"/>
  <c r="F21" i="42"/>
  <c r="C21" i="46" s="1"/>
  <c r="F21" i="46" s="1"/>
  <c r="J42" i="13" l="1"/>
  <c r="I22" i="14" l="1"/>
  <c r="I71" i="13"/>
  <c r="K13" i="29" l="1"/>
  <c r="K15" i="29" s="1"/>
  <c r="E48" i="25" l="1"/>
  <c r="E40" i="25"/>
  <c r="E35" i="25"/>
  <c r="E34" i="25"/>
  <c r="E42" i="25" s="1"/>
  <c r="E50" i="25" s="1"/>
  <c r="E33" i="25"/>
  <c r="E31" i="25"/>
  <c r="E27" i="25"/>
  <c r="E23" i="25"/>
  <c r="E19" i="25"/>
  <c r="E17" i="25"/>
  <c r="E13" i="25"/>
  <c r="E11" i="25"/>
  <c r="G17" i="27"/>
  <c r="G15" i="27"/>
  <c r="E36" i="25" l="1"/>
  <c r="E43" i="25"/>
  <c r="E51" i="25" l="1"/>
  <c r="E52" i="25" s="1"/>
  <c r="E44" i="25"/>
  <c r="G7" i="38" l="1"/>
  <c r="G22" i="36"/>
  <c r="G28" i="36" s="1"/>
  <c r="K40" i="29" l="1"/>
  <c r="K42" i="29" s="1"/>
  <c r="C56" i="46" l="1"/>
  <c r="C55" i="46"/>
  <c r="F55" i="46" l="1"/>
  <c r="F56" i="46"/>
  <c r="L7" i="36"/>
  <c r="L7" i="27"/>
  <c r="I7" i="25"/>
  <c r="J7" i="25"/>
  <c r="L7" i="20"/>
  <c r="L7" i="19"/>
  <c r="L7" i="13"/>
  <c r="L7" i="12"/>
  <c r="L7" i="11"/>
  <c r="D12" i="31" l="1"/>
  <c r="E138" i="42"/>
  <c r="E127" i="42"/>
  <c r="E123" i="42"/>
  <c r="E112" i="42"/>
  <c r="E95" i="42"/>
  <c r="E75" i="42"/>
  <c r="E60" i="42"/>
  <c r="E45" i="42"/>
  <c r="H45" i="42"/>
  <c r="E41" i="42"/>
  <c r="E29" i="42"/>
  <c r="H2" i="42"/>
  <c r="D45" i="42" l="1"/>
  <c r="H127" i="42"/>
  <c r="J19" i="23" l="1"/>
  <c r="J7" i="36"/>
  <c r="L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30" i="31"/>
  <c r="A11" i="38" l="1"/>
  <c r="A12" i="38" s="1"/>
  <c r="A13" i="38" s="1"/>
  <c r="A16" i="38" s="1"/>
  <c r="K49" i="29" l="1"/>
  <c r="K51" i="29" s="1"/>
  <c r="C84" i="46" l="1"/>
  <c r="F84" i="46" s="1"/>
  <c r="G14" i="19"/>
  <c r="G59" i="13" l="1"/>
  <c r="G66" i="13"/>
  <c r="G73" i="13" l="1"/>
  <c r="G22" i="14" l="1"/>
  <c r="G94" i="13" l="1"/>
  <c r="G16" i="19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4" i="14" s="1"/>
  <c r="A38" i="14" s="1"/>
  <c r="A39" i="14" s="1"/>
  <c r="A40" i="14" s="1"/>
  <c r="A41" i="14" s="1"/>
  <c r="A42" i="14" s="1"/>
  <c r="G13" i="13" l="1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G87" i="13"/>
  <c r="G80" i="13"/>
  <c r="L2" i="38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8" i="36" s="1"/>
  <c r="K20" i="23"/>
  <c r="C41" i="36"/>
  <c r="G53" i="36"/>
  <c r="G31" i="27"/>
  <c r="G21" i="18"/>
  <c r="D29" i="31"/>
  <c r="K7" i="36"/>
  <c r="I7" i="36"/>
  <c r="G7" i="36"/>
  <c r="K7" i="27"/>
  <c r="I7" i="27"/>
  <c r="G7" i="27"/>
  <c r="E7" i="25"/>
  <c r="G7" i="25"/>
  <c r="L7" i="23"/>
  <c r="K7" i="23"/>
  <c r="I7" i="23"/>
  <c r="G7" i="23"/>
  <c r="K7" i="20"/>
  <c r="I7" i="20"/>
  <c r="G7" i="20"/>
  <c r="K7" i="19"/>
  <c r="I7" i="19"/>
  <c r="G7" i="19"/>
  <c r="L7" i="18"/>
  <c r="K7" i="18"/>
  <c r="I7" i="18"/>
  <c r="G7" i="18"/>
  <c r="K7" i="13"/>
  <c r="I7" i="13"/>
  <c r="G7" i="13"/>
  <c r="K7" i="12"/>
  <c r="I7" i="12"/>
  <c r="G7" i="12"/>
  <c r="K7" i="11"/>
  <c r="I7" i="11"/>
  <c r="G7" i="11"/>
  <c r="L19" i="23"/>
  <c r="L2" i="36"/>
  <c r="L2" i="27"/>
  <c r="J2" i="25"/>
  <c r="L2" i="23"/>
  <c r="L2" i="20"/>
  <c r="L2" i="19"/>
  <c r="L2" i="18"/>
  <c r="Q2" i="29"/>
  <c r="L2" i="13"/>
  <c r="L2" i="12"/>
  <c r="L2" i="11"/>
  <c r="L2" i="14"/>
  <c r="I19" i="23"/>
  <c r="C35" i="36"/>
  <c r="C36" i="36"/>
  <c r="C50" i="36"/>
  <c r="C38" i="36"/>
  <c r="C37" i="36"/>
  <c r="C39" i="36"/>
  <c r="C40" i="36"/>
  <c r="G19" i="18"/>
  <c r="G19" i="23"/>
  <c r="G12" i="23"/>
  <c r="G20" i="23"/>
  <c r="G40" i="14"/>
  <c r="G42" i="14" s="1"/>
  <c r="A21" i="19"/>
  <c r="A23" i="19" s="1"/>
  <c r="A24" i="19" s="1"/>
  <c r="A25" i="19" s="1"/>
  <c r="A26" i="19" s="1"/>
  <c r="A28" i="19" s="1"/>
  <c r="A29" i="19" s="1"/>
  <c r="A30" i="19" s="1"/>
  <c r="A32" i="19" s="1"/>
  <c r="A44" i="14"/>
  <c r="B29" i="31"/>
  <c r="B32" i="31" s="1"/>
  <c r="D27" i="31"/>
  <c r="D25" i="31"/>
  <c r="A23" i="20"/>
  <c r="A24" i="20" s="1"/>
  <c r="A25" i="20" s="1"/>
  <c r="A58" i="25"/>
  <c r="A60" i="25" s="1"/>
  <c r="A62" i="25" s="1"/>
  <c r="K19" i="23"/>
  <c r="D6" i="31"/>
  <c r="D8" i="31"/>
  <c r="D9" i="31"/>
  <c r="D11" i="31"/>
  <c r="D19" i="31"/>
  <c r="D21" i="31"/>
  <c r="D23" i="31"/>
  <c r="D32" i="31"/>
  <c r="A30" i="13" l="1"/>
  <c r="A31" i="13" s="1"/>
  <c r="A32" i="13" s="1"/>
  <c r="A33" i="13" s="1"/>
  <c r="A35" i="13" s="1"/>
  <c r="A37" i="13" s="1"/>
  <c r="A40" i="13" s="1"/>
  <c r="A41" i="13" s="1"/>
  <c r="A42" i="13" s="1"/>
  <c r="A43" i="13" s="1"/>
  <c r="A44" i="13" s="1"/>
  <c r="A45" i="13" s="1"/>
  <c r="G46" i="14"/>
  <c r="G10" i="14"/>
  <c r="G18" i="18"/>
  <c r="A29" i="36"/>
  <c r="A30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3" i="36" s="1"/>
  <c r="A46" i="14"/>
  <c r="A48" i="14" s="1"/>
  <c r="A46" i="13" l="1"/>
  <c r="A48" i="13" s="1"/>
  <c r="A49" i="13" s="1"/>
  <c r="A50" i="13" s="1"/>
  <c r="A51" i="13" s="1"/>
  <c r="A52" i="13" s="1"/>
  <c r="A53" i="13" s="1"/>
  <c r="A55" i="13" s="1"/>
  <c r="A56" i="13" s="1"/>
  <c r="A57" i="13" s="1"/>
  <c r="A58" i="13" s="1"/>
  <c r="A59" i="13" s="1"/>
  <c r="A60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6" i="13" s="1"/>
  <c r="A77" i="13" s="1"/>
  <c r="A78" i="13" s="1"/>
  <c r="A79" i="13" s="1"/>
  <c r="A80" i="13" s="1"/>
  <c r="A81" i="13" s="1"/>
  <c r="A83" i="13" s="1"/>
  <c r="A84" i="13" s="1"/>
  <c r="A85" i="13" s="1"/>
  <c r="A86" i="13" s="1"/>
  <c r="A87" i="13" s="1"/>
  <c r="A89" i="13" s="1"/>
  <c r="A90" i="13" s="1"/>
  <c r="A91" i="13" s="1"/>
  <c r="A55" i="36"/>
  <c r="A92" i="13" l="1"/>
  <c r="A93" i="13" s="1"/>
  <c r="A94" i="13" s="1"/>
  <c r="A95" i="13" s="1"/>
  <c r="A97" i="13" s="1"/>
  <c r="A98" i="13" s="1"/>
  <c r="A99" i="13" s="1"/>
  <c r="A100" i="13" s="1"/>
  <c r="A101" i="13" s="1"/>
  <c r="A103" i="13" s="1"/>
  <c r="A104" i="13" s="1"/>
  <c r="A105" i="13" s="1"/>
  <c r="A106" i="13" s="1"/>
  <c r="A107" i="13" s="1"/>
  <c r="A109" i="13" s="1"/>
  <c r="A110" i="13" s="1"/>
  <c r="A111" i="13" s="1"/>
  <c r="A112" i="13" s="1"/>
  <c r="A113" i="13" s="1"/>
  <c r="C45" i="42"/>
  <c r="F44" i="42"/>
  <c r="C44" i="46" s="1"/>
  <c r="C45" i="46" l="1"/>
  <c r="F44" i="46"/>
  <c r="F45" i="46" s="1"/>
  <c r="F45" i="42"/>
  <c r="G15" i="14" l="1"/>
  <c r="G24" i="13"/>
  <c r="G16" i="14" l="1"/>
  <c r="G20" i="18" l="1"/>
  <c r="G19" i="13"/>
  <c r="G13" i="14" l="1"/>
  <c r="I20" i="23" l="1"/>
  <c r="G43" i="13" l="1"/>
  <c r="G50" i="13"/>
  <c r="G111" i="13" l="1"/>
  <c r="G113" i="13" s="1"/>
  <c r="G117" i="13" s="1"/>
  <c r="G21" i="14" l="1"/>
  <c r="G23" i="14" s="1"/>
  <c r="A115" i="13" l="1"/>
  <c r="A117" i="13" s="1"/>
  <c r="A119" i="13" s="1"/>
  <c r="E58" i="25" l="1"/>
  <c r="E62" i="25" s="1"/>
  <c r="I12" i="23" l="1"/>
  <c r="I31" i="27" l="1"/>
  <c r="I19" i="18"/>
  <c r="G30" i="36" l="1"/>
  <c r="G11" i="29" l="1"/>
  <c r="G55" i="36"/>
  <c r="O11" i="29" s="1"/>
  <c r="O15" i="29" s="1"/>
  <c r="G17" i="18" l="1"/>
  <c r="G10" i="11" s="1"/>
  <c r="G32" i="27"/>
  <c r="G18" i="23" l="1"/>
  <c r="G19" i="27" l="1"/>
  <c r="G33" i="27"/>
  <c r="G33" i="13" l="1"/>
  <c r="G35" i="13" l="1"/>
  <c r="G37" i="13" s="1"/>
  <c r="G119" i="13" s="1"/>
  <c r="G17" i="14"/>
  <c r="G18" i="14" s="1"/>
  <c r="G26" i="14" l="1"/>
  <c r="G29" i="14" s="1"/>
  <c r="G24" i="12"/>
  <c r="G28" i="12" s="1"/>
  <c r="G16" i="18" l="1"/>
  <c r="G19" i="19"/>
  <c r="G13" i="12"/>
  <c r="G17" i="12" s="1"/>
  <c r="G30" i="12" s="1"/>
  <c r="G19" i="11" s="1"/>
  <c r="G9" i="11" l="1"/>
  <c r="G13" i="11" s="1"/>
  <c r="G15" i="11" s="1"/>
  <c r="G21" i="11" s="1"/>
  <c r="G25" i="18"/>
  <c r="G31" i="14" l="1"/>
  <c r="G34" i="14" l="1"/>
  <c r="G48" i="14" s="1"/>
  <c r="G26" i="19"/>
  <c r="G13" i="23"/>
  <c r="G9" i="18" l="1"/>
  <c r="M15" i="29"/>
  <c r="G17" i="23"/>
  <c r="G21" i="23" s="1"/>
  <c r="G30" i="19"/>
  <c r="M11" i="29" l="1"/>
  <c r="M13" i="29"/>
  <c r="I11" i="29"/>
  <c r="G15" i="29"/>
  <c r="I13" i="29"/>
  <c r="I15" i="29" l="1"/>
  <c r="Q11" i="29"/>
  <c r="Q13" i="29" l="1"/>
  <c r="Q15" i="29" s="1"/>
  <c r="G13" i="18" s="1"/>
  <c r="G27" i="18" l="1"/>
  <c r="G9" i="19" s="1"/>
  <c r="G21" i="19" s="1"/>
  <c r="G32" i="19" s="1"/>
  <c r="G9" i="23"/>
  <c r="G14" i="23" s="1"/>
  <c r="G23" i="23" s="1"/>
  <c r="G11" i="18"/>
  <c r="G12" i="20" l="1"/>
  <c r="G14" i="20" s="1"/>
  <c r="G19" i="20" s="1"/>
  <c r="G24" i="20" s="1"/>
  <c r="G25" i="20" s="1"/>
  <c r="J70" i="13"/>
  <c r="I15" i="14" l="1"/>
  <c r="I40" i="14"/>
  <c r="I42" i="14" s="1"/>
  <c r="J44" i="14" l="1"/>
  <c r="I21" i="18" l="1"/>
  <c r="J49" i="13" l="1"/>
  <c r="I50" i="13"/>
  <c r="I43" i="13"/>
  <c r="C54" i="46" l="1"/>
  <c r="F54" i="46" l="1"/>
  <c r="I18" i="23" l="1"/>
  <c r="I17" i="27"/>
  <c r="I19" i="27" l="1"/>
  <c r="I33" i="27"/>
  <c r="I13" i="23" l="1"/>
  <c r="I26" i="19"/>
  <c r="I33" i="13" l="1"/>
  <c r="I17" i="14" l="1"/>
  <c r="I13" i="12" l="1"/>
  <c r="I17" i="12" s="1"/>
  <c r="I30" i="19" l="1"/>
  <c r="I17" i="23"/>
  <c r="I21" i="23" s="1"/>
  <c r="G26" i="27" l="1"/>
  <c r="G22" i="38"/>
  <c r="G12" i="38" s="1"/>
  <c r="G11" i="38" s="1"/>
  <c r="G28" i="27" l="1"/>
  <c r="G22" i="27"/>
  <c r="G35" i="27" s="1"/>
  <c r="C127" i="42" l="1"/>
  <c r="C15" i="42" l="1"/>
  <c r="C75" i="42" l="1"/>
  <c r="C138" i="42" l="1"/>
  <c r="C95" i="42" l="1"/>
  <c r="C123" i="42"/>
  <c r="C29" i="42" l="1"/>
  <c r="C41" i="42"/>
  <c r="C112" i="42" l="1"/>
  <c r="C60" i="42"/>
  <c r="J56" i="13" l="1"/>
  <c r="I57" i="13"/>
  <c r="I93" i="13" l="1"/>
  <c r="G19" i="25" l="1"/>
  <c r="G33" i="25"/>
  <c r="H23" i="25" l="1"/>
  <c r="H31" i="25"/>
  <c r="G17" i="25"/>
  <c r="G31" i="25"/>
  <c r="G40" i="25"/>
  <c r="G23" i="25"/>
  <c r="H40" i="25"/>
  <c r="G48" i="25"/>
  <c r="G13" i="25"/>
  <c r="G35" i="25"/>
  <c r="H48" i="25"/>
  <c r="G27" i="25"/>
  <c r="I48" i="25"/>
  <c r="H35" i="25"/>
  <c r="G34" i="25"/>
  <c r="G42" i="25" s="1"/>
  <c r="G50" i="25" s="1"/>
  <c r="G11" i="25"/>
  <c r="H27" i="25"/>
  <c r="J48" i="25"/>
  <c r="G36" i="25" l="1"/>
  <c r="G43" i="25"/>
  <c r="H43" i="25"/>
  <c r="H51" i="25" l="1"/>
  <c r="H58" i="25" s="1"/>
  <c r="G51" i="25"/>
  <c r="G44" i="25"/>
  <c r="G52" i="25" l="1"/>
  <c r="G58" i="25"/>
  <c r="I27" i="25" l="1"/>
  <c r="J27" i="25"/>
  <c r="J31" i="25"/>
  <c r="I31" i="25"/>
  <c r="I23" i="25" l="1"/>
  <c r="H11" i="25" l="1"/>
  <c r="H13" i="25"/>
  <c r="H33" i="25"/>
  <c r="H17" i="25" l="1"/>
  <c r="H19" i="25"/>
  <c r="H34" i="25"/>
  <c r="H42" i="25" l="1"/>
  <c r="H36" i="25"/>
  <c r="H50" i="25" l="1"/>
  <c r="H52" i="25" s="1"/>
  <c r="H44" i="25"/>
  <c r="I40" i="25" l="1"/>
  <c r="J17" i="25" l="1"/>
  <c r="J19" i="25" l="1"/>
  <c r="I17" i="25" l="1"/>
  <c r="I19" i="25" l="1"/>
  <c r="I35" i="25"/>
  <c r="I43" i="25" l="1"/>
  <c r="I51" i="25" l="1"/>
  <c r="J40" i="25" l="1"/>
  <c r="I34" i="25" l="1"/>
  <c r="I13" i="25"/>
  <c r="I42" i="25" l="1"/>
  <c r="I36" i="25"/>
  <c r="I50" i="25" l="1"/>
  <c r="I52" i="25" s="1"/>
  <c r="I44" i="25"/>
  <c r="J33" i="25" l="1"/>
  <c r="J34" i="25" l="1"/>
  <c r="J42" i="25" s="1"/>
  <c r="J50" i="25" s="1"/>
  <c r="J11" i="25"/>
  <c r="J13" i="25" l="1"/>
  <c r="I33" i="25" l="1"/>
  <c r="I11" i="25"/>
  <c r="I20" i="18" l="1"/>
  <c r="L20" i="23" l="1"/>
  <c r="D142" i="46" l="1"/>
  <c r="I22" i="38" l="1"/>
  <c r="I12" i="38" l="1"/>
  <c r="I11" i="38" s="1"/>
  <c r="J22" i="38" l="1"/>
  <c r="J12" i="38" l="1"/>
  <c r="J11" i="38" s="1"/>
  <c r="I24" i="13" l="1"/>
  <c r="I16" i="14"/>
  <c r="I35" i="13"/>
  <c r="K24" i="13" l="1"/>
  <c r="J24" i="13"/>
  <c r="J16" i="14" l="1"/>
  <c r="K16" i="14"/>
  <c r="L24" i="13"/>
  <c r="L16" i="14" l="1"/>
  <c r="I18" i="18" l="1"/>
  <c r="I17" i="18" l="1"/>
  <c r="I10" i="11" s="1"/>
  <c r="I32" i="27"/>
  <c r="J77" i="13" l="1"/>
  <c r="I78" i="13"/>
  <c r="I58" i="25" l="1"/>
  <c r="J18" i="23" l="1"/>
  <c r="J17" i="27"/>
  <c r="J19" i="27" l="1"/>
  <c r="J33" i="27"/>
  <c r="H62" i="25" l="1"/>
  <c r="J32" i="27" l="1"/>
  <c r="J17" i="18"/>
  <c r="J10" i="11" s="1"/>
  <c r="J13" i="23" l="1"/>
  <c r="I53" i="36" l="1"/>
  <c r="I28" i="36" l="1"/>
  <c r="J29" i="36" s="1"/>
  <c r="I30" i="36" l="1"/>
  <c r="J28" i="36"/>
  <c r="K29" i="36" s="1"/>
  <c r="G20" i="29" l="1"/>
  <c r="I55" i="36"/>
  <c r="J30" i="36"/>
  <c r="G29" i="29" l="1"/>
  <c r="I62" i="25" l="1"/>
  <c r="K17" i="18" l="1"/>
  <c r="K10" i="11" s="1"/>
  <c r="K32" i="27"/>
  <c r="J107" i="13" l="1"/>
  <c r="K104" i="13" s="1"/>
  <c r="K107" i="13" l="1"/>
  <c r="L104" i="13" s="1"/>
  <c r="L107" i="13" s="1"/>
  <c r="K22" i="38" l="1"/>
  <c r="K12" i="38" s="1"/>
  <c r="K11" i="38" s="1"/>
  <c r="L22" i="38" l="1"/>
  <c r="L12" i="38" s="1"/>
  <c r="L11" i="38" s="1"/>
  <c r="J23" i="25" l="1"/>
  <c r="J35" i="25"/>
  <c r="J43" i="25" l="1"/>
  <c r="J36" i="25"/>
  <c r="J51" i="25" l="1"/>
  <c r="J52" i="25" s="1"/>
  <c r="J44" i="25"/>
  <c r="J93" i="13" l="1"/>
  <c r="K93" i="13" l="1"/>
  <c r="I87" i="13" l="1"/>
  <c r="J84" i="13" l="1"/>
  <c r="J87" i="13"/>
  <c r="K84" i="13" l="1"/>
  <c r="K87" i="13" s="1"/>
  <c r="I66" i="13"/>
  <c r="J63" i="13" s="1"/>
  <c r="L84" i="13" l="1"/>
  <c r="I19" i="13"/>
  <c r="J16" i="13" l="1"/>
  <c r="I13" i="14"/>
  <c r="I18" i="14" s="1"/>
  <c r="I13" i="13" l="1"/>
  <c r="I10" i="14"/>
  <c r="I37" i="13"/>
  <c r="J10" i="13" l="1"/>
  <c r="J66" i="13"/>
  <c r="K63" i="13" s="1"/>
  <c r="K66" i="13" l="1"/>
  <c r="L63" i="13" s="1"/>
  <c r="L66" i="13" l="1"/>
  <c r="L93" i="13" l="1"/>
  <c r="L87" i="13" l="1"/>
  <c r="I46" i="14"/>
  <c r="I112" i="13" l="1"/>
  <c r="I110" i="13" l="1"/>
  <c r="I94" i="13" l="1"/>
  <c r="I111" i="13"/>
  <c r="I113" i="13" s="1"/>
  <c r="J110" i="13"/>
  <c r="I117" i="13" l="1"/>
  <c r="I119" i="13" s="1"/>
  <c r="I21" i="14"/>
  <c r="I23" i="14" s="1"/>
  <c r="I26" i="14" s="1"/>
  <c r="J27" i="14" s="1"/>
  <c r="I29" i="14" l="1"/>
  <c r="J58" i="25" l="1"/>
  <c r="J62" i="25" s="1"/>
  <c r="I15" i="27" l="1"/>
  <c r="I22" i="27" s="1"/>
  <c r="I35" i="27" s="1"/>
  <c r="I26" i="27" l="1"/>
  <c r="I28" i="27" s="1"/>
  <c r="I12" i="19" s="1"/>
  <c r="I16" i="18" l="1"/>
  <c r="I19" i="19"/>
  <c r="I9" i="11" l="1"/>
  <c r="I13" i="11" s="1"/>
  <c r="I15" i="11" s="1"/>
  <c r="I25" i="18"/>
  <c r="J15" i="27" l="1"/>
  <c r="J22" i="27" s="1"/>
  <c r="H15" i="46" l="1"/>
  <c r="E13" i="46"/>
  <c r="E15" i="46" s="1"/>
  <c r="E144" i="46" s="1"/>
  <c r="E13" i="42"/>
  <c r="H15" i="42"/>
  <c r="E15" i="42" l="1"/>
  <c r="E144" i="42" s="1"/>
  <c r="E55" i="48" l="1"/>
  <c r="B55" i="50" s="1"/>
  <c r="H55" i="50" l="1"/>
  <c r="E55" i="50"/>
  <c r="C70" i="50" l="1"/>
  <c r="E68" i="50"/>
  <c r="E49" i="48" l="1"/>
  <c r="C60" i="48"/>
  <c r="E29" i="48"/>
  <c r="E81" i="48"/>
  <c r="B81" i="50" s="1"/>
  <c r="E58" i="48"/>
  <c r="B57" i="50" s="1"/>
  <c r="E57" i="50" s="1"/>
  <c r="E38" i="48"/>
  <c r="B35" i="50" s="1"/>
  <c r="E39" i="48"/>
  <c r="B36" i="50" s="1"/>
  <c r="E35" i="48"/>
  <c r="B32" i="50" s="1"/>
  <c r="E57" i="48"/>
  <c r="B56" i="50" s="1"/>
  <c r="E56" i="50" s="1"/>
  <c r="B27" i="50" l="1"/>
  <c r="H35" i="50"/>
  <c r="E35" i="50"/>
  <c r="H32" i="50"/>
  <c r="E32" i="50"/>
  <c r="B52" i="50"/>
  <c r="E60" i="48"/>
  <c r="H36" i="50"/>
  <c r="E36" i="50"/>
  <c r="E81" i="50"/>
  <c r="H81" i="50"/>
  <c r="H80" i="50" s="1"/>
  <c r="H52" i="50" l="1"/>
  <c r="B60" i="50"/>
  <c r="E27" i="50"/>
  <c r="H27" i="50"/>
  <c r="H60" i="50" l="1"/>
  <c r="E65" i="48"/>
  <c r="C70" i="48"/>
  <c r="B64" i="50" l="1"/>
  <c r="E70" i="48"/>
  <c r="H64" i="50" l="1"/>
  <c r="B70" i="50"/>
  <c r="E64" i="50"/>
  <c r="E70" i="50" s="1"/>
  <c r="H70" i="50" l="1"/>
  <c r="E52" i="50"/>
  <c r="C83" i="48" l="1"/>
  <c r="E40" i="48" l="1"/>
  <c r="B37" i="50" s="1"/>
  <c r="E41" i="48"/>
  <c r="B38" i="50" s="1"/>
  <c r="E37" i="48"/>
  <c r="B34" i="50" s="1"/>
  <c r="E34" i="50" l="1"/>
  <c r="H34" i="50"/>
  <c r="E38" i="50"/>
  <c r="H38" i="50"/>
  <c r="E37" i="50"/>
  <c r="H37" i="50"/>
  <c r="E36" i="48" l="1"/>
  <c r="E42" i="50" l="1"/>
  <c r="H42" i="50"/>
  <c r="B33" i="50"/>
  <c r="E33" i="50" l="1"/>
  <c r="H33" i="50"/>
  <c r="E41" i="50"/>
  <c r="E44" i="50"/>
  <c r="E43" i="50"/>
  <c r="E45" i="50"/>
  <c r="E40" i="50" l="1"/>
  <c r="E58" i="50" l="1"/>
  <c r="E60" i="50" s="1"/>
  <c r="C60" i="50"/>
  <c r="E42" i="48" l="1"/>
  <c r="B39" i="50" l="1"/>
  <c r="H39" i="50" l="1"/>
  <c r="E39" i="50"/>
  <c r="D142" i="42" l="1"/>
  <c r="F141" i="42" l="1"/>
  <c r="C142" i="42"/>
  <c r="C144" i="42"/>
  <c r="C141" i="46" l="1"/>
  <c r="F142" i="42"/>
  <c r="C83" i="50" l="1"/>
  <c r="F141" i="46"/>
  <c r="F142" i="46" s="1"/>
  <c r="C142" i="46"/>
  <c r="H142" i="42"/>
  <c r="H142" i="46"/>
  <c r="D127" i="46" l="1"/>
  <c r="D15" i="46" l="1"/>
  <c r="F136" i="42" l="1"/>
  <c r="C136" i="46" s="1"/>
  <c r="F136" i="46" s="1"/>
  <c r="F134" i="42"/>
  <c r="C134" i="46" s="1"/>
  <c r="F134" i="46" s="1"/>
  <c r="F131" i="42"/>
  <c r="C131" i="46" s="1"/>
  <c r="F131" i="46" s="1"/>
  <c r="F121" i="42"/>
  <c r="C121" i="46" s="1"/>
  <c r="F121" i="46" s="1"/>
  <c r="F118" i="42"/>
  <c r="C118" i="46" s="1"/>
  <c r="F118" i="46" s="1"/>
  <c r="F116" i="42"/>
  <c r="C116" i="46" s="1"/>
  <c r="F116" i="46" s="1"/>
  <c r="F110" i="42"/>
  <c r="C110" i="46" s="1"/>
  <c r="F110" i="46" s="1"/>
  <c r="F109" i="42"/>
  <c r="C109" i="46" s="1"/>
  <c r="F109" i="46" s="1"/>
  <c r="F107" i="42"/>
  <c r="C107" i="46" s="1"/>
  <c r="F107" i="46" s="1"/>
  <c r="F105" i="42"/>
  <c r="C105" i="46" s="1"/>
  <c r="F105" i="46" s="1"/>
  <c r="F103" i="42"/>
  <c r="C103" i="46" s="1"/>
  <c r="F103" i="46" s="1"/>
  <c r="F102" i="42"/>
  <c r="C102" i="46" s="1"/>
  <c r="F102" i="46" s="1"/>
  <c r="F73" i="42"/>
  <c r="C73" i="46" s="1"/>
  <c r="F73" i="46" s="1"/>
  <c r="F71" i="42"/>
  <c r="C71" i="46" s="1"/>
  <c r="F71" i="46" s="1"/>
  <c r="F70" i="42"/>
  <c r="C70" i="46" s="1"/>
  <c r="F70" i="46" s="1"/>
  <c r="F69" i="42"/>
  <c r="C69" i="46" s="1"/>
  <c r="F69" i="46" s="1"/>
  <c r="F68" i="42"/>
  <c r="C68" i="46" s="1"/>
  <c r="F68" i="46" s="1"/>
  <c r="F66" i="42"/>
  <c r="C66" i="46" s="1"/>
  <c r="F66" i="46" s="1"/>
  <c r="F67" i="42"/>
  <c r="C67" i="46" s="1"/>
  <c r="F67" i="46" s="1"/>
  <c r="F65" i="42"/>
  <c r="C65" i="46" s="1"/>
  <c r="F65" i="46" s="1"/>
  <c r="F64" i="42"/>
  <c r="C64" i="46" s="1"/>
  <c r="F64" i="46" s="1"/>
  <c r="F58" i="42"/>
  <c r="C58" i="46" s="1"/>
  <c r="F58" i="46" s="1"/>
  <c r="F57" i="42"/>
  <c r="C57" i="46" s="1"/>
  <c r="F57" i="46" s="1"/>
  <c r="F52" i="42"/>
  <c r="C52" i="46" s="1"/>
  <c r="F52" i="46" s="1"/>
  <c r="F51" i="42"/>
  <c r="C51" i="46" s="1"/>
  <c r="F51" i="46" s="1"/>
  <c r="F49" i="42"/>
  <c r="C49" i="46" s="1"/>
  <c r="F49" i="46" s="1"/>
  <c r="F93" i="42"/>
  <c r="C93" i="46" s="1"/>
  <c r="F93" i="46" s="1"/>
  <c r="F92" i="42"/>
  <c r="C92" i="46" s="1"/>
  <c r="F92" i="46" s="1"/>
  <c r="F91" i="42"/>
  <c r="C91" i="46" s="1"/>
  <c r="F91" i="46" s="1"/>
  <c r="F90" i="42"/>
  <c r="C90" i="46" s="1"/>
  <c r="F90" i="46" s="1"/>
  <c r="F89" i="42"/>
  <c r="C89" i="46" s="1"/>
  <c r="F89" i="46" s="1"/>
  <c r="F87" i="42"/>
  <c r="C87" i="46" s="1"/>
  <c r="F87" i="46" s="1"/>
  <c r="F86" i="42"/>
  <c r="C86" i="46" s="1"/>
  <c r="F86" i="46" s="1"/>
  <c r="F85" i="42"/>
  <c r="C85" i="46" s="1"/>
  <c r="F85" i="46" s="1"/>
  <c r="F83" i="42"/>
  <c r="C83" i="46" s="1"/>
  <c r="F83" i="46" s="1"/>
  <c r="F82" i="42"/>
  <c r="C82" i="46" s="1"/>
  <c r="F82" i="46" s="1"/>
  <c r="F80" i="42"/>
  <c r="C80" i="46" s="1"/>
  <c r="F80" i="46" s="1"/>
  <c r="F79" i="42"/>
  <c r="C79" i="46" s="1"/>
  <c r="F79" i="46" s="1"/>
  <c r="F39" i="42"/>
  <c r="C39" i="46" s="1"/>
  <c r="F39" i="46" s="1"/>
  <c r="F37" i="42"/>
  <c r="C37" i="46" s="1"/>
  <c r="F37" i="46" s="1"/>
  <c r="F27" i="42"/>
  <c r="C27" i="46" s="1"/>
  <c r="F27" i="46" s="1"/>
  <c r="F25" i="42"/>
  <c r="C25" i="46" s="1"/>
  <c r="F25" i="46" s="1"/>
  <c r="F19" i="42"/>
  <c r="C19" i="46" s="1"/>
  <c r="F19" i="46" s="1"/>
  <c r="F13" i="42"/>
  <c r="C13" i="46" s="1"/>
  <c r="F13" i="46" s="1"/>
  <c r="F12" i="42"/>
  <c r="C12" i="46" s="1"/>
  <c r="F12" i="46" s="1"/>
  <c r="F11" i="42"/>
  <c r="C11" i="46" s="1"/>
  <c r="F11" i="46" s="1"/>
  <c r="F10" i="42"/>
  <c r="C10" i="46" s="1"/>
  <c r="F10" i="46" s="1"/>
  <c r="F9" i="42"/>
  <c r="C9" i="46" s="1"/>
  <c r="F9" i="46" s="1"/>
  <c r="F32" i="42" l="1"/>
  <c r="F8" i="42"/>
  <c r="D15" i="42"/>
  <c r="D127" i="42"/>
  <c r="F126" i="42"/>
  <c r="F130" i="42"/>
  <c r="F98" i="42"/>
  <c r="C98" i="46" l="1"/>
  <c r="C130" i="46"/>
  <c r="C126" i="46"/>
  <c r="F127" i="42"/>
  <c r="F15" i="42"/>
  <c r="C8" i="46"/>
  <c r="C32" i="46"/>
  <c r="C15" i="46" l="1"/>
  <c r="F8" i="46"/>
  <c r="F15" i="46" s="1"/>
  <c r="C127" i="46"/>
  <c r="F126" i="46"/>
  <c r="F127" i="46" s="1"/>
  <c r="F130" i="46"/>
  <c r="F32" i="46"/>
  <c r="F98" i="46"/>
  <c r="F120" i="42" l="1"/>
  <c r="C120" i="46" s="1"/>
  <c r="F120" i="46" l="1"/>
  <c r="D75" i="46" l="1"/>
  <c r="F72" i="42" l="1"/>
  <c r="C72" i="46" s="1"/>
  <c r="F72" i="46" s="1"/>
  <c r="F135" i="42" l="1"/>
  <c r="C135" i="46" s="1"/>
  <c r="F135" i="46" s="1"/>
  <c r="H75" i="42" l="1"/>
  <c r="H75" i="46" l="1"/>
  <c r="F63" i="42"/>
  <c r="D75" i="42"/>
  <c r="C63" i="46" l="1"/>
  <c r="F75" i="42"/>
  <c r="C75" i="46" l="1"/>
  <c r="F63" i="46"/>
  <c r="F75" i="46" s="1"/>
  <c r="F81" i="42" l="1"/>
  <c r="C81" i="46" s="1"/>
  <c r="F81" i="46" l="1"/>
  <c r="E73" i="48" l="1"/>
  <c r="H73" i="48"/>
  <c r="B75" i="48"/>
  <c r="L56" i="13" l="1"/>
  <c r="H75" i="48"/>
  <c r="B73" i="50"/>
  <c r="K56" i="13"/>
  <c r="K57" i="13" s="1"/>
  <c r="J57" i="13"/>
  <c r="E73" i="50" l="1"/>
  <c r="H73" i="50"/>
  <c r="L57" i="13"/>
  <c r="F117" i="42" l="1"/>
  <c r="C117" i="46" s="1"/>
  <c r="F117" i="46" s="1"/>
  <c r="E80" i="48" l="1"/>
  <c r="B80" i="50" s="1"/>
  <c r="E80" i="50" s="1"/>
  <c r="D138" i="46" l="1"/>
  <c r="F133" i="42" l="1"/>
  <c r="C133" i="46" s="1"/>
  <c r="F133" i="46" s="1"/>
  <c r="F99" i="42" l="1"/>
  <c r="F24" i="42"/>
  <c r="C24" i="46" s="1"/>
  <c r="F24" i="46" s="1"/>
  <c r="F34" i="42"/>
  <c r="C34" i="46" s="1"/>
  <c r="F34" i="46" s="1"/>
  <c r="F23" i="42"/>
  <c r="C23" i="46" s="1"/>
  <c r="F23" i="46" s="1"/>
  <c r="F88" i="42"/>
  <c r="C88" i="46" s="1"/>
  <c r="F88" i="46" s="1"/>
  <c r="F38" i="42"/>
  <c r="C38" i="46" s="1"/>
  <c r="F38" i="46" s="1"/>
  <c r="F26" i="42"/>
  <c r="C26" i="46" s="1"/>
  <c r="F26" i="46" s="1"/>
  <c r="F33" i="42" l="1"/>
  <c r="F132" i="42"/>
  <c r="D138" i="42"/>
  <c r="C99" i="46"/>
  <c r="F99" i="46" l="1"/>
  <c r="C132" i="46"/>
  <c r="F138" i="42"/>
  <c r="C33" i="46"/>
  <c r="F33" i="46" l="1"/>
  <c r="F132" i="46"/>
  <c r="F138" i="46" s="1"/>
  <c r="C138" i="46"/>
  <c r="F119" i="42" l="1"/>
  <c r="C119" i="46" s="1"/>
  <c r="H123" i="42" l="1"/>
  <c r="F108" i="42"/>
  <c r="C108" i="46" s="1"/>
  <c r="F101" i="42"/>
  <c r="C101" i="46" s="1"/>
  <c r="F50" i="42"/>
  <c r="C50" i="46" s="1"/>
  <c r="F104" i="42"/>
  <c r="C104" i="46" s="1"/>
  <c r="F50" i="46" l="1"/>
  <c r="F100" i="42"/>
  <c r="F115" i="42"/>
  <c r="D123" i="42"/>
  <c r="F48" i="42"/>
  <c r="F108" i="46"/>
  <c r="F101" i="46"/>
  <c r="F119" i="46"/>
  <c r="F104" i="46"/>
  <c r="F123" i="42" l="1"/>
  <c r="C115" i="46"/>
  <c r="H123" i="46"/>
  <c r="D123" i="46"/>
  <c r="C100" i="46"/>
  <c r="C48" i="46"/>
  <c r="D112" i="46"/>
  <c r="F106" i="42" l="1"/>
  <c r="D112" i="42"/>
  <c r="F48" i="46"/>
  <c r="F53" i="42"/>
  <c r="D60" i="42"/>
  <c r="F100" i="46"/>
  <c r="C123" i="46"/>
  <c r="F115" i="46"/>
  <c r="F123" i="46" s="1"/>
  <c r="C53" i="46" l="1"/>
  <c r="F60" i="42"/>
  <c r="C106" i="46"/>
  <c r="F112" i="42"/>
  <c r="C112" i="46" l="1"/>
  <c r="F106" i="46"/>
  <c r="F112" i="46" s="1"/>
  <c r="C60" i="46"/>
  <c r="H60" i="46" l="1"/>
  <c r="H138" i="42"/>
  <c r="H112" i="42" l="1"/>
  <c r="H112" i="46"/>
  <c r="H60" i="42"/>
  <c r="H138" i="46"/>
  <c r="D29" i="46" l="1"/>
  <c r="J40" i="14" l="1"/>
  <c r="E79" i="48" l="1"/>
  <c r="B83" i="48"/>
  <c r="B85" i="48" s="1"/>
  <c r="B79" i="50" l="1"/>
  <c r="E83" i="48"/>
  <c r="E79" i="50" l="1"/>
  <c r="E83" i="50" s="1"/>
  <c r="B83" i="50"/>
  <c r="F22" i="42" l="1"/>
  <c r="C22" i="46" s="1"/>
  <c r="F22" i="46" s="1"/>
  <c r="H29" i="42" l="1"/>
  <c r="H29" i="46"/>
  <c r="H41" i="42" l="1"/>
  <c r="F18" i="42" l="1"/>
  <c r="C18" i="46" l="1"/>
  <c r="H41" i="46" l="1"/>
  <c r="F18" i="46"/>
  <c r="F36" i="42" l="1"/>
  <c r="C36" i="46" s="1"/>
  <c r="D41" i="46"/>
  <c r="F36" i="46" l="1"/>
  <c r="F20" i="42" l="1"/>
  <c r="D29" i="42"/>
  <c r="F78" i="42"/>
  <c r="D95" i="42"/>
  <c r="D95" i="46"/>
  <c r="D60" i="46" l="1"/>
  <c r="D144" i="46" s="1"/>
  <c r="F53" i="46"/>
  <c r="F60" i="46" s="1"/>
  <c r="F95" i="42"/>
  <c r="C78" i="46"/>
  <c r="F35" i="42"/>
  <c r="D41" i="42"/>
  <c r="D144" i="42" s="1"/>
  <c r="C20" i="46"/>
  <c r="F29" i="42"/>
  <c r="K22" i="14" l="1"/>
  <c r="J15" i="14"/>
  <c r="F20" i="46"/>
  <c r="C29" i="46"/>
  <c r="C35" i="46"/>
  <c r="F41" i="42"/>
  <c r="F144" i="42" s="1"/>
  <c r="L22" i="14"/>
  <c r="C95" i="46"/>
  <c r="F78" i="46"/>
  <c r="F95" i="46" s="1"/>
  <c r="H95" i="42"/>
  <c r="H144" i="42" s="1"/>
  <c r="J22" i="14"/>
  <c r="H95" i="46" l="1"/>
  <c r="H144" i="46"/>
  <c r="K15" i="14"/>
  <c r="F35" i="46"/>
  <c r="F41" i="46" s="1"/>
  <c r="C41" i="46"/>
  <c r="C144" i="46" s="1"/>
  <c r="L15" i="14"/>
  <c r="F29" i="46"/>
  <c r="F144" i="46" s="1"/>
  <c r="H83" i="50" l="1"/>
  <c r="H83" i="48" l="1"/>
  <c r="H85" i="48" s="1"/>
  <c r="K40" i="14" l="1"/>
  <c r="J71" i="13"/>
  <c r="K70" i="13"/>
  <c r="L40" i="14" l="1"/>
  <c r="J42" i="14"/>
  <c r="J46" i="14" l="1"/>
  <c r="K44" i="14"/>
  <c r="K42" i="14"/>
  <c r="L44" i="14" l="1"/>
  <c r="K46" i="14"/>
  <c r="L42" i="14"/>
  <c r="L46" i="14" s="1"/>
  <c r="J50" i="13" l="1"/>
  <c r="K49" i="13"/>
  <c r="K42" i="13"/>
  <c r="J43" i="13"/>
  <c r="L49" i="13" l="1"/>
  <c r="K50" i="13"/>
  <c r="L50" i="13" l="1"/>
  <c r="L70" i="13" l="1"/>
  <c r="K71" i="13"/>
  <c r="L71" i="13" l="1"/>
  <c r="K43" i="13" l="1"/>
  <c r="L42" i="13"/>
  <c r="L43" i="13" l="1"/>
  <c r="J101" i="13" l="1"/>
  <c r="K98" i="13" s="1"/>
  <c r="K101" i="13" l="1"/>
  <c r="L98" i="13" s="1"/>
  <c r="L101" i="13" l="1"/>
  <c r="K15" i="27" l="1"/>
  <c r="L15" i="27" l="1"/>
  <c r="J13" i="13" l="1"/>
  <c r="K10" i="13" l="1"/>
  <c r="J10" i="14"/>
  <c r="J19" i="13" l="1"/>
  <c r="K16" i="13" l="1"/>
  <c r="J13" i="14"/>
  <c r="K13" i="13" l="1"/>
  <c r="L10" i="13" l="1"/>
  <c r="L13" i="13" s="1"/>
  <c r="K10" i="14"/>
  <c r="L10" i="14" l="1"/>
  <c r="K19" i="13" l="1"/>
  <c r="L16" i="13" l="1"/>
  <c r="K13" i="14"/>
  <c r="L19" i="13" l="1"/>
  <c r="L13" i="14" l="1"/>
  <c r="K21" i="18" l="1"/>
  <c r="L21" i="18"/>
  <c r="L12" i="23" l="1"/>
  <c r="K12" i="23"/>
  <c r="L31" i="27" l="1"/>
  <c r="L19" i="18"/>
  <c r="L20" i="18"/>
  <c r="K20" i="18"/>
  <c r="K18" i="18"/>
  <c r="L18" i="18"/>
  <c r="K31" i="27" l="1"/>
  <c r="K19" i="18"/>
  <c r="J20" i="18" l="1"/>
  <c r="J21" i="18"/>
  <c r="J12" i="23"/>
  <c r="J26" i="19"/>
  <c r="J31" i="27" l="1"/>
  <c r="J35" i="27" s="1"/>
  <c r="J19" i="18"/>
  <c r="J78" i="13" l="1"/>
  <c r="K77" i="13"/>
  <c r="L77" i="13" l="1"/>
  <c r="K78" i="13"/>
  <c r="L78" i="13" l="1"/>
  <c r="J53" i="36" l="1"/>
  <c r="J55" i="36" s="1"/>
  <c r="J112" i="13" l="1"/>
  <c r="J18" i="18" l="1"/>
  <c r="K17" i="27" l="1"/>
  <c r="K18" i="23"/>
  <c r="K19" i="27" l="1"/>
  <c r="K22" i="27" s="1"/>
  <c r="K33" i="27"/>
  <c r="L18" i="23"/>
  <c r="L17" i="27"/>
  <c r="K35" i="27" l="1"/>
  <c r="L33" i="27"/>
  <c r="L19" i="27"/>
  <c r="L22" i="27" s="1"/>
  <c r="L17" i="18" l="1"/>
  <c r="L10" i="11" s="1"/>
  <c r="L32" i="27"/>
  <c r="L35" i="27" s="1"/>
  <c r="J94" i="13" l="1"/>
  <c r="J111" i="13"/>
  <c r="J113" i="13" s="1"/>
  <c r="K110" i="13"/>
  <c r="J21" i="14" l="1"/>
  <c r="J23" i="14" s="1"/>
  <c r="J117" i="13"/>
  <c r="I22" i="29" l="1"/>
  <c r="I20" i="29"/>
  <c r="I24" i="29" s="1"/>
  <c r="G24" i="29"/>
  <c r="G62" i="25"/>
  <c r="I21" i="19" l="1"/>
  <c r="I32" i="19" s="1"/>
  <c r="I24" i="12"/>
  <c r="I28" i="12" s="1"/>
  <c r="I30" i="12" s="1"/>
  <c r="I19" i="11" s="1"/>
  <c r="I21" i="11" s="1"/>
  <c r="I31" i="14" s="1"/>
  <c r="I34" i="14" s="1"/>
  <c r="I48" i="14" s="1"/>
  <c r="M24" i="29" l="1"/>
  <c r="I9" i="18"/>
  <c r="I12" i="20"/>
  <c r="I14" i="20" s="1"/>
  <c r="I19" i="20" s="1"/>
  <c r="I24" i="20" l="1"/>
  <c r="I25" i="20" s="1"/>
  <c r="J9" i="20"/>
  <c r="M22" i="29"/>
  <c r="M20" i="29"/>
  <c r="Q24" i="29" l="1"/>
  <c r="I13" i="18" s="1"/>
  <c r="O20" i="29"/>
  <c r="O24" i="29" l="1"/>
  <c r="I9" i="23"/>
  <c r="I14" i="23" s="1"/>
  <c r="I23" i="23" s="1"/>
  <c r="I27" i="18"/>
  <c r="I11" i="18"/>
  <c r="J24" i="12" l="1"/>
  <c r="J28" i="12" s="1"/>
  <c r="K24" i="12" l="1"/>
  <c r="K28" i="12" s="1"/>
  <c r="L24" i="12" l="1"/>
  <c r="L28" i="12" s="1"/>
  <c r="J26" i="27" l="1"/>
  <c r="J28" i="27" s="1"/>
  <c r="J12" i="19" s="1"/>
  <c r="J16" i="18" l="1"/>
  <c r="J19" i="19"/>
  <c r="J21" i="19" s="1"/>
  <c r="J13" i="12" l="1"/>
  <c r="J17" i="12" s="1"/>
  <c r="J30" i="12" s="1"/>
  <c r="J19" i="11" s="1"/>
  <c r="J9" i="11"/>
  <c r="J13" i="11" s="1"/>
  <c r="J15" i="11" s="1"/>
  <c r="J25" i="18"/>
  <c r="J21" i="11" l="1"/>
  <c r="J31" i="14" s="1"/>
  <c r="J33" i="13"/>
  <c r="J35" i="13" l="1"/>
  <c r="J37" i="13" s="1"/>
  <c r="J119" i="13" s="1"/>
  <c r="J17" i="14"/>
  <c r="J18" i="14" s="1"/>
  <c r="J26" i="14" s="1"/>
  <c r="K27" i="14" l="1"/>
  <c r="J29" i="14"/>
  <c r="J34" i="14" s="1"/>
  <c r="J48" i="14" s="1"/>
  <c r="M33" i="29" l="1"/>
  <c r="J9" i="18"/>
  <c r="K26" i="27" l="1"/>
  <c r="K28" i="27" s="1"/>
  <c r="K12" i="19" s="1"/>
  <c r="K16" i="18" l="1"/>
  <c r="K19" i="19"/>
  <c r="K21" i="19" s="1"/>
  <c r="K13" i="12" l="1"/>
  <c r="K17" i="12" s="1"/>
  <c r="K30" i="12" s="1"/>
  <c r="K19" i="11" s="1"/>
  <c r="K9" i="11"/>
  <c r="K13" i="11" s="1"/>
  <c r="K15" i="11" s="1"/>
  <c r="K25" i="18"/>
  <c r="K21" i="11" l="1"/>
  <c r="K31" i="14" s="1"/>
  <c r="L26" i="27"/>
  <c r="L28" i="27" s="1"/>
  <c r="L12" i="19" s="1"/>
  <c r="L16" i="18" l="1"/>
  <c r="L19" i="19"/>
  <c r="L21" i="19" s="1"/>
  <c r="L13" i="12" l="1"/>
  <c r="L17" i="12" s="1"/>
  <c r="L30" i="12" s="1"/>
  <c r="L19" i="11" s="1"/>
  <c r="L25" i="18"/>
  <c r="L9" i="11"/>
  <c r="L13" i="11" s="1"/>
  <c r="L15" i="11" s="1"/>
  <c r="L21" i="11" l="1"/>
  <c r="L31" i="14" s="1"/>
  <c r="J30" i="19" l="1"/>
  <c r="J32" i="19" s="1"/>
  <c r="J17" i="23"/>
  <c r="J21" i="23" s="1"/>
  <c r="J12" i="20" l="1"/>
  <c r="J14" i="20" s="1"/>
  <c r="J19" i="20" s="1"/>
  <c r="K9" i="20" l="1"/>
  <c r="J24" i="20"/>
  <c r="J25" i="20" s="1"/>
  <c r="G31" i="29" s="1"/>
  <c r="I31" i="29" l="1"/>
  <c r="M31" i="29" s="1"/>
  <c r="I29" i="29"/>
  <c r="G33" i="29"/>
  <c r="I33" i="29" l="1"/>
  <c r="M29" i="29"/>
  <c r="K33" i="13" l="1"/>
  <c r="K17" i="14" l="1"/>
  <c r="K18" i="14" s="1"/>
  <c r="K35" i="13"/>
  <c r="K37" i="13" s="1"/>
  <c r="L33" i="13" l="1"/>
  <c r="L17" i="14" l="1"/>
  <c r="L35" i="13"/>
  <c r="L37" i="13" s="1"/>
  <c r="L18" i="14" l="1"/>
  <c r="K112" i="13" l="1"/>
  <c r="L112" i="13" l="1"/>
  <c r="K111" i="13" l="1"/>
  <c r="K113" i="13" s="1"/>
  <c r="K94" i="13"/>
  <c r="L111" i="13"/>
  <c r="L94" i="13"/>
  <c r="L110" i="13"/>
  <c r="L113" i="13" l="1"/>
  <c r="L21" i="14"/>
  <c r="K117" i="13"/>
  <c r="K119" i="13" s="1"/>
  <c r="K21" i="14"/>
  <c r="K23" i="14" s="1"/>
  <c r="K26" i="14" s="1"/>
  <c r="L117" i="13" l="1"/>
  <c r="L119" i="13" s="1"/>
  <c r="L27" i="14"/>
  <c r="K29" i="14"/>
  <c r="K34" i="14" s="1"/>
  <c r="K48" i="14" s="1"/>
  <c r="L23" i="14"/>
  <c r="M42" i="29" l="1"/>
  <c r="K9" i="18"/>
  <c r="L26" i="14"/>
  <c r="L29" i="14" s="1"/>
  <c r="L34" i="14" l="1"/>
  <c r="M38" i="29"/>
  <c r="M40" i="29"/>
  <c r="L48" i="14" l="1"/>
  <c r="M51" i="29" l="1"/>
  <c r="L9" i="18"/>
  <c r="M47" i="29" l="1"/>
  <c r="M49" i="29"/>
  <c r="O29" i="29" l="1"/>
  <c r="Q33" i="29" l="1"/>
  <c r="J13" i="18" s="1"/>
  <c r="J9" i="23"/>
  <c r="J14" i="23" s="1"/>
  <c r="J23" i="23" s="1"/>
  <c r="J27" i="18"/>
  <c r="J11" i="18"/>
  <c r="K28" i="36" l="1"/>
  <c r="L29" i="36" l="1"/>
  <c r="K30" i="36"/>
  <c r="G38" i="29" s="1"/>
  <c r="K53" i="36" l="1"/>
  <c r="K55" i="36" s="1"/>
  <c r="O38" i="29" s="1"/>
  <c r="Q38" i="29" l="1"/>
  <c r="Q40" i="29" l="1"/>
  <c r="Q42" i="29" s="1"/>
  <c r="K13" i="18" s="1"/>
  <c r="O42" i="29"/>
  <c r="K27" i="18" l="1"/>
  <c r="K11" i="18"/>
  <c r="K9" i="23"/>
  <c r="L28" i="36" l="1"/>
  <c r="L30" i="36" s="1"/>
  <c r="G47" i="29" s="1"/>
  <c r="L53" i="36" l="1"/>
  <c r="L55" i="36" s="1"/>
  <c r="O47" i="29" s="1"/>
  <c r="Q47" i="29" l="1"/>
  <c r="K13" i="23" l="1"/>
  <c r="K14" i="23" s="1"/>
  <c r="K26" i="19"/>
  <c r="K17" i="23" l="1"/>
  <c r="K21" i="23" s="1"/>
  <c r="K23" i="23" s="1"/>
  <c r="K30" i="19"/>
  <c r="K32" i="19" s="1"/>
  <c r="K12" i="20" l="1"/>
  <c r="K14" i="20" s="1"/>
  <c r="K19" i="20" s="1"/>
  <c r="K24" i="20" l="1"/>
  <c r="K25" i="20" s="1"/>
  <c r="G40" i="29" s="1"/>
  <c r="L9" i="20"/>
  <c r="I40" i="29" l="1"/>
  <c r="I38" i="29"/>
  <c r="G42" i="29"/>
  <c r="I42" i="29" l="1"/>
  <c r="L26" i="19" l="1"/>
  <c r="L13" i="23"/>
  <c r="L17" i="23" l="1"/>
  <c r="L21" i="23" s="1"/>
  <c r="L30" i="19"/>
  <c r="L32" i="19" s="1"/>
  <c r="L12" i="20" l="1"/>
  <c r="L14" i="20" s="1"/>
  <c r="L19" i="20" s="1"/>
  <c r="L24" i="20" s="1"/>
  <c r="L25" i="20" s="1"/>
  <c r="G49" i="29" s="1"/>
  <c r="I49" i="29" l="1"/>
  <c r="I47" i="29"/>
  <c r="G51" i="29"/>
  <c r="I51" i="29" l="1"/>
  <c r="Q49" i="29" l="1"/>
  <c r="Q51" i="29" s="1"/>
  <c r="L13" i="18" s="1"/>
  <c r="O51" i="29" l="1"/>
  <c r="L9" i="23"/>
  <c r="L14" i="23" s="1"/>
  <c r="L23" i="23" s="1"/>
  <c r="L11" i="18"/>
  <c r="L27" i="18"/>
  <c r="E43" i="48" l="1"/>
  <c r="C45" i="48"/>
  <c r="C75" i="48" s="1"/>
  <c r="C85" i="48" s="1"/>
  <c r="B46" i="50" l="1"/>
  <c r="E45" i="48"/>
  <c r="E75" i="48" s="1"/>
  <c r="E85" i="48" s="1"/>
  <c r="H46" i="50" l="1"/>
  <c r="B48" i="50"/>
  <c r="B75" i="50" s="1"/>
  <c r="B85" i="50" s="1"/>
  <c r="H48" i="50" l="1"/>
  <c r="H75" i="50" s="1"/>
  <c r="H85" i="50" s="1"/>
  <c r="C48" i="50" l="1"/>
  <c r="C75" i="50" s="1"/>
  <c r="C85" i="50" s="1"/>
  <c r="E46" i="50"/>
  <c r="E48" i="50" s="1"/>
  <c r="E75" i="50" s="1"/>
  <c r="E85" i="50" s="1"/>
</calcChain>
</file>

<file path=xl/sharedStrings.xml><?xml version="1.0" encoding="utf-8"?>
<sst xmlns="http://schemas.openxmlformats.org/spreadsheetml/2006/main" count="1089" uniqueCount="497">
  <si>
    <t>Yukon Energy Corporation</t>
  </si>
  <si>
    <t>Schedule Index</t>
  </si>
  <si>
    <t>2A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</si>
  <si>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</si>
  <si>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</si>
  <si>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</si>
  <si>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</si>
  <si>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</si>
  <si>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</si>
  <si>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</si>
  <si>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</si>
  <si>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</si>
  <si>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</si>
  <si>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</si>
  <si>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</si>
  <si>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</si>
  <si>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</si>
  <si>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</si>
  <si>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</si>
  <si>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</si>
  <si>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</si>
  <si>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</si>
  <si>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</si>
  <si>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</si>
  <si>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</si>
  <si>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</si>
  <si>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</si>
  <si>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</si>
  <si>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</si>
  <si>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</si>
  <si>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</si>
  <si>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</si>
  <si>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</si>
  <si>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</si>
  <si>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</si>
  <si>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</si>
  <si>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</si>
  <si>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</si>
  <si>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</si>
  <si>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</si>
  <si>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</si>
  <si>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</si>
  <si>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</si>
  <si>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</si>
  <si>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</si>
  <si>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</si>
  <si>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</si>
  <si>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</si>
  <si>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</si>
  <si>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</si>
  <si>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</si>
  <si>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</si>
  <si>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</si>
  <si>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</si>
  <si>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</si>
  <si>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</si>
  <si>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</si>
  <si>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</si>
  <si>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</si>
  <si>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</si>
  <si>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</si>
  <si>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</si>
  <si>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</si>
  <si>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</si>
  <si>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</si>
  <si>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</si>
  <si>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</si>
  <si>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</si>
  <si>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</si>
  <si>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</si>
  <si>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</si>
  <si>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</si>
  <si>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</si>
  <si>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</si>
  <si>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</si>
  <si>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</si>
  <si>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</si>
  <si>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</si>
  <si>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</si>
  <si>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</si>
  <si>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</si>
  <si>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</si>
  <si>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</si>
  <si>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</si>
  <si>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</si>
  <si>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</si>
  <si>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</si>
  <si>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</si>
  <si>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</si>
  <si>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</si>
  <si>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</si>
  <si>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</si>
  <si>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Intangibles</t>
  </si>
  <si>
    <t>Hearing Reserve</t>
  </si>
  <si>
    <t>S.1 L.9</t>
  </si>
  <si>
    <t>S.6 L.6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</si>
  <si>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</si>
  <si>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</si>
  <si>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</si>
  <si>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</si>
  <si>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</si>
  <si>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</si>
  <si>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</si>
  <si>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</si>
  <si>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</si>
  <si>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</si>
  <si>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</si>
  <si>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</si>
  <si>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</si>
  <si>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</si>
  <si>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</si>
  <si>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</si>
  <si>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</si>
  <si>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</si>
  <si>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</si>
  <si>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</si>
  <si>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</si>
  <si>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</si>
  <si>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</si>
  <si>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</si>
  <si>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</si>
  <si>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</si>
  <si>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</si>
  <si>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</si>
  <si>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</si>
  <si>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</si>
  <si>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</si>
  <si>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</si>
  <si>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</si>
  <si>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</si>
  <si>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</si>
  <si>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</si>
  <si>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</si>
  <si>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</si>
  <si>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</si>
  <si>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</si>
  <si>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</si>
  <si>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</si>
  <si>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</si>
  <si>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</si>
  <si>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</si>
  <si>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</si>
  <si>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</si>
  <si>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</si>
  <si>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</si>
  <si>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</si>
  <si>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</si>
  <si>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</si>
  <si>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</si>
  <si>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</si>
  <si>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</si>
  <si>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</si>
  <si>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</si>
  <si>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</si>
  <si>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</si>
  <si>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</si>
  <si>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</si>
  <si>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</si>
  <si>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</si>
  <si>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</si>
  <si>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</si>
  <si>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</si>
  <si>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</si>
  <si>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</si>
  <si>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</si>
  <si>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</si>
  <si>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</si>
  <si>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</si>
  <si>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</si>
  <si>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</si>
  <si>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</si>
  <si>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</si>
  <si>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S.5 L.3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</si>
  <si>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</si>
  <si>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</si>
  <si>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</si>
  <si>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</si>
  <si>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</si>
  <si>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</si>
  <si>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</si>
  <si>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</si>
  <si>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</si>
  <si>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</si>
  <si>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</si>
  <si>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</si>
  <si>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</si>
  <si>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</si>
  <si>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</si>
  <si>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</si>
  <si>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</si>
  <si>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</si>
  <si>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</si>
  <si>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</si>
  <si>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</si>
  <si>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</si>
  <si>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</si>
  <si>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</si>
  <si>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</si>
  <si>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</si>
  <si>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</si>
  <si>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</si>
  <si>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</si>
  <si>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</si>
  <si>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</si>
  <si>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</si>
  <si>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</si>
  <si>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</si>
  <si>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</si>
  <si>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</si>
  <si>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</si>
  <si>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</si>
  <si>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</si>
  <si>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</si>
  <si>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</si>
  <si>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</si>
  <si>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</si>
  <si>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</si>
  <si>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</si>
  <si>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</si>
  <si>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</si>
  <si>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</si>
  <si>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</si>
  <si>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</si>
  <si>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</si>
  <si>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</si>
  <si>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</si>
  <si>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</si>
  <si>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</si>
  <si>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</si>
  <si>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</si>
  <si>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</si>
  <si>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</si>
  <si>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</si>
  <si>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</si>
  <si>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</si>
  <si>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</si>
  <si>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</si>
  <si>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</si>
  <si>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</si>
  <si>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</si>
  <si>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</si>
  <si>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</si>
  <si>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</si>
  <si>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</si>
  <si>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</si>
  <si>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</si>
  <si>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</si>
  <si>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</si>
  <si>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</si>
  <si>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</si>
  <si>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</si>
  <si>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</si>
  <si>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</si>
  <si>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</si>
  <si>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</si>
  <si>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</si>
  <si>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</si>
  <si>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</si>
  <si>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</si>
  <si>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</si>
  <si>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</si>
  <si>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</si>
  <si>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</si>
  <si>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</si>
  <si>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</si>
  <si>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</si>
  <si>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</si>
  <si>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</si>
  <si>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</si>
  <si>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</si>
  <si>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</si>
  <si>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</si>
  <si>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</si>
  <si>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</si>
  <si>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</si>
  <si>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</si>
  <si>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</si>
  <si>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</si>
  <si>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</si>
  <si>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</si>
  <si>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</si>
  <si>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</si>
  <si>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</si>
  <si>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</si>
  <si>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</si>
  <si>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</si>
  <si>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</si>
  <si>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</si>
  <si>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YDC Mayo B Flexible Term Debt</t>
  </si>
  <si>
    <t>Minto Decommissioning Reserve</t>
  </si>
  <si>
    <t>Mid Year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</si>
  <si>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</si>
  <si>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</si>
  <si>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</si>
  <si>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</si>
  <si>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</si>
  <si>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</si>
  <si>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</si>
  <si>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</si>
  <si>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</si>
  <si>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</si>
  <si>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</si>
  <si>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</si>
  <si>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</si>
  <si>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</si>
  <si>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</si>
  <si>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</si>
  <si>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</si>
  <si>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</si>
  <si>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</si>
  <si>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</si>
  <si>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</si>
  <si>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</si>
  <si>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</si>
  <si>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</si>
  <si>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</si>
  <si>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</si>
  <si>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</si>
  <si>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Proposed Depreciation Rate (Years)</t>
  </si>
  <si>
    <t>S.3 L.4</t>
  </si>
  <si>
    <t>S.1 L.8</t>
  </si>
  <si>
    <t>Schedule 4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</si>
  <si>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</si>
  <si>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</si>
  <si>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</si>
  <si>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</si>
  <si>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</si>
  <si>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</si>
  <si>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Common Dividends (note 1)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</si>
  <si>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</si>
  <si>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</si>
  <si>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</si>
  <si>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</si>
  <si>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</si>
  <si>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Substation VGC Group - Gold Mine</t>
  </si>
  <si>
    <t>LWRF</t>
  </si>
  <si>
    <t>Fire Insurance Reserve</t>
  </si>
  <si>
    <t>2021 GRA
Compliance</t>
  </si>
  <si>
    <t>$000</t>
  </si>
  <si>
    <t>2021 GRA Compliance</t>
  </si>
  <si>
    <t>STATCOM - VGC Group - Gold Mine</t>
  </si>
  <si>
    <t>Other - VGC Group - Gold Mine</t>
  </si>
  <si>
    <t>Calculation of Depreciation Expense for 2024</t>
  </si>
  <si>
    <t>Cost at 2023 Year End</t>
  </si>
  <si>
    <t>2024 Additions</t>
  </si>
  <si>
    <t>2024 Disposals/ Adjustments</t>
  </si>
  <si>
    <t>Cost at 2024 Year End</t>
  </si>
  <si>
    <t>Actual 2021</t>
  </si>
  <si>
    <t>Forecast 2023</t>
  </si>
  <si>
    <t>Forecast 2024</t>
  </si>
  <si>
    <t>2021 Actual</t>
  </si>
  <si>
    <t>2020 New Debt</t>
  </si>
  <si>
    <t>$7.7M TD Swap - 2021</t>
  </si>
  <si>
    <t>$17.9M TD Swap - 2022</t>
  </si>
  <si>
    <t>2023 New Debt</t>
  </si>
  <si>
    <t>2024 New Debt</t>
  </si>
  <si>
    <t>Capital Lease Interest</t>
  </si>
  <si>
    <t>Long-Term Debt Balance</t>
  </si>
  <si>
    <t>Interest Expenses</t>
  </si>
  <si>
    <t>YDC Debt - 2020</t>
  </si>
  <si>
    <t>O&amp;M Expense Reported in Tab 3 excludes fuel and purchase power, but also includes the following:</t>
  </si>
  <si>
    <t>Feasibility Studies WIP</t>
  </si>
  <si>
    <t>Relicensing WIP</t>
  </si>
  <si>
    <t>Dam Safety WIP</t>
  </si>
  <si>
    <t>Vegetation Management Deferral WIP</t>
  </si>
  <si>
    <t>Vegetation Management Deferral</t>
  </si>
  <si>
    <t>Intangibles WIP</t>
  </si>
  <si>
    <t>DSM WIP</t>
  </si>
  <si>
    <t>Cost at 2022 Year End</t>
  </si>
  <si>
    <t>2023 Additions</t>
  </si>
  <si>
    <t>2023 Disposals/ Adjustments</t>
  </si>
  <si>
    <t>Calculation of Depreciation Expense for 2023</t>
  </si>
  <si>
    <t>Hydro, Dams wtwys Twin Assets</t>
  </si>
  <si>
    <t>GST blended rate</t>
  </si>
  <si>
    <t>Actual 2022</t>
  </si>
  <si>
    <t>Regulatory WIP</t>
  </si>
  <si>
    <t>Right of Use Assets</t>
  </si>
  <si>
    <t>Total Right of Use Assets</t>
  </si>
  <si>
    <t>YUKON ENERGY CORPORATION</t>
  </si>
  <si>
    <t>Total Expenditures</t>
  </si>
  <si>
    <t>Dec 31</t>
  </si>
  <si>
    <t>Amortization Rate and Method</t>
  </si>
  <si>
    <t xml:space="preserve"> Additions</t>
  </si>
  <si>
    <t>Transfers
/Retired</t>
  </si>
  <si>
    <t>Expenses</t>
  </si>
  <si>
    <t>Feasibility Study</t>
  </si>
  <si>
    <t>Completed Projects:</t>
  </si>
  <si>
    <t>SL-5 years</t>
  </si>
  <si>
    <t>SL-10 years</t>
  </si>
  <si>
    <t>Dyke Heating Pipe Assessment</t>
  </si>
  <si>
    <t>Emergency Preparedness Improvement</t>
  </si>
  <si>
    <t>Gladstone</t>
  </si>
  <si>
    <t>Mayo &amp; Aishihik Climate Change</t>
  </si>
  <si>
    <t>N-1 Event Risk Assessment</t>
  </si>
  <si>
    <t>PMF Flood Study</t>
  </si>
  <si>
    <t>Water Study Main Building</t>
  </si>
  <si>
    <t>Total Feasibility Study Closed</t>
  </si>
  <si>
    <t>Regulatory</t>
  </si>
  <si>
    <t>10 Year Renewable Energy Plan</t>
  </si>
  <si>
    <t>YUB 2007-8 - Part 3 Hearing</t>
  </si>
  <si>
    <t>SL-45 years</t>
  </si>
  <si>
    <t>Total Regulatory Closed</t>
  </si>
  <si>
    <t>Aishihik 2020 3 Year Relicensing</t>
  </si>
  <si>
    <t>Whitehorse Hatchery Water Relicensing</t>
  </si>
  <si>
    <t>Whitehorse Relicensing</t>
  </si>
  <si>
    <t>Mayo Relicensing</t>
  </si>
  <si>
    <t>Total Relicensing Closed</t>
  </si>
  <si>
    <t>Dam Safety Review</t>
  </si>
  <si>
    <t>Completed projects</t>
  </si>
  <si>
    <t>Total Deferred Costs</t>
  </si>
  <si>
    <t>Notes:</t>
  </si>
  <si>
    <t>1. This table does not include projects with zero net book value in the beginning of the year.</t>
  </si>
  <si>
    <t>2023 Forecast</t>
  </si>
  <si>
    <t>IPP Cost Deferral</t>
  </si>
  <si>
    <t>Defined Benefit Pension Deferral Account</t>
  </si>
  <si>
    <t>Less: Deferred Costs and Intangible Assets in Progress</t>
  </si>
  <si>
    <t>Deferred Costs and Intangible Assets (note 2)</t>
  </si>
  <si>
    <t>Less: Deferred Costs and Intangibles in Progress</t>
  </si>
  <si>
    <t>TD Bank Swap</t>
  </si>
  <si>
    <t>YDC $12.1M Debt</t>
  </si>
  <si>
    <t>YDC $92.5M Debt</t>
  </si>
  <si>
    <t>YDC $5.5M Debt</t>
  </si>
  <si>
    <t>YDC $21.0M Debt</t>
  </si>
  <si>
    <t>YDC $2.9M Debt</t>
  </si>
  <si>
    <t>1. In 2021 and 2022 the PAMMS project was under regulatory and transferred to Intangibles in 2023.</t>
  </si>
  <si>
    <t>S.3 L.17</t>
  </si>
  <si>
    <t>S.3 L.83</t>
  </si>
  <si>
    <t>Note 2: Please see details in Schedule 3. In the 2021 GRA Regulatory Deferral Account balance was provided as a separate line item, now included with other deferral accounts with a detailed breakdown in Schedule 3. Balances are net of contributions.</t>
  </si>
  <si>
    <t>Radio Repeater Assessment</t>
  </si>
  <si>
    <t>Transmission Line Access Plan</t>
  </si>
  <si>
    <t>Mayo Earthworks</t>
  </si>
  <si>
    <t>WH Post-Flood Assessment</t>
  </si>
  <si>
    <t>P126 Building Renovation</t>
  </si>
  <si>
    <t>WH4 Low Water Cavitation Study &amp; Recommendation</t>
  </si>
  <si>
    <t>P125 Intake Trash Rack Cleaning System</t>
  </si>
  <si>
    <t>Disaster Recovery Plan</t>
  </si>
  <si>
    <t>Dawson DT Distribution Upgrade</t>
  </si>
  <si>
    <t>BCP GAP Analysis</t>
  </si>
  <si>
    <t>Study Road Infrastructure May A&amp;B</t>
  </si>
  <si>
    <t>Elevator Study Aishik</t>
  </si>
  <si>
    <t>Mt Sumanik Wind Feasibility St</t>
  </si>
  <si>
    <t>Small Hydro Project</t>
  </si>
  <si>
    <t xml:space="preserve">FD7 Condition Assessment </t>
  </si>
  <si>
    <t>Wareham Spillgate Leakage Reduction</t>
  </si>
  <si>
    <t>IPP SOP Implentation</t>
  </si>
  <si>
    <t>WTE Contributions</t>
  </si>
  <si>
    <t>Asset Appraisal-Replace Cost</t>
  </si>
  <si>
    <t>Victoria Gold PPA</t>
  </si>
  <si>
    <t>LED Streetlight 2015/2018</t>
  </si>
  <si>
    <t>DSM Contributions</t>
  </si>
  <si>
    <t>Victoria Gold PPA Contributions</t>
  </si>
  <si>
    <t>Aishihik 2022 5 Year Relicensing</t>
  </si>
  <si>
    <t>License term</t>
  </si>
  <si>
    <t>Southern Lakes Enhanced Storage</t>
  </si>
  <si>
    <t>Public Safety Plans</t>
  </si>
  <si>
    <t>System Wide Stability Study</t>
  </si>
  <si>
    <t>System Wide Arc Flash Study</t>
  </si>
  <si>
    <t>Mayo Civil Infrastructure Refurbishment Planning</t>
  </si>
  <si>
    <t>Digital Strategy and Policy Development</t>
  </si>
  <si>
    <t>Privacy Management Program</t>
  </si>
  <si>
    <t>Vegetation Management Plan Update</t>
  </si>
  <si>
    <t>Other Projects with &lt;$100k Spending</t>
  </si>
  <si>
    <t>GRA 2020-2021 (Hearing Reserve Acct)</t>
  </si>
  <si>
    <t>Atlin EPA Section 18 Proceeding (Hearing Reserve Acct)</t>
  </si>
  <si>
    <t>PAMMS Asset Management Framework</t>
  </si>
  <si>
    <t>Software Costs</t>
  </si>
  <si>
    <t>Financial Software Costs</t>
  </si>
  <si>
    <t>Total Intangibles Closed</t>
  </si>
  <si>
    <t>Total Deferred and Intangibles Closed</t>
  </si>
  <si>
    <t>Calculation of Amortization Expense for Deferred Costs and Intangibles (2023)</t>
  </si>
  <si>
    <t>Schedule 3A - 2023</t>
  </si>
  <si>
    <t>Schedule 3A - 2024</t>
  </si>
  <si>
    <t>Schedule 3B - 2023</t>
  </si>
  <si>
    <t>Schedule 3B - 2024</t>
  </si>
  <si>
    <t>2024 Forecast</t>
  </si>
  <si>
    <t>Cyber Security Framework</t>
  </si>
  <si>
    <t>Transmission Line Detailed Inspection Program</t>
  </si>
  <si>
    <t>Gates/TIV's Certification Assessment System Wide</t>
  </si>
  <si>
    <t>Digital Reporting Review</t>
  </si>
  <si>
    <t>Records Policy Planning and Program Development</t>
  </si>
  <si>
    <t>Breaker Condition Assessment</t>
  </si>
  <si>
    <t>GRA 2023-2024 (Hearing Reserve Acct)</t>
  </si>
  <si>
    <t>WRGS Thermal Assessment &amp; Permitting</t>
  </si>
  <si>
    <t>Yukon Energy Corporation 2023/24 GRA</t>
  </si>
  <si>
    <t>3A-2023</t>
  </si>
  <si>
    <t>3A-2024</t>
  </si>
  <si>
    <t>3B-2023</t>
  </si>
  <si>
    <t>3B-2024</t>
  </si>
  <si>
    <t>Calculation of Amortization Expense for Deferred Costs and Intangibles (2024)</t>
  </si>
  <si>
    <t>2022 Actual</t>
  </si>
  <si>
    <t>Hearing Reserve Amortization tranfer</t>
  </si>
  <si>
    <t>August 31, 2023</t>
  </si>
  <si>
    <t>S.3 L.84</t>
  </si>
  <si>
    <t>S.3 L.86</t>
  </si>
  <si>
    <t>S.1 L.14</t>
  </si>
  <si>
    <t>S.11 L.19</t>
  </si>
  <si>
    <t>S.1 L.23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</si>
</sst>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  <font>
      <sz val="9"/>
      <name val="Segoe UI"/>
      <family val="2"/>
    </font>
    <font>
      <sz val="8.5"/>
      <name val="LinePrinter"/>
    </font>
    <font>
      <sz val="10"/>
      <name val="Helvetica (PCL6)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22" fillId="0" borderId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8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>
      <alignment vertical="center"/>
    </xf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30" fillId="0" borderId="0"/>
  </cellStyleXfs>
  <cellXfs count="20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73" fontId="7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9" fontId="7" fillId="0" borderId="0" xfId="1" applyFont="1" applyFill="1"/>
    <xf numFmtId="169" fontId="7" fillId="0" borderId="0" xfId="1" applyFont="1" applyFill="1" applyBorder="1"/>
    <xf numFmtId="9" fontId="7" fillId="0" borderId="0" xfId="2" applyFont="1" applyFill="1"/>
    <xf numFmtId="169" fontId="7" fillId="0" borderId="0" xfId="0" applyNumberFormat="1" applyFont="1"/>
    <xf numFmtId="169" fontId="7" fillId="0" borderId="1" xfId="1" applyFont="1" applyFill="1" applyBorder="1"/>
    <xf numFmtId="169" fontId="7" fillId="0" borderId="4" xfId="1" applyFont="1" applyFill="1" applyBorder="1"/>
    <xf numFmtId="3" fontId="7" fillId="0" borderId="0" xfId="0" applyNumberFormat="1" applyFont="1"/>
    <xf numFmtId="167" fontId="7" fillId="0" borderId="0" xfId="0" applyNumberFormat="1" applyFont="1"/>
    <xf numFmtId="169" fontId="7" fillId="0" borderId="3" xfId="1" applyFont="1" applyFill="1" applyBorder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7" fontId="7" fillId="0" borderId="0" xfId="1" applyNumberFormat="1" applyFont="1" applyFill="1"/>
    <xf numFmtId="167" fontId="7" fillId="0" borderId="0" xfId="1" applyNumberFormat="1" applyFont="1" applyFill="1" applyBorder="1"/>
    <xf numFmtId="0" fontId="13" fillId="0" borderId="0" xfId="0" applyFont="1"/>
    <xf numFmtId="167" fontId="7" fillId="0" borderId="3" xfId="1" applyNumberFormat="1" applyFont="1" applyFill="1" applyBorder="1"/>
    <xf numFmtId="169" fontId="10" fillId="0" borderId="0" xfId="0" applyNumberFormat="1" applyFont="1"/>
    <xf numFmtId="10" fontId="7" fillId="0" borderId="1" xfId="0" applyNumberFormat="1" applyFont="1" applyBorder="1"/>
    <xf numFmtId="10" fontId="7" fillId="0" borderId="0" xfId="0" applyNumberFormat="1" applyFont="1"/>
    <xf numFmtId="169" fontId="7" fillId="0" borderId="3" xfId="0" applyNumberFormat="1" applyFont="1" applyBorder="1"/>
    <xf numFmtId="0" fontId="14" fillId="0" borderId="0" xfId="0" applyFont="1"/>
    <xf numFmtId="1" fontId="7" fillId="0" borderId="0" xfId="0" applyNumberFormat="1" applyFont="1"/>
    <xf numFmtId="37" fontId="7" fillId="0" borderId="0" xfId="0" applyNumberFormat="1" applyFont="1"/>
    <xf numFmtId="0" fontId="14" fillId="0" borderId="0" xfId="0" applyFont="1" applyAlignment="1">
      <alignment horizontal="center"/>
    </xf>
    <xf numFmtId="3" fontId="7" fillId="0" borderId="0" xfId="1" applyNumberFormat="1" applyFont="1" applyFill="1"/>
    <xf numFmtId="3" fontId="7" fillId="0" borderId="0" xfId="0" applyNumberFormat="1" applyFont="1" applyAlignment="1">
      <alignment horizontal="right"/>
    </xf>
    <xf numFmtId="0" fontId="15" fillId="0" borderId="0" xfId="0" applyFont="1"/>
    <xf numFmtId="3" fontId="7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171" fontId="7" fillId="0" borderId="0" xfId="0" applyNumberFormat="1" applyFont="1"/>
    <xf numFmtId="3" fontId="7" fillId="0" borderId="1" xfId="0" applyNumberFormat="1" applyFont="1" applyBorder="1"/>
    <xf numFmtId="3" fontId="15" fillId="0" borderId="0" xfId="0" applyNumberFormat="1" applyFont="1"/>
    <xf numFmtId="3" fontId="7" fillId="0" borderId="3" xfId="0" applyNumberFormat="1" applyFont="1" applyBorder="1"/>
    <xf numFmtId="10" fontId="7" fillId="0" borderId="3" xfId="0" applyNumberFormat="1" applyFont="1" applyBorder="1"/>
    <xf numFmtId="3" fontId="7" fillId="0" borderId="1" xfId="1" applyNumberFormat="1" applyFont="1" applyFill="1" applyBorder="1"/>
    <xf numFmtId="3" fontId="7" fillId="0" borderId="3" xfId="1" applyNumberFormat="1" applyFont="1" applyFill="1" applyBorder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73" fontId="7" fillId="0" borderId="0" xfId="0" applyNumberFormat="1" applyFont="1"/>
    <xf numFmtId="170" fontId="7" fillId="0" borderId="0" xfId="0" applyNumberFormat="1" applyFont="1"/>
    <xf numFmtId="170" fontId="7" fillId="0" borderId="1" xfId="0" applyNumberFormat="1" applyFont="1" applyBorder="1"/>
    <xf numFmtId="170" fontId="7" fillId="0" borderId="3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16" fillId="0" borderId="0" xfId="0" applyFont="1"/>
    <xf numFmtId="0" fontId="7" fillId="0" borderId="0" xfId="0" applyFont="1" applyAlignment="1">
      <alignment horizontal="right" vertical="center"/>
    </xf>
    <xf numFmtId="38" fontId="7" fillId="0" borderId="0" xfId="0" applyNumberFormat="1" applyFont="1"/>
    <xf numFmtId="168" fontId="7" fillId="0" borderId="0" xfId="0" applyNumberFormat="1" applyFont="1"/>
    <xf numFmtId="0" fontId="7" fillId="0" borderId="0" xfId="0" applyFont="1" applyAlignment="1">
      <alignment wrapText="1"/>
    </xf>
    <xf numFmtId="169" fontId="7" fillId="0" borderId="0" xfId="3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0" fillId="0" borderId="0" xfId="4" applyFont="1"/>
    <xf numFmtId="0" fontId="7" fillId="0" borderId="0" xfId="0" applyFont="1" applyAlignment="1">
      <alignment horizontal="left" indent="1"/>
    </xf>
    <xf numFmtId="0" fontId="7" fillId="0" borderId="0" xfId="4" applyFont="1" applyAlignment="1">
      <alignment horizontal="left" indent="1"/>
    </xf>
    <xf numFmtId="172" fontId="7" fillId="0" borderId="0" xfId="0" applyNumberFormat="1" applyFont="1"/>
    <xf numFmtId="174" fontId="7" fillId="0" borderId="0" xfId="0" applyNumberFormat="1" applyFont="1"/>
    <xf numFmtId="0" fontId="19" fillId="0" borderId="0" xfId="4" applyFont="1"/>
    <xf numFmtId="3" fontId="7" fillId="0" borderId="0" xfId="4" applyNumberFormat="1" applyFont="1"/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14" fillId="0" borderId="0" xfId="0" applyNumberFormat="1" applyFont="1"/>
    <xf numFmtId="1" fontId="14" fillId="0" borderId="0" xfId="0" applyNumberFormat="1" applyFont="1"/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6" fillId="0" borderId="0" xfId="0" applyFont="1"/>
    <xf numFmtId="10" fontId="7" fillId="0" borderId="0" xfId="2" applyNumberFormat="1" applyFont="1"/>
    <xf numFmtId="10" fontId="7" fillId="0" borderId="0" xfId="2" applyNumberFormat="1" applyFont="1" applyFill="1"/>
    <xf numFmtId="169" fontId="7" fillId="0" borderId="0" xfId="1" applyFont="1" applyFill="1" applyAlignment="1">
      <alignment vertical="center"/>
    </xf>
    <xf numFmtId="169" fontId="7" fillId="0" borderId="0" xfId="1" applyFont="1" applyFill="1" applyAlignment="1">
      <alignment horizontal="center" vertical="center"/>
    </xf>
    <xf numFmtId="3" fontId="7" fillId="0" borderId="4" xfId="1" applyNumberFormat="1" applyFont="1" applyFill="1" applyBorder="1"/>
    <xf numFmtId="174" fontId="7" fillId="0" borderId="0" xfId="4" applyNumberFormat="1" applyFont="1"/>
    <xf numFmtId="3" fontId="7" fillId="0" borderId="4" xfId="0" applyNumberFormat="1" applyFont="1" applyBorder="1"/>
    <xf numFmtId="37" fontId="14" fillId="0" borderId="1" xfId="0" applyNumberFormat="1" applyFont="1" applyBorder="1"/>
    <xf numFmtId="0" fontId="8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7" fillId="0" borderId="0" xfId="4" applyFont="1" applyAlignment="1">
      <alignment horizontal="right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173" fontId="7" fillId="0" borderId="0" xfId="4" applyNumberFormat="1" applyFont="1" applyAlignment="1">
      <alignment horizontal="right"/>
    </xf>
    <xf numFmtId="0" fontId="10" fillId="0" borderId="1" xfId="4" applyFont="1" applyBorder="1" applyAlignment="1">
      <alignment horizontal="center" wrapText="1"/>
    </xf>
    <xf numFmtId="0" fontId="10" fillId="0" borderId="0" xfId="4" applyFont="1" applyAlignment="1">
      <alignment horizontal="center" wrapText="1"/>
    </xf>
    <xf numFmtId="3" fontId="7" fillId="0" borderId="4" xfId="4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3" fontId="14" fillId="0" borderId="0" xfId="4" applyNumberFormat="1" applyFont="1"/>
    <xf numFmtId="0" fontId="7" fillId="0" borderId="0" xfId="4" applyFont="1" applyAlignment="1">
      <alignment vertical="top"/>
    </xf>
    <xf numFmtId="0" fontId="7" fillId="0" borderId="0" xfId="4" applyFont="1" applyAlignment="1">
      <alignment horizontal="left" vertical="top" wrapText="1"/>
    </xf>
    <xf numFmtId="1" fontId="7" fillId="0" borderId="0" xfId="4" applyNumberFormat="1" applyFont="1"/>
    <xf numFmtId="3" fontId="7" fillId="0" borderId="0" xfId="4" applyNumberFormat="1" applyFont="1" applyAlignment="1">
      <alignment vertical="top" wrapText="1"/>
    </xf>
    <xf numFmtId="164" fontId="7" fillId="0" borderId="0" xfId="4" applyNumberFormat="1" applyFont="1"/>
    <xf numFmtId="38" fontId="7" fillId="0" borderId="0" xfId="4" applyNumberFormat="1" applyFont="1"/>
    <xf numFmtId="0" fontId="7" fillId="3" borderId="0" xfId="0" applyFont="1" applyFill="1" applyAlignment="1">
      <alignment horizontal="center"/>
    </xf>
    <xf numFmtId="0" fontId="23" fillId="4" borderId="0" xfId="5" applyFont="1" applyFill="1" applyAlignment="1">
      <alignment horizontal="left"/>
    </xf>
    <xf numFmtId="0" fontId="24" fillId="4" borderId="0" xfId="5" applyFont="1" applyFill="1"/>
    <xf numFmtId="165" fontId="24" fillId="4" borderId="0" xfId="5" applyNumberFormat="1" applyFont="1" applyFill="1"/>
    <xf numFmtId="2" fontId="24" fillId="4" borderId="0" xfId="5" applyNumberFormat="1" applyFont="1" applyFill="1"/>
    <xf numFmtId="0" fontId="25" fillId="4" borderId="0" xfId="5" applyFont="1" applyFill="1" applyAlignment="1">
      <alignment horizontal="right"/>
    </xf>
    <xf numFmtId="0" fontId="25" fillId="4" borderId="0" xfId="5" applyFont="1" applyFill="1" applyAlignment="1">
      <alignment horizontal="left"/>
    </xf>
    <xf numFmtId="10" fontId="25" fillId="4" borderId="1" xfId="2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>
      <alignment horizontal="right"/>
    </xf>
    <xf numFmtId="10" fontId="23" fillId="4" borderId="0" xfId="2" applyNumberFormat="1" applyFont="1" applyFill="1" applyBorder="1" applyAlignment="1">
      <alignment horizontal="center"/>
    </xf>
    <xf numFmtId="0" fontId="26" fillId="4" borderId="0" xfId="5" applyFont="1" applyFill="1"/>
    <xf numFmtId="10" fontId="24" fillId="4" borderId="0" xfId="2" applyNumberFormat="1" applyFont="1" applyFill="1" applyBorder="1" applyAlignment="1">
      <alignment horizontal="center"/>
    </xf>
    <xf numFmtId="175" fontId="25" fillId="4" borderId="0" xfId="5" applyNumberFormat="1" applyFont="1" applyFill="1" applyAlignment="1">
      <alignment horizontal="right"/>
    </xf>
    <xf numFmtId="10" fontId="24" fillId="4" borderId="0" xfId="2" applyNumberFormat="1" applyFont="1" applyFill="1" applyBorder="1"/>
    <xf numFmtId="3" fontId="24" fillId="4" borderId="0" xfId="5" applyNumberFormat="1" applyFont="1" applyFill="1" applyAlignment="1">
      <alignment horizontal="right"/>
    </xf>
    <xf numFmtId="10" fontId="24" fillId="4" borderId="0" xfId="2" applyNumberFormat="1" applyFont="1" applyFill="1"/>
    <xf numFmtId="2" fontId="23" fillId="4" borderId="0" xfId="5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/>
    </xf>
    <xf numFmtId="0" fontId="7" fillId="4" borderId="0" xfId="5" applyFont="1" applyFill="1"/>
    <xf numFmtId="0" fontId="7" fillId="4" borderId="0" xfId="4" applyFont="1" applyFill="1"/>
    <xf numFmtId="0" fontId="10" fillId="4" borderId="0" xfId="5" applyFont="1" applyFill="1" applyAlignment="1">
      <alignment horizontal="center"/>
    </xf>
    <xf numFmtId="165" fontId="10" fillId="4" borderId="0" xfId="5" applyNumberFormat="1" applyFont="1" applyFill="1" applyAlignment="1">
      <alignment horizontal="center" wrapText="1"/>
    </xf>
    <xf numFmtId="0" fontId="8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0" fontId="7" fillId="4" borderId="0" xfId="4" applyFont="1" applyFill="1" applyAlignment="1">
      <alignment horizontal="right"/>
    </xf>
    <xf numFmtId="0" fontId="10" fillId="4" borderId="0" xfId="4" applyFont="1" applyFill="1" applyAlignment="1">
      <alignment horizontal="left"/>
    </xf>
    <xf numFmtId="173" fontId="7" fillId="4" borderId="0" xfId="4" applyNumberFormat="1" applyFont="1" applyFill="1" applyAlignment="1">
      <alignment horizontal="right"/>
    </xf>
    <xf numFmtId="0" fontId="10" fillId="4" borderId="0" xfId="5" applyFont="1" applyFill="1" applyAlignment="1">
      <alignment horizontal="center" wrapText="1"/>
    </xf>
    <xf numFmtId="0" fontId="10" fillId="4" borderId="5" xfId="5" applyFont="1" applyFill="1" applyBorder="1" applyAlignment="1">
      <alignment horizontal="center" wrapText="1"/>
    </xf>
    <xf numFmtId="2" fontId="10" fillId="4" borderId="0" xfId="5" applyNumberFormat="1" applyFont="1" applyFill="1" applyAlignment="1">
      <alignment horizontal="center" wrapText="1"/>
    </xf>
    <xf numFmtId="0" fontId="10" fillId="4" borderId="0" xfId="5" applyFont="1" applyFill="1" applyAlignment="1">
      <alignment wrapText="1"/>
    </xf>
    <xf numFmtId="1" fontId="25" fillId="4" borderId="0" xfId="2" applyNumberFormat="1" applyFont="1" applyFill="1" applyBorder="1" applyAlignment="1">
      <alignment horizontal="right"/>
    </xf>
    <xf numFmtId="1" fontId="25" fillId="4" borderId="1" xfId="2" applyNumberFormat="1" applyFont="1" applyFill="1" applyBorder="1" applyAlignment="1">
      <alignment horizontal="right"/>
    </xf>
    <xf numFmtId="1" fontId="25" fillId="4" borderId="0" xfId="5" applyNumberFormat="1" applyFont="1" applyFill="1" applyAlignment="1">
      <alignment horizontal="right"/>
    </xf>
    <xf numFmtId="1" fontId="25" fillId="4" borderId="1" xfId="5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165" fontId="10" fillId="0" borderId="0" xfId="5" applyNumberFormat="1" applyFont="1" applyAlignment="1">
      <alignment horizontal="center" wrapText="1"/>
    </xf>
    <xf numFmtId="176" fontId="25" fillId="4" borderId="0" xfId="6" applyNumberFormat="1" applyFont="1" applyFill="1" applyBorder="1" applyAlignment="1">
      <alignment horizontal="right"/>
    </xf>
    <xf numFmtId="176" fontId="25" fillId="4" borderId="1" xfId="6" applyNumberFormat="1" applyFont="1" applyFill="1" applyBorder="1" applyAlignment="1">
      <alignment horizontal="right"/>
    </xf>
    <xf numFmtId="176" fontId="23" fillId="4" borderId="0" xfId="6" applyNumberFormat="1" applyFont="1" applyFill="1" applyBorder="1" applyAlignment="1">
      <alignment horizontal="right"/>
    </xf>
    <xf numFmtId="176" fontId="24" fillId="4" borderId="0" xfId="6" applyNumberFormat="1" applyFont="1" applyFill="1" applyBorder="1" applyAlignment="1">
      <alignment horizontal="right"/>
    </xf>
    <xf numFmtId="176" fontId="24" fillId="4" borderId="0" xfId="5" applyNumberFormat="1" applyFont="1" applyFill="1" applyAlignment="1">
      <alignment horizontal="right"/>
    </xf>
    <xf numFmtId="6" fontId="10" fillId="4" borderId="0" xfId="4" quotePrefix="1" applyNumberFormat="1" applyFont="1" applyFill="1" applyAlignment="1">
      <alignment horizontal="left"/>
    </xf>
    <xf numFmtId="3" fontId="7" fillId="4" borderId="0" xfId="4" applyNumberFormat="1" applyFont="1" applyFill="1"/>
    <xf numFmtId="169" fontId="7" fillId="4" borderId="1" xfId="1" applyFont="1" applyFill="1" applyBorder="1"/>
    <xf numFmtId="1" fontId="23" fillId="4" borderId="0" xfId="2" applyNumberFormat="1" applyFont="1" applyFill="1" applyBorder="1" applyAlignment="1">
      <alignment horizontal="right"/>
    </xf>
    <xf numFmtId="37" fontId="10" fillId="0" borderId="0" xfId="17" applyNumberFormat="1" applyFont="1"/>
    <xf numFmtId="0" fontId="10" fillId="0" borderId="0" xfId="18" applyFont="1"/>
    <xf numFmtId="0" fontId="24" fillId="0" borderId="0" xfId="18" applyFont="1"/>
    <xf numFmtId="37" fontId="7" fillId="0" borderId="3" xfId="17" quotePrefix="1" applyNumberFormat="1" applyFont="1" applyBorder="1"/>
    <xf numFmtId="37" fontId="7" fillId="0" borderId="3" xfId="17" applyNumberFormat="1" applyFont="1" applyBorder="1"/>
    <xf numFmtId="0" fontId="10" fillId="0" borderId="3" xfId="18" applyFont="1" applyBorder="1"/>
    <xf numFmtId="37" fontId="7" fillId="0" borderId="0" xfId="17" applyNumberFormat="1" applyFont="1"/>
    <xf numFmtId="0" fontId="7" fillId="0" borderId="0" xfId="18" applyFont="1" applyAlignment="1">
      <alignment horizontal="center"/>
    </xf>
    <xf numFmtId="49" fontId="7" fillId="0" borderId="0" xfId="17" quotePrefix="1" applyNumberFormat="1" applyFont="1" applyAlignment="1">
      <alignment horizontal="center" vertical="center"/>
    </xf>
    <xf numFmtId="0" fontId="7" fillId="0" borderId="0" xfId="18" applyFont="1" applyAlignment="1">
      <alignment horizontal="centerContinuous" vertical="center"/>
    </xf>
    <xf numFmtId="0" fontId="7" fillId="0" borderId="7" xfId="18" applyFont="1" applyBorder="1" applyAlignment="1">
      <alignment horizontal="centerContinuous" vertical="center"/>
    </xf>
    <xf numFmtId="49" fontId="7" fillId="0" borderId="0" xfId="18" applyNumberFormat="1" applyFont="1" applyAlignment="1">
      <alignment horizontal="center" vertical="center"/>
    </xf>
    <xf numFmtId="1" fontId="7" fillId="0" borderId="3" xfId="17" applyNumberFormat="1" applyFont="1" applyBorder="1" applyAlignment="1">
      <alignment horizontal="center" vertical="center"/>
    </xf>
    <xf numFmtId="1" fontId="7" fillId="0" borderId="3" xfId="18" quotePrefix="1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/>
    </xf>
    <xf numFmtId="0" fontId="26" fillId="0" borderId="0" xfId="18" applyFont="1"/>
    <xf numFmtId="37" fontId="7" fillId="0" borderId="0" xfId="17" quotePrefix="1" applyNumberFormat="1" applyFont="1"/>
    <xf numFmtId="4" fontId="7" fillId="0" borderId="0" xfId="4" applyNumberFormat="1" applyFont="1"/>
    <xf numFmtId="169" fontId="24" fillId="0" borderId="0" xfId="19" applyNumberFormat="1" applyFont="1" applyFill="1"/>
    <xf numFmtId="169" fontId="24" fillId="0" borderId="0" xfId="18" applyNumberFormat="1" applyFont="1"/>
    <xf numFmtId="169" fontId="24" fillId="0" borderId="1" xfId="18" applyNumberFormat="1" applyFont="1" applyBorder="1"/>
    <xf numFmtId="37" fontId="10" fillId="0" borderId="0" xfId="17" quotePrefix="1" applyNumberFormat="1" applyFont="1"/>
    <xf numFmtId="0" fontId="7" fillId="0" borderId="0" xfId="20" applyFont="1" applyAlignment="1">
      <alignment horizontal="left"/>
    </xf>
    <xf numFmtId="167" fontId="24" fillId="0" borderId="0" xfId="18" applyNumberFormat="1" applyFont="1"/>
    <xf numFmtId="37" fontId="7" fillId="0" borderId="1" xfId="17" applyNumberFormat="1" applyFont="1" applyBorder="1"/>
    <xf numFmtId="3" fontId="7" fillId="0" borderId="0" xfId="20" applyNumberFormat="1" applyFont="1"/>
    <xf numFmtId="3" fontId="24" fillId="0" borderId="0" xfId="18" applyNumberFormat="1" applyFont="1"/>
    <xf numFmtId="3" fontId="10" fillId="0" borderId="4" xfId="4" applyNumberFormat="1" applyFont="1" applyBorder="1"/>
    <xf numFmtId="3" fontId="7" fillId="0" borderId="0" xfId="17" applyNumberFormat="1" applyFont="1"/>
    <xf numFmtId="167" fontId="24" fillId="3" borderId="0" xfId="18" applyNumberFormat="1" applyFont="1" applyFill="1"/>
    <xf numFmtId="43" fontId="7" fillId="0" borderId="0" xfId="0" applyNumberFormat="1" applyFont="1"/>
    <xf numFmtId="0" fontId="7" fillId="0" borderId="6" xfId="18" applyFont="1" applyBorder="1" applyAlignment="1">
      <alignment horizontal="center"/>
    </xf>
    <xf numFmtId="37" fontId="10" fillId="0" borderId="4" xfId="17" applyNumberFormat="1" applyFont="1" applyBorder="1"/>
    <xf numFmtId="169" fontId="24" fillId="0" borderId="0" xfId="18" quotePrefix="1" applyNumberFormat="1" applyFont="1"/>
    <xf numFmtId="0" fontId="7" fillId="0" borderId="0" xfId="0" applyFont="1" applyAlignment="1">
      <alignment horizontal="left" wrapText="1"/>
    </xf>
    <xf numFmtId="37" fontId="7" fillId="0" borderId="3" xfId="17" quotePrefix="1" applyNumberFormat="1" applyFont="1" applyBorder="1" applyAlignment="1">
      <alignment horizontal="center"/>
    </xf>
    <xf numFmtId="0" fontId="7" fillId="0" borderId="3" xfId="18" applyFont="1" applyBorder="1" applyAlignment="1">
      <alignment horizontal="center"/>
    </xf>
    <xf numFmtId="0" fontId="7" fillId="0" borderId="0" xfId="18" applyFont="1" applyAlignment="1">
      <alignment horizontal="center" vertical="center" wrapText="1"/>
    </xf>
    <xf numFmtId="0" fontId="24" fillId="0" borderId="3" xfId="18" applyFont="1" applyBorder="1" applyAlignment="1">
      <alignment horizontal="center" vertical="center" wrapText="1"/>
    </xf>
  </cellXfs>
  <cellStyles count="21">
    <cellStyle name="Accent4" xfId="3" builtinId="41"/>
    <cellStyle name="Comma" xfId="1" builtinId="3"/>
    <cellStyle name="Comma 2" xfId="6" xr:uid="{00000000-0005-0000-0000-000002000000}"/>
    <cellStyle name="Comma 2 2" xfId="7" xr:uid="{00000000-0005-0000-0000-000003000000}"/>
    <cellStyle name="Comma 2 2 2" xfId="8" xr:uid="{00000000-0005-0000-0000-000004000000}"/>
    <cellStyle name="Comma 3" xfId="11" xr:uid="{00000000-0005-0000-0000-000005000000}"/>
    <cellStyle name="Comma 4" xfId="15" xr:uid="{00000000-0005-0000-0000-000006000000}"/>
    <cellStyle name="Comma 5" xfId="19" xr:uid="{D871C2C2-5E02-44BF-A57A-49B2EC5AE890}"/>
    <cellStyle name="Comma 7" xfId="9" xr:uid="{00000000-0005-0000-0000-000007000000}"/>
    <cellStyle name="Normal" xfId="0" builtinId="0"/>
    <cellStyle name="Normal 2" xfId="4" xr:uid="{00000000-0005-0000-0000-000009000000}"/>
    <cellStyle name="Normal 2 2" xfId="12" xr:uid="{00000000-0005-0000-0000-00000A000000}"/>
    <cellStyle name="Normal 2 4" xfId="16" xr:uid="{69E66182-07DF-4345-882B-A2FAFAC12E53}"/>
    <cellStyle name="Normal 3" xfId="5" xr:uid="{00000000-0005-0000-0000-00000B000000}"/>
    <cellStyle name="Normal 4" xfId="10" xr:uid="{00000000-0005-0000-0000-00000C000000}"/>
    <cellStyle name="Normal 5" xfId="13" xr:uid="{00000000-0005-0000-0000-00000D000000}"/>
    <cellStyle name="Normal 6" xfId="14" xr:uid="{00000000-0005-0000-0000-00000E000000}"/>
    <cellStyle name="Normal 7" xfId="18" xr:uid="{C6B631E8-C941-48DE-8E03-A5F24ABE463C}"/>
    <cellStyle name="Normal_CASH" xfId="17" xr:uid="{C994CEB7-26D1-45B9-AB04-070029A721F0}"/>
    <cellStyle name="Normal_Continuity Schedule for All Deferred Costs (Actual)" xfId="20" xr:uid="{5F07B65F-345D-42B1-8989-1B2B179CA64C}"/>
    <cellStyle name="Percent" xfId="2" builtinId="5"/>
  </cellStyles>
  <dxfs count="12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32"/>
  <sheetViews>
    <sheetView showGridLines="0" tabSelected="1" view="pageBreakPreview" zoomScaleNormal="100" zoomScaleSheetLayoutView="100" workbookViewId="0">
      <selection activeCell="D4" sqref="D4"/>
    </sheetView>
  </sheetViews>
  <sheetFormatPr defaultColWidth="9.1796875" defaultRowHeight="12.5"/>
  <cols>
    <col min="1" max="1" width="6.7265625" style="1" customWidth="1"/>
    <col min="2" max="2" width="9.1796875" style="3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>
      <c r="D1" s="4"/>
      <c r="F1" s="5" t="s">
        <v>483</v>
      </c>
    </row>
    <row r="2" spans="2:16">
      <c r="D2" s="4"/>
      <c r="F2" s="6" t="s">
        <v>491</v>
      </c>
    </row>
    <row r="3" spans="2:16">
      <c r="D3" s="4"/>
      <c r="F3" s="7"/>
    </row>
    <row r="4" spans="2:16" ht="17.5">
      <c r="F4" s="8" t="s">
        <v>1</v>
      </c>
    </row>
    <row r="6" spans="2:16">
      <c r="B6" s="3">
        <v>1</v>
      </c>
      <c r="D6" s="1" t="str">
        <f>'Schedule 1'!A2</f>
        <v>Computation of Rate Base</v>
      </c>
    </row>
    <row r="8" spans="2:16">
      <c r="B8" s="3">
        <v>2</v>
      </c>
      <c r="D8" s="1" t="str">
        <f>'Schedule 2'!A2</f>
        <v>Computation of Allowance for Working Capital</v>
      </c>
    </row>
    <row r="9" spans="2:16">
      <c r="B9" s="3" t="s">
        <v>2</v>
      </c>
      <c r="D9" s="1" t="str">
        <f>'Schedule 2A'!A2</f>
        <v>Effect of GST on Working Capital</v>
      </c>
    </row>
    <row r="11" spans="2:16">
      <c r="B11" s="3">
        <v>3</v>
      </c>
      <c r="D11" s="1" t="str">
        <f>'Schedule 3'!A2</f>
        <v>Continuity Schedule of Property, Plant and Equipment, Deferred Costs and Intangible Assets</v>
      </c>
    </row>
    <row r="12" spans="2:16">
      <c r="B12" s="3" t="s">
        <v>484</v>
      </c>
      <c r="D12" s="1" t="str">
        <f>'Schedule 3A - 2023'!A2</f>
        <v>Calculation of Depreciation Expense for 2023</v>
      </c>
      <c r="K12" s="9"/>
      <c r="L12" s="9"/>
      <c r="M12" s="9"/>
      <c r="N12" s="9"/>
      <c r="O12" s="9"/>
      <c r="P12" s="9"/>
    </row>
    <row r="13" spans="2:16">
      <c r="B13" s="3" t="s">
        <v>485</v>
      </c>
      <c r="D13" s="1" t="str">
        <f>'Schedule 3A - 2024'!A2</f>
        <v>Calculation of Depreciation Expense for 2024</v>
      </c>
      <c r="K13" s="9"/>
      <c r="L13" s="9"/>
      <c r="M13" s="9"/>
      <c r="N13" s="9"/>
      <c r="O13" s="9"/>
      <c r="P13" s="9"/>
    </row>
    <row r="14" spans="2:16">
      <c r="B14" s="3" t="s">
        <v>486</v>
      </c>
      <c r="D14" s="39" t="str">
        <f>'Schedule 3B - 2023'!A2</f>
        <v>Calculation of Amortization Expense for Deferred Costs and Intangibles (2023)</v>
      </c>
      <c r="K14" s="9"/>
      <c r="L14" s="9"/>
      <c r="M14" s="9"/>
      <c r="N14" s="9"/>
      <c r="O14" s="9"/>
      <c r="P14" s="9"/>
    </row>
    <row r="15" spans="2:16">
      <c r="B15" s="3" t="s">
        <v>487</v>
      </c>
      <c r="D15" s="39" t="str">
        <f>'Schedule 3B - 2024'!A2</f>
        <v>Calculation of Amortization Expense for Deferred Costs and Intangibles (2024)</v>
      </c>
      <c r="K15" s="9"/>
      <c r="L15" s="9"/>
      <c r="M15" s="9"/>
      <c r="N15" s="9"/>
      <c r="O15" s="9"/>
      <c r="P15" s="9"/>
    </row>
    <row r="16" spans="2:16">
      <c r="K16" s="9"/>
      <c r="L16" s="9"/>
      <c r="M16" s="9"/>
      <c r="N16" s="9"/>
      <c r="O16" s="9"/>
      <c r="P16" s="9"/>
    </row>
    <row r="17" spans="2:16">
      <c r="B17" s="3">
        <v>4</v>
      </c>
      <c r="D17" s="1" t="s">
        <v>3</v>
      </c>
      <c r="K17" s="9"/>
      <c r="L17" s="9"/>
      <c r="M17" s="9"/>
      <c r="N17" s="9"/>
      <c r="O17" s="9"/>
      <c r="P17" s="9"/>
    </row>
    <row r="18" spans="2:16">
      <c r="K18" s="9"/>
    </row>
    <row r="19" spans="2:16">
      <c r="B19" s="3">
        <v>5</v>
      </c>
      <c r="D19" s="1" t="str">
        <f>'Schedule 5'!A2</f>
        <v>Utility Revenue Requirement</v>
      </c>
    </row>
    <row r="21" spans="2:16">
      <c r="B21" s="3">
        <v>6</v>
      </c>
      <c r="D21" s="1" t="str">
        <f>'Schedule 6'!A2</f>
        <v>Statement of Earnings</v>
      </c>
    </row>
    <row r="23" spans="2:16">
      <c r="B23" s="3">
        <v>7</v>
      </c>
      <c r="D23" s="1" t="str">
        <f>'Schedule 7'!A2</f>
        <v>Statement of Retained Earnings</v>
      </c>
    </row>
    <row r="25" spans="2:16">
      <c r="B25" s="3">
        <v>8</v>
      </c>
      <c r="D25" s="1" t="str">
        <f>'Schedule 8'!A2</f>
        <v>Reconciliation of Utility Income to Net Earnings</v>
      </c>
    </row>
    <row r="27" spans="2:16">
      <c r="B27" s="3">
        <v>9</v>
      </c>
      <c r="D27" s="1" t="str">
        <f>'Schedule 9'!A2</f>
        <v>Summary of Customers, Energy Sales and Revenues</v>
      </c>
    </row>
    <row r="29" spans="2:16">
      <c r="B29" s="3">
        <f>B27+1</f>
        <v>10</v>
      </c>
      <c r="D29" s="1" t="str">
        <f>'Schedule 10'!A2</f>
        <v>Summary of Operating and Maintenance Expenses</v>
      </c>
    </row>
    <row r="30" spans="2:16">
      <c r="B30" s="3" t="s">
        <v>4</v>
      </c>
      <c r="D30" s="1" t="str">
        <f>'Schedule 10A'!A2</f>
        <v>Summary of Labour Costs</v>
      </c>
    </row>
    <row r="32" spans="2:16">
      <c r="B32" s="3">
        <f>B29+1</f>
        <v>11</v>
      </c>
      <c r="D32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9" tint="0.39997558519241921"/>
    <pageSetUpPr fitToPage="1"/>
  </sheetPr>
  <dimension ref="A1:R64"/>
  <sheetViews>
    <sheetView view="pageBreakPreview" zoomScaleNormal="100" zoomScaleSheetLayoutView="100" workbookViewId="0">
      <pane ySplit="7" topLeftCell="A8" activePane="bottomLeft" state="frozen"/>
      <selection activeCell="H15" sqref="H15"/>
      <selection pane="bottomLeft" activeCell="C8" sqref="C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7265625" style="1" customWidth="1"/>
    <col min="4" max="4" width="1.81640625" style="1" customWidth="1"/>
    <col min="5" max="5" width="11.26953125" style="4" customWidth="1"/>
    <col min="6" max="6" width="1.81640625" style="1" customWidth="1"/>
    <col min="7" max="7" width="15.54296875" style="22" customWidth="1"/>
    <col min="8" max="8" width="1.81640625" style="1" customWidth="1"/>
    <col min="9" max="9" width="15.54296875" style="1" customWidth="1"/>
    <col min="10" max="10" width="1.81640625" style="1" customWidth="1"/>
    <col min="11" max="11" width="14.453125" style="1" customWidth="1"/>
    <col min="12" max="12" width="1.81640625" style="1" customWidth="1"/>
    <col min="13" max="13" width="15.54296875" style="22" customWidth="1"/>
    <col min="14" max="14" width="1.81640625" style="1" customWidth="1"/>
    <col min="15" max="15" width="15.54296875" style="1" customWidth="1"/>
    <col min="16" max="16" width="1.81640625" style="1" customWidth="1"/>
    <col min="17" max="17" width="15.54296875" style="22" customWidth="1"/>
    <col min="18" max="20" width="1.81640625" style="1" customWidth="1"/>
    <col min="21" max="21" width="11.26953125" style="1" customWidth="1"/>
    <col min="22" max="16384" width="9.1796875" style="1"/>
  </cols>
  <sheetData>
    <row r="1" spans="1:18" ht="15">
      <c r="A1" s="53" t="s">
        <v>0</v>
      </c>
      <c r="Q1" s="42" t="s">
        <v>321</v>
      </c>
    </row>
    <row r="2" spans="1:18">
      <c r="A2" s="54" t="s">
        <v>3</v>
      </c>
      <c r="Q2" s="12" t="str">
        <f>Index!F2</f>
        <v>August 31, 2023</v>
      </c>
      <c r="R2" s="55"/>
    </row>
    <row r="3" spans="1:18">
      <c r="A3" s="54" t="s">
        <v>7</v>
      </c>
    </row>
    <row r="6" spans="1:18">
      <c r="A6" s="4"/>
      <c r="B6" s="4"/>
      <c r="C6" s="4"/>
      <c r="D6" s="4"/>
      <c r="F6" s="4"/>
      <c r="G6" s="44"/>
      <c r="H6" s="4"/>
      <c r="I6" s="4"/>
      <c r="J6" s="4"/>
      <c r="K6" s="4"/>
      <c r="L6" s="4"/>
      <c r="M6" s="44"/>
      <c r="N6" s="4"/>
      <c r="O6" s="4"/>
      <c r="P6" s="4"/>
      <c r="Q6" s="44"/>
    </row>
    <row r="7" spans="1:18" ht="25">
      <c r="A7" s="14" t="s">
        <v>8</v>
      </c>
      <c r="B7" s="15"/>
      <c r="C7" s="14" t="s">
        <v>9</v>
      </c>
      <c r="D7" s="15"/>
      <c r="E7" s="14" t="s">
        <v>10</v>
      </c>
      <c r="F7" s="15"/>
      <c r="G7" s="45" t="s">
        <v>165</v>
      </c>
      <c r="H7" s="15"/>
      <c r="I7" s="14" t="s">
        <v>166</v>
      </c>
      <c r="J7" s="15"/>
      <c r="K7" s="15"/>
      <c r="L7" s="15"/>
      <c r="M7" s="45" t="s">
        <v>167</v>
      </c>
      <c r="N7" s="15"/>
      <c r="O7" s="14" t="s">
        <v>168</v>
      </c>
      <c r="P7" s="15"/>
      <c r="Q7" s="45" t="s">
        <v>169</v>
      </c>
    </row>
    <row r="9" spans="1:18">
      <c r="C9" s="9" t="s">
        <v>339</v>
      </c>
      <c r="K9" s="13" t="s">
        <v>309</v>
      </c>
    </row>
    <row r="11" spans="1:18">
      <c r="A11" s="1">
        <v>1</v>
      </c>
      <c r="C11" s="1" t="s">
        <v>170</v>
      </c>
      <c r="E11" s="4" t="s">
        <v>495</v>
      </c>
      <c r="G11" s="41">
        <f>'Schedule 11'!G30</f>
        <v>185526.15895087275</v>
      </c>
      <c r="I11" s="56">
        <f>SUM(G11)/(G11+G13)</f>
        <v>0.59996038956973607</v>
      </c>
      <c r="K11" s="56">
        <v>0.6</v>
      </c>
      <c r="M11" s="22">
        <f>SUM(M15)*(K11)</f>
        <v>185679.44269283654</v>
      </c>
      <c r="O11" s="35">
        <f>'Schedule 11'!G55</f>
        <v>2.9368131262078611E-2</v>
      </c>
      <c r="P11" s="46"/>
      <c r="Q11" s="22">
        <f>SUM(M11)*(O11)</f>
        <v>5453.0582456728271</v>
      </c>
    </row>
    <row r="12" spans="1:18">
      <c r="G12" s="22" t="s">
        <v>13</v>
      </c>
      <c r="I12" s="56"/>
      <c r="K12" s="56"/>
      <c r="O12" s="46"/>
      <c r="P12" s="46" t="s">
        <v>13</v>
      </c>
      <c r="Q12" s="22" t="s">
        <v>13</v>
      </c>
    </row>
    <row r="13" spans="1:18">
      <c r="A13" s="1">
        <v>2</v>
      </c>
      <c r="C13" s="1" t="s">
        <v>171</v>
      </c>
      <c r="G13" s="51">
        <v>123704.52056769274</v>
      </c>
      <c r="I13" s="57">
        <f>SUM(G13)/(G11+G13)</f>
        <v>0.40003961043026398</v>
      </c>
      <c r="K13" s="57">
        <f>1-K11</f>
        <v>0.4</v>
      </c>
      <c r="M13" s="47">
        <f>SUM(M15)*(K13)</f>
        <v>123786.2951285577</v>
      </c>
      <c r="O13" s="34">
        <v>8.6499999999999994E-2</v>
      </c>
      <c r="P13" s="46"/>
      <c r="Q13" s="47">
        <f>SUM(M13)*(O13)</f>
        <v>10707.514528620241</v>
      </c>
    </row>
    <row r="14" spans="1:18">
      <c r="I14" s="56"/>
      <c r="K14" s="56"/>
      <c r="O14" s="46"/>
      <c r="P14" s="46"/>
      <c r="Q14" s="22" t="s">
        <v>13</v>
      </c>
    </row>
    <row r="15" spans="1:18" ht="13" thickBot="1">
      <c r="A15" s="1">
        <v>3</v>
      </c>
      <c r="C15" s="1" t="s">
        <v>28</v>
      </c>
      <c r="E15" s="4" t="s">
        <v>172</v>
      </c>
      <c r="G15" s="52">
        <f>SUM(G11+G13)</f>
        <v>309230.67951856548</v>
      </c>
      <c r="I15" s="58">
        <f>SUM(I11+I13)</f>
        <v>1</v>
      </c>
      <c r="K15" s="58">
        <f>SUM(K11+K13)</f>
        <v>1</v>
      </c>
      <c r="M15" s="49">
        <f>'Schedule 1'!G48</f>
        <v>309465.73782139423</v>
      </c>
      <c r="O15" s="50">
        <f>SUM(K11)*(O11)+SUM(K13)*(O13)</f>
        <v>5.2220878757247166E-2</v>
      </c>
      <c r="P15" s="46"/>
      <c r="Q15" s="52">
        <f>Q13+Q11</f>
        <v>16160.572774293069</v>
      </c>
    </row>
    <row r="18" spans="1:17">
      <c r="C18" s="9" t="s">
        <v>350</v>
      </c>
      <c r="I18" s="56"/>
    </row>
    <row r="19" spans="1:17">
      <c r="I19" s="56"/>
    </row>
    <row r="20" spans="1:17">
      <c r="A20" s="1">
        <v>7</v>
      </c>
      <c r="C20" s="1" t="s">
        <v>170</v>
      </c>
      <c r="E20" s="4" t="s">
        <v>495</v>
      </c>
      <c r="G20" s="22">
        <f>'Schedule 11'!I30</f>
        <v>175620.12168743025</v>
      </c>
      <c r="I20" s="56">
        <f>SUM(G20)/(G20+G22)</f>
        <v>0.57780719271240966</v>
      </c>
      <c r="M20" s="22">
        <f>SUM(M24)*(I20)</f>
        <v>173891.93682971329</v>
      </c>
      <c r="O20" s="35">
        <f>Q20/M20</f>
        <v>2.9340766046106807E-2</v>
      </c>
      <c r="P20" s="46"/>
      <c r="Q20" s="22">
        <v>5102.1226358250015</v>
      </c>
    </row>
    <row r="21" spans="1:17">
      <c r="G21" s="22" t="s">
        <v>13</v>
      </c>
      <c r="I21" s="56"/>
      <c r="O21" s="46"/>
      <c r="P21" s="46" t="s">
        <v>13</v>
      </c>
      <c r="Q21" s="22" t="s">
        <v>13</v>
      </c>
    </row>
    <row r="22" spans="1:17">
      <c r="A22" s="1">
        <v>8</v>
      </c>
      <c r="C22" s="1" t="s">
        <v>171</v>
      </c>
      <c r="G22" s="51">
        <v>128322.30738309392</v>
      </c>
      <c r="I22" s="57">
        <f>SUM(G22)/(G20+G22)</f>
        <v>0.4221928072875904</v>
      </c>
      <c r="M22" s="47">
        <f>SUM(M24)*(I22)</f>
        <v>127059.55533397815</v>
      </c>
      <c r="O22" s="34">
        <v>8.9300148924272071E-2</v>
      </c>
      <c r="P22" s="46"/>
      <c r="Q22" s="47">
        <v>11345.728271011223</v>
      </c>
    </row>
    <row r="23" spans="1:17">
      <c r="I23" s="56"/>
      <c r="O23" s="46"/>
      <c r="P23" s="46"/>
      <c r="Q23" s="22" t="s">
        <v>13</v>
      </c>
    </row>
    <row r="24" spans="1:17" ht="13" thickBot="1">
      <c r="A24" s="1">
        <v>9</v>
      </c>
      <c r="C24" s="1" t="s">
        <v>28</v>
      </c>
      <c r="E24" s="4" t="s">
        <v>172</v>
      </c>
      <c r="G24" s="49">
        <f>SUM(G20+G22)</f>
        <v>303942.42907052417</v>
      </c>
      <c r="I24" s="58">
        <f>SUM(I20+I22)</f>
        <v>1</v>
      </c>
      <c r="M24" s="49">
        <f>'Schedule 1'!I48</f>
        <v>300951.49216369144</v>
      </c>
      <c r="O24" s="50">
        <f>SUM(I20)*(O20)+SUM(I22)*(O22)</f>
        <v>5.4655186226670885E-2</v>
      </c>
      <c r="P24" s="46"/>
      <c r="Q24" s="49">
        <f>Q20+Q22</f>
        <v>16447.850906836225</v>
      </c>
    </row>
    <row r="25" spans="1:17">
      <c r="I25" s="56"/>
      <c r="O25" s="35"/>
      <c r="P25" s="46"/>
    </row>
    <row r="26" spans="1:17">
      <c r="I26" s="56"/>
      <c r="O26" s="35"/>
      <c r="P26" s="46"/>
    </row>
    <row r="27" spans="1:17">
      <c r="C27" s="9" t="s">
        <v>489</v>
      </c>
      <c r="I27" s="56"/>
    </row>
    <row r="28" spans="1:17">
      <c r="I28" s="56"/>
    </row>
    <row r="29" spans="1:17">
      <c r="A29" s="1">
        <v>10</v>
      </c>
      <c r="C29" s="1" t="s">
        <v>170</v>
      </c>
      <c r="E29" s="4" t="s">
        <v>495</v>
      </c>
      <c r="G29" s="22">
        <f>'Schedule 11'!J30</f>
        <v>181949.19229224831</v>
      </c>
      <c r="I29" s="56">
        <f>SUM(G29)/(G29+G31)</f>
        <v>0.5596314886215068</v>
      </c>
      <c r="M29" s="22">
        <f>SUM(M33)*(I29)</f>
        <v>169840.87344639731</v>
      </c>
      <c r="O29" s="35">
        <f>Q29/M29</f>
        <v>2.8825790708725541E-2</v>
      </c>
      <c r="P29" s="46"/>
      <c r="Q29" s="22">
        <v>4895.7974717529896</v>
      </c>
    </row>
    <row r="30" spans="1:17">
      <c r="G30" s="22" t="s">
        <v>13</v>
      </c>
      <c r="I30" s="56"/>
      <c r="O30" s="46"/>
      <c r="P30" s="46" t="s">
        <v>13</v>
      </c>
      <c r="Q30" s="22" t="s">
        <v>13</v>
      </c>
    </row>
    <row r="31" spans="1:17">
      <c r="A31" s="1">
        <v>11</v>
      </c>
      <c r="C31" s="1" t="s">
        <v>171</v>
      </c>
      <c r="G31" s="47">
        <f>AVERAGE('Schedule 7'!I25,'Schedule 7'!J25)</f>
        <v>143174.02895541317</v>
      </c>
      <c r="I31" s="57">
        <f>SUM(G31)/(G29+G31)</f>
        <v>0.44036851137849314</v>
      </c>
      <c r="M31" s="47">
        <f>SUM(M33)*(I31)</f>
        <v>133646.11200674801</v>
      </c>
      <c r="O31" s="34">
        <v>0.10171673441159042</v>
      </c>
      <c r="P31" s="46"/>
      <c r="Q31" s="47">
        <v>13606.766635056443</v>
      </c>
    </row>
    <row r="32" spans="1:17">
      <c r="I32" s="56"/>
      <c r="O32" s="46"/>
      <c r="P32" s="46"/>
      <c r="Q32" s="22" t="s">
        <v>13</v>
      </c>
    </row>
    <row r="33" spans="1:17" ht="13" thickBot="1">
      <c r="A33" s="1">
        <v>12</v>
      </c>
      <c r="C33" s="1" t="s">
        <v>28</v>
      </c>
      <c r="E33" s="4" t="s">
        <v>172</v>
      </c>
      <c r="G33" s="49">
        <f>SUM(G29+G31)</f>
        <v>325123.22124766151</v>
      </c>
      <c r="I33" s="58">
        <f>SUM(I29+I31)</f>
        <v>1</v>
      </c>
      <c r="M33" s="49">
        <f>'Schedule 1'!J48</f>
        <v>303486.98545314535</v>
      </c>
      <c r="O33" s="50">
        <v>3.16632673675191E-2</v>
      </c>
      <c r="P33" s="46"/>
      <c r="Q33" s="49">
        <f>Q29+Q31</f>
        <v>18502.564106809434</v>
      </c>
    </row>
    <row r="34" spans="1:17">
      <c r="I34" s="56"/>
      <c r="O34" s="35"/>
      <c r="P34" s="46"/>
    </row>
    <row r="35" spans="1:17">
      <c r="I35" s="56"/>
    </row>
    <row r="36" spans="1:17">
      <c r="C36" s="9" t="s">
        <v>348</v>
      </c>
      <c r="I36" s="56"/>
      <c r="K36" s="13" t="s">
        <v>309</v>
      </c>
    </row>
    <row r="37" spans="1:17">
      <c r="I37" s="56"/>
    </row>
    <row r="38" spans="1:17">
      <c r="A38" s="1">
        <v>13</v>
      </c>
      <c r="C38" s="1" t="s">
        <v>170</v>
      </c>
      <c r="E38" s="4" t="s">
        <v>495</v>
      </c>
      <c r="G38" s="22">
        <f>'Schedule 11'!K30</f>
        <v>201609.85734470686</v>
      </c>
      <c r="I38" s="56">
        <f>SUM(G38)/(G38+G40)</f>
        <v>0.57966443498772757</v>
      </c>
      <c r="K38" s="56">
        <v>0.6</v>
      </c>
      <c r="M38" s="41">
        <f>M42*K38</f>
        <v>199437.35747864199</v>
      </c>
      <c r="O38" s="35">
        <f>'Schedule 11'!K55</f>
        <v>3.3116523845818605E-2</v>
      </c>
      <c r="P38" s="46"/>
      <c r="Q38" s="22">
        <f>SUM(M38)*(O38)</f>
        <v>6604.6720046884966</v>
      </c>
    </row>
    <row r="39" spans="1:17">
      <c r="G39" s="22" t="s">
        <v>13</v>
      </c>
      <c r="I39" s="56"/>
      <c r="K39" s="56"/>
      <c r="O39" s="46"/>
      <c r="P39" s="46" t="s">
        <v>13</v>
      </c>
      <c r="Q39" s="22" t="s">
        <v>13</v>
      </c>
    </row>
    <row r="40" spans="1:17">
      <c r="A40" s="1">
        <v>14</v>
      </c>
      <c r="C40" s="1" t="s">
        <v>171</v>
      </c>
      <c r="G40" s="47">
        <f>AVERAGE('Schedule 7'!J25,'Schedule 7'!K25)</f>
        <v>146194.57083101044</v>
      </c>
      <c r="I40" s="57">
        <f>SUM(G40)/(G38+G40)</f>
        <v>0.42033556501227237</v>
      </c>
      <c r="K40" s="57">
        <f>1-K38</f>
        <v>0.4</v>
      </c>
      <c r="M40" s="51">
        <f>M42*K40</f>
        <v>132958.23831909467</v>
      </c>
      <c r="O40" s="34">
        <v>8.70006091236704E-2</v>
      </c>
      <c r="P40" s="46"/>
      <c r="Q40" s="47">
        <f>M40*O40</f>
        <v>11567.447721771372</v>
      </c>
    </row>
    <row r="41" spans="1:17">
      <c r="I41" s="56"/>
      <c r="K41" s="56"/>
      <c r="O41" s="46"/>
      <c r="P41" s="46"/>
      <c r="Q41" s="22" t="s">
        <v>13</v>
      </c>
    </row>
    <row r="42" spans="1:17" ht="13" thickBot="1">
      <c r="A42" s="1">
        <v>15</v>
      </c>
      <c r="C42" s="1" t="s">
        <v>28</v>
      </c>
      <c r="E42" s="4" t="s">
        <v>172</v>
      </c>
      <c r="G42" s="49">
        <f>SUM(G38+G40)</f>
        <v>347804.4281757173</v>
      </c>
      <c r="I42" s="58">
        <f>SUM(I38+I40)</f>
        <v>1</v>
      </c>
      <c r="K42" s="58">
        <f>SUM(K38+K40)</f>
        <v>1</v>
      </c>
      <c r="M42" s="49">
        <f>'Schedule 1'!K48</f>
        <v>332395.59579773666</v>
      </c>
      <c r="O42" s="50">
        <f>SUM(0.6)*(O38)+SUM(0.4)*(O40)</f>
        <v>5.4670157956959328E-2</v>
      </c>
      <c r="P42" s="46"/>
      <c r="Q42" s="49">
        <f>Q38+Q40</f>
        <v>18172.119726459867</v>
      </c>
    </row>
    <row r="43" spans="1:17">
      <c r="I43" s="56"/>
    </row>
    <row r="44" spans="1:17">
      <c r="I44" s="56"/>
    </row>
    <row r="45" spans="1:17">
      <c r="C45" s="9" t="s">
        <v>349</v>
      </c>
      <c r="I45" s="56"/>
      <c r="K45" s="13" t="s">
        <v>309</v>
      </c>
    </row>
    <row r="46" spans="1:17">
      <c r="I46" s="56"/>
    </row>
    <row r="47" spans="1:17">
      <c r="A47" s="1">
        <v>19</v>
      </c>
      <c r="C47" s="1" t="s">
        <v>170</v>
      </c>
      <c r="E47" s="4" t="s">
        <v>495</v>
      </c>
      <c r="G47" s="22">
        <f>'Schedule 11'!$L$30</f>
        <v>225509.70956709998</v>
      </c>
      <c r="I47" s="56">
        <f>SUM(G47)/(G47+G49)</f>
        <v>0.60040956243133425</v>
      </c>
      <c r="K47" s="56">
        <v>0.6</v>
      </c>
      <c r="M47" s="41">
        <f>M51*K47</f>
        <v>225602.59768397742</v>
      </c>
      <c r="O47" s="35">
        <f>'Schedule 11'!L55</f>
        <v>3.42597905086926E-2</v>
      </c>
      <c r="P47" s="46"/>
      <c r="Q47" s="41">
        <f>SUM(M47)*(O47)</f>
        <v>7729.0977348699253</v>
      </c>
    </row>
    <row r="48" spans="1:17">
      <c r="G48" s="22" t="s">
        <v>13</v>
      </c>
      <c r="I48" s="56"/>
      <c r="K48" s="56"/>
      <c r="O48" s="46"/>
      <c r="P48" s="46" t="s">
        <v>13</v>
      </c>
      <c r="Q48" s="22" t="s">
        <v>13</v>
      </c>
    </row>
    <row r="49" spans="1:17">
      <c r="A49" s="1">
        <v>20</v>
      </c>
      <c r="C49" s="1" t="s">
        <v>171</v>
      </c>
      <c r="G49" s="47">
        <f>AVERAGE('Schedule 7'!K25,'Schedule 7'!L25)</f>
        <v>150083.42498243571</v>
      </c>
      <c r="I49" s="57">
        <f>SUM(G49)/(G47+G49)</f>
        <v>0.39959043756866575</v>
      </c>
      <c r="K49" s="57">
        <f>1-K47</f>
        <v>0.4</v>
      </c>
      <c r="M49" s="51">
        <f>M51*K49</f>
        <v>150401.73178931829</v>
      </c>
      <c r="O49" s="34">
        <v>8.6999225083850981E-2</v>
      </c>
      <c r="P49" s="46"/>
      <c r="Q49" s="51">
        <f>SUM(M49)*(O49)</f>
        <v>13084.834116939888</v>
      </c>
    </row>
    <row r="50" spans="1:17">
      <c r="I50" s="56"/>
      <c r="K50" s="56"/>
      <c r="O50" s="46"/>
      <c r="P50" s="46"/>
      <c r="Q50" s="22" t="s">
        <v>13</v>
      </c>
    </row>
    <row r="51" spans="1:17" ht="13" thickBot="1">
      <c r="A51" s="1">
        <v>21</v>
      </c>
      <c r="C51" s="1" t="s">
        <v>28</v>
      </c>
      <c r="E51" s="4" t="s">
        <v>172</v>
      </c>
      <c r="G51" s="52">
        <f>SUM(G47+G49)</f>
        <v>375593.13454953569</v>
      </c>
      <c r="I51" s="58">
        <f>SUM(I47+I49)</f>
        <v>1</v>
      </c>
      <c r="K51" s="58">
        <f>SUM(K47+K49)</f>
        <v>1</v>
      </c>
      <c r="M51" s="52">
        <f>'Schedule 1'!L48</f>
        <v>376004.32947329571</v>
      </c>
      <c r="O51" s="50">
        <f>SUM(K47)*(O47)+SUM(K49)*(O49)</f>
        <v>5.535556433875595E-2</v>
      </c>
      <c r="P51" s="46"/>
      <c r="Q51" s="52">
        <f>Q47+Q49</f>
        <v>20813.931851809815</v>
      </c>
    </row>
    <row r="64" spans="1:17">
      <c r="I64" s="56"/>
      <c r="O64" s="46"/>
      <c r="P64" s="46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5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0.39997558519241921"/>
    <pageSetUpPr fitToPage="1"/>
  </sheetPr>
  <dimension ref="A1:L38"/>
  <sheetViews>
    <sheetView view="pageBreakPreview" zoomScaleSheetLayoutView="100" workbookViewId="0">
      <selection activeCell="L13" sqref="L13"/>
    </sheetView>
  </sheetViews>
  <sheetFormatPr defaultColWidth="9.1796875" defaultRowHeight="12.5"/>
  <cols>
    <col min="1" max="1" width="7.453125" style="1" customWidth="1"/>
    <col min="2" max="2" width="1.81640625" style="1" customWidth="1"/>
    <col min="3" max="3" width="28" style="1" customWidth="1"/>
    <col min="4" max="4" width="3.54296875" style="1" customWidth="1"/>
    <col min="5" max="5" width="9.1796875" style="4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3.54296875" style="1" customWidth="1"/>
    <col min="13" max="16384" width="9.1796875" style="1"/>
  </cols>
  <sheetData>
    <row r="1" spans="1:12" ht="15">
      <c r="A1" s="10" t="s">
        <v>0</v>
      </c>
      <c r="L1" s="3" t="s">
        <v>173</v>
      </c>
    </row>
    <row r="2" spans="1:12">
      <c r="A2" s="11" t="s">
        <v>174</v>
      </c>
      <c r="L2" s="12" t="str">
        <f>Index!F2</f>
        <v>August 31, 2023</v>
      </c>
    </row>
    <row r="3" spans="1:12">
      <c r="A3" s="11" t="s">
        <v>7</v>
      </c>
    </row>
    <row r="6" spans="1:12" s="4" customFormat="1">
      <c r="G6" s="13"/>
      <c r="I6" s="13"/>
      <c r="J6" s="13"/>
      <c r="K6" s="9"/>
      <c r="L6" s="9"/>
    </row>
    <row r="7" spans="1:12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>
      <c r="A9" s="1">
        <v>1</v>
      </c>
      <c r="C9" s="1" t="s">
        <v>175</v>
      </c>
      <c r="E9" s="4" t="s">
        <v>496</v>
      </c>
      <c r="G9" s="16">
        <f>'Schedule 1'!G48</f>
        <v>309465.73782139423</v>
      </c>
      <c r="I9" s="16">
        <f>'Schedule 1'!I48</f>
        <v>300951.49216369144</v>
      </c>
      <c r="J9" s="16">
        <f>'Schedule 1'!J48</f>
        <v>303486.98545314535</v>
      </c>
      <c r="K9" s="16">
        <f>'Schedule 1'!K48</f>
        <v>332395.59579773666</v>
      </c>
      <c r="L9" s="16">
        <f>'Schedule 1'!L48</f>
        <v>376004.32947329571</v>
      </c>
    </row>
    <row r="10" spans="1:12">
      <c r="G10" s="1" t="s">
        <v>13</v>
      </c>
      <c r="I10" s="1" t="s">
        <v>13</v>
      </c>
      <c r="J10" s="1" t="s">
        <v>13</v>
      </c>
      <c r="K10" s="1" t="s">
        <v>13</v>
      </c>
      <c r="L10" s="1" t="s">
        <v>13</v>
      </c>
    </row>
    <row r="11" spans="1:12">
      <c r="A11" s="1">
        <v>2</v>
      </c>
      <c r="C11" s="1" t="s">
        <v>176</v>
      </c>
      <c r="G11" s="35">
        <f>SUM(G13)/(G9)</f>
        <v>5.2220878757247173E-2</v>
      </c>
      <c r="I11" s="35">
        <f>SUM(I13)/(I9)</f>
        <v>5.4652830556128379E-2</v>
      </c>
      <c r="J11" s="35">
        <f>SUM(J13)/(J9)</f>
        <v>6.0966581743802657E-2</v>
      </c>
      <c r="K11" s="35">
        <f>SUM(K13)/(K9)</f>
        <v>5.4670157956959321E-2</v>
      </c>
      <c r="L11" s="35">
        <f>SUM(L13)/(L9)</f>
        <v>5.5355564338755964E-2</v>
      </c>
    </row>
    <row r="13" spans="1:12">
      <c r="A13" s="1">
        <v>3</v>
      </c>
      <c r="C13" s="1" t="s">
        <v>177</v>
      </c>
      <c r="E13" s="4" t="s">
        <v>178</v>
      </c>
      <c r="G13" s="16">
        <f>'Schedule 4'!Q15</f>
        <v>16160.572774293069</v>
      </c>
      <c r="I13" s="16">
        <f>'Schedule 4'!Q24</f>
        <v>16447.850906836225</v>
      </c>
      <c r="J13" s="16">
        <f>'Schedule 4'!Q33</f>
        <v>18502.564106809434</v>
      </c>
      <c r="K13" s="16">
        <f>'Schedule 4'!Q42</f>
        <v>18172.119726459867</v>
      </c>
      <c r="L13" s="16">
        <f>'Schedule 4'!Q51</f>
        <v>20813.931851809815</v>
      </c>
    </row>
    <row r="15" spans="1:12">
      <c r="A15" s="1">
        <v>4</v>
      </c>
      <c r="C15" s="1" t="s">
        <v>179</v>
      </c>
    </row>
    <row r="16" spans="1:12">
      <c r="A16" s="1">
        <v>5</v>
      </c>
      <c r="C16" s="1" t="s">
        <v>180</v>
      </c>
      <c r="E16" s="4" t="s">
        <v>181</v>
      </c>
      <c r="G16" s="16">
        <f>'Schedule 6'!G12</f>
        <v>43211.338227249857</v>
      </c>
      <c r="I16" s="16">
        <f>'Schedule 6'!I12</f>
        <v>40095.822196157591</v>
      </c>
      <c r="J16" s="16">
        <f>'Schedule 6'!J12</f>
        <v>44640.58821570412</v>
      </c>
      <c r="K16" s="16">
        <f>'Schedule 6'!K12</f>
        <v>50017.429764339839</v>
      </c>
      <c r="L16" s="16">
        <f>'Schedule 6'!L12</f>
        <v>53178.169869031684</v>
      </c>
    </row>
    <row r="17" spans="1:12">
      <c r="A17" s="1">
        <v>6</v>
      </c>
      <c r="C17" s="1" t="s">
        <v>44</v>
      </c>
      <c r="E17" s="4" t="s">
        <v>182</v>
      </c>
      <c r="G17" s="16">
        <f>'Schedule 6'!G13</f>
        <v>749.75450131960019</v>
      </c>
      <c r="I17" s="16">
        <f>'Schedule 6'!I13</f>
        <v>739.14745000000005</v>
      </c>
      <c r="J17" s="16">
        <f>'Schedule 6'!J13</f>
        <v>743.01589000000001</v>
      </c>
      <c r="K17" s="16">
        <f>'Schedule 6'!K13</f>
        <v>757.77395548800007</v>
      </c>
      <c r="L17" s="16">
        <f>'Schedule 6'!L13</f>
        <v>776.69908654176004</v>
      </c>
    </row>
    <row r="18" spans="1:12">
      <c r="A18" s="1">
        <v>7</v>
      </c>
      <c r="C18" s="1" t="s">
        <v>183</v>
      </c>
      <c r="E18" s="4" t="s">
        <v>184</v>
      </c>
      <c r="G18" s="16">
        <f>'Schedule 6'!G14</f>
        <v>4062.7451901111117</v>
      </c>
      <c r="I18" s="16">
        <f>'Schedule 6'!I14</f>
        <v>5528.5029999999997</v>
      </c>
      <c r="J18" s="16">
        <f>'Schedule 6'!J14</f>
        <v>3886.08</v>
      </c>
      <c r="K18" s="16">
        <f>'Schedule 6'!K14</f>
        <v>3657.0829999999996</v>
      </c>
      <c r="L18" s="16">
        <f>'Schedule 6'!L14</f>
        <v>5594.2269999999999</v>
      </c>
    </row>
    <row r="19" spans="1:12">
      <c r="A19" s="1">
        <v>8</v>
      </c>
      <c r="C19" s="1" t="s">
        <v>80</v>
      </c>
      <c r="E19" s="4" t="s">
        <v>95</v>
      </c>
      <c r="G19" s="16">
        <f>'Schedule 6'!G15</f>
        <v>615.80918399999985</v>
      </c>
      <c r="I19" s="16">
        <f>'Schedule 6'!I15</f>
        <v>615.80899999999997</v>
      </c>
      <c r="J19" s="16">
        <f>'Schedule 6'!J15</f>
        <v>615.80899999999997</v>
      </c>
      <c r="K19" s="16">
        <f>'Schedule 6'!K15</f>
        <v>615.80899999999997</v>
      </c>
      <c r="L19" s="16">
        <f>'Schedule 6'!L15</f>
        <v>615.80899999999997</v>
      </c>
    </row>
    <row r="20" spans="1:12">
      <c r="A20" s="1">
        <v>9</v>
      </c>
      <c r="C20" s="1" t="s">
        <v>185</v>
      </c>
      <c r="E20" s="4" t="s">
        <v>73</v>
      </c>
      <c r="G20" s="16">
        <f>'Schedule 6'!G16</f>
        <v>13435.829192331592</v>
      </c>
      <c r="I20" s="16">
        <f>'Schedule 6'!I16</f>
        <v>14927.263000000001</v>
      </c>
      <c r="J20" s="16">
        <f>'Schedule 6'!J16</f>
        <v>13309.912</v>
      </c>
      <c r="K20" s="16">
        <f>'Schedule 6'!K16</f>
        <v>14301.397000000001</v>
      </c>
      <c r="L20" s="16">
        <f>'Schedule 6'!L16</f>
        <v>15707.063</v>
      </c>
    </row>
    <row r="21" spans="1:12" ht="25">
      <c r="A21" s="59">
        <v>10</v>
      </c>
      <c r="C21" s="60" t="s">
        <v>186</v>
      </c>
      <c r="E21" s="2" t="s">
        <v>187</v>
      </c>
      <c r="F21" s="59"/>
      <c r="G21" s="91">
        <f>'Schedule 6'!G17</f>
        <v>-4684.2715019999996</v>
      </c>
      <c r="H21" s="59"/>
      <c r="I21" s="91">
        <f>'Schedule 6'!I17</f>
        <v>-6347.3919999999998</v>
      </c>
      <c r="J21" s="91">
        <f>'Schedule 6'!J17</f>
        <v>-5384.4809999999998</v>
      </c>
      <c r="K21" s="91">
        <f>'Schedule 6'!K17</f>
        <v>-5917.5140000000001</v>
      </c>
      <c r="L21" s="91">
        <f>'Schedule 6'!L17</f>
        <v>-6096.4719999999998</v>
      </c>
    </row>
    <row r="22" spans="1:12">
      <c r="A22" s="1">
        <v>11</v>
      </c>
      <c r="C22" s="1" t="s">
        <v>188</v>
      </c>
      <c r="G22" s="16">
        <v>-238.28448299999997</v>
      </c>
      <c r="I22" s="16">
        <v>-416.25826063888888</v>
      </c>
      <c r="J22" s="16">
        <v>-717.96950833333335</v>
      </c>
      <c r="K22" s="16">
        <v>-44.261463000000049</v>
      </c>
      <c r="L22" s="16">
        <v>-44.261463000000049</v>
      </c>
    </row>
    <row r="23" spans="1:12">
      <c r="A23" s="1">
        <v>12</v>
      </c>
      <c r="C23" s="1" t="s">
        <v>189</v>
      </c>
      <c r="G23" s="16">
        <v>-120.00024999999994</v>
      </c>
      <c r="I23" s="16">
        <v>-117.28974000000001</v>
      </c>
      <c r="J23" s="16">
        <v>-120.58844000000001</v>
      </c>
      <c r="K23" s="16">
        <v>-120.00000000000003</v>
      </c>
      <c r="L23" s="16">
        <v>-120</v>
      </c>
    </row>
    <row r="24" spans="1:12">
      <c r="G24" s="20"/>
      <c r="I24" s="20"/>
      <c r="J24" s="20"/>
      <c r="K24" s="20"/>
      <c r="L24" s="20"/>
    </row>
    <row r="25" spans="1:12">
      <c r="A25" s="1">
        <v>13</v>
      </c>
      <c r="C25" s="1" t="s">
        <v>190</v>
      </c>
      <c r="G25" s="21">
        <f>SUM(G15:G24)</f>
        <v>57032.920060012162</v>
      </c>
      <c r="I25" s="21">
        <f>SUM(I15:I24)</f>
        <v>55025.604645518695</v>
      </c>
      <c r="J25" s="21">
        <f>SUM(J15:J24)</f>
        <v>56972.366157370787</v>
      </c>
      <c r="K25" s="21">
        <f>SUM(K15:K24)</f>
        <v>63267.71725682784</v>
      </c>
      <c r="L25" s="21">
        <f>SUM(L15:L24)</f>
        <v>69611.234492573451</v>
      </c>
    </row>
    <row r="26" spans="1:12">
      <c r="G26" s="17"/>
      <c r="I26" s="17"/>
      <c r="J26" s="17"/>
      <c r="K26" s="17"/>
      <c r="L26" s="17"/>
    </row>
    <row r="27" spans="1:12" ht="13" thickBot="1">
      <c r="A27" s="1">
        <v>14</v>
      </c>
      <c r="C27" s="1" t="s">
        <v>191</v>
      </c>
      <c r="E27" s="4" t="s">
        <v>192</v>
      </c>
      <c r="G27" s="32">
        <f>G13+G25</f>
        <v>73193.492834305231</v>
      </c>
      <c r="I27" s="32">
        <f>I13+I25</f>
        <v>71473.455552354921</v>
      </c>
      <c r="J27" s="32">
        <f>J13+J25</f>
        <v>75474.930264180221</v>
      </c>
      <c r="K27" s="32">
        <f>K13+K25</f>
        <v>81439.836983287707</v>
      </c>
      <c r="L27" s="32">
        <f>L13+L25</f>
        <v>90425.166344383266</v>
      </c>
    </row>
    <row r="29" spans="1:12">
      <c r="C29" s="1" t="s">
        <v>193</v>
      </c>
    </row>
    <row r="30" spans="1:12" ht="12.75" customHeight="1">
      <c r="A30" s="61"/>
      <c r="C30" s="156"/>
      <c r="D30" s="156"/>
      <c r="E30" s="156"/>
      <c r="F30" s="156"/>
      <c r="G30" s="156"/>
      <c r="H30" s="156"/>
      <c r="I30" s="156"/>
      <c r="J30" s="156"/>
      <c r="K30" s="156"/>
    </row>
    <row r="31" spans="1:12">
      <c r="C31" s="156"/>
      <c r="D31" s="156"/>
      <c r="E31" s="156"/>
      <c r="F31" s="156"/>
      <c r="G31" s="156"/>
      <c r="H31" s="156"/>
      <c r="I31" s="91"/>
      <c r="J31" s="91"/>
      <c r="K31" s="91"/>
      <c r="L31" s="91"/>
    </row>
    <row r="32" spans="1:12">
      <c r="G32" s="23"/>
      <c r="I32" s="23"/>
      <c r="J32" s="23"/>
      <c r="K32" s="23"/>
      <c r="L32" s="23"/>
    </row>
    <row r="33" spans="7:12">
      <c r="G33" s="23"/>
      <c r="I33" s="23"/>
      <c r="J33" s="23"/>
      <c r="K33" s="23"/>
      <c r="L33" s="23"/>
    </row>
    <row r="34" spans="7:12">
      <c r="G34" s="38"/>
      <c r="I34" s="38"/>
      <c r="J34" s="38"/>
      <c r="K34" s="38"/>
      <c r="L34" s="38"/>
    </row>
    <row r="35" spans="7:12">
      <c r="G35" s="38"/>
      <c r="I35" s="38"/>
      <c r="J35" s="38"/>
      <c r="K35" s="38"/>
    </row>
    <row r="36" spans="7:12">
      <c r="G36" s="30"/>
      <c r="I36" s="30"/>
      <c r="J36" s="30"/>
      <c r="K36" s="30"/>
    </row>
    <row r="37" spans="7:12">
      <c r="G37" s="38"/>
      <c r="I37" s="38"/>
      <c r="J37" s="38"/>
      <c r="K37" s="38"/>
    </row>
    <row r="38" spans="7:12">
      <c r="J38" s="38"/>
      <c r="K38" s="38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39997558519241921"/>
    <pageSetUpPr fitToPage="1"/>
  </sheetPr>
  <dimension ref="A1:M43"/>
  <sheetViews>
    <sheetView view="pageBreakPreview" zoomScaleSheetLayoutView="100" workbookViewId="0">
      <selection activeCell="K7" sqref="K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9" style="1" customWidth="1"/>
    <col min="4" max="4" width="1.81640625" style="1" customWidth="1"/>
    <col min="5" max="5" width="11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3.26953125" style="1" customWidth="1"/>
    <col min="13" max="13" width="11.26953125" style="1" customWidth="1"/>
    <col min="14" max="16384" width="9.1796875" style="1"/>
  </cols>
  <sheetData>
    <row r="1" spans="1:13" ht="15">
      <c r="A1" s="10" t="s">
        <v>0</v>
      </c>
      <c r="L1" s="3" t="s">
        <v>194</v>
      </c>
    </row>
    <row r="2" spans="1:13">
      <c r="A2" s="11" t="s">
        <v>195</v>
      </c>
      <c r="L2" s="12" t="str">
        <f>Index!F2</f>
        <v>August 31, 2023</v>
      </c>
    </row>
    <row r="3" spans="1:13">
      <c r="A3" s="11" t="s">
        <v>7</v>
      </c>
    </row>
    <row r="4" spans="1:13">
      <c r="C4" s="1" t="s">
        <v>13</v>
      </c>
    </row>
    <row r="5" spans="1:13">
      <c r="C5" s="1" t="s">
        <v>13</v>
      </c>
    </row>
    <row r="6" spans="1:13" s="4" customFormat="1">
      <c r="G6" s="13"/>
      <c r="I6" s="13"/>
      <c r="J6" s="13"/>
      <c r="K6" s="9"/>
      <c r="L6" s="9"/>
      <c r="M6" s="13"/>
    </row>
    <row r="7" spans="1:13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3">
      <c r="A9" s="1">
        <v>1</v>
      </c>
      <c r="C9" s="1" t="s">
        <v>196</v>
      </c>
      <c r="E9" s="4" t="s">
        <v>197</v>
      </c>
      <c r="G9" s="16">
        <f>'Schedule 5'!G27</f>
        <v>73193.492834305231</v>
      </c>
      <c r="I9" s="16">
        <v>71473.455012354927</v>
      </c>
      <c r="J9" s="16">
        <v>75474.930264180221</v>
      </c>
      <c r="K9" s="16">
        <v>81439.843053213554</v>
      </c>
      <c r="L9" s="16">
        <v>90425.132763988309</v>
      </c>
      <c r="M9" s="38"/>
    </row>
    <row r="11" spans="1:13">
      <c r="A11" s="1">
        <v>2</v>
      </c>
      <c r="C11" s="9" t="s">
        <v>198</v>
      </c>
    </row>
    <row r="12" spans="1:13">
      <c r="A12" s="1">
        <v>3</v>
      </c>
      <c r="C12" s="1" t="s">
        <v>42</v>
      </c>
      <c r="E12" s="4" t="s">
        <v>199</v>
      </c>
      <c r="G12" s="16">
        <v>43211.338227249857</v>
      </c>
      <c r="I12" s="16">
        <f>'Schedule 10'!I28</f>
        <v>40095.822196157591</v>
      </c>
      <c r="J12" s="16">
        <f>'Schedule 10'!J28</f>
        <v>44640.58821570412</v>
      </c>
      <c r="K12" s="16">
        <f>'Schedule 10'!K28</f>
        <v>50017.429764339839</v>
      </c>
      <c r="L12" s="16">
        <f>'Schedule 10'!L28</f>
        <v>53178.169869031684</v>
      </c>
      <c r="M12" s="38"/>
    </row>
    <row r="13" spans="1:13">
      <c r="A13" s="1">
        <v>4</v>
      </c>
      <c r="C13" s="1" t="s">
        <v>44</v>
      </c>
      <c r="E13" s="4" t="s">
        <v>45</v>
      </c>
      <c r="G13" s="16">
        <v>749.75450131960019</v>
      </c>
      <c r="I13" s="16">
        <v>739.14745000000005</v>
      </c>
      <c r="J13" s="16">
        <v>743.01589000000001</v>
      </c>
      <c r="K13" s="16">
        <v>757.77395548800007</v>
      </c>
      <c r="L13" s="16">
        <v>776.69908654176004</v>
      </c>
      <c r="M13" s="38"/>
    </row>
    <row r="14" spans="1:13">
      <c r="A14" s="1">
        <v>5</v>
      </c>
      <c r="C14" s="1" t="s">
        <v>200</v>
      </c>
      <c r="G14" s="16">
        <f>-('Schedule 3'!G112+'Schedule 3'!G93+'Schedule 3'!G86)</f>
        <v>4062.7451901111117</v>
      </c>
      <c r="I14" s="16">
        <v>5528.5029999999997</v>
      </c>
      <c r="J14" s="16">
        <v>3886.08</v>
      </c>
      <c r="K14" s="16">
        <v>3657.0829999999996</v>
      </c>
      <c r="L14" s="16">
        <v>5594.2269999999999</v>
      </c>
      <c r="M14" s="38"/>
    </row>
    <row r="15" spans="1:13">
      <c r="A15" s="1">
        <v>6</v>
      </c>
      <c r="C15" s="1" t="s">
        <v>80</v>
      </c>
      <c r="E15" s="4" t="s">
        <v>201</v>
      </c>
      <c r="G15" s="16">
        <v>615.80918399999985</v>
      </c>
      <c r="I15" s="16">
        <v>615.80899999999997</v>
      </c>
      <c r="J15" s="16">
        <v>615.80899999999997</v>
      </c>
      <c r="K15" s="16">
        <v>615.80899999999997</v>
      </c>
      <c r="L15" s="16">
        <v>615.80899999999997</v>
      </c>
      <c r="M15" s="38"/>
    </row>
    <row r="16" spans="1:13">
      <c r="A16" s="1">
        <v>7</v>
      </c>
      <c r="C16" s="1" t="s">
        <v>185</v>
      </c>
      <c r="G16" s="16">
        <f>'Schedule 3'!G17</f>
        <v>13435.829192331592</v>
      </c>
      <c r="I16" s="16">
        <v>14927.263000000001</v>
      </c>
      <c r="J16" s="16">
        <v>13309.912</v>
      </c>
      <c r="K16" s="16">
        <v>14301.397000000001</v>
      </c>
      <c r="L16" s="16">
        <v>15707.063</v>
      </c>
      <c r="M16" s="38"/>
    </row>
    <row r="17" spans="1:13" ht="25">
      <c r="A17" s="63">
        <v>8</v>
      </c>
      <c r="B17" s="2"/>
      <c r="C17" s="60" t="s">
        <v>186</v>
      </c>
      <c r="D17" s="2"/>
      <c r="E17" s="2" t="s">
        <v>203</v>
      </c>
      <c r="F17" s="2"/>
      <c r="G17" s="92">
        <v>-4684.2715019999996</v>
      </c>
      <c r="H17" s="2"/>
      <c r="I17" s="92">
        <v>-6347.3919999999998</v>
      </c>
      <c r="J17" s="92">
        <v>-5384.4809999999998</v>
      </c>
      <c r="K17" s="92">
        <v>-5917.5140000000001</v>
      </c>
      <c r="L17" s="92">
        <v>-6096.4719999999998</v>
      </c>
      <c r="M17" s="38"/>
    </row>
    <row r="18" spans="1:13">
      <c r="G18" s="20"/>
      <c r="I18" s="20"/>
      <c r="J18" s="20"/>
      <c r="K18" s="20"/>
      <c r="L18" s="20"/>
      <c r="M18" s="38"/>
    </row>
    <row r="19" spans="1:13" s="22" customFormat="1">
      <c r="A19" s="22">
        <v>9</v>
      </c>
      <c r="C19" s="22" t="s">
        <v>28</v>
      </c>
      <c r="E19" s="44"/>
      <c r="G19" s="93">
        <f>SUM(G12:G14)+G16+G17+G15+G18</f>
        <v>57391.204793012163</v>
      </c>
      <c r="I19" s="93">
        <f>SUM(I12:I17)</f>
        <v>55559.152646157585</v>
      </c>
      <c r="J19" s="93">
        <f>SUM(J12:J17)</f>
        <v>57810.924105704122</v>
      </c>
      <c r="K19" s="93">
        <f>SUM(K12:K17)</f>
        <v>63431.978719827843</v>
      </c>
      <c r="L19" s="93">
        <f>SUM(L12:L17)</f>
        <v>69775.495955573453</v>
      </c>
    </row>
    <row r="20" spans="1:13">
      <c r="C20" s="1" t="s">
        <v>13</v>
      </c>
    </row>
    <row r="21" spans="1:13">
      <c r="A21" s="22">
        <f>A19+1</f>
        <v>10</v>
      </c>
      <c r="C21" s="9" t="s">
        <v>204</v>
      </c>
      <c r="G21" s="64">
        <f>SUM(G9-G19)</f>
        <v>15802.288041293068</v>
      </c>
      <c r="I21" s="64">
        <f>SUM(I9-I19)</f>
        <v>15914.302366197342</v>
      </c>
      <c r="J21" s="64">
        <f>SUM(J9-J19)</f>
        <v>17664.006158476099</v>
      </c>
      <c r="K21" s="64">
        <f>SUM(K9-K19)</f>
        <v>18007.864333385711</v>
      </c>
      <c r="L21" s="64">
        <f>SUM(L9-L19)</f>
        <v>20649.636808414856</v>
      </c>
    </row>
    <row r="23" spans="1:13">
      <c r="A23" s="22">
        <f>A21+1</f>
        <v>11</v>
      </c>
      <c r="C23" s="9" t="s">
        <v>205</v>
      </c>
    </row>
    <row r="24" spans="1:13">
      <c r="A24" s="22">
        <f>A23+1</f>
        <v>12</v>
      </c>
      <c r="C24" s="1" t="s">
        <v>206</v>
      </c>
      <c r="E24" s="4" t="s">
        <v>207</v>
      </c>
      <c r="G24" s="16">
        <v>1188.3688975539926</v>
      </c>
      <c r="I24" s="16">
        <v>941.58699999999999</v>
      </c>
      <c r="J24" s="16">
        <v>1060.0999999999999</v>
      </c>
      <c r="K24" s="16">
        <v>2215.174</v>
      </c>
      <c r="L24" s="16">
        <v>3722.7829999999999</v>
      </c>
      <c r="M24" s="38"/>
    </row>
    <row r="25" spans="1:13">
      <c r="A25" s="22">
        <f t="shared" ref="A25:A26" si="0">A24+1</f>
        <v>13</v>
      </c>
      <c r="C25" s="1" t="s">
        <v>208</v>
      </c>
      <c r="E25" s="4" t="s">
        <v>209</v>
      </c>
      <c r="G25" s="16">
        <v>-131.07901627275572</v>
      </c>
      <c r="I25" s="16">
        <v>-811.50468629484646</v>
      </c>
      <c r="J25" s="16">
        <v>-887.78498406905089</v>
      </c>
      <c r="K25" s="16">
        <v>-1171.0863741338239</v>
      </c>
      <c r="L25" s="16">
        <v>-3264.9677810447679</v>
      </c>
    </row>
    <row r="26" spans="1:13">
      <c r="A26" s="22">
        <f t="shared" si="0"/>
        <v>14</v>
      </c>
      <c r="C26" s="1" t="s">
        <v>28</v>
      </c>
      <c r="G26" s="21">
        <f t="shared" ref="G26" si="1">SUM(G24+G25)</f>
        <v>1057.2898812812368</v>
      </c>
      <c r="I26" s="21">
        <f t="shared" ref="I26" si="2">SUM(I24+I25)</f>
        <v>130.08231370515352</v>
      </c>
      <c r="J26" s="21">
        <f>SUM(J24+J25)</f>
        <v>172.31501593094902</v>
      </c>
      <c r="K26" s="21">
        <f>SUM(K24+K25)</f>
        <v>1044.087625866176</v>
      </c>
      <c r="L26" s="21">
        <f>SUM(L24+L25)</f>
        <v>457.81521895523201</v>
      </c>
      <c r="M26" s="38"/>
    </row>
    <row r="28" spans="1:13">
      <c r="A28" s="22">
        <f>A26+1</f>
        <v>15</v>
      </c>
      <c r="C28" s="9" t="s">
        <v>210</v>
      </c>
    </row>
    <row r="29" spans="1:13">
      <c r="A29" s="22">
        <f>A28+1</f>
        <v>16</v>
      </c>
      <c r="C29" s="1" t="s">
        <v>211</v>
      </c>
      <c r="E29" s="4" t="s">
        <v>212</v>
      </c>
      <c r="G29" s="17">
        <v>5654.8190086164313</v>
      </c>
      <c r="I29" s="16">
        <v>2768.106399743273</v>
      </c>
      <c r="J29" s="16">
        <v>-1821.6743417021999</v>
      </c>
      <c r="K29" s="16">
        <v>8698.8637241665929</v>
      </c>
      <c r="L29" s="16">
        <v>10164.831959604846</v>
      </c>
      <c r="M29" s="38"/>
    </row>
    <row r="30" spans="1:13">
      <c r="A30" s="22">
        <f t="shared" ref="A30" si="3">A29+1</f>
        <v>17</v>
      </c>
      <c r="C30" s="1" t="s">
        <v>28</v>
      </c>
      <c r="G30" s="21">
        <f t="shared" ref="G30" si="4">SUM(G29:G29)</f>
        <v>5654.8190086164313</v>
      </c>
      <c r="I30" s="21">
        <f t="shared" ref="I30" si="5">SUM(I29:I29)</f>
        <v>2768.106399743273</v>
      </c>
      <c r="J30" s="21">
        <f>SUM(J29:J29)</f>
        <v>-1821.6743417021999</v>
      </c>
      <c r="K30" s="21">
        <f>SUM(K29:K29)</f>
        <v>8698.8637241665929</v>
      </c>
      <c r="L30" s="21">
        <f>SUM(L29:L29)</f>
        <v>10164.831959604846</v>
      </c>
      <c r="M30" s="38"/>
    </row>
    <row r="31" spans="1:13">
      <c r="E31" s="13"/>
    </row>
    <row r="32" spans="1:13" ht="13" thickBot="1">
      <c r="A32" s="22">
        <f>A30+1</f>
        <v>18</v>
      </c>
      <c r="C32" s="9" t="s">
        <v>213</v>
      </c>
      <c r="E32" s="4" t="s">
        <v>214</v>
      </c>
      <c r="G32" s="32">
        <f t="shared" ref="G32" si="6">SUM(G21+G26-G30)</f>
        <v>11204.758913957874</v>
      </c>
      <c r="I32" s="32">
        <f t="shared" ref="I32" si="7">SUM(I21+I26-I30)</f>
        <v>13276.278280159222</v>
      </c>
      <c r="J32" s="32">
        <f>SUM(J21+J26-J30)</f>
        <v>19657.995516109248</v>
      </c>
      <c r="K32" s="32">
        <f>SUM(K21+K26-K30)</f>
        <v>10353.088235085295</v>
      </c>
      <c r="L32" s="32">
        <f>SUM(L21+L26-L30)</f>
        <v>10942.620067765241</v>
      </c>
      <c r="M32" s="38"/>
    </row>
    <row r="33" spans="1:13">
      <c r="A33" s="1" t="s">
        <v>13</v>
      </c>
      <c r="C33" s="1" t="s">
        <v>13</v>
      </c>
      <c r="G33" s="23"/>
      <c r="I33" s="23"/>
    </row>
    <row r="34" spans="1:13" ht="12.75" customHeight="1">
      <c r="A34" s="61"/>
      <c r="C34" s="61" t="s">
        <v>215</v>
      </c>
      <c r="D34" s="61"/>
      <c r="E34" s="61"/>
      <c r="F34" s="61"/>
      <c r="G34" s="61"/>
      <c r="H34" s="61"/>
      <c r="I34" s="61"/>
      <c r="J34" s="61"/>
      <c r="K34" s="61"/>
      <c r="L34" s="61"/>
    </row>
    <row r="35" spans="1:13" ht="12.75" customHeight="1">
      <c r="C35" s="1" t="s">
        <v>216</v>
      </c>
      <c r="E35" s="1"/>
    </row>
    <row r="36" spans="1:13">
      <c r="G36" s="65"/>
      <c r="I36" s="65"/>
      <c r="J36" s="65"/>
      <c r="K36" s="65"/>
    </row>
    <row r="37" spans="1:13">
      <c r="G37" s="22"/>
      <c r="I37" s="22"/>
      <c r="J37" s="22"/>
      <c r="K37" s="22"/>
      <c r="L37" s="22"/>
    </row>
    <row r="38" spans="1:13">
      <c r="G38" s="23"/>
      <c r="I38" s="23"/>
      <c r="J38" s="23"/>
      <c r="K38" s="23"/>
      <c r="L38" s="23"/>
    </row>
    <row r="39" spans="1:13">
      <c r="C39" s="37"/>
      <c r="G39" s="23"/>
      <c r="I39" s="23"/>
      <c r="J39" s="23"/>
      <c r="K39" s="23"/>
      <c r="M39" s="38"/>
    </row>
    <row r="40" spans="1:13">
      <c r="C40" s="37"/>
      <c r="G40" s="23"/>
      <c r="I40" s="23"/>
      <c r="J40" s="23"/>
      <c r="K40" s="23"/>
      <c r="M40" s="38"/>
    </row>
    <row r="41" spans="1:13">
      <c r="G41" s="23"/>
      <c r="I41" s="23"/>
      <c r="J41" s="23"/>
      <c r="K41" s="23"/>
    </row>
    <row r="42" spans="1:13">
      <c r="G42" s="23"/>
      <c r="I42" s="23"/>
      <c r="J42" s="23"/>
      <c r="K42" s="23"/>
    </row>
    <row r="43" spans="1:13">
      <c r="G43" s="23"/>
      <c r="I43" s="23"/>
      <c r="J43" s="23"/>
      <c r="K43" s="23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39997558519241921"/>
    <pageSetUpPr fitToPage="1"/>
  </sheetPr>
  <dimension ref="A1:M29"/>
  <sheetViews>
    <sheetView view="pageBreakPreview" zoomScaleSheetLayoutView="100" workbookViewId="0">
      <selection activeCell="K3" sqref="K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4"/>
    <col min="6" max="6" width="1.81640625" style="1" customWidth="1"/>
    <col min="7" max="7" width="12.1796875" style="1" customWidth="1"/>
    <col min="8" max="8" width="1.81640625" style="1" customWidth="1"/>
    <col min="9" max="11" width="11.26953125" style="1" customWidth="1"/>
    <col min="12" max="12" width="12.90625" style="1" customWidth="1"/>
    <col min="13" max="13" width="11.26953125" style="1" customWidth="1"/>
    <col min="14" max="16384" width="9.1796875" style="1"/>
  </cols>
  <sheetData>
    <row r="1" spans="1:13" ht="15">
      <c r="A1" s="10" t="s">
        <v>0</v>
      </c>
      <c r="L1" s="3" t="s">
        <v>217</v>
      </c>
    </row>
    <row r="2" spans="1:13">
      <c r="A2" s="11" t="s">
        <v>218</v>
      </c>
      <c r="L2" s="12" t="str">
        <f>Index!F2</f>
        <v>August 31, 2023</v>
      </c>
    </row>
    <row r="3" spans="1:13">
      <c r="A3" s="11" t="s">
        <v>7</v>
      </c>
    </row>
    <row r="6" spans="1:13" s="4" customFormat="1">
      <c r="G6" s="13"/>
      <c r="I6" s="13"/>
      <c r="J6" s="13"/>
      <c r="K6" s="9"/>
      <c r="L6" s="9"/>
    </row>
    <row r="7" spans="1:13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3">
      <c r="A9" s="1">
        <v>1</v>
      </c>
      <c r="C9" s="1" t="s">
        <v>66</v>
      </c>
      <c r="G9" s="16">
        <v>68882.909827937896</v>
      </c>
      <c r="I9" s="16">
        <v>64262.995534105401</v>
      </c>
      <c r="J9" s="16">
        <f>I19</f>
        <v>82444.973814264624</v>
      </c>
      <c r="K9" s="16">
        <f>J19</f>
        <v>93966.469330373875</v>
      </c>
      <c r="L9" s="16">
        <f>K19</f>
        <v>88486.057565459167</v>
      </c>
    </row>
    <row r="11" spans="1:13">
      <c r="C11" s="1" t="s">
        <v>22</v>
      </c>
    </row>
    <row r="12" spans="1:13">
      <c r="A12" s="1">
        <v>2</v>
      </c>
      <c r="C12" s="1" t="s">
        <v>213</v>
      </c>
      <c r="E12" s="4" t="s">
        <v>219</v>
      </c>
      <c r="G12" s="17">
        <f>'Schedule 6'!G32</f>
        <v>11204.758913957874</v>
      </c>
      <c r="I12" s="17">
        <f>'Schedule 6'!I32</f>
        <v>13276.278280159222</v>
      </c>
      <c r="J12" s="17">
        <f>'Schedule 6'!J32</f>
        <v>19657.995516109248</v>
      </c>
      <c r="K12" s="17">
        <f>'Schedule 6'!K32</f>
        <v>10353.088235085295</v>
      </c>
      <c r="L12" s="17">
        <f>'Schedule 6'!L32</f>
        <v>10942.620067765241</v>
      </c>
      <c r="M12" s="38"/>
    </row>
    <row r="13" spans="1:13">
      <c r="A13" s="1">
        <v>3</v>
      </c>
      <c r="C13" s="1" t="s">
        <v>220</v>
      </c>
      <c r="G13" s="20"/>
      <c r="I13" s="20">
        <v>4905.7</v>
      </c>
      <c r="J13" s="20">
        <v>3363.5</v>
      </c>
      <c r="K13" s="20">
        <v>0</v>
      </c>
      <c r="L13" s="20">
        <v>0</v>
      </c>
      <c r="M13" s="38"/>
    </row>
    <row r="14" spans="1:13">
      <c r="A14" s="1">
        <v>4</v>
      </c>
      <c r="C14" s="1" t="s">
        <v>221</v>
      </c>
      <c r="G14" s="16">
        <f>SUM(G9:G13)</f>
        <v>80087.668741895774</v>
      </c>
      <c r="I14" s="16">
        <f t="shared" ref="I14:K14" si="0">SUM(I9:I13)</f>
        <v>82444.973814264624</v>
      </c>
      <c r="J14" s="16">
        <f t="shared" si="0"/>
        <v>105466.46933037387</v>
      </c>
      <c r="K14" s="16">
        <f t="shared" si="0"/>
        <v>104319.55756545917</v>
      </c>
      <c r="L14" s="16">
        <f>SUM(L9:L13)</f>
        <v>99428.677633224404</v>
      </c>
    </row>
    <row r="16" spans="1:13">
      <c r="C16" s="1" t="s">
        <v>222</v>
      </c>
    </row>
    <row r="17" spans="1:12">
      <c r="A17" s="1">
        <v>5</v>
      </c>
      <c r="C17" s="1" t="s">
        <v>328</v>
      </c>
      <c r="G17" s="20">
        <v>13592.401487454699</v>
      </c>
      <c r="I17" s="20">
        <v>0</v>
      </c>
      <c r="J17" s="20">
        <v>11500</v>
      </c>
      <c r="K17" s="20">
        <v>15833.5</v>
      </c>
      <c r="L17" s="20">
        <v>0</v>
      </c>
    </row>
    <row r="19" spans="1:12" ht="13" thickBot="1">
      <c r="A19" s="1">
        <v>6</v>
      </c>
      <c r="C19" s="1" t="s">
        <v>69</v>
      </c>
      <c r="G19" s="32">
        <f t="shared" ref="G19" si="1">SUM(G14-G17)</f>
        <v>66495.267254441074</v>
      </c>
      <c r="I19" s="32">
        <f t="shared" ref="I19" si="2">SUM(I14-I17)</f>
        <v>82444.973814264624</v>
      </c>
      <c r="J19" s="32">
        <f>SUM(J14-J17)</f>
        <v>93966.469330373875</v>
      </c>
      <c r="K19" s="32">
        <f>SUM(K14-K17)</f>
        <v>88486.057565459167</v>
      </c>
      <c r="L19" s="32">
        <f>SUM(L14-L17)</f>
        <v>99428.677633224404</v>
      </c>
    </row>
    <row r="22" spans="1:12">
      <c r="C22" s="9" t="s">
        <v>223</v>
      </c>
    </row>
    <row r="23" spans="1:12">
      <c r="A23" s="1">
        <f>A19+1</f>
        <v>7</v>
      </c>
      <c r="C23" s="1" t="s">
        <v>224</v>
      </c>
      <c r="G23" s="16">
        <v>56294.076849838588</v>
      </c>
      <c r="I23" s="16">
        <v>54968.307383093925</v>
      </c>
      <c r="J23" s="16">
        <v>54968.307383093925</v>
      </c>
      <c r="K23" s="16">
        <v>54968.307383093925</v>
      </c>
      <c r="L23" s="16">
        <v>57283.807383093925</v>
      </c>
    </row>
    <row r="24" spans="1:12">
      <c r="A24" s="1">
        <f>A23+1</f>
        <v>8</v>
      </c>
      <c r="C24" s="1" t="s">
        <v>225</v>
      </c>
      <c r="G24" s="17">
        <f t="shared" ref="G24" si="3">G19</f>
        <v>66495.267254441074</v>
      </c>
      <c r="I24" s="17">
        <f t="shared" ref="I24" si="4">I19</f>
        <v>82444.973814264624</v>
      </c>
      <c r="J24" s="17">
        <f>J19</f>
        <v>93966.469330373875</v>
      </c>
      <c r="K24" s="17">
        <f>K19</f>
        <v>88486.057565459167</v>
      </c>
      <c r="L24" s="17">
        <f>L19</f>
        <v>99428.677633224404</v>
      </c>
    </row>
    <row r="25" spans="1:12">
      <c r="A25" s="1">
        <f>A24+1</f>
        <v>9</v>
      </c>
      <c r="C25" s="1" t="s">
        <v>28</v>
      </c>
      <c r="G25" s="21">
        <f t="shared" ref="G25" si="5">SUM(G23:G24)</f>
        <v>122789.34410427966</v>
      </c>
      <c r="I25" s="21">
        <f t="shared" ref="I25" si="6">SUM(I23:I24)</f>
        <v>137413.28119735856</v>
      </c>
      <c r="J25" s="21">
        <f>SUM(J23:J24)</f>
        <v>148934.77671346779</v>
      </c>
      <c r="K25" s="21">
        <f>SUM(K23:K24)</f>
        <v>143454.36494855309</v>
      </c>
      <c r="L25" s="21">
        <f>SUM(L23:L24)</f>
        <v>156712.48501631833</v>
      </c>
    </row>
    <row r="28" spans="1:12">
      <c r="C28" s="1" t="s">
        <v>226</v>
      </c>
    </row>
    <row r="29" spans="1:12">
      <c r="C29" s="1" t="s">
        <v>227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 tint="0.39997558519241921"/>
    <pageSetUpPr fitToPage="1"/>
  </sheetPr>
  <dimension ref="A1:L27"/>
  <sheetViews>
    <sheetView view="pageBreakPreview" zoomScaleSheetLayoutView="100" workbookViewId="0">
      <selection activeCell="D9" sqref="D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2" style="1" customWidth="1"/>
    <col min="4" max="4" width="1.81640625" style="1" customWidth="1"/>
    <col min="5" max="5" width="9.1796875" style="4"/>
    <col min="6" max="6" width="1.81640625" style="1" customWidth="1"/>
    <col min="7" max="7" width="12.36328125" style="1" customWidth="1"/>
    <col min="8" max="8" width="1.81640625" style="1" customWidth="1"/>
    <col min="9" max="11" width="11.26953125" style="1" customWidth="1"/>
    <col min="12" max="12" width="12.7265625" style="1" customWidth="1"/>
    <col min="13" max="16384" width="9.1796875" style="1"/>
  </cols>
  <sheetData>
    <row r="1" spans="1:12" ht="15">
      <c r="A1" s="10" t="s">
        <v>0</v>
      </c>
      <c r="L1" s="3" t="s">
        <v>228</v>
      </c>
    </row>
    <row r="2" spans="1:12">
      <c r="A2" s="11" t="s">
        <v>229</v>
      </c>
      <c r="L2" s="12" t="str">
        <f>Index!F2</f>
        <v>August 31, 2023</v>
      </c>
    </row>
    <row r="3" spans="1:12">
      <c r="A3" s="11" t="s">
        <v>7</v>
      </c>
    </row>
    <row r="6" spans="1:12" s="4" customFormat="1">
      <c r="G6" s="13"/>
      <c r="I6" s="13"/>
      <c r="J6" s="13"/>
      <c r="K6" s="9"/>
      <c r="L6" s="9"/>
    </row>
    <row r="7" spans="1:12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>
      <c r="A9" s="1">
        <v>1</v>
      </c>
      <c r="C9" s="1" t="s">
        <v>230</v>
      </c>
      <c r="E9" s="4" t="s">
        <v>172</v>
      </c>
      <c r="G9" s="16">
        <f>'Schedule 5'!G13</f>
        <v>16160.572774293069</v>
      </c>
      <c r="I9" s="16">
        <f>'Schedule 5'!I13</f>
        <v>16447.850906836225</v>
      </c>
      <c r="J9" s="16">
        <f>'Schedule 5'!J13</f>
        <v>18502.564106809434</v>
      </c>
      <c r="K9" s="16">
        <f>'Schedule 5'!K13</f>
        <v>18172.119726459867</v>
      </c>
      <c r="L9" s="16">
        <f>'Schedule 5'!L13</f>
        <v>20813.931851809815</v>
      </c>
    </row>
    <row r="10" spans="1:12">
      <c r="G10" s="16"/>
      <c r="I10" s="16"/>
      <c r="J10" s="16"/>
      <c r="K10" s="16"/>
      <c r="L10" s="16"/>
    </row>
    <row r="11" spans="1:12">
      <c r="C11" s="1" t="s">
        <v>22</v>
      </c>
      <c r="G11" s="16"/>
      <c r="I11" s="16"/>
      <c r="J11" s="16"/>
      <c r="K11" s="16"/>
      <c r="L11" s="16"/>
    </row>
    <row r="12" spans="1:12">
      <c r="A12" s="1">
        <v>2</v>
      </c>
      <c r="C12" s="66" t="s">
        <v>231</v>
      </c>
      <c r="E12" s="4" t="s">
        <v>232</v>
      </c>
      <c r="G12" s="16">
        <f>'Schedule 6'!G24</f>
        <v>1188.3688975539926</v>
      </c>
      <c r="I12" s="16">
        <f>'Schedule 6'!I24</f>
        <v>941.58699999999999</v>
      </c>
      <c r="J12" s="16">
        <f>'Schedule 6'!J24</f>
        <v>1060.0999999999999</v>
      </c>
      <c r="K12" s="16">
        <f>'Schedule 6'!K24</f>
        <v>2215.174</v>
      </c>
      <c r="L12" s="16">
        <f>'Schedule 6'!L24</f>
        <v>3722.7829999999999</v>
      </c>
    </row>
    <row r="13" spans="1:12">
      <c r="A13" s="1">
        <v>3</v>
      </c>
      <c r="C13" s="1" t="s">
        <v>233</v>
      </c>
      <c r="E13" s="4" t="s">
        <v>234</v>
      </c>
      <c r="G13" s="20">
        <f>'Schedule 6'!G25</f>
        <v>-131.07901627275572</v>
      </c>
      <c r="I13" s="20">
        <f>'Schedule 6'!I25</f>
        <v>-811.50468629484646</v>
      </c>
      <c r="J13" s="20">
        <f>'Schedule 6'!J25</f>
        <v>-887.78498406905089</v>
      </c>
      <c r="K13" s="20">
        <f>'Schedule 6'!K25</f>
        <v>-1171.0863741338239</v>
      </c>
      <c r="L13" s="20">
        <f>'Schedule 6'!L25</f>
        <v>-3264.9677810447679</v>
      </c>
    </row>
    <row r="14" spans="1:12">
      <c r="G14" s="20">
        <f>SUM(G9:G13)</f>
        <v>17217.862655574303</v>
      </c>
      <c r="I14" s="20">
        <f>SUM(I9:I13)</f>
        <v>16577.933220541378</v>
      </c>
      <c r="J14" s="20">
        <f>SUM(J9:J13)</f>
        <v>18674.879122740382</v>
      </c>
      <c r="K14" s="20">
        <f>SUM(K9:K13)</f>
        <v>19216.207352326041</v>
      </c>
      <c r="L14" s="20">
        <f>SUM(L9:L13)</f>
        <v>21271.747070765046</v>
      </c>
    </row>
    <row r="16" spans="1:12">
      <c r="C16" s="1" t="s">
        <v>222</v>
      </c>
    </row>
    <row r="17" spans="1:12">
      <c r="A17" s="1">
        <v>4</v>
      </c>
      <c r="C17" s="1" t="s">
        <v>235</v>
      </c>
      <c r="E17" s="4" t="s">
        <v>236</v>
      </c>
      <c r="G17" s="16">
        <f>'Schedule 6'!G29</f>
        <v>5654.8190086164313</v>
      </c>
      <c r="I17" s="16">
        <f>'Schedule 6'!I29</f>
        <v>2768.106399743273</v>
      </c>
      <c r="J17" s="16">
        <f>'Schedule 6'!J29</f>
        <v>-1821.6743417021999</v>
      </c>
      <c r="K17" s="16">
        <f>'Schedule 6'!K29</f>
        <v>8698.8637241665929</v>
      </c>
      <c r="L17" s="16">
        <f>'Schedule 6'!L29</f>
        <v>10164.831959604846</v>
      </c>
    </row>
    <row r="18" spans="1:12">
      <c r="A18" s="1">
        <v>5</v>
      </c>
      <c r="C18" s="1" t="s">
        <v>189</v>
      </c>
      <c r="E18" s="4" t="s">
        <v>237</v>
      </c>
      <c r="G18" s="16">
        <f>-'Schedule 5'!G23</f>
        <v>120.00024999999994</v>
      </c>
      <c r="I18" s="16">
        <f>-'Schedule 5'!I23</f>
        <v>117.28974000000001</v>
      </c>
      <c r="J18" s="16">
        <f>-'Schedule 5'!J23</f>
        <v>120.58844000000001</v>
      </c>
      <c r="K18" s="16">
        <f>-'Schedule 5'!K23</f>
        <v>120.00000000000003</v>
      </c>
      <c r="L18" s="16">
        <f>-'Schedule 5'!L23</f>
        <v>120</v>
      </c>
    </row>
    <row r="19" spans="1:12">
      <c r="A19" s="1">
        <v>6</v>
      </c>
      <c r="C19" s="1" t="s">
        <v>238</v>
      </c>
      <c r="G19" s="67">
        <f>-'Schedule 5'!G24</f>
        <v>0</v>
      </c>
      <c r="I19" s="67">
        <f>-'Schedule 5'!I24</f>
        <v>0</v>
      </c>
      <c r="J19" s="67">
        <f>-'Schedule 5'!J24</f>
        <v>0</v>
      </c>
      <c r="K19" s="67">
        <f>-'Schedule 5'!K24</f>
        <v>0</v>
      </c>
      <c r="L19" s="67">
        <f>-'Schedule 5'!L24</f>
        <v>0</v>
      </c>
    </row>
    <row r="20" spans="1:12">
      <c r="A20" s="1">
        <v>7</v>
      </c>
      <c r="C20" s="1" t="s">
        <v>188</v>
      </c>
      <c r="E20" s="4" t="s">
        <v>239</v>
      </c>
      <c r="G20" s="20">
        <f>-'Schedule 5'!G22</f>
        <v>238.28448299999997</v>
      </c>
      <c r="I20" s="20">
        <f>-'Schedule 5'!I22</f>
        <v>416.25826063888888</v>
      </c>
      <c r="J20" s="20">
        <f>-'Schedule 5'!J22</f>
        <v>717.96950833333335</v>
      </c>
      <c r="K20" s="20">
        <f>-'Schedule 5'!K22</f>
        <v>44.261463000000049</v>
      </c>
      <c r="L20" s="20">
        <f>-'Schedule 5'!L22</f>
        <v>44.261463000000049</v>
      </c>
    </row>
    <row r="21" spans="1:12">
      <c r="G21" s="20">
        <f>SUM(G17:G20)</f>
        <v>6013.1037416164318</v>
      </c>
      <c r="I21" s="20">
        <f>SUM(I17:I20)</f>
        <v>3301.6544003821618</v>
      </c>
      <c r="J21" s="20">
        <f>SUM(J17:J20)</f>
        <v>-983.11639336886651</v>
      </c>
      <c r="K21" s="20">
        <f>SUM(K17:K20)</f>
        <v>8863.1251871665936</v>
      </c>
      <c r="L21" s="20">
        <f>SUM(L17:L20)</f>
        <v>10329.093422604847</v>
      </c>
    </row>
    <row r="22" spans="1:12">
      <c r="G22" s="38"/>
      <c r="I22" s="38"/>
      <c r="J22" s="38"/>
      <c r="K22" s="38"/>
      <c r="L22" s="38"/>
    </row>
    <row r="23" spans="1:12">
      <c r="A23" s="1">
        <v>8</v>
      </c>
      <c r="C23" s="1" t="s">
        <v>213</v>
      </c>
      <c r="E23" s="4" t="s">
        <v>219</v>
      </c>
      <c r="G23" s="16">
        <f>G14-G21</f>
        <v>11204.75891395787</v>
      </c>
      <c r="I23" s="16">
        <f>I14-I21</f>
        <v>13276.278820159216</v>
      </c>
      <c r="J23" s="16">
        <f>J14-J21</f>
        <v>19657.995516109248</v>
      </c>
      <c r="K23" s="16">
        <f>K14-K21</f>
        <v>10353.082165159447</v>
      </c>
      <c r="L23" s="16">
        <f>L14-L21</f>
        <v>10942.6536481602</v>
      </c>
    </row>
    <row r="24" spans="1:12">
      <c r="G24" s="16"/>
      <c r="I24" s="16"/>
      <c r="J24" s="16"/>
      <c r="K24" s="16"/>
    </row>
    <row r="25" spans="1:12">
      <c r="G25" s="38"/>
      <c r="I25" s="38"/>
      <c r="J25" s="38"/>
      <c r="K25" s="38"/>
    </row>
    <row r="26" spans="1:12">
      <c r="G26" s="16"/>
      <c r="H26" s="16"/>
      <c r="I26" s="16"/>
      <c r="J26" s="16"/>
      <c r="K26" s="16"/>
      <c r="L26" s="16"/>
    </row>
    <row r="27" spans="1:12">
      <c r="G27" s="16"/>
      <c r="I27" s="16"/>
      <c r="J27" s="16"/>
      <c r="K27" s="16"/>
      <c r="L27" s="16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  <pageSetUpPr fitToPage="1"/>
  </sheetPr>
  <dimension ref="A1:M81"/>
  <sheetViews>
    <sheetView view="pageBreakPreview" zoomScaleSheetLayoutView="100" workbookViewId="0">
      <pane ySplit="7" topLeftCell="A8" activePane="bottomLeft" state="frozen"/>
      <selection activeCell="H15" sqref="H15"/>
      <selection pane="bottomLeft" activeCell="H17" sqref="H1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11.90625" style="1" customWidth="1"/>
    <col min="6" max="6" width="1.81640625" style="1" customWidth="1"/>
    <col min="7" max="9" width="11.26953125" style="1" customWidth="1"/>
    <col min="10" max="10" width="12.54296875" style="1" customWidth="1"/>
    <col min="11" max="16384" width="9.1796875" style="1"/>
  </cols>
  <sheetData>
    <row r="1" spans="1:12" ht="15">
      <c r="A1" s="10" t="s">
        <v>0</v>
      </c>
      <c r="J1" s="3" t="s">
        <v>240</v>
      </c>
    </row>
    <row r="2" spans="1:12">
      <c r="A2" s="11" t="s">
        <v>241</v>
      </c>
      <c r="J2" s="12" t="str">
        <f>Index!F2</f>
        <v>August 31, 2023</v>
      </c>
    </row>
    <row r="3" spans="1:12">
      <c r="A3" s="11" t="s">
        <v>7</v>
      </c>
    </row>
    <row r="4" spans="1:12">
      <c r="C4" s="68"/>
    </row>
    <row r="5" spans="1:12">
      <c r="C5" s="43"/>
    </row>
    <row r="6" spans="1:12" s="4" customFormat="1">
      <c r="C6" s="69"/>
      <c r="E6" s="13"/>
      <c r="G6" s="13"/>
      <c r="H6" s="13"/>
      <c r="I6" s="13"/>
    </row>
    <row r="7" spans="1:12" s="15" customFormat="1" ht="25">
      <c r="A7" s="14" t="s">
        <v>8</v>
      </c>
      <c r="C7" s="14" t="s">
        <v>9</v>
      </c>
      <c r="E7" s="14" t="str">
        <f>'Schedule 1'!G7</f>
        <v>2021 GRA
Compliance</v>
      </c>
      <c r="G7" s="14" t="str">
        <f>'Schedule 1'!I7</f>
        <v>Actual 2021</v>
      </c>
      <c r="H7" s="14" t="str">
        <f>'Schedule 1'!J7</f>
        <v>Actual 2022</v>
      </c>
      <c r="I7" s="14" t="str">
        <f>'Schedule 1'!K7</f>
        <v>Forecast 2023</v>
      </c>
      <c r="J7" s="14" t="str">
        <f>'Schedule 1'!L7</f>
        <v>Forecast 2024</v>
      </c>
    </row>
    <row r="8" spans="1:12">
      <c r="A8" s="1">
        <v>1</v>
      </c>
      <c r="C8" s="9" t="s">
        <v>242</v>
      </c>
      <c r="L8" s="70"/>
    </row>
    <row r="9" spans="1:12">
      <c r="A9" s="1">
        <v>2</v>
      </c>
      <c r="C9" s="71" t="s">
        <v>243</v>
      </c>
      <c r="E9" s="22">
        <v>1779.7967268777782</v>
      </c>
      <c r="G9" s="22">
        <v>1812.6666666666667</v>
      </c>
      <c r="H9" s="22">
        <v>1821.8333333333333</v>
      </c>
      <c r="I9" s="22">
        <v>1858.0820814393944</v>
      </c>
      <c r="J9" s="22">
        <v>1898.2087205643945</v>
      </c>
      <c r="L9" s="72"/>
    </row>
    <row r="10" spans="1:12">
      <c r="A10" s="1">
        <v>3</v>
      </c>
      <c r="C10" s="71" t="s">
        <v>244</v>
      </c>
      <c r="E10" s="22">
        <v>16209.745867303323</v>
      </c>
      <c r="G10" s="22">
        <v>17421.153990000003</v>
      </c>
      <c r="H10" s="22">
        <v>17333.62861</v>
      </c>
      <c r="I10" s="22">
        <v>17692.784046871151</v>
      </c>
      <c r="J10" s="22">
        <v>18090.339959899033</v>
      </c>
      <c r="L10" s="72"/>
    </row>
    <row r="11" spans="1:12">
      <c r="A11" s="1">
        <v>4</v>
      </c>
      <c r="C11" s="71" t="s">
        <v>245</v>
      </c>
      <c r="E11" s="73">
        <f>E10/E9</f>
        <v>9.1076388794912511</v>
      </c>
      <c r="G11" s="73">
        <f>G10/G9</f>
        <v>9.6107874163295346</v>
      </c>
      <c r="H11" s="73">
        <f>H10/H9</f>
        <v>9.5143876735888764</v>
      </c>
      <c r="I11" s="73">
        <f>I10/I9</f>
        <v>9.5220680634114618</v>
      </c>
      <c r="J11" s="73">
        <f>J10/J9</f>
        <v>9.5302164424364406</v>
      </c>
      <c r="L11" s="72"/>
    </row>
    <row r="12" spans="1:12">
      <c r="A12" s="1">
        <v>5</v>
      </c>
      <c r="C12" s="71" t="s">
        <v>246</v>
      </c>
      <c r="D12" s="43"/>
      <c r="E12" s="22">
        <v>2384.1188693170443</v>
      </c>
      <c r="F12" s="43"/>
      <c r="G12" s="22">
        <v>2513.3242800000003</v>
      </c>
      <c r="H12" s="22">
        <v>2472.1443200000003</v>
      </c>
      <c r="I12" s="22">
        <v>2531.7944661363281</v>
      </c>
      <c r="J12" s="22">
        <v>2610.7132577603902</v>
      </c>
      <c r="L12" s="72"/>
    </row>
    <row r="13" spans="1:12">
      <c r="A13" s="1">
        <v>6</v>
      </c>
      <c r="C13" s="71" t="s">
        <v>247</v>
      </c>
      <c r="D13" s="68"/>
      <c r="E13" s="73">
        <f>E12/E10*100</f>
        <v>14.707934898140817</v>
      </c>
      <c r="F13" s="68"/>
      <c r="G13" s="73">
        <f>G12/G10*100</f>
        <v>14.426853016985472</v>
      </c>
      <c r="H13" s="73">
        <f>H12/H10*100</f>
        <v>14.262128118827858</v>
      </c>
      <c r="I13" s="73">
        <f>I12/I10*100</f>
        <v>14.309757353219144</v>
      </c>
      <c r="J13" s="73">
        <f>J12/J10*100</f>
        <v>14.43153231806353</v>
      </c>
      <c r="L13" s="72"/>
    </row>
    <row r="14" spans="1:12">
      <c r="A14" s="1">
        <v>7</v>
      </c>
      <c r="C14" s="9" t="s">
        <v>248</v>
      </c>
      <c r="E14" s="22"/>
      <c r="G14" s="22"/>
      <c r="H14" s="22"/>
      <c r="I14" s="22"/>
      <c r="J14" s="22"/>
      <c r="L14" s="70"/>
    </row>
    <row r="15" spans="1:12">
      <c r="A15" s="1">
        <v>8</v>
      </c>
      <c r="C15" s="71" t="s">
        <v>243</v>
      </c>
      <c r="E15" s="22">
        <v>513.53938439814817</v>
      </c>
      <c r="G15" s="22">
        <v>527.86083333333329</v>
      </c>
      <c r="H15" s="22">
        <v>519.25</v>
      </c>
      <c r="I15" s="22">
        <v>528.82104861111111</v>
      </c>
      <c r="J15" s="22">
        <v>536.12350198263891</v>
      </c>
      <c r="L15" s="72"/>
    </row>
    <row r="16" spans="1:12">
      <c r="A16" s="1">
        <v>9</v>
      </c>
      <c r="C16" s="71" t="s">
        <v>244</v>
      </c>
      <c r="E16" s="22">
        <v>32322.926762187584</v>
      </c>
      <c r="G16" s="22">
        <v>29584.264009999999</v>
      </c>
      <c r="H16" s="22">
        <v>30661.738590000004</v>
      </c>
      <c r="I16" s="22">
        <v>38568.709158506084</v>
      </c>
      <c r="J16" s="22">
        <v>44698.259126585959</v>
      </c>
      <c r="L16" s="72"/>
    </row>
    <row r="17" spans="1:12">
      <c r="A17" s="1">
        <v>10</v>
      </c>
      <c r="C17" s="71" t="s">
        <v>245</v>
      </c>
      <c r="E17" s="73">
        <f>E16/E15</f>
        <v>62.941475852079051</v>
      </c>
      <c r="G17" s="73">
        <f>G16/G15</f>
        <v>56.045575162645463</v>
      </c>
      <c r="H17" s="73">
        <f>H16/H15</f>
        <v>59.050050245546473</v>
      </c>
      <c r="I17" s="73">
        <f>I16/I15</f>
        <v>72.93338504547512</v>
      </c>
      <c r="J17" s="73">
        <f>J16/J15</f>
        <v>83.373064156462604</v>
      </c>
      <c r="L17" s="72"/>
    </row>
    <row r="18" spans="1:12">
      <c r="A18" s="1">
        <v>11</v>
      </c>
      <c r="C18" s="71" t="s">
        <v>246</v>
      </c>
      <c r="E18" s="22">
        <v>5388.0779262706401</v>
      </c>
      <c r="G18" s="22">
        <v>4911.4838699999991</v>
      </c>
      <c r="H18" s="22">
        <v>5004.8550100000011</v>
      </c>
      <c r="I18" s="22">
        <v>6271.980312051458</v>
      </c>
      <c r="J18" s="22">
        <v>7175.0888690444954</v>
      </c>
      <c r="L18" s="72"/>
    </row>
    <row r="19" spans="1:12">
      <c r="A19" s="1">
        <v>12</v>
      </c>
      <c r="C19" s="71" t="s">
        <v>247</v>
      </c>
      <c r="E19" s="73">
        <f>E18/E16*100</f>
        <v>16.669523666321545</v>
      </c>
      <c r="G19" s="73">
        <f>G18/G16*100</f>
        <v>16.601676716851337</v>
      </c>
      <c r="H19" s="73">
        <f>H18/H16*100</f>
        <v>16.322802424622722</v>
      </c>
      <c r="I19" s="73">
        <f>I18/I16*100</f>
        <v>16.261836210995444</v>
      </c>
      <c r="J19" s="73">
        <f>J18/J16*100</f>
        <v>16.052278118314554</v>
      </c>
      <c r="L19" s="72"/>
    </row>
    <row r="20" spans="1:12">
      <c r="A20" s="1">
        <v>13</v>
      </c>
      <c r="C20" s="9" t="s">
        <v>249</v>
      </c>
      <c r="E20" s="22"/>
      <c r="G20" s="22"/>
      <c r="H20" s="22"/>
      <c r="I20" s="22"/>
      <c r="J20" s="22"/>
      <c r="L20" s="70"/>
    </row>
    <row r="21" spans="1:12">
      <c r="A21" s="1">
        <v>14</v>
      </c>
      <c r="C21" s="71" t="s">
        <v>244</v>
      </c>
      <c r="E21" s="22">
        <v>102903.86099999998</v>
      </c>
      <c r="G21" s="22">
        <v>91143.140000000014</v>
      </c>
      <c r="H21" s="22">
        <v>95169.2</v>
      </c>
      <c r="I21" s="22">
        <v>75045.114138777761</v>
      </c>
      <c r="J21" s="22">
        <v>69367.817880341725</v>
      </c>
      <c r="L21" s="72"/>
    </row>
    <row r="22" spans="1:12">
      <c r="A22" s="1">
        <v>15</v>
      </c>
      <c r="C22" s="71" t="s">
        <v>246</v>
      </c>
      <c r="E22" s="22">
        <v>11480.811251316387</v>
      </c>
      <c r="G22" s="22">
        <v>11128.833615399997</v>
      </c>
      <c r="H22" s="22">
        <v>12206.045143999998</v>
      </c>
      <c r="I22" s="22">
        <v>9717.7062437509594</v>
      </c>
      <c r="J22" s="22">
        <v>8771.3687614176233</v>
      </c>
      <c r="L22" s="72"/>
    </row>
    <row r="23" spans="1:12">
      <c r="A23" s="1">
        <v>16</v>
      </c>
      <c r="C23" s="71" t="s">
        <v>247</v>
      </c>
      <c r="E23" s="73">
        <f>E22/E21*100</f>
        <v>11.15683234792948</v>
      </c>
      <c r="G23" s="73">
        <f>G22/G21*100</f>
        <v>12.210281119785861</v>
      </c>
      <c r="H23" s="73">
        <f>H22/H21*100</f>
        <v>12.825625458656789</v>
      </c>
      <c r="I23" s="73">
        <f>I22/I21*100</f>
        <v>12.949152460186037</v>
      </c>
      <c r="J23" s="73">
        <f>J22/J21*100</f>
        <v>12.6447234891374</v>
      </c>
      <c r="L23" s="72"/>
    </row>
    <row r="24" spans="1:12">
      <c r="A24" s="1">
        <v>17</v>
      </c>
      <c r="C24" s="9" t="s">
        <v>250</v>
      </c>
      <c r="E24" s="22"/>
      <c r="G24" s="22"/>
      <c r="H24" s="22"/>
      <c r="I24" s="22"/>
      <c r="J24" s="22"/>
      <c r="L24" s="70"/>
    </row>
    <row r="25" spans="1:12">
      <c r="A25" s="1">
        <v>18</v>
      </c>
      <c r="C25" s="71" t="s">
        <v>244</v>
      </c>
      <c r="E25" s="22">
        <v>167.64</v>
      </c>
      <c r="G25" s="22">
        <v>167.64</v>
      </c>
      <c r="H25" s="22">
        <v>167.685</v>
      </c>
      <c r="I25" s="22">
        <v>168.18</v>
      </c>
      <c r="J25" s="22">
        <v>168.18</v>
      </c>
      <c r="L25" s="72"/>
    </row>
    <row r="26" spans="1:12">
      <c r="A26" s="1">
        <v>19</v>
      </c>
      <c r="C26" s="71" t="s">
        <v>246</v>
      </c>
      <c r="D26" s="31"/>
      <c r="E26" s="22">
        <v>81.841440000000006</v>
      </c>
      <c r="F26" s="31"/>
      <c r="G26" s="22">
        <v>81.841949999999997</v>
      </c>
      <c r="H26" s="22">
        <v>82.014960000000002</v>
      </c>
      <c r="I26" s="22">
        <v>82.172530000000009</v>
      </c>
      <c r="J26" s="22">
        <v>82.172530000000009</v>
      </c>
      <c r="L26" s="72"/>
    </row>
    <row r="27" spans="1:12">
      <c r="A27" s="1">
        <v>20</v>
      </c>
      <c r="C27" s="71" t="s">
        <v>247</v>
      </c>
      <c r="E27" s="73">
        <f>E26/E25*100</f>
        <v>48.819756621331436</v>
      </c>
      <c r="G27" s="73">
        <f>G26/G25*100</f>
        <v>48.820060844667147</v>
      </c>
      <c r="H27" s="73">
        <f>H26/H25*100</f>
        <v>48.910135074693621</v>
      </c>
      <c r="I27" s="73">
        <f>I26/I25*100</f>
        <v>48.859870376977049</v>
      </c>
      <c r="J27" s="73">
        <f>J26/J25*100</f>
        <v>48.859870376977049</v>
      </c>
      <c r="L27" s="72"/>
    </row>
    <row r="28" spans="1:12">
      <c r="A28" s="1">
        <v>21</v>
      </c>
      <c r="C28" s="9" t="s">
        <v>251</v>
      </c>
      <c r="E28" s="22"/>
      <c r="G28" s="22"/>
      <c r="H28" s="22"/>
      <c r="I28" s="22"/>
      <c r="J28" s="22"/>
      <c r="L28" s="70"/>
    </row>
    <row r="29" spans="1:12">
      <c r="A29" s="1">
        <v>22</v>
      </c>
      <c r="C29" s="71" t="s">
        <v>244</v>
      </c>
      <c r="E29" s="22">
        <v>9.8040000000000003</v>
      </c>
      <c r="G29" s="22">
        <v>8.9826700000000006</v>
      </c>
      <c r="H29" s="22">
        <v>8.8439999999999994</v>
      </c>
      <c r="I29" s="22">
        <v>8.8439999999999994</v>
      </c>
      <c r="J29" s="22">
        <v>8.8439999999999994</v>
      </c>
      <c r="L29" s="72"/>
    </row>
    <row r="30" spans="1:12">
      <c r="A30" s="1">
        <v>23</v>
      </c>
      <c r="C30" s="71" t="s">
        <v>246</v>
      </c>
      <c r="E30" s="22">
        <v>2.6050800000000001</v>
      </c>
      <c r="G30" s="22">
        <v>2.4418699999999998</v>
      </c>
      <c r="H30" s="22">
        <v>2.41432</v>
      </c>
      <c r="I30" s="22">
        <v>2.4143700000000003</v>
      </c>
      <c r="J30" s="22">
        <v>2.4143700000000003</v>
      </c>
      <c r="L30" s="72"/>
    </row>
    <row r="31" spans="1:12">
      <c r="A31" s="1">
        <v>24</v>
      </c>
      <c r="C31" s="71" t="s">
        <v>247</v>
      </c>
      <c r="E31" s="73">
        <f>E30/E29*100</f>
        <v>26.57160342717258</v>
      </c>
      <c r="G31" s="73">
        <f>G30/G29*100</f>
        <v>27.184233640999832</v>
      </c>
      <c r="H31" s="73">
        <f>H30/H29*100</f>
        <v>27.298959746720939</v>
      </c>
      <c r="I31" s="73">
        <f>I30/I29*100</f>
        <v>27.299525101763916</v>
      </c>
      <c r="J31" s="73">
        <f>J30/J29*100</f>
        <v>27.299525101763916</v>
      </c>
      <c r="L31" s="72"/>
    </row>
    <row r="32" spans="1:12">
      <c r="A32" s="1">
        <v>25</v>
      </c>
      <c r="C32" s="9" t="s">
        <v>252</v>
      </c>
      <c r="E32" s="22"/>
      <c r="G32" s="22"/>
      <c r="H32" s="22"/>
      <c r="I32" s="22"/>
      <c r="J32" s="22"/>
      <c r="L32" s="75"/>
    </row>
    <row r="33" spans="1:12">
      <c r="A33" s="1">
        <v>26</v>
      </c>
      <c r="C33" s="71" t="s">
        <v>243</v>
      </c>
      <c r="E33" s="76">
        <f t="shared" ref="E33" si="0">E9+E15</f>
        <v>2293.3361112759262</v>
      </c>
      <c r="G33" s="76">
        <f t="shared" ref="G33" si="1">G9+G15</f>
        <v>2340.5275000000001</v>
      </c>
      <c r="H33" s="76">
        <f t="shared" ref="H33:I33" si="2">H9+H15</f>
        <v>2341.083333333333</v>
      </c>
      <c r="I33" s="76">
        <f t="shared" si="2"/>
        <v>2386.9031300505058</v>
      </c>
      <c r="J33" s="76">
        <f t="shared" ref="J33" si="3">J9+J15</f>
        <v>2434.3322225470333</v>
      </c>
      <c r="L33" s="72"/>
    </row>
    <row r="34" spans="1:12">
      <c r="A34" s="1">
        <v>27</v>
      </c>
      <c r="C34" s="71" t="s">
        <v>244</v>
      </c>
      <c r="E34" s="76">
        <f t="shared" ref="E34" si="4">E10+E16+E21+E25+E29</f>
        <v>151613.9776294909</v>
      </c>
      <c r="G34" s="76">
        <f t="shared" ref="G34" si="5">G10+G16+G21+G25+G29</f>
        <v>138325.18067000003</v>
      </c>
      <c r="H34" s="76">
        <f t="shared" ref="H34:I34" si="6">H10+H16+H21+H25+H29</f>
        <v>143341.0962</v>
      </c>
      <c r="I34" s="76">
        <f t="shared" si="6"/>
        <v>131483.631344155</v>
      </c>
      <c r="J34" s="76">
        <f t="shared" ref="J34" si="7">J10+J16+J21+J25+J29</f>
        <v>132333.44096682672</v>
      </c>
      <c r="L34" s="72"/>
    </row>
    <row r="35" spans="1:12">
      <c r="A35" s="1">
        <v>28</v>
      </c>
      <c r="C35" s="71" t="s">
        <v>246</v>
      </c>
      <c r="E35" s="76">
        <f t="shared" ref="E35" si="8">E12+E18+E22+E26+E30</f>
        <v>19337.454566904071</v>
      </c>
      <c r="G35" s="76">
        <f t="shared" ref="G35" si="9">G12+G18+G22+G26+G30</f>
        <v>18637.925585399997</v>
      </c>
      <c r="H35" s="76">
        <f t="shared" ref="H35:I35" si="10">H12+H18+H22+H26+H30</f>
        <v>19767.473753999999</v>
      </c>
      <c r="I35" s="76">
        <f t="shared" si="10"/>
        <v>18606.067921938742</v>
      </c>
      <c r="J35" s="76">
        <f t="shared" ref="J35" si="11">J12+J18+J22+J26+J30</f>
        <v>18641.757788222505</v>
      </c>
      <c r="L35" s="72"/>
    </row>
    <row r="36" spans="1:12">
      <c r="A36" s="1">
        <v>29</v>
      </c>
      <c r="C36" s="71" t="s">
        <v>247</v>
      </c>
      <c r="E36" s="94">
        <f t="shared" ref="E36" si="12">SUM(E35/E34)*100</f>
        <v>12.754400926120605</v>
      </c>
      <c r="G36" s="94">
        <f t="shared" ref="G36" si="13">SUM(G35/G34)*100</f>
        <v>13.473993307020629</v>
      </c>
      <c r="H36" s="94">
        <f t="shared" ref="H36:I36" si="14">SUM(H35/H34)*100</f>
        <v>13.790513870787603</v>
      </c>
      <c r="I36" s="94">
        <f t="shared" si="14"/>
        <v>14.150862530741822</v>
      </c>
      <c r="J36" s="94">
        <f t="shared" ref="J36" si="15">SUM(J35/J34)*100</f>
        <v>14.086959163176004</v>
      </c>
      <c r="L36" s="72"/>
    </row>
    <row r="37" spans="1:12">
      <c r="A37" s="1">
        <v>30</v>
      </c>
      <c r="C37" s="9" t="s">
        <v>253</v>
      </c>
      <c r="E37" s="22"/>
      <c r="G37" s="22"/>
      <c r="H37" s="22"/>
      <c r="I37" s="22"/>
      <c r="J37" s="22"/>
      <c r="L37" s="70"/>
    </row>
    <row r="38" spans="1:12">
      <c r="A38" s="1">
        <v>31</v>
      </c>
      <c r="C38" s="71" t="s">
        <v>244</v>
      </c>
      <c r="E38" s="22">
        <v>343537</v>
      </c>
      <c r="G38" s="22">
        <v>348983.05019999994</v>
      </c>
      <c r="H38" s="22">
        <v>346338.67705500015</v>
      </c>
      <c r="I38" s="22">
        <v>351291.2260568515</v>
      </c>
      <c r="J38" s="22">
        <v>355856.9285554901</v>
      </c>
      <c r="L38" s="72"/>
    </row>
    <row r="39" spans="1:12">
      <c r="A39" s="1">
        <v>32</v>
      </c>
      <c r="C39" s="71" t="s">
        <v>246</v>
      </c>
      <c r="E39" s="22">
        <v>28506.700260000001</v>
      </c>
      <c r="G39" s="22">
        <v>28958.613505595986</v>
      </c>
      <c r="H39" s="22">
        <v>29169.999422023902</v>
      </c>
      <c r="I39" s="22">
        <v>29150.145938197533</v>
      </c>
      <c r="J39" s="22">
        <v>29529.007931534565</v>
      </c>
      <c r="L39" s="72"/>
    </row>
    <row r="40" spans="1:12">
      <c r="A40" s="1">
        <v>33</v>
      </c>
      <c r="C40" s="71" t="s">
        <v>247</v>
      </c>
      <c r="E40" s="73">
        <f>E39/E38*100</f>
        <v>8.298</v>
      </c>
      <c r="G40" s="73">
        <f>G39/G38*100</f>
        <v>8.2979999999999965</v>
      </c>
      <c r="H40" s="73">
        <f>H39/H38*100</f>
        <v>8.4223915359564572</v>
      </c>
      <c r="I40" s="73">
        <f>I39/I38*100</f>
        <v>8.2979999999999983</v>
      </c>
      <c r="J40" s="73">
        <f>J39/J38*100</f>
        <v>8.2979999999999983</v>
      </c>
      <c r="L40" s="72"/>
    </row>
    <row r="41" spans="1:12">
      <c r="A41" s="1">
        <v>34</v>
      </c>
      <c r="C41" s="9" t="s">
        <v>254</v>
      </c>
      <c r="E41" s="22"/>
      <c r="G41" s="22"/>
      <c r="H41" s="22"/>
      <c r="I41" s="22"/>
      <c r="J41" s="22"/>
      <c r="L41" s="75"/>
    </row>
    <row r="42" spans="1:12">
      <c r="A42" s="1">
        <v>35</v>
      </c>
      <c r="C42" s="71" t="s">
        <v>244</v>
      </c>
      <c r="E42" s="76">
        <f t="shared" ref="E42:E43" si="16">E34+E38</f>
        <v>495150.9776294909</v>
      </c>
      <c r="G42" s="76">
        <f t="shared" ref="G42" si="17">G34+G38</f>
        <v>487308.23086999997</v>
      </c>
      <c r="H42" s="76">
        <f t="shared" ref="H42:I42" si="18">H34+H38</f>
        <v>489679.77325500012</v>
      </c>
      <c r="I42" s="76">
        <f t="shared" si="18"/>
        <v>482774.85740100651</v>
      </c>
      <c r="J42" s="76">
        <f t="shared" ref="J42:J43" si="19">J34+J38</f>
        <v>488190.36952231685</v>
      </c>
      <c r="L42" s="72"/>
    </row>
    <row r="43" spans="1:12">
      <c r="A43" s="1">
        <v>36</v>
      </c>
      <c r="C43" s="71" t="s">
        <v>246</v>
      </c>
      <c r="E43" s="76">
        <f t="shared" si="16"/>
        <v>47844.154826904072</v>
      </c>
      <c r="G43" s="76">
        <f t="shared" ref="G43" si="20">G35+G39</f>
        <v>47596.539090995982</v>
      </c>
      <c r="H43" s="76">
        <f t="shared" ref="H43:I43" si="21">H35+H39</f>
        <v>48937.473176023901</v>
      </c>
      <c r="I43" s="76">
        <f t="shared" si="21"/>
        <v>47756.213860136275</v>
      </c>
      <c r="J43" s="76">
        <f t="shared" si="19"/>
        <v>48170.765719757066</v>
      </c>
      <c r="L43" s="72"/>
    </row>
    <row r="44" spans="1:12">
      <c r="A44" s="1">
        <v>37</v>
      </c>
      <c r="C44" s="71" t="s">
        <v>247</v>
      </c>
      <c r="E44" s="74">
        <f t="shared" ref="E44" si="22">E43/E42*100</f>
        <v>9.6625386979856991</v>
      </c>
      <c r="G44" s="74">
        <f t="shared" ref="G44" si="23">G43/G42*100</f>
        <v>9.7672347963466652</v>
      </c>
      <c r="H44" s="74">
        <f t="shared" ref="H44:I44" si="24">H43/H42*100</f>
        <v>9.993770592304978</v>
      </c>
      <c r="I44" s="74">
        <f t="shared" si="24"/>
        <v>9.8920258849496392</v>
      </c>
      <c r="J44" s="74">
        <f t="shared" ref="J44" si="25">J43/J42*100</f>
        <v>9.8672093361634854</v>
      </c>
      <c r="L44" s="72"/>
    </row>
    <row r="45" spans="1:12">
      <c r="A45" s="1">
        <v>38</v>
      </c>
      <c r="C45" s="9" t="s">
        <v>255</v>
      </c>
      <c r="E45" s="22"/>
      <c r="G45" s="22"/>
      <c r="H45" s="22"/>
      <c r="I45" s="22"/>
      <c r="J45" s="22"/>
      <c r="L45" s="70"/>
    </row>
    <row r="46" spans="1:12">
      <c r="A46" s="1">
        <v>39</v>
      </c>
      <c r="C46" s="71" t="s">
        <v>244</v>
      </c>
      <c r="E46" s="22">
        <v>0</v>
      </c>
      <c r="G46" s="22">
        <v>4738.7049999999999</v>
      </c>
      <c r="H46" s="22">
        <v>3448.11</v>
      </c>
      <c r="I46" s="22">
        <v>2931.1849999999999</v>
      </c>
      <c r="J46" s="22">
        <v>2931.11</v>
      </c>
      <c r="L46" s="72"/>
    </row>
    <row r="47" spans="1:12">
      <c r="A47" s="1">
        <v>40</v>
      </c>
      <c r="C47" s="71" t="s">
        <v>246</v>
      </c>
      <c r="E47" s="22">
        <v>0</v>
      </c>
      <c r="G47" s="22">
        <v>330.18346517999998</v>
      </c>
      <c r="H47" s="22">
        <v>364.67514256000004</v>
      </c>
      <c r="I47" s="22">
        <v>357.60426999999999</v>
      </c>
      <c r="J47" s="22">
        <v>357.59541999999999</v>
      </c>
      <c r="L47" s="72"/>
    </row>
    <row r="48" spans="1:12">
      <c r="A48" s="1">
        <v>41</v>
      </c>
      <c r="C48" s="71" t="s">
        <v>247</v>
      </c>
      <c r="E48" s="74">
        <f>IFERROR(E47/E46*100,0)</f>
        <v>0</v>
      </c>
      <c r="G48" s="74">
        <f t="shared" ref="G48" si="26">G47/G46*100</f>
        <v>6.9677995397476735</v>
      </c>
      <c r="H48" s="74">
        <f>IFERROR(H47/H46*100,0)</f>
        <v>10.576087844065301</v>
      </c>
      <c r="I48" s="74">
        <f>IFERROR(I47/I46*100,0)</f>
        <v>12.199989765231468</v>
      </c>
      <c r="J48" s="74">
        <f>IFERROR(J47/J46*100,0)</f>
        <v>12.2</v>
      </c>
      <c r="L48" s="72"/>
    </row>
    <row r="49" spans="1:13">
      <c r="A49" s="1">
        <v>42</v>
      </c>
      <c r="C49" s="9" t="s">
        <v>256</v>
      </c>
      <c r="E49" s="22"/>
      <c r="G49" s="22"/>
      <c r="H49" s="22"/>
      <c r="I49" s="22"/>
      <c r="J49" s="22"/>
      <c r="L49" s="70"/>
    </row>
    <row r="50" spans="1:13">
      <c r="A50" s="1">
        <v>43</v>
      </c>
      <c r="C50" s="71" t="s">
        <v>244</v>
      </c>
      <c r="E50" s="22">
        <f t="shared" ref="E50:E51" si="27">E42+E46</f>
        <v>495150.9776294909</v>
      </c>
      <c r="G50" s="22">
        <f t="shared" ref="G50" si="28">G42+G46</f>
        <v>492046.93586999999</v>
      </c>
      <c r="H50" s="22">
        <f t="shared" ref="H50:I51" si="29">H42+H46</f>
        <v>493127.88325500011</v>
      </c>
      <c r="I50" s="22">
        <f t="shared" si="29"/>
        <v>485706.0424010065</v>
      </c>
      <c r="J50" s="22">
        <f t="shared" ref="J50" si="30">J42+J46</f>
        <v>491121.47952231683</v>
      </c>
      <c r="L50" s="72"/>
    </row>
    <row r="51" spans="1:13">
      <c r="A51" s="1">
        <v>44</v>
      </c>
      <c r="C51" s="71" t="s">
        <v>246</v>
      </c>
      <c r="E51" s="22">
        <f t="shared" si="27"/>
        <v>47844.154826904072</v>
      </c>
      <c r="G51" s="22">
        <f t="shared" ref="G51" si="31">G43+G47</f>
        <v>47926.722556175984</v>
      </c>
      <c r="H51" s="22">
        <f t="shared" si="29"/>
        <v>49302.148318583902</v>
      </c>
      <c r="I51" s="22">
        <f t="shared" si="29"/>
        <v>48113.818130136278</v>
      </c>
      <c r="J51" s="22">
        <f t="shared" ref="J51" si="32">J43+J47</f>
        <v>48528.361139757064</v>
      </c>
      <c r="L51" s="72"/>
    </row>
    <row r="52" spans="1:13">
      <c r="A52" s="1">
        <v>45</v>
      </c>
      <c r="C52" s="71" t="s">
        <v>247</v>
      </c>
      <c r="E52" s="74">
        <f t="shared" ref="E52" si="33">E51/E50*100</f>
        <v>9.6625386979856991</v>
      </c>
      <c r="G52" s="74">
        <f t="shared" ref="G52" si="34">G51/G50*100</f>
        <v>9.7402745677982114</v>
      </c>
      <c r="H52" s="74">
        <f t="shared" ref="H52:I52" si="35">H51/H50*100</f>
        <v>9.9978423432790127</v>
      </c>
      <c r="I52" s="74">
        <f t="shared" si="35"/>
        <v>9.9059542047889035</v>
      </c>
      <c r="J52" s="74">
        <f t="shared" ref="J52" si="36">J51/J50*100</f>
        <v>9.8811318916365796</v>
      </c>
      <c r="L52" s="72"/>
    </row>
    <row r="53" spans="1:13">
      <c r="E53" s="22"/>
      <c r="G53" s="22"/>
      <c r="H53" s="22"/>
      <c r="I53" s="22"/>
      <c r="J53" s="22"/>
    </row>
    <row r="54" spans="1:13">
      <c r="A54" s="1">
        <v>46</v>
      </c>
      <c r="C54" s="77" t="s">
        <v>257</v>
      </c>
      <c r="E54" s="22">
        <v>15886.683639088964</v>
      </c>
      <c r="G54" s="22">
        <v>19429.999700050001</v>
      </c>
      <c r="H54" s="22">
        <v>26347.724681863656</v>
      </c>
      <c r="I54" s="22">
        <v>26264.758716410597</v>
      </c>
      <c r="J54" s="22">
        <v>26182.505417564575</v>
      </c>
    </row>
    <row r="55" spans="1:13" ht="4" customHeight="1">
      <c r="C55" s="77"/>
      <c r="E55" s="22"/>
      <c r="G55" s="22"/>
      <c r="H55" s="22"/>
      <c r="I55" s="22"/>
      <c r="J55" s="22"/>
    </row>
    <row r="56" spans="1:13">
      <c r="A56" s="1">
        <f>A54+1</f>
        <v>47</v>
      </c>
      <c r="C56" s="77" t="s">
        <v>258</v>
      </c>
      <c r="E56" s="22">
        <v>9149.3843553841361</v>
      </c>
      <c r="G56" s="22"/>
      <c r="H56" s="22"/>
      <c r="I56" s="22">
        <v>6667</v>
      </c>
      <c r="J56" s="22">
        <v>15319.999999999998</v>
      </c>
    </row>
    <row r="57" spans="1:13">
      <c r="E57" s="22"/>
      <c r="G57" s="22"/>
      <c r="H57" s="22"/>
      <c r="I57" s="22"/>
      <c r="J57" s="22"/>
    </row>
    <row r="58" spans="1:13" ht="13" thickBot="1">
      <c r="A58" s="1">
        <f>A56+1</f>
        <v>48</v>
      </c>
      <c r="C58" s="77" t="s">
        <v>259</v>
      </c>
      <c r="E58" s="78">
        <f t="shared" ref="E58:G58" si="37">E54+E51+E56</f>
        <v>72880.222821377174</v>
      </c>
      <c r="G58" s="78">
        <f t="shared" si="37"/>
        <v>67356.722256225985</v>
      </c>
      <c r="H58" s="78">
        <f>H54+H51+H56</f>
        <v>75649.873000447551</v>
      </c>
      <c r="I58" s="78">
        <f>I54+I51+I56</f>
        <v>81045.576846546872</v>
      </c>
      <c r="J58" s="78">
        <f t="shared" ref="J58" si="38">J54+J51+J56</f>
        <v>90030.866557321642</v>
      </c>
      <c r="L58" s="22"/>
      <c r="M58" s="22"/>
    </row>
    <row r="59" spans="1:13">
      <c r="C59" s="77"/>
      <c r="E59" s="22"/>
      <c r="G59" s="22"/>
      <c r="H59" s="22"/>
      <c r="I59" s="22"/>
      <c r="J59" s="22"/>
    </row>
    <row r="60" spans="1:13">
      <c r="A60" s="1">
        <f>A58+1</f>
        <v>49</v>
      </c>
      <c r="C60" s="77" t="s">
        <v>260</v>
      </c>
      <c r="E60" s="22">
        <v>368.7</v>
      </c>
      <c r="G60" s="22">
        <v>-1471.0373406418244</v>
      </c>
      <c r="H60" s="22">
        <v>382.36082000000005</v>
      </c>
      <c r="I60" s="22">
        <v>394.26620666666668</v>
      </c>
      <c r="J60" s="22">
        <v>394.26620666666668</v>
      </c>
    </row>
    <row r="61" spans="1:13">
      <c r="C61" s="77"/>
      <c r="E61" s="22"/>
      <c r="G61" s="22"/>
      <c r="H61" s="22"/>
      <c r="I61" s="22"/>
      <c r="J61" s="22"/>
    </row>
    <row r="62" spans="1:13">
      <c r="A62" s="1">
        <f>A60+1</f>
        <v>50</v>
      </c>
      <c r="C62" s="77" t="s">
        <v>261</v>
      </c>
      <c r="E62" s="22">
        <f t="shared" ref="E62" si="39">E58+E60</f>
        <v>73248.922821377171</v>
      </c>
      <c r="G62" s="22">
        <f t="shared" ref="G62" si="40">G58+G60</f>
        <v>65885.684915584163</v>
      </c>
      <c r="H62" s="22">
        <f t="shared" ref="H62:I62" si="41">H58+H60</f>
        <v>76032.233820447553</v>
      </c>
      <c r="I62" s="22">
        <f t="shared" si="41"/>
        <v>81439.843053213539</v>
      </c>
      <c r="J62" s="22">
        <f t="shared" ref="J62" si="42">J58+J60</f>
        <v>90425.132763988309</v>
      </c>
      <c r="K62" s="22"/>
    </row>
    <row r="63" spans="1:13">
      <c r="C63" s="77"/>
      <c r="E63" s="22"/>
      <c r="G63" s="22"/>
      <c r="H63" s="22"/>
      <c r="I63" s="22"/>
    </row>
    <row r="64" spans="1:13" ht="14">
      <c r="B64" s="79"/>
      <c r="C64" s="77"/>
      <c r="E64" s="22"/>
      <c r="G64" s="22"/>
      <c r="H64" s="22"/>
      <c r="I64" s="22"/>
    </row>
    <row r="65" spans="2:9">
      <c r="C65" s="66"/>
      <c r="D65" s="66"/>
      <c r="E65" s="66"/>
      <c r="F65" s="66"/>
      <c r="G65" s="66"/>
      <c r="H65" s="66"/>
      <c r="I65" s="66"/>
    </row>
    <row r="66" spans="2:9">
      <c r="C66" s="77"/>
      <c r="E66" s="22"/>
      <c r="G66" s="22"/>
      <c r="H66" s="22"/>
      <c r="I66" s="22"/>
    </row>
    <row r="67" spans="2:9">
      <c r="C67" s="77"/>
      <c r="E67" s="48"/>
      <c r="G67" s="48"/>
      <c r="H67" s="48"/>
      <c r="I67" s="48"/>
    </row>
    <row r="68" spans="2:9">
      <c r="C68" s="77"/>
      <c r="E68" s="48"/>
      <c r="G68" s="48"/>
      <c r="H68" s="48"/>
      <c r="I68" s="48"/>
    </row>
    <row r="69" spans="2:9">
      <c r="C69" s="77"/>
      <c r="E69" s="48"/>
      <c r="G69" s="48"/>
      <c r="H69" s="48"/>
      <c r="I69" s="48"/>
    </row>
    <row r="70" spans="2:9">
      <c r="C70" s="77"/>
      <c r="E70" s="48"/>
      <c r="G70" s="48"/>
      <c r="H70" s="48"/>
      <c r="I70" s="48"/>
    </row>
    <row r="71" spans="2:9">
      <c r="C71" s="77"/>
      <c r="E71" s="48"/>
      <c r="G71" s="48"/>
      <c r="H71" s="48"/>
      <c r="I71" s="48"/>
    </row>
    <row r="72" spans="2:9">
      <c r="C72" s="77"/>
      <c r="E72" s="48"/>
      <c r="G72" s="48"/>
      <c r="H72" s="48"/>
      <c r="I72" s="48"/>
    </row>
    <row r="73" spans="2:9">
      <c r="C73" s="77"/>
      <c r="E73" s="48"/>
      <c r="G73" s="48"/>
      <c r="H73" s="48"/>
      <c r="I73" s="48"/>
    </row>
    <row r="74" spans="2:9">
      <c r="C74" s="77"/>
      <c r="E74" s="48"/>
      <c r="G74" s="48"/>
      <c r="H74" s="48"/>
      <c r="I74" s="48"/>
    </row>
    <row r="75" spans="2:9">
      <c r="C75" s="77"/>
      <c r="E75" s="48"/>
      <c r="G75" s="48"/>
      <c r="H75" s="48"/>
      <c r="I75" s="48"/>
    </row>
    <row r="76" spans="2:9">
      <c r="C76" s="77"/>
      <c r="E76" s="48"/>
      <c r="G76" s="48"/>
      <c r="H76" s="48"/>
      <c r="I76" s="48"/>
    </row>
    <row r="77" spans="2:9">
      <c r="B77" s="9"/>
      <c r="C77" s="77"/>
      <c r="E77" s="80"/>
      <c r="G77" s="80"/>
      <c r="H77" s="80"/>
      <c r="I77" s="80"/>
    </row>
    <row r="78" spans="2:9">
      <c r="C78" s="77"/>
      <c r="E78" s="22"/>
      <c r="G78" s="22"/>
      <c r="H78" s="22"/>
      <c r="I78" s="22"/>
    </row>
    <row r="79" spans="2:9">
      <c r="E79" s="22"/>
      <c r="G79" s="22"/>
      <c r="H79" s="22"/>
      <c r="I79" s="22"/>
    </row>
    <row r="80" spans="2:9">
      <c r="C80" s="77"/>
      <c r="E80" s="22"/>
      <c r="G80" s="22"/>
      <c r="H80" s="22"/>
      <c r="I80" s="22"/>
    </row>
    <row r="81" spans="3:9">
      <c r="C81" s="77"/>
      <c r="E81" s="22"/>
      <c r="G81" s="22"/>
      <c r="H81" s="22"/>
      <c r="I81" s="2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4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9" tint="0.39997558519241921"/>
    <pageSetUpPr fitToPage="1"/>
  </sheetPr>
  <dimension ref="A1:M49"/>
  <sheetViews>
    <sheetView showGridLines="0" view="pageBreakPreview" zoomScaleSheetLayoutView="100" workbookViewId="0">
      <pane xSplit="3" topLeftCell="D1" activePane="topRight" state="frozen"/>
      <selection activeCell="H15" sqref="H15"/>
      <selection pane="topRight" activeCell="I15" sqref="I15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/>
    <col min="6" max="6" width="1.81640625" style="1" customWidth="1"/>
    <col min="7" max="7" width="11.816406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3" ht="15">
      <c r="A1" s="10" t="s">
        <v>0</v>
      </c>
      <c r="G1" s="5"/>
      <c r="I1" s="5"/>
      <c r="L1" s="3" t="s">
        <v>262</v>
      </c>
    </row>
    <row r="2" spans="1:13">
      <c r="A2" s="11" t="s">
        <v>263</v>
      </c>
      <c r="G2" s="13"/>
      <c r="I2" s="13"/>
      <c r="L2" s="12" t="str">
        <f>Index!F2</f>
        <v>August 31, 2023</v>
      </c>
    </row>
    <row r="3" spans="1:13">
      <c r="A3" s="11" t="s">
        <v>7</v>
      </c>
      <c r="G3" s="13"/>
      <c r="I3" s="13"/>
    </row>
    <row r="6" spans="1:13" s="4" customFormat="1" ht="13.5" customHeight="1">
      <c r="G6" s="13"/>
      <c r="I6" s="13"/>
      <c r="J6" s="13"/>
      <c r="K6" s="9"/>
      <c r="L6" s="9"/>
    </row>
    <row r="7" spans="1:13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3">
      <c r="A9" s="1">
        <v>1</v>
      </c>
      <c r="C9" s="9" t="s">
        <v>264</v>
      </c>
    </row>
    <row r="10" spans="1:13">
      <c r="A10" s="1">
        <v>2</v>
      </c>
      <c r="C10" s="1" t="s">
        <v>265</v>
      </c>
      <c r="G10" s="22">
        <v>10437.63217051707</v>
      </c>
      <c r="I10" s="22">
        <v>10360.309949999999</v>
      </c>
      <c r="J10" s="22">
        <v>11319.862959999999</v>
      </c>
      <c r="K10" s="22">
        <v>13489.698597286517</v>
      </c>
      <c r="L10" s="22">
        <v>15525.127901406104</v>
      </c>
    </row>
    <row r="11" spans="1:13">
      <c r="A11" s="1">
        <v>3</v>
      </c>
      <c r="C11" s="1" t="s">
        <v>266</v>
      </c>
      <c r="G11" s="22">
        <v>3188.3012624868352</v>
      </c>
      <c r="I11" s="22">
        <v>3132.7795100000003</v>
      </c>
      <c r="J11" s="22">
        <v>2972.0050200000001</v>
      </c>
      <c r="K11" s="22">
        <v>3273.1945316055007</v>
      </c>
      <c r="L11" s="22">
        <v>3294.9794976725257</v>
      </c>
      <c r="M11" s="22"/>
    </row>
    <row r="12" spans="1:13">
      <c r="A12" s="1">
        <v>4</v>
      </c>
      <c r="C12" s="1" t="s">
        <v>267</v>
      </c>
      <c r="G12" s="22">
        <v>1763.0547109749496</v>
      </c>
      <c r="I12" s="22">
        <v>1627.616</v>
      </c>
      <c r="J12" s="22">
        <v>1699.2133399999998</v>
      </c>
      <c r="K12" s="22">
        <v>1779.5142840540007</v>
      </c>
      <c r="L12" s="22">
        <v>1696.8922117509776</v>
      </c>
    </row>
    <row r="13" spans="1:13">
      <c r="A13" s="1">
        <v>5</v>
      </c>
      <c r="C13" s="1" t="s">
        <v>268</v>
      </c>
      <c r="G13" s="22">
        <v>10397.142985764098</v>
      </c>
      <c r="I13" s="22">
        <v>10640.870689999996</v>
      </c>
      <c r="J13" s="22">
        <v>11603.078480000002</v>
      </c>
      <c r="K13" s="22">
        <v>12893.327680437487</v>
      </c>
      <c r="L13" s="22">
        <v>13157.164492982458</v>
      </c>
    </row>
    <row r="14" spans="1:13">
      <c r="A14" s="1">
        <v>6</v>
      </c>
      <c r="C14" s="1" t="s">
        <v>269</v>
      </c>
      <c r="G14" s="22">
        <v>1423.1366550000002</v>
      </c>
      <c r="I14" s="22">
        <v>1549.9819900000002</v>
      </c>
      <c r="J14" s="22">
        <v>1875.2263799999998</v>
      </c>
      <c r="K14" s="22">
        <v>2189.6098390000002</v>
      </c>
      <c r="L14" s="22">
        <v>2417.0457679504998</v>
      </c>
    </row>
    <row r="15" spans="1:13">
      <c r="A15" s="1">
        <v>7</v>
      </c>
      <c r="C15" s="1" t="s">
        <v>270</v>
      </c>
      <c r="G15" s="95">
        <f>SUM(G10:G14)</f>
        <v>27209.267784742951</v>
      </c>
      <c r="I15" s="95">
        <f>SUM(I10:I14)</f>
        <v>27311.558139999994</v>
      </c>
      <c r="J15" s="95">
        <f>SUM(J10:J14)</f>
        <v>29469.386180000001</v>
      </c>
      <c r="K15" s="95">
        <f>SUM(K10:K14)</f>
        <v>33625.344932383501</v>
      </c>
      <c r="L15" s="95">
        <f>SUM(L10:L14)</f>
        <v>36091.209871762563</v>
      </c>
    </row>
    <row r="17" spans="1:12">
      <c r="A17" s="1">
        <v>8</v>
      </c>
      <c r="C17" s="1" t="s">
        <v>189</v>
      </c>
      <c r="G17" s="39">
        <f>-'Schedule 5'!G23</f>
        <v>120.00024999999994</v>
      </c>
      <c r="I17" s="39">
        <f>-'Schedule 5'!I23</f>
        <v>117.28974000000001</v>
      </c>
      <c r="J17" s="39">
        <f>-'Schedule 5'!J23</f>
        <v>120.58844000000001</v>
      </c>
      <c r="K17" s="39">
        <f>-'Schedule 5'!K23</f>
        <v>120.00000000000003</v>
      </c>
      <c r="L17" s="39">
        <f>-'Schedule 5'!L23</f>
        <v>120</v>
      </c>
    </row>
    <row r="19" spans="1:12">
      <c r="A19" s="1">
        <v>9</v>
      </c>
      <c r="C19" s="1" t="s">
        <v>270</v>
      </c>
      <c r="G19" s="95">
        <f>SUM(G17:G17)</f>
        <v>120.00024999999994</v>
      </c>
      <c r="I19" s="95">
        <f>SUM(I17:I17)</f>
        <v>117.28974000000001</v>
      </c>
      <c r="J19" s="95">
        <f>SUM(J17:J17)</f>
        <v>120.58844000000001</v>
      </c>
      <c r="K19" s="95">
        <f>SUM(K17:K17)</f>
        <v>120.00000000000003</v>
      </c>
      <c r="L19" s="95">
        <f t="shared" ref="L19" si="0">SUM(L17:L17)</f>
        <v>120</v>
      </c>
    </row>
    <row r="21" spans="1:12">
      <c r="A21" s="1">
        <v>10</v>
      </c>
      <c r="C21" s="1" t="s">
        <v>271</v>
      </c>
    </row>
    <row r="22" spans="1:12" ht="13" thickBot="1">
      <c r="A22" s="1">
        <v>11</v>
      </c>
      <c r="C22" s="1" t="s">
        <v>272</v>
      </c>
      <c r="G22" s="49">
        <f>SUM(G15+G19)</f>
        <v>27329.268034742952</v>
      </c>
      <c r="I22" s="49">
        <f>SUM(I15+I19)</f>
        <v>27428.847879999994</v>
      </c>
      <c r="J22" s="49">
        <f>SUM(J15+J19)</f>
        <v>29589.974620000001</v>
      </c>
      <c r="K22" s="49">
        <f>SUM(K15+K19)</f>
        <v>33745.344932383501</v>
      </c>
      <c r="L22" s="49">
        <f t="shared" ref="L22" si="1">SUM(L15+L19)</f>
        <v>36211.209871762563</v>
      </c>
    </row>
    <row r="24" spans="1:12">
      <c r="A24" s="1">
        <v>12</v>
      </c>
      <c r="C24" s="1" t="s">
        <v>273</v>
      </c>
      <c r="G24" s="39">
        <v>15828.780301979994</v>
      </c>
      <c r="I24" s="39">
        <v>12617.614516157601</v>
      </c>
      <c r="J24" s="39">
        <v>14725.010195704119</v>
      </c>
      <c r="K24" s="39">
        <v>15121.880440000001</v>
      </c>
      <c r="L24" s="39">
        <v>13830.82451984517</v>
      </c>
    </row>
    <row r="25" spans="1:12">
      <c r="A25" s="1">
        <v>13</v>
      </c>
      <c r="C25" s="1" t="s">
        <v>274</v>
      </c>
      <c r="G25" s="39">
        <v>53.28989052691356</v>
      </c>
      <c r="I25" s="39">
        <v>49.3598</v>
      </c>
      <c r="J25" s="39">
        <v>325.60339999999997</v>
      </c>
      <c r="K25" s="39">
        <v>1150.2043919563375</v>
      </c>
      <c r="L25" s="39">
        <v>3136.1354774239503</v>
      </c>
    </row>
    <row r="26" spans="1:12">
      <c r="A26" s="1">
        <v>14</v>
      </c>
      <c r="C26" s="1" t="s">
        <v>270</v>
      </c>
      <c r="G26" s="95">
        <f>SUM(G24:G25)</f>
        <v>15882.070192506908</v>
      </c>
      <c r="I26" s="95">
        <f>SUM(I24:I25)</f>
        <v>12666.974316157601</v>
      </c>
      <c r="J26" s="95">
        <f>SUM(J24:J25)</f>
        <v>15050.613595704119</v>
      </c>
      <c r="K26" s="95">
        <f>SUM(K24:K25)</f>
        <v>16272.084831956337</v>
      </c>
      <c r="L26" s="95">
        <f t="shared" ref="L26" si="2">SUM(L24:L25)</f>
        <v>16966.959997269121</v>
      </c>
    </row>
    <row r="28" spans="1:12" ht="13" thickBot="1">
      <c r="A28" s="1">
        <v>15</v>
      </c>
      <c r="C28" s="1" t="s">
        <v>275</v>
      </c>
      <c r="E28" s="4" t="s">
        <v>181</v>
      </c>
      <c r="G28" s="49">
        <f>SUM(G15+G19+G26)</f>
        <v>43211.338227249857</v>
      </c>
      <c r="I28" s="49">
        <f>SUM(I15+I19+I26)</f>
        <v>40095.822196157591</v>
      </c>
      <c r="J28" s="49">
        <f>SUM(J15+J19+J26)</f>
        <v>44640.58821570412</v>
      </c>
      <c r="K28" s="49">
        <f>SUM(K15+K19+K26)</f>
        <v>50017.429764339839</v>
      </c>
      <c r="L28" s="49">
        <f t="shared" ref="L28" si="3">SUM(L15+L19+L26)</f>
        <v>53178.169869031684</v>
      </c>
    </row>
    <row r="29" spans="1:12">
      <c r="G29" s="22"/>
      <c r="I29" s="22"/>
      <c r="J29" s="22"/>
      <c r="K29" s="22"/>
      <c r="L29" s="22"/>
    </row>
    <row r="30" spans="1:12" s="37" customFormat="1">
      <c r="C30" s="62" t="s">
        <v>360</v>
      </c>
      <c r="E30" s="40"/>
      <c r="G30" s="81"/>
      <c r="I30" s="81"/>
      <c r="J30" s="81"/>
      <c r="K30" s="81"/>
      <c r="L30" s="81"/>
    </row>
    <row r="31" spans="1:12" s="37" customFormat="1">
      <c r="A31" s="37">
        <v>16</v>
      </c>
      <c r="C31" s="37" t="s">
        <v>80</v>
      </c>
      <c r="E31" s="40"/>
      <c r="G31" s="81">
        <f>'Schedule 6'!G15</f>
        <v>615.80918399999985</v>
      </c>
      <c r="I31" s="81">
        <f>'Schedule 6'!I15</f>
        <v>615.80899999999997</v>
      </c>
      <c r="J31" s="81">
        <f>'Schedule 6'!J15</f>
        <v>615.80899999999997</v>
      </c>
      <c r="K31" s="81">
        <f>'Schedule 6'!K15</f>
        <v>615.80899999999997</v>
      </c>
      <c r="L31" s="81">
        <f>'Schedule 6'!L15</f>
        <v>615.80899999999997</v>
      </c>
    </row>
    <row r="32" spans="1:12" s="37" customFormat="1">
      <c r="A32" s="37">
        <v>17</v>
      </c>
      <c r="C32" s="37" t="s">
        <v>276</v>
      </c>
      <c r="E32" s="40"/>
      <c r="G32" s="82">
        <f>'Schedule 6'!G13</f>
        <v>749.75450131960019</v>
      </c>
      <c r="I32" s="82">
        <f>'Schedule 6'!I13</f>
        <v>739.14745000000005</v>
      </c>
      <c r="J32" s="82">
        <f>'Schedule 6'!J13</f>
        <v>743.01589000000001</v>
      </c>
      <c r="K32" s="82">
        <f>'Schedule 6'!K13</f>
        <v>757.77395548800007</v>
      </c>
      <c r="L32" s="82">
        <f>'Schedule 6'!L13</f>
        <v>776.69908654176004</v>
      </c>
    </row>
    <row r="33" spans="1:12" s="37" customFormat="1">
      <c r="A33" s="37">
        <v>18</v>
      </c>
      <c r="C33" s="37" t="s">
        <v>277</v>
      </c>
      <c r="E33" s="40"/>
      <c r="G33" s="96">
        <f>-G17</f>
        <v>-120.00024999999994</v>
      </c>
      <c r="I33" s="96">
        <f>-I17</f>
        <v>-117.28974000000001</v>
      </c>
      <c r="J33" s="96">
        <f>-J17</f>
        <v>-120.58844000000001</v>
      </c>
      <c r="K33" s="96">
        <f>-K17</f>
        <v>-120.00000000000003</v>
      </c>
      <c r="L33" s="96">
        <f t="shared" ref="L33" si="4">-L17</f>
        <v>-120</v>
      </c>
    </row>
    <row r="34" spans="1:12" s="37" customFormat="1">
      <c r="E34" s="40"/>
      <c r="G34" s="81"/>
      <c r="I34" s="81"/>
      <c r="J34" s="81"/>
      <c r="K34" s="81"/>
      <c r="L34" s="81"/>
    </row>
    <row r="35" spans="1:12" s="37" customFormat="1">
      <c r="A35" s="37">
        <v>19</v>
      </c>
      <c r="C35" s="37" t="s">
        <v>278</v>
      </c>
      <c r="E35" s="40"/>
      <c r="G35" s="81">
        <f>G22+G33+G32+G31</f>
        <v>28574.831470062552</v>
      </c>
      <c r="I35" s="81">
        <f>I22+I33+I32+I31</f>
        <v>28666.514589999995</v>
      </c>
      <c r="J35" s="81">
        <f>J22+J33+J32+J31</f>
        <v>30828.211070000001</v>
      </c>
      <c r="K35" s="81">
        <f>K22+K33+K32+K31</f>
        <v>34998.927887871505</v>
      </c>
      <c r="L35" s="81">
        <f t="shared" ref="L35" si="5">L22+L33+L32+L31</f>
        <v>37483.717958304325</v>
      </c>
    </row>
    <row r="36" spans="1:12">
      <c r="G36" s="22"/>
      <c r="I36" s="22"/>
      <c r="J36" s="22"/>
      <c r="K36" s="22"/>
    </row>
    <row r="37" spans="1:12">
      <c r="G37" s="22"/>
      <c r="I37" s="22"/>
      <c r="J37" s="22"/>
      <c r="K37" s="22"/>
    </row>
    <row r="38" spans="1:12" ht="18.75" customHeight="1">
      <c r="A38" s="61"/>
      <c r="C38" s="138"/>
      <c r="D38" s="138"/>
      <c r="E38" s="138"/>
      <c r="F38" s="138"/>
      <c r="G38" s="138"/>
      <c r="H38" s="138"/>
      <c r="I38" s="81"/>
      <c r="J38" s="81"/>
      <c r="K38" s="81"/>
      <c r="L38" s="81"/>
    </row>
    <row r="39" spans="1:12" ht="18.75" customHeight="1">
      <c r="A39" s="61"/>
      <c r="C39" s="138"/>
      <c r="D39" s="138"/>
      <c r="E39" s="138"/>
      <c r="F39" s="138"/>
      <c r="G39" s="138"/>
      <c r="H39" s="138"/>
      <c r="I39" s="81"/>
      <c r="J39" s="81"/>
      <c r="K39" s="81"/>
      <c r="L39" s="81"/>
    </row>
    <row r="40" spans="1:12">
      <c r="G40" s="38"/>
      <c r="I40" s="38"/>
      <c r="J40" s="38"/>
      <c r="K40" s="38"/>
    </row>
    <row r="43" spans="1:12">
      <c r="G43" s="83"/>
      <c r="I43" s="83"/>
      <c r="J43" s="83"/>
      <c r="K43" s="83"/>
    </row>
    <row r="45" spans="1:12">
      <c r="G45" s="84"/>
      <c r="I45" s="84"/>
      <c r="J45" s="84"/>
      <c r="K45" s="84"/>
    </row>
    <row r="47" spans="1:12">
      <c r="G47" s="64"/>
      <c r="I47" s="64"/>
      <c r="J47" s="64"/>
      <c r="K47" s="64"/>
    </row>
    <row r="49" spans="7:11">
      <c r="G49" s="84"/>
      <c r="I49" s="84"/>
      <c r="J49" s="84"/>
      <c r="K49" s="8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L44"/>
  <sheetViews>
    <sheetView showGridLines="0" view="pageBreakPreview" zoomScaleSheetLayoutView="100" workbookViewId="0">
      <selection activeCell="E2" sqref="E2"/>
    </sheetView>
  </sheetViews>
  <sheetFormatPr defaultColWidth="9.1796875" defaultRowHeight="12.5"/>
  <cols>
    <col min="1" max="1" width="5.26953125" style="98" customWidth="1"/>
    <col min="2" max="2" width="1.81640625" style="98" customWidth="1"/>
    <col min="3" max="3" width="22.54296875" style="98" customWidth="1"/>
    <col min="4" max="4" width="1.81640625" style="98" customWidth="1"/>
    <col min="5" max="5" width="14.7265625" style="99" bestFit="1" customWidth="1"/>
    <col min="6" max="6" width="1.81640625" style="98" customWidth="1"/>
    <col min="7" max="7" width="11.7265625" style="98" customWidth="1"/>
    <col min="8" max="8" width="1.81640625" style="98" customWidth="1"/>
    <col min="9" max="11" width="11.26953125" style="98" customWidth="1"/>
    <col min="12" max="12" width="12.453125" style="98" customWidth="1"/>
    <col min="13" max="16384" width="9.1796875" style="98"/>
  </cols>
  <sheetData>
    <row r="1" spans="1:12" ht="15">
      <c r="A1" s="97" t="s">
        <v>0</v>
      </c>
      <c r="G1" s="100"/>
      <c r="I1" s="100"/>
      <c r="L1" s="101" t="s">
        <v>279</v>
      </c>
    </row>
    <row r="2" spans="1:12">
      <c r="A2" s="102" t="s">
        <v>280</v>
      </c>
      <c r="G2" s="103"/>
      <c r="I2" s="103"/>
      <c r="L2" s="104" t="str">
        <f>Index!F2</f>
        <v>August 31, 2023</v>
      </c>
    </row>
    <row r="3" spans="1:12">
      <c r="A3" s="102" t="s">
        <v>7</v>
      </c>
      <c r="G3" s="103"/>
      <c r="I3" s="103"/>
    </row>
    <row r="6" spans="1:12" s="99" customFormat="1" ht="13.5" customHeight="1">
      <c r="G6" s="103"/>
      <c r="I6" s="103"/>
      <c r="J6" s="13"/>
      <c r="K6" s="70"/>
      <c r="L6" s="70"/>
    </row>
    <row r="7" spans="1:12" s="106" customFormat="1" ht="25">
      <c r="A7" s="105" t="s">
        <v>8</v>
      </c>
      <c r="C7" s="105" t="s">
        <v>9</v>
      </c>
      <c r="E7" s="105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>
      <c r="A9" s="98">
        <v>1</v>
      </c>
      <c r="C9" s="70" t="s">
        <v>322</v>
      </c>
      <c r="E9" s="99" t="s">
        <v>323</v>
      </c>
      <c r="G9" s="94">
        <v>100.6</v>
      </c>
      <c r="H9" s="94"/>
      <c r="I9" s="94">
        <v>101.86461538461539</v>
      </c>
      <c r="J9" s="94">
        <v>107.0275</v>
      </c>
      <c r="K9" s="94">
        <v>114.0454326923077</v>
      </c>
      <c r="L9" s="94">
        <v>119.8104326923077</v>
      </c>
    </row>
    <row r="11" spans="1:12">
      <c r="A11" s="98">
        <f>A9+1</f>
        <v>2</v>
      </c>
      <c r="C11" s="70" t="s">
        <v>324</v>
      </c>
      <c r="E11" s="98"/>
      <c r="G11" s="76">
        <f>SUM(G12:G13)</f>
        <v>15719.217702888971</v>
      </c>
      <c r="H11" s="76"/>
      <c r="I11" s="76">
        <f>SUM(I12:I13)</f>
        <v>15806.84418</v>
      </c>
      <c r="J11" s="76">
        <f>SUM(J12:J13)</f>
        <v>15752.626549999999</v>
      </c>
      <c r="K11" s="76">
        <f>SUM(K12:K13)</f>
        <v>18488.703854661657</v>
      </c>
      <c r="L11" s="76">
        <f>SUM(L12:L13)</f>
        <v>19695.295676004655</v>
      </c>
    </row>
    <row r="12" spans="1:12">
      <c r="A12" s="98">
        <f>A11+1</f>
        <v>3</v>
      </c>
      <c r="C12" s="72" t="s">
        <v>326</v>
      </c>
      <c r="E12" s="99" t="s">
        <v>325</v>
      </c>
      <c r="G12" s="76">
        <f>G22</f>
        <v>13016.041129742953</v>
      </c>
      <c r="H12" s="76"/>
      <c r="I12" s="76">
        <f>I22</f>
        <v>13166.78672</v>
      </c>
      <c r="J12" s="76">
        <f>J22</f>
        <v>13675.212599999999</v>
      </c>
      <c r="K12" s="76">
        <f>K22</f>
        <v>15183.343327669221</v>
      </c>
      <c r="L12" s="76">
        <f>L22</f>
        <v>16078.90061361207</v>
      </c>
    </row>
    <row r="13" spans="1:12">
      <c r="A13" s="98">
        <f>A12+1</f>
        <v>4</v>
      </c>
      <c r="C13" s="72" t="s">
        <v>327</v>
      </c>
      <c r="G13" s="164">
        <v>2703.1765731460187</v>
      </c>
      <c r="H13" s="164"/>
      <c r="I13" s="76">
        <v>2640.05746</v>
      </c>
      <c r="J13" s="76">
        <v>2077.4139500000001</v>
      </c>
      <c r="K13" s="76">
        <v>3305.3605269924342</v>
      </c>
      <c r="L13" s="76">
        <v>3616.3950623925839</v>
      </c>
    </row>
    <row r="14" spans="1:12">
      <c r="G14" s="76"/>
      <c r="H14" s="76"/>
      <c r="I14" s="76"/>
      <c r="J14" s="76"/>
      <c r="K14" s="76"/>
      <c r="L14" s="76"/>
    </row>
    <row r="15" spans="1:12">
      <c r="C15" s="70" t="s">
        <v>281</v>
      </c>
    </row>
    <row r="16" spans="1:12">
      <c r="A16" s="98">
        <f>A13+1</f>
        <v>5</v>
      </c>
      <c r="C16" s="98" t="s">
        <v>265</v>
      </c>
      <c r="G16" s="76">
        <v>4801.7381705170701</v>
      </c>
      <c r="I16" s="76">
        <v>5075.5393800000002</v>
      </c>
      <c r="J16" s="76">
        <v>5050.5962299999992</v>
      </c>
      <c r="K16" s="76">
        <v>5692.9818315722314</v>
      </c>
      <c r="L16" s="76">
        <v>6034.3424012061059</v>
      </c>
    </row>
    <row r="17" spans="1:12">
      <c r="A17" s="98">
        <f>A16+1</f>
        <v>6</v>
      </c>
      <c r="C17" s="98" t="s">
        <v>282</v>
      </c>
      <c r="G17" s="76">
        <v>674.07088968521123</v>
      </c>
      <c r="I17" s="76">
        <v>644.78761499999996</v>
      </c>
      <c r="J17" s="76">
        <v>548.23663499999998</v>
      </c>
      <c r="K17" s="76">
        <v>657.10499853632598</v>
      </c>
      <c r="L17" s="76">
        <v>666.15558824038919</v>
      </c>
    </row>
    <row r="18" spans="1:12">
      <c r="A18" s="98">
        <f t="shared" ref="A18:A20" si="0">A17+1</f>
        <v>7</v>
      </c>
      <c r="C18" s="98" t="s">
        <v>283</v>
      </c>
      <c r="G18" s="76">
        <v>629.08037280162375</v>
      </c>
      <c r="I18" s="76">
        <v>701.187185</v>
      </c>
      <c r="J18" s="76">
        <v>686.79607499999997</v>
      </c>
      <c r="K18" s="76">
        <v>751.89353306917496</v>
      </c>
      <c r="L18" s="76">
        <v>763.62690943213636</v>
      </c>
    </row>
    <row r="19" spans="1:12">
      <c r="A19" s="98">
        <f t="shared" si="0"/>
        <v>8</v>
      </c>
      <c r="C19" s="98" t="s">
        <v>267</v>
      </c>
      <c r="G19" s="76">
        <v>371.94771097494993</v>
      </c>
      <c r="I19" s="76">
        <v>274.59100000000001</v>
      </c>
      <c r="J19" s="76">
        <v>291.27460000000002</v>
      </c>
      <c r="K19" s="76">
        <v>342.73828405400081</v>
      </c>
      <c r="L19" s="76">
        <v>349.80321175097754</v>
      </c>
    </row>
    <row r="20" spans="1:12">
      <c r="A20" s="98">
        <f t="shared" si="0"/>
        <v>9</v>
      </c>
      <c r="C20" s="98" t="s">
        <v>284</v>
      </c>
      <c r="G20" s="76">
        <v>6539.2039857640975</v>
      </c>
      <c r="I20" s="76">
        <v>6470.6815399999987</v>
      </c>
      <c r="J20" s="76">
        <v>7098.3090599999996</v>
      </c>
      <c r="K20" s="76">
        <v>7738.6246804374878</v>
      </c>
      <c r="L20" s="76">
        <v>8264.9725029824604</v>
      </c>
    </row>
    <row r="21" spans="1:12">
      <c r="G21" s="76"/>
      <c r="I21" s="76"/>
      <c r="J21" s="76"/>
      <c r="K21" s="76"/>
      <c r="L21" s="76"/>
    </row>
    <row r="22" spans="1:12">
      <c r="A22" s="98">
        <f>A20+1</f>
        <v>10</v>
      </c>
      <c r="C22" s="98" t="s">
        <v>285</v>
      </c>
      <c r="G22" s="107">
        <f>SUM(G16:G20)</f>
        <v>13016.041129742953</v>
      </c>
      <c r="I22" s="107">
        <f>SUM(I16:I20)</f>
        <v>13166.78672</v>
      </c>
      <c r="J22" s="107">
        <f>SUM(J16:J20)</f>
        <v>13675.212599999999</v>
      </c>
      <c r="K22" s="107">
        <f>SUM(K16:K20)</f>
        <v>15183.343327669221</v>
      </c>
      <c r="L22" s="107">
        <f>SUM(L16:L20)</f>
        <v>16078.90061361207</v>
      </c>
    </row>
    <row r="24" spans="1:12">
      <c r="G24" s="76"/>
      <c r="I24" s="76"/>
      <c r="J24" s="76"/>
      <c r="K24" s="76"/>
    </row>
    <row r="25" spans="1:12" s="108" customFormat="1">
      <c r="E25" s="109"/>
      <c r="G25" s="110"/>
      <c r="I25" s="110"/>
      <c r="J25" s="110"/>
      <c r="K25" s="110"/>
      <c r="L25" s="110"/>
    </row>
    <row r="26" spans="1:12" s="108" customFormat="1">
      <c r="E26" s="109"/>
      <c r="G26" s="110"/>
      <c r="I26" s="110"/>
      <c r="J26" s="110"/>
      <c r="K26" s="110"/>
      <c r="L26" s="110"/>
    </row>
    <row r="27" spans="1:12" s="108" customFormat="1">
      <c r="E27" s="109"/>
      <c r="G27" s="110"/>
      <c r="I27" s="110"/>
      <c r="J27" s="110"/>
      <c r="K27" s="110"/>
      <c r="L27" s="110"/>
    </row>
    <row r="28" spans="1:12" s="108" customFormat="1">
      <c r="E28" s="109"/>
      <c r="G28" s="110"/>
      <c r="I28" s="110"/>
      <c r="J28" s="110"/>
      <c r="K28" s="110"/>
      <c r="L28" s="110"/>
    </row>
    <row r="29" spans="1:12" s="108" customFormat="1">
      <c r="E29" s="109"/>
      <c r="G29" s="110"/>
      <c r="I29" s="110"/>
      <c r="J29" s="110"/>
      <c r="K29" s="110"/>
      <c r="L29" s="110"/>
    </row>
    <row r="30" spans="1:12" ht="18.75" customHeight="1">
      <c r="A30" s="111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2" ht="18.75" customHeight="1">
      <c r="A31" s="111"/>
      <c r="C31" s="112"/>
      <c r="D31" s="112"/>
      <c r="E31" s="112"/>
      <c r="F31" s="112"/>
      <c r="G31" s="112"/>
      <c r="H31" s="112"/>
      <c r="I31" s="112"/>
      <c r="J31" s="112"/>
      <c r="K31" s="112"/>
    </row>
    <row r="32" spans="1:12" ht="18.75" customHeight="1">
      <c r="A32" s="111"/>
      <c r="C32" s="112"/>
      <c r="D32" s="112"/>
      <c r="E32" s="112"/>
      <c r="F32" s="112"/>
      <c r="G32" s="112"/>
      <c r="H32" s="112"/>
      <c r="I32" s="112"/>
      <c r="J32" s="112"/>
      <c r="K32" s="112"/>
    </row>
    <row r="33" spans="1:11" ht="18.75" customHeight="1">
      <c r="A33" s="111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ht="18.75" customHeight="1">
      <c r="A34" s="111"/>
      <c r="C34" s="112"/>
      <c r="D34" s="112"/>
      <c r="E34" s="112"/>
      <c r="F34" s="112"/>
      <c r="G34" s="112"/>
      <c r="H34" s="112"/>
      <c r="I34" s="112"/>
      <c r="J34" s="112"/>
      <c r="K34" s="112"/>
    </row>
    <row r="35" spans="1:11">
      <c r="G35" s="113"/>
      <c r="I35" s="113"/>
      <c r="J35" s="113"/>
      <c r="K35" s="113"/>
    </row>
    <row r="38" spans="1:11">
      <c r="G38" s="114"/>
      <c r="I38" s="114"/>
      <c r="J38" s="114"/>
      <c r="K38" s="114"/>
    </row>
    <row r="40" spans="1:11">
      <c r="G40" s="115"/>
      <c r="I40" s="115"/>
      <c r="J40" s="115"/>
      <c r="K40" s="115"/>
    </row>
    <row r="42" spans="1:11">
      <c r="G42" s="116"/>
      <c r="I42" s="116"/>
      <c r="J42" s="116"/>
      <c r="K42" s="116"/>
    </row>
    <row r="44" spans="1:11">
      <c r="G44" s="115"/>
      <c r="I44" s="115"/>
      <c r="J44" s="115"/>
      <c r="K44" s="115"/>
    </row>
  </sheetData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theme="9" tint="0.39997558519241921"/>
    <pageSetUpPr fitToPage="1"/>
  </sheetPr>
  <dimension ref="A1:L56"/>
  <sheetViews>
    <sheetView view="pageBreakPreview" zoomScaleSheetLayoutView="100" workbookViewId="0">
      <pane ySplit="7" topLeftCell="A8" activePane="bottomLeft" state="frozen"/>
      <selection activeCell="H15" sqref="H15"/>
      <selection pane="bottomLeft" activeCell="L16" sqref="L16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2.54296875" style="1" customWidth="1"/>
    <col min="13" max="16384" width="9.1796875" style="1"/>
  </cols>
  <sheetData>
    <row r="1" spans="1:12" ht="15">
      <c r="A1" s="10" t="s">
        <v>0</v>
      </c>
      <c r="L1" s="3" t="s">
        <v>286</v>
      </c>
    </row>
    <row r="2" spans="1:12">
      <c r="A2" s="11" t="s">
        <v>287</v>
      </c>
      <c r="L2" s="12" t="str">
        <f>Index!F2</f>
        <v>August 31, 2023</v>
      </c>
    </row>
    <row r="3" spans="1:12">
      <c r="A3" s="11" t="s">
        <v>7</v>
      </c>
    </row>
    <row r="6" spans="1:12" s="4" customFormat="1">
      <c r="G6" s="13"/>
      <c r="I6" s="13"/>
      <c r="J6" s="13"/>
      <c r="K6" s="9"/>
      <c r="L6" s="9"/>
    </row>
    <row r="7" spans="1:12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 ht="12.75" customHeight="1">
      <c r="C9" s="9" t="s">
        <v>357</v>
      </c>
    </row>
    <row r="10" spans="1:12" ht="12.75" customHeight="1">
      <c r="C10" s="71"/>
      <c r="G10" s="22"/>
      <c r="I10" s="22"/>
      <c r="J10" s="22"/>
      <c r="K10" s="22"/>
      <c r="L10" s="22"/>
    </row>
    <row r="11" spans="1:12" ht="12.75" customHeight="1">
      <c r="A11" s="1">
        <v>1</v>
      </c>
      <c r="C11" s="1" t="s">
        <v>288</v>
      </c>
      <c r="G11" s="22">
        <v>18530.76972</v>
      </c>
      <c r="I11" s="22">
        <v>18530.76972</v>
      </c>
      <c r="J11" s="22">
        <v>18193.846719999998</v>
      </c>
      <c r="K11" s="22">
        <v>17856.923719999999</v>
      </c>
      <c r="L11" s="22">
        <v>17520.00072</v>
      </c>
    </row>
    <row r="12" spans="1:12" ht="12.75" customHeight="1">
      <c r="A12" s="1">
        <f t="shared" ref="A12:A26" si="0">A11+1</f>
        <v>2</v>
      </c>
      <c r="C12" s="1" t="s">
        <v>418</v>
      </c>
      <c r="G12" s="22">
        <v>7857.594420540514</v>
      </c>
      <c r="I12" s="22">
        <v>7830.8869999999997</v>
      </c>
      <c r="J12" s="22">
        <v>7413.4139999999998</v>
      </c>
      <c r="K12" s="22">
        <v>6987.2510000000002</v>
      </c>
      <c r="L12" s="22">
        <v>6552.2169999999996</v>
      </c>
    </row>
    <row r="13" spans="1:12" ht="12.75" customHeight="1">
      <c r="A13" s="1">
        <f t="shared" si="0"/>
        <v>3</v>
      </c>
      <c r="C13" s="1" t="s">
        <v>420</v>
      </c>
      <c r="G13" s="22">
        <v>66671.87328</v>
      </c>
      <c r="I13" s="22">
        <v>66671.87328</v>
      </c>
      <c r="J13" s="22">
        <v>62988.073280000004</v>
      </c>
      <c r="K13" s="22">
        <v>59304.273280000001</v>
      </c>
      <c r="L13" s="22">
        <v>55620.473279999998</v>
      </c>
    </row>
    <row r="14" spans="1:12" ht="12.75" customHeight="1">
      <c r="A14" s="1">
        <f t="shared" si="0"/>
        <v>4</v>
      </c>
      <c r="C14" s="1" t="s">
        <v>421</v>
      </c>
      <c r="G14" s="22">
        <v>5505</v>
      </c>
      <c r="I14" s="22">
        <v>5505</v>
      </c>
      <c r="J14" s="22">
        <v>5505</v>
      </c>
      <c r="K14" s="22">
        <v>5505</v>
      </c>
      <c r="L14" s="22">
        <v>5505</v>
      </c>
    </row>
    <row r="15" spans="1:12" ht="12.75" customHeight="1">
      <c r="A15" s="1">
        <f t="shared" si="0"/>
        <v>5</v>
      </c>
      <c r="C15" s="1" t="s">
        <v>422</v>
      </c>
      <c r="G15" s="22">
        <v>15948.14704</v>
      </c>
      <c r="I15" s="22">
        <v>15948.14704</v>
      </c>
      <c r="J15" s="22">
        <v>15108.770879999998</v>
      </c>
      <c r="K15" s="22">
        <v>14269.394719999998</v>
      </c>
      <c r="L15" s="22">
        <v>13430.018559999999</v>
      </c>
    </row>
    <row r="16" spans="1:12" ht="12.75" customHeight="1">
      <c r="A16" s="1">
        <f t="shared" si="0"/>
        <v>6</v>
      </c>
      <c r="C16" s="1" t="s">
        <v>419</v>
      </c>
      <c r="G16" s="22">
        <v>12136</v>
      </c>
      <c r="I16" s="22">
        <v>12136</v>
      </c>
      <c r="J16" s="22">
        <v>12136</v>
      </c>
      <c r="K16" s="22">
        <v>12136</v>
      </c>
      <c r="L16" s="22">
        <v>12136</v>
      </c>
    </row>
    <row r="17" spans="1:12" ht="12.75" customHeight="1">
      <c r="A17" s="1">
        <f t="shared" si="0"/>
        <v>7</v>
      </c>
      <c r="C17" s="1" t="s">
        <v>418</v>
      </c>
      <c r="G17" s="22">
        <v>21553.985000000001</v>
      </c>
      <c r="I17" s="22">
        <v>21527.346000000001</v>
      </c>
      <c r="J17" s="22">
        <v>20843.112000000001</v>
      </c>
      <c r="K17" s="22">
        <v>20135.260999999999</v>
      </c>
      <c r="L17" s="22">
        <v>19402.978999999999</v>
      </c>
    </row>
    <row r="18" spans="1:12" ht="12.75" customHeight="1">
      <c r="A18" s="1">
        <f t="shared" si="0"/>
        <v>8</v>
      </c>
      <c r="C18" s="1" t="s">
        <v>418</v>
      </c>
      <c r="G18" s="22">
        <v>6303.4709999999995</v>
      </c>
      <c r="I18" s="22">
        <v>6295.4759999999997</v>
      </c>
      <c r="J18" s="22">
        <v>6088.8389999999999</v>
      </c>
      <c r="K18" s="22">
        <v>5876.6790000000001</v>
      </c>
      <c r="L18" s="22">
        <v>5658.8459999999995</v>
      </c>
    </row>
    <row r="19" spans="1:12" ht="12.75" customHeight="1">
      <c r="A19" s="1">
        <f t="shared" si="0"/>
        <v>9</v>
      </c>
      <c r="C19" s="1" t="s">
        <v>423</v>
      </c>
      <c r="G19" s="22">
        <v>2871</v>
      </c>
      <c r="I19" s="22">
        <v>2871</v>
      </c>
      <c r="J19" s="22">
        <v>2871</v>
      </c>
      <c r="K19" s="22">
        <v>2871</v>
      </c>
      <c r="L19" s="22">
        <v>2871</v>
      </c>
    </row>
    <row r="20" spans="1:12" ht="12.75" customHeight="1">
      <c r="A20" s="1">
        <f t="shared" si="0"/>
        <v>10</v>
      </c>
      <c r="C20" s="1" t="s">
        <v>351</v>
      </c>
      <c r="G20" s="22">
        <v>12715</v>
      </c>
      <c r="I20" s="22">
        <v>4640.0200000000004</v>
      </c>
      <c r="J20" s="22">
        <v>4488.2120000000004</v>
      </c>
      <c r="K20" s="22">
        <v>4333.2539999999999</v>
      </c>
      <c r="L20" s="22">
        <v>4175.0810000000001</v>
      </c>
    </row>
    <row r="21" spans="1:12" ht="12.75" customHeight="1">
      <c r="A21" s="1">
        <f t="shared" si="0"/>
        <v>11</v>
      </c>
      <c r="C21" s="1" t="s">
        <v>359</v>
      </c>
      <c r="G21" s="22">
        <v>8759.7450000000008</v>
      </c>
      <c r="I21" s="22">
        <v>3958.7449999999999</v>
      </c>
      <c r="J21" s="22">
        <v>3958.7449999999999</v>
      </c>
      <c r="K21" s="22">
        <v>3958.7449999999999</v>
      </c>
      <c r="L21" s="22">
        <v>3958.7449999999999</v>
      </c>
    </row>
    <row r="22" spans="1:12" ht="12.75" customHeight="1">
      <c r="A22" s="1">
        <f t="shared" si="0"/>
        <v>12</v>
      </c>
      <c r="C22" s="1" t="s">
        <v>352</v>
      </c>
      <c r="G22" s="22">
        <f>F22</f>
        <v>0</v>
      </c>
      <c r="I22" s="22">
        <v>7517.692</v>
      </c>
      <c r="J22" s="22">
        <v>7301.3459999999995</v>
      </c>
      <c r="K22" s="22">
        <v>7078.6790000000001</v>
      </c>
      <c r="L22" s="22">
        <v>6849.5069999999996</v>
      </c>
    </row>
    <row r="23" spans="1:12" ht="12.75" customHeight="1">
      <c r="A23" s="1">
        <f t="shared" si="0"/>
        <v>13</v>
      </c>
      <c r="C23" s="1" t="s">
        <v>353</v>
      </c>
      <c r="G23" s="22">
        <v>1648.312882516097</v>
      </c>
      <c r="I23" s="22">
        <v>0</v>
      </c>
      <c r="J23" s="22">
        <v>17913.993999999999</v>
      </c>
      <c r="K23" s="22">
        <v>17598.021000000001</v>
      </c>
      <c r="L23" s="22">
        <v>17268.931</v>
      </c>
    </row>
    <row r="24" spans="1:12" ht="12.75" customHeight="1">
      <c r="A24" s="1">
        <f t="shared" si="0"/>
        <v>14</v>
      </c>
      <c r="C24" s="1" t="s">
        <v>354</v>
      </c>
      <c r="G24" s="22"/>
      <c r="I24" s="22">
        <v>0</v>
      </c>
      <c r="J24" s="22">
        <v>0</v>
      </c>
      <c r="K24" s="22">
        <v>34679.469716309133</v>
      </c>
      <c r="L24" s="22">
        <v>34679.469716309133</v>
      </c>
    </row>
    <row r="25" spans="1:12" ht="12.75" customHeight="1">
      <c r="A25" s="1">
        <f t="shared" si="0"/>
        <v>15</v>
      </c>
      <c r="C25" s="1" t="s">
        <v>355</v>
      </c>
      <c r="G25" s="22"/>
      <c r="I25" s="22">
        <v>0</v>
      </c>
      <c r="J25" s="22">
        <v>0</v>
      </c>
      <c r="K25" s="22">
        <v>0</v>
      </c>
      <c r="L25" s="22">
        <v>26738.013483916322</v>
      </c>
    </row>
    <row r="26" spans="1:12" ht="12.75" customHeight="1">
      <c r="A26" s="1">
        <f t="shared" si="0"/>
        <v>16</v>
      </c>
      <c r="C26" s="1" t="s">
        <v>289</v>
      </c>
      <c r="G26" s="22">
        <v>2815.6821380665024</v>
      </c>
      <c r="I26" s="22">
        <v>2812.0384992828463</v>
      </c>
      <c r="J26" s="22">
        <v>2843.0371652137956</v>
      </c>
      <c r="K26" s="22">
        <v>2976.3732078907974</v>
      </c>
      <c r="L26" s="22">
        <v>3086.8127297745518</v>
      </c>
    </row>
    <row r="27" spans="1:12">
      <c r="G27" s="22"/>
      <c r="I27" s="22"/>
      <c r="J27" s="22"/>
      <c r="K27" s="22"/>
      <c r="L27" s="22"/>
    </row>
    <row r="28" spans="1:12" ht="12.75" customHeight="1">
      <c r="A28" s="1">
        <f>A26+1</f>
        <v>17</v>
      </c>
      <c r="C28" s="1" t="s">
        <v>26</v>
      </c>
      <c r="G28" s="22">
        <f>SUM(G11:G27)</f>
        <v>183316.58048112309</v>
      </c>
      <c r="I28" s="22">
        <f>SUM(I11:I27)</f>
        <v>176244.99453928284</v>
      </c>
      <c r="J28" s="22">
        <f>SUM(J11:J27)</f>
        <v>187653.39004521378</v>
      </c>
      <c r="K28" s="22">
        <f>SUM(K11:K27)</f>
        <v>215566.32464419995</v>
      </c>
      <c r="L28" s="22">
        <f>SUM(L11:L27)</f>
        <v>235453.09448999999</v>
      </c>
    </row>
    <row r="29" spans="1:12" ht="12.75" customHeight="1">
      <c r="A29" s="1">
        <f>A28+1</f>
        <v>18</v>
      </c>
      <c r="C29" s="1" t="s">
        <v>27</v>
      </c>
      <c r="G29" s="47">
        <v>187735.7374206224</v>
      </c>
      <c r="I29" s="47">
        <v>174995.24883557769</v>
      </c>
      <c r="J29" s="47">
        <f>I28</f>
        <v>176244.99453928284</v>
      </c>
      <c r="K29" s="47">
        <f>J28</f>
        <v>187653.39004521378</v>
      </c>
      <c r="L29" s="47">
        <f>K28</f>
        <v>215566.32464419995</v>
      </c>
    </row>
    <row r="30" spans="1:12">
      <c r="A30" s="1">
        <f>A29+1</f>
        <v>19</v>
      </c>
      <c r="C30" s="1" t="s">
        <v>290</v>
      </c>
      <c r="G30" s="22">
        <f>(G29+G28)/2</f>
        <v>185526.15895087275</v>
      </c>
      <c r="I30" s="22">
        <f>(I29+I28)/2</f>
        <v>175620.12168743025</v>
      </c>
      <c r="J30" s="22">
        <f>(J29+J28)/2</f>
        <v>181949.19229224831</v>
      </c>
      <c r="K30" s="22">
        <f>(K29+K28)/2</f>
        <v>201609.85734470686</v>
      </c>
      <c r="L30" s="22">
        <f t="shared" ref="L30" si="1">(L29+L28)/2</f>
        <v>225509.70956709998</v>
      </c>
    </row>
    <row r="32" spans="1:12">
      <c r="C32" s="85"/>
      <c r="D32" s="85"/>
      <c r="E32" s="86"/>
      <c r="F32" s="85"/>
      <c r="G32" s="87"/>
      <c r="H32" s="85"/>
      <c r="I32" s="87"/>
      <c r="J32" s="87"/>
      <c r="K32" s="87"/>
      <c r="L32" s="87"/>
    </row>
    <row r="33" spans="1:12">
      <c r="C33" s="9" t="s">
        <v>358</v>
      </c>
      <c r="E33" s="1"/>
    </row>
    <row r="35" spans="1:12">
      <c r="A35" s="1">
        <f>A30+1</f>
        <v>20</v>
      </c>
      <c r="C35" s="1" t="str">
        <f t="shared" ref="C35:C41" si="2">C11</f>
        <v>YDC Mayo B Flexible Term Debt</v>
      </c>
      <c r="G35" s="22">
        <v>1030.1760034019999</v>
      </c>
      <c r="I35" s="22">
        <v>1030.1760034019999</v>
      </c>
      <c r="J35" s="22">
        <v>1011.7800037799999</v>
      </c>
      <c r="K35" s="22">
        <v>993.38400415799993</v>
      </c>
      <c r="L35" s="22">
        <v>974.98800453599983</v>
      </c>
    </row>
    <row r="36" spans="1:12">
      <c r="A36" s="1">
        <f t="shared" ref="A36:A51" si="3">A35+1</f>
        <v>21</v>
      </c>
      <c r="C36" s="1" t="str">
        <f t="shared" si="2"/>
        <v>TD Bank Swap</v>
      </c>
      <c r="G36" s="22">
        <v>217.04362</v>
      </c>
      <c r="I36" s="22">
        <v>166.05500619833333</v>
      </c>
      <c r="J36" s="22">
        <v>157.54190105833331</v>
      </c>
      <c r="K36" s="22">
        <v>148.85198763833333</v>
      </c>
      <c r="L36" s="22">
        <v>139.98098698666666</v>
      </c>
    </row>
    <row r="37" spans="1:12">
      <c r="A37" s="1">
        <f t="shared" si="3"/>
        <v>22</v>
      </c>
      <c r="C37" s="1" t="str">
        <f t="shared" si="2"/>
        <v>YDC $92.5M Debt</v>
      </c>
      <c r="G37" s="22">
        <v>1885.5320439040004</v>
      </c>
      <c r="I37" s="22">
        <v>1885.5320439040004</v>
      </c>
      <c r="J37" s="22">
        <v>1786.8062039040003</v>
      </c>
      <c r="K37" s="22">
        <v>1688.080363904</v>
      </c>
      <c r="L37" s="22">
        <v>1589.3545239040006</v>
      </c>
    </row>
    <row r="38" spans="1:12">
      <c r="A38" s="1">
        <f t="shared" si="3"/>
        <v>23</v>
      </c>
      <c r="C38" s="1" t="str">
        <f t="shared" si="2"/>
        <v>YDC $5.5M Debt</v>
      </c>
      <c r="G38" s="22">
        <v>132.12</v>
      </c>
      <c r="I38" s="22">
        <v>132.12</v>
      </c>
      <c r="J38" s="22">
        <v>132.12</v>
      </c>
      <c r="K38" s="22">
        <v>132.12</v>
      </c>
      <c r="L38" s="22">
        <v>132.12</v>
      </c>
    </row>
    <row r="39" spans="1:12">
      <c r="A39" s="1">
        <f t="shared" si="3"/>
        <v>24</v>
      </c>
      <c r="C39" s="1" t="str">
        <f t="shared" si="2"/>
        <v>YDC $21.0M Debt</v>
      </c>
      <c r="G39" s="22">
        <v>371.00426271999999</v>
      </c>
      <c r="I39" s="22">
        <v>371.00426271999999</v>
      </c>
      <c r="J39" s="22">
        <v>352.45404958400002</v>
      </c>
      <c r="K39" s="22">
        <v>333.90383644799999</v>
      </c>
      <c r="L39" s="22">
        <v>315.35362331200002</v>
      </c>
    </row>
    <row r="40" spans="1:12">
      <c r="A40" s="1">
        <f t="shared" si="3"/>
        <v>25</v>
      </c>
      <c r="C40" s="1" t="str">
        <f t="shared" si="2"/>
        <v>YDC $12.1M Debt</v>
      </c>
      <c r="G40" s="22">
        <v>254.85600000000005</v>
      </c>
      <c r="I40" s="22">
        <v>254.85600000000005</v>
      </c>
      <c r="J40" s="22">
        <v>254.85600000000005</v>
      </c>
      <c r="K40" s="22">
        <v>358.012</v>
      </c>
      <c r="L40" s="22">
        <v>358.99285479452055</v>
      </c>
    </row>
    <row r="41" spans="1:12">
      <c r="A41" s="1">
        <f t="shared" si="3"/>
        <v>26</v>
      </c>
      <c r="C41" s="1" t="str">
        <f t="shared" si="2"/>
        <v>TD Bank Swap</v>
      </c>
      <c r="G41" s="22">
        <v>802.73423903749995</v>
      </c>
      <c r="I41" s="22">
        <v>743.73608335333324</v>
      </c>
      <c r="J41" s="22">
        <v>720.90907396833347</v>
      </c>
      <c r="K41" s="22">
        <v>697.29228448166668</v>
      </c>
      <c r="L41" s="22">
        <v>672.86135824000007</v>
      </c>
    </row>
    <row r="42" spans="1:12">
      <c r="A42" s="1">
        <f t="shared" si="3"/>
        <v>27</v>
      </c>
      <c r="C42" s="1" t="s">
        <v>418</v>
      </c>
      <c r="G42" s="22">
        <v>185.81168523666668</v>
      </c>
      <c r="I42" s="22">
        <v>169.15419029583336</v>
      </c>
      <c r="J42" s="22">
        <v>163.77418498666668</v>
      </c>
      <c r="K42" s="22">
        <v>158.25036402250004</v>
      </c>
      <c r="L42" s="22">
        <v>152.57887374416666</v>
      </c>
    </row>
    <row r="43" spans="1:12">
      <c r="A43" s="1">
        <f t="shared" si="3"/>
        <v>28</v>
      </c>
      <c r="C43" s="1" t="s">
        <v>423</v>
      </c>
      <c r="G43" s="22">
        <v>83.230289999999997</v>
      </c>
      <c r="I43" s="22">
        <v>83.230289999999997</v>
      </c>
      <c r="J43" s="22">
        <v>83.230289999999997</v>
      </c>
      <c r="K43" s="22">
        <v>83.230289999999997</v>
      </c>
      <c r="L43" s="22">
        <v>83.230289999999997</v>
      </c>
    </row>
    <row r="44" spans="1:12">
      <c r="A44" s="1">
        <f t="shared" si="3"/>
        <v>29</v>
      </c>
      <c r="C44" s="1" t="s">
        <v>351</v>
      </c>
      <c r="G44" s="22">
        <v>278.462012961563</v>
      </c>
      <c r="I44" s="22">
        <v>97.013087324999987</v>
      </c>
      <c r="J44" s="22">
        <v>93.928607874999997</v>
      </c>
      <c r="K44" s="22">
        <v>90.778648875000016</v>
      </c>
      <c r="L44" s="22">
        <v>87.564097999999973</v>
      </c>
    </row>
    <row r="45" spans="1:12">
      <c r="A45" s="1">
        <f t="shared" si="3"/>
        <v>30</v>
      </c>
      <c r="C45" s="1" t="s">
        <v>359</v>
      </c>
      <c r="G45" s="22">
        <v>191.8384155</v>
      </c>
      <c r="I45" s="22">
        <v>61.756422000000001</v>
      </c>
      <c r="J45" s="22">
        <v>61.756422000000001</v>
      </c>
      <c r="K45" s="22">
        <v>61.756422000000001</v>
      </c>
      <c r="L45" s="22">
        <v>61.756422000000001</v>
      </c>
    </row>
    <row r="46" spans="1:12">
      <c r="A46" s="1">
        <f t="shared" si="3"/>
        <v>31</v>
      </c>
      <c r="C46" s="1" t="s">
        <v>352</v>
      </c>
      <c r="G46" s="22">
        <v>0</v>
      </c>
      <c r="I46" s="22">
        <v>146.01662717999997</v>
      </c>
      <c r="J46" s="22">
        <v>213.89118987750001</v>
      </c>
      <c r="K46" s="22">
        <v>207.57083702750003</v>
      </c>
      <c r="L46" s="22">
        <v>201.06583763749995</v>
      </c>
    </row>
    <row r="47" spans="1:12">
      <c r="A47" s="1">
        <f t="shared" si="3"/>
        <v>32</v>
      </c>
      <c r="C47" s="1" t="s">
        <v>353</v>
      </c>
      <c r="G47" s="22"/>
      <c r="I47" s="22">
        <v>0</v>
      </c>
      <c r="J47" s="22">
        <v>182.97749036000002</v>
      </c>
      <c r="K47" s="22">
        <v>723.95942482500004</v>
      </c>
      <c r="L47" s="22">
        <v>710.84356546000004</v>
      </c>
    </row>
    <row r="48" spans="1:12">
      <c r="A48" s="1">
        <f t="shared" si="3"/>
        <v>33</v>
      </c>
      <c r="C48" s="1" t="s">
        <v>354</v>
      </c>
      <c r="G48" s="22"/>
      <c r="I48" s="22">
        <v>0</v>
      </c>
      <c r="J48" s="22">
        <v>0</v>
      </c>
      <c r="K48" s="22">
        <v>860.069851413626</v>
      </c>
      <c r="L48" s="22">
        <v>1466.9415689998759</v>
      </c>
    </row>
    <row r="49" spans="1:12">
      <c r="A49" s="1">
        <f t="shared" si="3"/>
        <v>34</v>
      </c>
      <c r="C49" s="1" t="s">
        <v>355</v>
      </c>
      <c r="G49" s="22"/>
      <c r="I49" s="22">
        <v>0</v>
      </c>
      <c r="J49" s="22">
        <v>0</v>
      </c>
      <c r="K49" s="22">
        <v>0</v>
      </c>
      <c r="L49" s="22">
        <v>663.11738536741734</v>
      </c>
    </row>
    <row r="50" spans="1:12">
      <c r="A50" s="1">
        <f t="shared" si="3"/>
        <v>35</v>
      </c>
      <c r="C50" s="1" t="str">
        <f>C26</f>
        <v>Minto Decommissioning Reserve</v>
      </c>
      <c r="G50" s="22">
        <v>15.748015856760089</v>
      </c>
      <c r="I50" s="22">
        <v>12.500863705153577</v>
      </c>
      <c r="J50" s="22">
        <v>30.998665930949151</v>
      </c>
      <c r="K50" s="22">
        <v>133.33604267700204</v>
      </c>
      <c r="L50" s="22">
        <v>110.43952188375452</v>
      </c>
    </row>
    <row r="51" spans="1:12">
      <c r="A51" s="1">
        <f t="shared" si="3"/>
        <v>36</v>
      </c>
      <c r="C51" s="1" t="s">
        <v>356</v>
      </c>
      <c r="G51" s="22"/>
      <c r="I51" s="22">
        <v>0</v>
      </c>
      <c r="J51" s="22">
        <v>2.2813757194236133</v>
      </c>
      <c r="K51" s="22">
        <v>6.0212908374412475</v>
      </c>
      <c r="L51" s="22">
        <v>4.7264925790540762</v>
      </c>
    </row>
    <row r="52" spans="1:12">
      <c r="C52" s="88"/>
      <c r="G52" s="22"/>
      <c r="I52" s="22"/>
      <c r="J52" s="22"/>
      <c r="K52" s="22"/>
      <c r="L52" s="22"/>
    </row>
    <row r="53" spans="1:12">
      <c r="A53" s="1">
        <f>A51+1</f>
        <v>37</v>
      </c>
      <c r="C53" s="9" t="s">
        <v>291</v>
      </c>
      <c r="G53" s="22">
        <f>SUM(G35:G52)</f>
        <v>5448.5565886184913</v>
      </c>
      <c r="I53" s="22">
        <f>SUM(I35:I52)</f>
        <v>5153.1508800836546</v>
      </c>
      <c r="J53" s="22">
        <f>SUM(J35:J52)</f>
        <v>5249.305459044208</v>
      </c>
      <c r="K53" s="22">
        <f>SUM(K35:K52)</f>
        <v>6676.6176483080717</v>
      </c>
      <c r="L53" s="22">
        <f>SUM(L35:L52)</f>
        <v>7725.9154074449561</v>
      </c>
    </row>
    <row r="55" spans="1:12">
      <c r="A55" s="1">
        <f>A53+1</f>
        <v>38</v>
      </c>
      <c r="C55" s="1" t="s">
        <v>292</v>
      </c>
      <c r="G55" s="90">
        <f>G53/G30</f>
        <v>2.9368131262078611E-2</v>
      </c>
      <c r="I55" s="90">
        <f>I53/I30</f>
        <v>2.9342599416115105E-2</v>
      </c>
      <c r="J55" s="90">
        <f>J53/J30</f>
        <v>2.8850391655560251E-2</v>
      </c>
      <c r="K55" s="90">
        <f>K53/K30</f>
        <v>3.3116523845818605E-2</v>
      </c>
      <c r="L55" s="90">
        <f>L53/L30</f>
        <v>3.42597905086926E-2</v>
      </c>
    </row>
    <row r="56" spans="1:12">
      <c r="G56" s="89"/>
      <c r="I56" s="89"/>
      <c r="J56" s="90"/>
      <c r="K56" s="90"/>
      <c r="L56" s="8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D58"/>
  <sheetViews>
    <sheetView view="pageBreakPreview" zoomScaleNormal="100" zoomScaleSheetLayoutView="100" workbookViewId="0">
      <pane ySplit="7" topLeftCell="A8" activePane="bottomLeft" state="frozen"/>
      <selection activeCell="H15" sqref="H15"/>
      <selection pane="bottomLeft" activeCell="I8" sqref="I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42.269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2.7265625" style="1" customWidth="1"/>
    <col min="13" max="15" width="9.1796875" style="1"/>
    <col min="16" max="16" width="11.26953125" style="1" bestFit="1" customWidth="1"/>
    <col min="17" max="17" width="10.1796875" style="1" bestFit="1" customWidth="1"/>
    <col min="18" max="19" width="9.1796875" style="1"/>
    <col min="20" max="20" width="10.26953125" style="1" bestFit="1" customWidth="1"/>
    <col min="21" max="16384" width="9.1796875" style="1"/>
  </cols>
  <sheetData>
    <row r="1" spans="1:16" ht="15">
      <c r="A1" s="10" t="s">
        <v>0</v>
      </c>
      <c r="L1" s="3" t="s">
        <v>5</v>
      </c>
    </row>
    <row r="2" spans="1:16">
      <c r="A2" s="11" t="s">
        <v>6</v>
      </c>
      <c r="L2" s="12" t="str">
        <f>Index!F2</f>
        <v>August 31, 2023</v>
      </c>
    </row>
    <row r="3" spans="1:16">
      <c r="A3" s="11" t="s">
        <v>7</v>
      </c>
    </row>
    <row r="4" spans="1:16">
      <c r="A4" s="11"/>
    </row>
    <row r="5" spans="1:16">
      <c r="A5" s="11"/>
    </row>
    <row r="6" spans="1:16" s="4" customFormat="1">
      <c r="G6" s="13"/>
      <c r="I6" s="13"/>
      <c r="J6" s="13"/>
      <c r="K6" s="9"/>
      <c r="L6" s="1"/>
    </row>
    <row r="7" spans="1:16" s="15" customFormat="1" ht="25">
      <c r="A7" s="14" t="s">
        <v>8</v>
      </c>
      <c r="C7" s="14" t="s">
        <v>9</v>
      </c>
      <c r="E7" s="14" t="s">
        <v>10</v>
      </c>
      <c r="G7" s="14" t="s">
        <v>337</v>
      </c>
      <c r="I7" s="14" t="s">
        <v>347</v>
      </c>
      <c r="J7" s="14" t="s">
        <v>374</v>
      </c>
      <c r="K7" s="14" t="s">
        <v>348</v>
      </c>
      <c r="L7" s="14" t="s">
        <v>349</v>
      </c>
    </row>
    <row r="9" spans="1:16">
      <c r="A9" s="1">
        <v>1</v>
      </c>
      <c r="C9" s="9" t="s">
        <v>11</v>
      </c>
    </row>
    <row r="10" spans="1:16">
      <c r="A10" s="1">
        <f>A9+1</f>
        <v>2</v>
      </c>
      <c r="C10" s="1" t="s">
        <v>12</v>
      </c>
      <c r="E10" s="4" t="s">
        <v>319</v>
      </c>
      <c r="G10" s="16">
        <f>'Schedule 3'!G13</f>
        <v>728281.80911846145</v>
      </c>
      <c r="I10" s="16">
        <f>'Schedule 3'!I13</f>
        <v>691597.64155000006</v>
      </c>
      <c r="J10" s="16">
        <f>'Schedule 3'!J13</f>
        <v>735254.06204999995</v>
      </c>
      <c r="K10" s="16">
        <f>'Schedule 3'!K13</f>
        <v>813146.44925999991</v>
      </c>
      <c r="L10" s="16">
        <f>'Schedule 3'!L13</f>
        <v>877300.89351999993</v>
      </c>
      <c r="M10" s="18"/>
      <c r="N10" s="19"/>
      <c r="O10" s="19"/>
    </row>
    <row r="11" spans="1:16">
      <c r="E11" s="4" t="s">
        <v>13</v>
      </c>
      <c r="G11" s="16"/>
      <c r="I11" s="16"/>
      <c r="J11" s="16"/>
      <c r="K11" s="16"/>
      <c r="L11" s="16"/>
      <c r="O11" s="19"/>
    </row>
    <row r="12" spans="1:16">
      <c r="C12" s="1" t="s">
        <v>14</v>
      </c>
      <c r="G12" s="16"/>
      <c r="I12" s="16"/>
      <c r="J12" s="16"/>
      <c r="K12" s="16"/>
      <c r="L12" s="16"/>
      <c r="O12" s="19"/>
    </row>
    <row r="13" spans="1:16">
      <c r="A13" s="1">
        <f>A10+1</f>
        <v>3</v>
      </c>
      <c r="C13" s="1" t="s">
        <v>15</v>
      </c>
      <c r="E13" s="4" t="s">
        <v>202</v>
      </c>
      <c r="G13" s="16">
        <f>'Schedule 3'!G19</f>
        <v>198403.27302694708</v>
      </c>
      <c r="I13" s="16">
        <f>'Schedule 3'!I19</f>
        <v>198509.39069999999</v>
      </c>
      <c r="J13" s="16">
        <f>'Schedule 3'!J19</f>
        <v>211204.98384999999</v>
      </c>
      <c r="K13" s="16">
        <f>'Schedule 3'!K19</f>
        <v>223380.18513</v>
      </c>
      <c r="L13" s="16">
        <f>'Schedule 3'!L19</f>
        <v>239085.69240999999</v>
      </c>
      <c r="N13" s="19"/>
    </row>
    <row r="14" spans="1:16">
      <c r="G14" s="16"/>
      <c r="I14" s="16"/>
      <c r="J14" s="16"/>
      <c r="K14" s="16"/>
      <c r="L14" s="16"/>
    </row>
    <row r="15" spans="1:16">
      <c r="A15" s="1">
        <f>A13+1</f>
        <v>4</v>
      </c>
      <c r="C15" s="1" t="s">
        <v>16</v>
      </c>
      <c r="E15" s="4" t="s">
        <v>19</v>
      </c>
      <c r="G15" s="16">
        <f>'Schedule 3'!G26</f>
        <v>40571.94255</v>
      </c>
      <c r="I15" s="16">
        <f>'Schedule 3'!I26</f>
        <v>3808.3901400000004</v>
      </c>
      <c r="J15" s="16">
        <f>'Schedule 3'!J26</f>
        <v>33637.833770000005</v>
      </c>
      <c r="K15" s="16">
        <f>'Schedule 3'!K26</f>
        <v>81643.673849999992</v>
      </c>
      <c r="L15" s="16">
        <f>'Schedule 3'!L26</f>
        <v>100577.6017</v>
      </c>
      <c r="M15" s="19"/>
      <c r="N15" s="19"/>
      <c r="O15" s="19"/>
    </row>
    <row r="16" spans="1:16">
      <c r="A16" s="1">
        <f>A15+1</f>
        <v>5</v>
      </c>
      <c r="C16" s="1" t="s">
        <v>18</v>
      </c>
      <c r="E16" s="4" t="s">
        <v>17</v>
      </c>
      <c r="G16" s="16">
        <f>'Schedule 3'!G24</f>
        <v>12152.327230000001</v>
      </c>
      <c r="I16" s="16">
        <f>'Schedule 3'!I24</f>
        <v>14406.105322361109</v>
      </c>
      <c r="J16" s="16">
        <f>'Schedule 3'!J24</f>
        <v>13688.135814027775</v>
      </c>
      <c r="K16" s="16">
        <f>'Schedule 3'!K24</f>
        <v>676.09051399999953</v>
      </c>
      <c r="L16" s="16">
        <f>'Schedule 3'!L24</f>
        <v>631.82905099999948</v>
      </c>
      <c r="N16" s="19"/>
      <c r="P16" s="19"/>
    </row>
    <row r="17" spans="1:30">
      <c r="A17" s="1">
        <f>A16+1</f>
        <v>6</v>
      </c>
      <c r="C17" s="1" t="s">
        <v>20</v>
      </c>
      <c r="E17" s="4" t="s">
        <v>425</v>
      </c>
      <c r="G17" s="20">
        <f>'Schedule 3'!G33</f>
        <v>7608.9731785037347</v>
      </c>
      <c r="I17" s="20">
        <f>'Schedule 3'!I33</f>
        <v>7622.6012945037346</v>
      </c>
      <c r="J17" s="20">
        <f>'Schedule 3'!J33</f>
        <v>13283.302338098914</v>
      </c>
      <c r="K17" s="20">
        <f>'Schedule 3'!K33</f>
        <v>2078.7731599999993</v>
      </c>
      <c r="L17" s="20">
        <f>'Schedule 3'!L33</f>
        <v>1750.8411599999995</v>
      </c>
      <c r="N17" s="19"/>
    </row>
    <row r="18" spans="1:30">
      <c r="A18" s="1">
        <f>A17+1</f>
        <v>7</v>
      </c>
      <c r="C18" s="1" t="s">
        <v>21</v>
      </c>
      <c r="G18" s="16">
        <f>SUM(G13:G17)</f>
        <v>258736.51598545082</v>
      </c>
      <c r="I18" s="16">
        <f>SUM(I13:I17)</f>
        <v>224346.48745686482</v>
      </c>
      <c r="J18" s="16">
        <f>SUM(J13:J17)</f>
        <v>271814.25577212666</v>
      </c>
      <c r="K18" s="16">
        <f>SUM(K13:K17)</f>
        <v>307778.72265399998</v>
      </c>
      <c r="L18" s="16">
        <f>SUM(L13:L17)</f>
        <v>342045.96432100004</v>
      </c>
      <c r="N18" s="19"/>
    </row>
    <row r="19" spans="1:30">
      <c r="G19" s="16"/>
      <c r="I19" s="16"/>
      <c r="J19" s="16"/>
      <c r="K19" s="16"/>
      <c r="L19" s="16"/>
    </row>
    <row r="20" spans="1:30">
      <c r="C20" s="1" t="s">
        <v>22</v>
      </c>
      <c r="G20" s="16"/>
      <c r="I20" s="16"/>
      <c r="J20" s="16"/>
      <c r="K20" s="16"/>
      <c r="L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B20" s="16"/>
      <c r="AC20" s="16"/>
      <c r="AD20" s="16"/>
    </row>
    <row r="21" spans="1:30">
      <c r="A21" s="1">
        <f>A18+1</f>
        <v>8</v>
      </c>
      <c r="C21" s="1" t="s">
        <v>416</v>
      </c>
      <c r="E21" s="4" t="s">
        <v>426</v>
      </c>
      <c r="G21" s="17">
        <f>'Schedule 3'!G113</f>
        <v>44228.610902888897</v>
      </c>
      <c r="I21" s="17">
        <f>'Schedule 3'!I113</f>
        <v>42172.886250999996</v>
      </c>
      <c r="J21" s="17">
        <f>'Schedule 3'!J113</f>
        <v>43681.311410999995</v>
      </c>
      <c r="K21" s="17">
        <f>'Schedule 3'!K113</f>
        <v>55629.705601000009</v>
      </c>
      <c r="L21" s="17">
        <f>'Schedule 3'!L113</f>
        <v>65695.650831000006</v>
      </c>
      <c r="N21" s="19"/>
      <c r="P21" s="16"/>
      <c r="Q21" s="16"/>
      <c r="R21" s="16"/>
      <c r="S21" s="16"/>
      <c r="T21" s="16"/>
      <c r="U21" s="16"/>
      <c r="V21" s="16"/>
      <c r="X21" s="16"/>
      <c r="Y21" s="16"/>
      <c r="Z21" s="16"/>
      <c r="AB21" s="16"/>
      <c r="AC21" s="16"/>
      <c r="AD21" s="16"/>
    </row>
    <row r="22" spans="1:30">
      <c r="A22" s="1">
        <f>A21+1</f>
        <v>9</v>
      </c>
      <c r="C22" s="1" t="s">
        <v>417</v>
      </c>
      <c r="E22" s="4" t="s">
        <v>492</v>
      </c>
      <c r="G22" s="17">
        <f>'Schedule 3'!G115</f>
        <v>30489.241899999997</v>
      </c>
      <c r="I22" s="17">
        <f>'Schedule 3'!I115</f>
        <v>29343.424080000001</v>
      </c>
      <c r="J22" s="17">
        <f>'Schedule 3'!J115</f>
        <v>28260.285070000002</v>
      </c>
      <c r="K22" s="17">
        <f>'Schedule 3'!K115</f>
        <v>25706.850539999999</v>
      </c>
      <c r="L22" s="17">
        <f>'Schedule 3'!L115</f>
        <v>38048.850539999999</v>
      </c>
      <c r="N22" s="19"/>
      <c r="P22" s="16"/>
      <c r="Q22" s="16"/>
      <c r="R22" s="16"/>
      <c r="S22" s="16"/>
      <c r="T22" s="16"/>
      <c r="U22" s="16"/>
      <c r="V22" s="16"/>
      <c r="X22" s="16"/>
      <c r="Y22" s="16"/>
      <c r="Z22" s="16"/>
      <c r="AB22" s="16"/>
      <c r="AC22" s="16"/>
      <c r="AD22" s="16"/>
    </row>
    <row r="23" spans="1:30">
      <c r="A23" s="1">
        <f>A22+1</f>
        <v>10</v>
      </c>
      <c r="C23" s="1" t="s">
        <v>24</v>
      </c>
      <c r="G23" s="21">
        <f>G21-G22</f>
        <v>13739.3690028889</v>
      </c>
      <c r="I23" s="21">
        <f>I21-I22</f>
        <v>12829.462170999996</v>
      </c>
      <c r="J23" s="21">
        <f>J21-J22</f>
        <v>15421.026340999993</v>
      </c>
      <c r="K23" s="21">
        <f>K21-K22</f>
        <v>29922.855061000009</v>
      </c>
      <c r="L23" s="21">
        <f>L21-L22</f>
        <v>27646.800291000007</v>
      </c>
      <c r="N23" s="19"/>
      <c r="P23" s="19"/>
      <c r="Q23" s="19"/>
      <c r="R23" s="19"/>
      <c r="T23" s="19"/>
      <c r="U23" s="19"/>
      <c r="V23" s="19"/>
      <c r="X23" s="19"/>
      <c r="Y23" s="19"/>
      <c r="Z23" s="19"/>
      <c r="AB23" s="19"/>
      <c r="AC23" s="19"/>
      <c r="AD23" s="19"/>
    </row>
    <row r="24" spans="1:30">
      <c r="G24" s="17"/>
      <c r="I24" s="17"/>
      <c r="J24" s="17"/>
      <c r="K24" s="17"/>
      <c r="L24" s="17"/>
      <c r="P24" s="16"/>
      <c r="Q24" s="16"/>
      <c r="R24" s="16"/>
      <c r="S24" s="16"/>
      <c r="T24" s="16"/>
      <c r="U24" s="16"/>
      <c r="V24" s="16"/>
      <c r="X24" s="16"/>
      <c r="Y24" s="16"/>
      <c r="Z24" s="16"/>
      <c r="AB24" s="16"/>
      <c r="AC24" s="16"/>
      <c r="AD24" s="16"/>
    </row>
    <row r="25" spans="1:30">
      <c r="C25" s="9" t="s">
        <v>25</v>
      </c>
      <c r="G25" s="16"/>
      <c r="I25" s="16"/>
      <c r="J25" s="16"/>
      <c r="K25" s="16"/>
      <c r="L25" s="16"/>
      <c r="X25" s="19"/>
      <c r="Y25" s="19"/>
      <c r="Z25" s="19"/>
      <c r="AC25" s="19"/>
      <c r="AD25" s="19"/>
    </row>
    <row r="26" spans="1:30">
      <c r="A26" s="1">
        <f>A23+1</f>
        <v>11</v>
      </c>
      <c r="C26" s="1" t="s">
        <v>26</v>
      </c>
      <c r="E26" s="4" t="s">
        <v>493</v>
      </c>
      <c r="G26" s="16">
        <f>G10-G18+G23</f>
        <v>483284.66213589953</v>
      </c>
      <c r="I26" s="16">
        <f>I10-I18+I23</f>
        <v>480080.61626413529</v>
      </c>
      <c r="J26" s="16">
        <f>J10-J18+J23</f>
        <v>478860.83261887328</v>
      </c>
      <c r="K26" s="16">
        <f>K10-K18+K23</f>
        <v>535290.58166699996</v>
      </c>
      <c r="L26" s="16">
        <f>L10-L18+L23</f>
        <v>562901.72948999994</v>
      </c>
      <c r="M26" s="18"/>
      <c r="X26" s="19"/>
      <c r="Y26" s="19"/>
      <c r="Z26" s="19"/>
      <c r="AA26" s="19"/>
      <c r="AB26" s="19"/>
      <c r="AC26" s="16"/>
      <c r="AD26" s="16"/>
    </row>
    <row r="27" spans="1:30">
      <c r="A27" s="1">
        <f>A26+1</f>
        <v>12</v>
      </c>
      <c r="C27" s="1" t="s">
        <v>27</v>
      </c>
      <c r="G27" s="20">
        <f>485050.22777437+'Schedule 3'!G90</f>
        <v>486566.84219637001</v>
      </c>
      <c r="I27" s="20">
        <v>461515.2507595513</v>
      </c>
      <c r="J27" s="20">
        <f>I26</f>
        <v>480080.61626413529</v>
      </c>
      <c r="K27" s="20">
        <f>J26</f>
        <v>478860.83261887328</v>
      </c>
      <c r="L27" s="20">
        <f>K26</f>
        <v>535290.58166699996</v>
      </c>
      <c r="X27" s="19"/>
      <c r="Y27" s="19"/>
      <c r="Z27" s="19"/>
    </row>
    <row r="28" spans="1:30">
      <c r="G28" s="16"/>
      <c r="I28" s="16"/>
      <c r="J28" s="16"/>
      <c r="K28" s="16"/>
      <c r="L28" s="16"/>
    </row>
    <row r="29" spans="1:30">
      <c r="A29" s="1">
        <f>A27+1</f>
        <v>13</v>
      </c>
      <c r="C29" s="1" t="s">
        <v>29</v>
      </c>
      <c r="G29" s="16">
        <f>(G27+G26)/2</f>
        <v>484925.75216613477</v>
      </c>
      <c r="I29" s="16">
        <f>(I27+I26)/2</f>
        <v>470797.93351184332</v>
      </c>
      <c r="J29" s="16">
        <f>(J27+J26)/2</f>
        <v>479470.72444150428</v>
      </c>
      <c r="K29" s="16">
        <f>(K27+K26)/2</f>
        <v>507075.70714293665</v>
      </c>
      <c r="L29" s="16">
        <f>(L27+L26)/2</f>
        <v>549096.15557849989</v>
      </c>
      <c r="M29" s="18"/>
      <c r="N29" s="19"/>
    </row>
    <row r="30" spans="1:30">
      <c r="G30" s="16"/>
      <c r="I30" s="16"/>
      <c r="J30" s="16"/>
      <c r="K30" s="16"/>
      <c r="L30" s="16"/>
    </row>
    <row r="31" spans="1:30">
      <c r="A31" s="1">
        <f>A29+1</f>
        <v>14</v>
      </c>
      <c r="C31" s="1" t="s">
        <v>30</v>
      </c>
      <c r="E31" s="4" t="s">
        <v>31</v>
      </c>
      <c r="G31" s="20">
        <f>'Schedule 2'!G21</f>
        <v>7091.9572242594759</v>
      </c>
      <c r="I31" s="20">
        <f>'Schedule 2'!I21</f>
        <v>6924.5684668481863</v>
      </c>
      <c r="J31" s="20">
        <f>'Schedule 2'!J21</f>
        <v>7581.3090466411268</v>
      </c>
      <c r="K31" s="20">
        <f>'Schedule 2'!K21</f>
        <v>8266.5651248000486</v>
      </c>
      <c r="L31" s="20">
        <f>'Schedule 2'!L21</f>
        <v>8575.9422247958428</v>
      </c>
      <c r="N31" s="19"/>
    </row>
    <row r="32" spans="1:30">
      <c r="G32" s="17"/>
      <c r="I32" s="17"/>
      <c r="J32" s="17"/>
      <c r="K32" s="17"/>
      <c r="L32" s="17"/>
    </row>
    <row r="33" spans="1:26">
      <c r="G33" s="17"/>
      <c r="I33" s="17"/>
      <c r="J33" s="17"/>
      <c r="K33" s="17"/>
      <c r="L33" s="17"/>
    </row>
    <row r="34" spans="1:26">
      <c r="A34" s="1">
        <f>A31+1</f>
        <v>15</v>
      </c>
      <c r="C34" s="9" t="s">
        <v>32</v>
      </c>
      <c r="G34" s="16">
        <f>G29+G31</f>
        <v>492017.70939039427</v>
      </c>
      <c r="I34" s="16">
        <f>I29+I31</f>
        <v>477722.50197869149</v>
      </c>
      <c r="J34" s="16">
        <f>J29+J31</f>
        <v>487052.03348814539</v>
      </c>
      <c r="K34" s="16">
        <f>K29+K31</f>
        <v>515342.27226773667</v>
      </c>
      <c r="L34" s="16">
        <f>L29+L31</f>
        <v>557672.09780329571</v>
      </c>
      <c r="N34" s="19"/>
    </row>
    <row r="35" spans="1:26">
      <c r="G35" s="17"/>
      <c r="I35" s="17"/>
      <c r="J35" s="17"/>
      <c r="K35" s="17"/>
      <c r="L35" s="17"/>
    </row>
    <row r="36" spans="1:26">
      <c r="C36" s="1" t="s">
        <v>14</v>
      </c>
      <c r="G36" s="16"/>
      <c r="I36" s="16"/>
      <c r="J36" s="16"/>
      <c r="K36" s="16"/>
      <c r="L36" s="16"/>
      <c r="P36" s="19"/>
      <c r="Q36" s="19"/>
      <c r="R36" s="19"/>
      <c r="T36" s="19"/>
      <c r="U36" s="19"/>
      <c r="V36" s="19"/>
      <c r="X36" s="19"/>
      <c r="Y36" s="19"/>
      <c r="Z36" s="19"/>
    </row>
    <row r="37" spans="1:26">
      <c r="C37" s="9" t="s">
        <v>310</v>
      </c>
      <c r="G37" s="16"/>
      <c r="I37" s="16"/>
      <c r="J37" s="16"/>
      <c r="K37" s="16"/>
      <c r="L37" s="16"/>
      <c r="P37" s="19"/>
      <c r="Q37" s="22"/>
      <c r="R37" s="19"/>
      <c r="T37" s="22"/>
      <c r="U37" s="22"/>
      <c r="X37" s="19"/>
      <c r="Y37" s="19"/>
      <c r="Z37" s="19"/>
    </row>
    <row r="38" spans="1:26">
      <c r="A38" s="1">
        <f>A34+1</f>
        <v>16</v>
      </c>
      <c r="C38" s="1" t="s">
        <v>26</v>
      </c>
      <c r="G38" s="16">
        <v>254347.60061000002</v>
      </c>
      <c r="I38" s="16">
        <v>235303.28444000002</v>
      </c>
      <c r="J38" s="16">
        <v>247475.15891999999</v>
      </c>
      <c r="K38" s="16">
        <v>259282.60735000001</v>
      </c>
      <c r="L38" s="16">
        <v>264182.60735000001</v>
      </c>
      <c r="O38" s="19"/>
      <c r="P38" s="19"/>
      <c r="Q38" s="19"/>
      <c r="R38" s="19"/>
      <c r="T38" s="19"/>
      <c r="U38" s="19"/>
      <c r="V38" s="19"/>
      <c r="X38" s="19"/>
      <c r="Y38" s="19"/>
      <c r="Z38" s="19"/>
    </row>
    <row r="39" spans="1:26">
      <c r="A39" s="1">
        <f>A38+1</f>
        <v>17</v>
      </c>
      <c r="C39" s="1" t="s">
        <v>33</v>
      </c>
      <c r="G39" s="20">
        <v>20776.282090000001</v>
      </c>
      <c r="I39" s="20">
        <v>1385.7724499999999</v>
      </c>
      <c r="J39" s="20">
        <v>12787.722890000001</v>
      </c>
      <c r="K39" s="20">
        <v>16500</v>
      </c>
      <c r="L39" s="20">
        <v>21000</v>
      </c>
      <c r="O39" s="19"/>
    </row>
    <row r="40" spans="1:26">
      <c r="A40" s="1">
        <f>A39+1</f>
        <v>18</v>
      </c>
      <c r="C40" s="1" t="s">
        <v>34</v>
      </c>
      <c r="G40" s="16">
        <f>G38-G39</f>
        <v>233571.31852000003</v>
      </c>
      <c r="I40" s="16">
        <f>I38-I39</f>
        <v>233917.51199000003</v>
      </c>
      <c r="J40" s="16">
        <f>J38-J39</f>
        <v>234687.43602999998</v>
      </c>
      <c r="K40" s="16">
        <f>K38-K39</f>
        <v>242782.60735000001</v>
      </c>
      <c r="L40" s="16">
        <f>L38-L39</f>
        <v>243182.60735000001</v>
      </c>
      <c r="O40" s="19"/>
    </row>
    <row r="41" spans="1:26">
      <c r="A41" s="1">
        <f>A40+1</f>
        <v>19</v>
      </c>
      <c r="C41" s="1" t="s">
        <v>35</v>
      </c>
      <c r="G41" s="20">
        <v>48721.982702000001</v>
      </c>
      <c r="I41" s="20">
        <v>48400.850669999993</v>
      </c>
      <c r="J41" s="20">
        <v>53074.001280000004</v>
      </c>
      <c r="K41" s="20">
        <v>58502.689160000002</v>
      </c>
      <c r="L41" s="20">
        <v>64126.988880000004</v>
      </c>
      <c r="O41" s="19"/>
      <c r="P41" s="22"/>
      <c r="Q41" s="22"/>
      <c r="R41" s="22"/>
    </row>
    <row r="42" spans="1:26">
      <c r="A42" s="1">
        <f>A41+1</f>
        <v>20</v>
      </c>
      <c r="C42" s="1" t="s">
        <v>36</v>
      </c>
      <c r="G42" s="16">
        <f>G40-G41</f>
        <v>184849.33581800002</v>
      </c>
      <c r="I42" s="16">
        <f>I40-I41</f>
        <v>185516.66132000004</v>
      </c>
      <c r="J42" s="16">
        <f>J40-J41</f>
        <v>181613.43474999999</v>
      </c>
      <c r="K42" s="16">
        <f>K40-K41</f>
        <v>184279.91819</v>
      </c>
      <c r="L42" s="16">
        <f>L40-L41</f>
        <v>179055.61846999999</v>
      </c>
      <c r="P42" s="19"/>
      <c r="Q42" s="19"/>
      <c r="R42" s="19"/>
      <c r="Y42" s="19"/>
      <c r="Z42" s="19"/>
    </row>
    <row r="43" spans="1:26">
      <c r="G43" s="16"/>
      <c r="I43" s="16"/>
      <c r="J43" s="16"/>
      <c r="K43" s="16"/>
      <c r="L43" s="16"/>
      <c r="P43" s="23"/>
      <c r="Q43" s="23"/>
      <c r="R43" s="23"/>
      <c r="Y43" s="19"/>
      <c r="Z43" s="19"/>
    </row>
    <row r="44" spans="1:26">
      <c r="A44" s="1">
        <f>A42+1</f>
        <v>21</v>
      </c>
      <c r="C44" s="1" t="s">
        <v>27</v>
      </c>
      <c r="G44" s="20">
        <v>180254.60732000001</v>
      </c>
      <c r="I44" s="165">
        <v>168025.35831000001</v>
      </c>
      <c r="J44" s="20">
        <f>I42</f>
        <v>185516.66132000004</v>
      </c>
      <c r="K44" s="20">
        <f>J42</f>
        <v>181613.43474999999</v>
      </c>
      <c r="L44" s="20">
        <f>K42</f>
        <v>184279.91819</v>
      </c>
      <c r="P44" s="23"/>
      <c r="Q44" s="23"/>
      <c r="R44" s="23"/>
    </row>
    <row r="45" spans="1:26">
      <c r="G45" s="16"/>
      <c r="I45" s="16"/>
      <c r="J45" s="16"/>
      <c r="K45" s="16"/>
      <c r="L45" s="16"/>
    </row>
    <row r="46" spans="1:26">
      <c r="A46" s="1">
        <f>A44+1</f>
        <v>22</v>
      </c>
      <c r="C46" s="1" t="s">
        <v>29</v>
      </c>
      <c r="G46" s="20">
        <f>(G42+G44)/2</f>
        <v>182551.97156900002</v>
      </c>
      <c r="I46" s="20">
        <f>(I42+I44)/2</f>
        <v>176771.00981500003</v>
      </c>
      <c r="J46" s="20">
        <f>(J42+J44)/2</f>
        <v>183565.04803500001</v>
      </c>
      <c r="K46" s="20">
        <f>(K42+K44)/2</f>
        <v>182946.67647000001</v>
      </c>
      <c r="L46" s="20">
        <f>(L42+L44)/2</f>
        <v>181667.76832999999</v>
      </c>
      <c r="M46" s="18"/>
      <c r="N46" s="19"/>
      <c r="Y46" s="19"/>
      <c r="Z46" s="19"/>
    </row>
    <row r="47" spans="1:26">
      <c r="G47" s="16"/>
      <c r="I47" s="16"/>
      <c r="J47" s="16"/>
      <c r="K47" s="16"/>
      <c r="L47" s="16"/>
    </row>
    <row r="48" spans="1:26" ht="13" thickBot="1">
      <c r="A48" s="1">
        <f>A46+1</f>
        <v>23</v>
      </c>
      <c r="C48" s="9" t="s">
        <v>37</v>
      </c>
      <c r="E48" s="4" t="s">
        <v>38</v>
      </c>
      <c r="G48" s="24">
        <f>G34-G46</f>
        <v>309465.73782139423</v>
      </c>
      <c r="I48" s="24">
        <f>I34-I46</f>
        <v>300951.49216369144</v>
      </c>
      <c r="J48" s="24">
        <f>J34-J46</f>
        <v>303486.98545314535</v>
      </c>
      <c r="K48" s="24">
        <f>K34-K46</f>
        <v>332395.59579773666</v>
      </c>
      <c r="L48" s="24">
        <f>L34-L46</f>
        <v>376004.32947329571</v>
      </c>
      <c r="M48" s="19"/>
      <c r="N48" s="19"/>
      <c r="O48" s="19"/>
    </row>
    <row r="49" spans="3:12">
      <c r="G49" s="16"/>
      <c r="I49" s="16"/>
      <c r="J49" s="16"/>
      <c r="K49" s="16"/>
    </row>
    <row r="50" spans="3:12">
      <c r="C50" s="1" t="s">
        <v>39</v>
      </c>
      <c r="G50" s="16"/>
      <c r="I50" s="16"/>
      <c r="J50" s="16"/>
      <c r="K50" s="16"/>
    </row>
    <row r="51" spans="3:12" ht="31.5" customHeight="1">
      <c r="C51" s="202" t="s">
        <v>427</v>
      </c>
      <c r="D51" s="202"/>
      <c r="E51" s="202"/>
      <c r="F51" s="202"/>
      <c r="G51" s="202"/>
      <c r="H51" s="202"/>
      <c r="I51" s="202"/>
      <c r="J51" s="202"/>
      <c r="K51" s="202"/>
      <c r="L51" s="202"/>
    </row>
    <row r="52" spans="3:12">
      <c r="C52" s="202"/>
      <c r="D52" s="202"/>
      <c r="E52" s="202"/>
      <c r="F52" s="202"/>
      <c r="G52" s="25"/>
      <c r="H52" s="25"/>
      <c r="I52" s="25"/>
      <c r="J52" s="25"/>
      <c r="K52" s="25"/>
    </row>
    <row r="53" spans="3:12">
      <c r="G53" s="19"/>
      <c r="I53" s="19"/>
      <c r="J53" s="19"/>
      <c r="K53" s="19"/>
      <c r="L53" s="19"/>
    </row>
    <row r="54" spans="3:12">
      <c r="G54" s="65"/>
      <c r="H54" s="65"/>
      <c r="I54" s="65"/>
      <c r="J54" s="65"/>
      <c r="K54" s="65"/>
      <c r="L54" s="65"/>
    </row>
    <row r="55" spans="3:12">
      <c r="J55" s="19"/>
    </row>
    <row r="56" spans="3:12">
      <c r="I56" s="19"/>
      <c r="J56" s="19"/>
      <c r="K56" s="19"/>
      <c r="L56" s="19"/>
    </row>
    <row r="57" spans="3:12">
      <c r="I57" s="19"/>
      <c r="J57" s="19"/>
      <c r="K57" s="19"/>
      <c r="L57" s="19"/>
    </row>
    <row r="58" spans="3:12">
      <c r="I58" s="198"/>
    </row>
  </sheetData>
  <mergeCells count="2">
    <mergeCell ref="C52:F52"/>
    <mergeCell ref="C51:L51"/>
  </mergeCells>
  <phoneticPr fontId="0" type="noConversion"/>
  <printOptions horizontalCentered="1"/>
  <pageMargins left="0.55118110236220474" right="0.31496062992125984" top="0.51181102362204722" bottom="0.51181102362204722" header="0.51181102362204722" footer="0.51181102362204722"/>
  <pageSetup scale="7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L25"/>
  <sheetViews>
    <sheetView view="pageBreakPreview" zoomScaleSheetLayoutView="100" workbookViewId="0">
      <selection activeCell="E13" sqref="E13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54296875" style="1" customWidth="1"/>
    <col min="4" max="4" width="1.81640625" style="1" customWidth="1"/>
    <col min="5" max="5" width="9.1796875" style="4"/>
    <col min="6" max="6" width="1.81640625" style="1" customWidth="1"/>
    <col min="7" max="7" width="12.81640625" style="1" customWidth="1"/>
    <col min="8" max="8" width="1.81640625" style="1" customWidth="1"/>
    <col min="9" max="11" width="11.26953125" style="1" customWidth="1"/>
    <col min="12" max="12" width="12.90625" style="1" customWidth="1"/>
    <col min="13" max="16384" width="9.1796875" style="1"/>
  </cols>
  <sheetData>
    <row r="1" spans="1:12" ht="15">
      <c r="A1" s="10" t="s">
        <v>0</v>
      </c>
      <c r="L1" s="3" t="s">
        <v>40</v>
      </c>
    </row>
    <row r="2" spans="1:12" ht="14">
      <c r="A2" s="26" t="s">
        <v>41</v>
      </c>
      <c r="E2" s="27"/>
      <c r="F2" s="28"/>
      <c r="H2" s="28"/>
      <c r="L2" s="12" t="str">
        <f>Index!F2</f>
        <v>August 31, 2023</v>
      </c>
    </row>
    <row r="3" spans="1:12">
      <c r="A3" s="11" t="s">
        <v>7</v>
      </c>
    </row>
    <row r="6" spans="1:12" s="4" customFormat="1">
      <c r="G6" s="13"/>
      <c r="I6" s="13"/>
      <c r="J6" s="13"/>
      <c r="K6" s="9"/>
      <c r="L6" s="9"/>
    </row>
    <row r="7" spans="1:12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>
      <c r="A9" s="1">
        <v>1</v>
      </c>
      <c r="C9" s="1" t="s">
        <v>42</v>
      </c>
      <c r="E9" s="4" t="s">
        <v>43</v>
      </c>
      <c r="G9" s="16">
        <f>'Schedule 5'!G16</f>
        <v>43211.338227249857</v>
      </c>
      <c r="I9" s="16">
        <f>'Schedule 5'!I16</f>
        <v>40095.822196157591</v>
      </c>
      <c r="J9" s="16">
        <f>'Schedule 5'!J16</f>
        <v>44640.58821570412</v>
      </c>
      <c r="K9" s="16">
        <f>'Schedule 5'!K16</f>
        <v>50017.429764339839</v>
      </c>
      <c r="L9" s="16">
        <f>'Schedule 5'!L16</f>
        <v>53178.169869031684</v>
      </c>
    </row>
    <row r="10" spans="1:12">
      <c r="A10" s="1">
        <v>2</v>
      </c>
      <c r="C10" s="1" t="s">
        <v>44</v>
      </c>
      <c r="E10" s="4" t="s">
        <v>45</v>
      </c>
      <c r="G10" s="16">
        <f>'Schedule 5'!G17</f>
        <v>749.75450131960019</v>
      </c>
      <c r="I10" s="16">
        <f>'Schedule 5'!I17</f>
        <v>739.14745000000005</v>
      </c>
      <c r="J10" s="16">
        <f>'Schedule 5'!J17</f>
        <v>743.01589000000001</v>
      </c>
      <c r="K10" s="16">
        <f>'Schedule 5'!K17</f>
        <v>757.77395548800007</v>
      </c>
      <c r="L10" s="16">
        <f>'Schedule 5'!L17</f>
        <v>776.69908654176004</v>
      </c>
    </row>
    <row r="11" spans="1:12">
      <c r="A11" s="1">
        <v>3</v>
      </c>
      <c r="C11" s="1" t="s">
        <v>46</v>
      </c>
      <c r="E11" s="4" t="s">
        <v>237</v>
      </c>
      <c r="G11" s="16">
        <v>-120.00024999999994</v>
      </c>
      <c r="I11" s="16">
        <v>-117.28974000000001</v>
      </c>
      <c r="J11" s="16">
        <v>-120.58844000000001</v>
      </c>
      <c r="K11" s="16">
        <v>-120.00000000000003</v>
      </c>
      <c r="L11" s="16">
        <v>-120</v>
      </c>
    </row>
    <row r="12" spans="1:12">
      <c r="G12" s="16"/>
      <c r="I12" s="16"/>
      <c r="J12" s="16"/>
      <c r="K12" s="16"/>
      <c r="L12" s="16"/>
    </row>
    <row r="13" spans="1:12">
      <c r="A13" s="1">
        <v>4</v>
      </c>
      <c r="C13" s="1" t="s">
        <v>47</v>
      </c>
      <c r="G13" s="16">
        <f>SUM(G9:G11)</f>
        <v>43841.092478569459</v>
      </c>
      <c r="I13" s="16">
        <f>SUM(I9:I11)</f>
        <v>40717.679906157588</v>
      </c>
      <c r="J13" s="16">
        <f>SUM(J9:J11)</f>
        <v>45263.015665704123</v>
      </c>
      <c r="K13" s="16">
        <f>SUM(K9:K11)</f>
        <v>50655.203719827841</v>
      </c>
      <c r="L13" s="16">
        <f>SUM(L9:L11)</f>
        <v>53834.868955573445</v>
      </c>
    </row>
    <row r="14" spans="1:12">
      <c r="G14" s="29"/>
      <c r="I14" s="29"/>
      <c r="J14" s="29"/>
      <c r="K14" s="29"/>
      <c r="L14" s="29"/>
    </row>
    <row r="15" spans="1:12">
      <c r="A15" s="1">
        <v>5</v>
      </c>
      <c r="C15" s="1" t="s">
        <v>48</v>
      </c>
      <c r="G15" s="29">
        <f>G13*27/365</f>
        <v>3243.0397175928092</v>
      </c>
      <c r="I15" s="29">
        <f>I13*27/365</f>
        <v>3011.9927601815202</v>
      </c>
      <c r="J15" s="29">
        <f>J13*27/365</f>
        <v>3348.2230766411271</v>
      </c>
      <c r="K15" s="29">
        <f>K13*27/365</f>
        <v>3747.0972614667166</v>
      </c>
      <c r="L15" s="29">
        <f>L13*27/365</f>
        <v>3982.3053747958438</v>
      </c>
    </row>
    <row r="16" spans="1:12">
      <c r="G16" s="16"/>
      <c r="I16" s="16"/>
      <c r="J16" s="16"/>
      <c r="K16" s="16"/>
      <c r="L16" s="16"/>
    </row>
    <row r="17" spans="1:12">
      <c r="A17" s="1">
        <v>6</v>
      </c>
      <c r="C17" s="1" t="s">
        <v>49</v>
      </c>
      <c r="G17" s="16">
        <v>4013.9175066666667</v>
      </c>
      <c r="I17" s="16">
        <v>4155.5757066666665</v>
      </c>
      <c r="J17" s="16">
        <v>4464.0859700000001</v>
      </c>
      <c r="K17" s="16">
        <v>4683.4678633333324</v>
      </c>
      <c r="L17" s="16">
        <v>4816.6368499999999</v>
      </c>
    </row>
    <row r="18" spans="1:12">
      <c r="G18" s="16"/>
      <c r="I18" s="16"/>
      <c r="J18" s="16"/>
      <c r="K18" s="16"/>
      <c r="L18" s="16"/>
    </row>
    <row r="19" spans="1:12">
      <c r="A19" s="1">
        <v>7</v>
      </c>
      <c r="C19" s="1" t="s">
        <v>50</v>
      </c>
      <c r="E19" s="4" t="s">
        <v>51</v>
      </c>
      <c r="G19" s="20">
        <f>'Schedule 2A'!G30</f>
        <v>-165</v>
      </c>
      <c r="I19" s="20">
        <f>'Schedule 2A'!I30</f>
        <v>-243</v>
      </c>
      <c r="J19" s="20">
        <f>'Schedule 2A'!J30</f>
        <v>-231</v>
      </c>
      <c r="K19" s="20">
        <f>'Schedule 2A'!K30</f>
        <v>-164</v>
      </c>
      <c r="L19" s="20">
        <f>'Schedule 2A'!L30</f>
        <v>-223</v>
      </c>
    </row>
    <row r="20" spans="1:12">
      <c r="G20" s="16"/>
      <c r="I20" s="16"/>
      <c r="J20" s="16"/>
      <c r="K20" s="16"/>
      <c r="L20" s="16"/>
    </row>
    <row r="21" spans="1:12" ht="13" thickBot="1">
      <c r="A21" s="1">
        <v>8</v>
      </c>
      <c r="C21" s="1" t="s">
        <v>30</v>
      </c>
      <c r="E21" s="4" t="s">
        <v>494</v>
      </c>
      <c r="G21" s="32">
        <f>G15+G17+G19</f>
        <v>7091.9572242594759</v>
      </c>
      <c r="I21" s="32">
        <f>I15+I17+I19</f>
        <v>6924.5684668481863</v>
      </c>
      <c r="J21" s="32">
        <f>J15+J17+J19</f>
        <v>7581.3090466411268</v>
      </c>
      <c r="K21" s="32">
        <f>K15+K17+K19</f>
        <v>8266.5651248000486</v>
      </c>
      <c r="L21" s="32">
        <f>L15+L17+L19</f>
        <v>8575.9422247958428</v>
      </c>
    </row>
    <row r="22" spans="1:12">
      <c r="G22" s="16"/>
      <c r="I22" s="16"/>
      <c r="J22" s="16"/>
      <c r="K22" s="16"/>
    </row>
    <row r="23" spans="1:12">
      <c r="C23" s="31" t="s">
        <v>13</v>
      </c>
      <c r="G23" s="16"/>
      <c r="I23" s="16"/>
      <c r="J23" s="16"/>
      <c r="K23" s="16"/>
    </row>
    <row r="25" spans="1:12">
      <c r="E25" s="13"/>
      <c r="F25" s="9"/>
      <c r="G25" s="33"/>
      <c r="H25" s="9"/>
      <c r="I25" s="33"/>
      <c r="J25" s="33"/>
      <c r="K25" s="33"/>
      <c r="L25" s="33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L30"/>
  <sheetViews>
    <sheetView view="pageBreakPreview" zoomScaleSheetLayoutView="100" workbookViewId="0">
      <selection activeCell="A8" sqref="A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26953125" style="1" customWidth="1"/>
    <col min="4" max="4" width="1.81640625" style="1" customWidth="1"/>
    <col min="5" max="5" width="9.1796875" style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2" ht="15">
      <c r="A1" s="10" t="s">
        <v>0</v>
      </c>
      <c r="L1" s="3" t="s">
        <v>52</v>
      </c>
    </row>
    <row r="2" spans="1:12">
      <c r="A2" s="11" t="s">
        <v>53</v>
      </c>
      <c r="L2" s="12" t="str">
        <f>Index!F2</f>
        <v>August 31, 2023</v>
      </c>
    </row>
    <row r="3" spans="1:12">
      <c r="A3" s="11" t="s">
        <v>7</v>
      </c>
    </row>
    <row r="6" spans="1:12" s="4" customFormat="1">
      <c r="G6" s="13"/>
      <c r="I6" s="13"/>
      <c r="J6" s="13"/>
      <c r="K6" s="9"/>
      <c r="L6" s="9"/>
    </row>
    <row r="7" spans="1:12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2">
      <c r="A9" s="1">
        <v>1</v>
      </c>
      <c r="C9" s="1" t="s">
        <v>54</v>
      </c>
      <c r="G9" s="19">
        <v>96059.393034098932</v>
      </c>
      <c r="I9" s="19">
        <v>50415.452729999939</v>
      </c>
      <c r="J9" s="19">
        <v>69788.352070000008</v>
      </c>
      <c r="K9" s="19">
        <v>118092.7630756226</v>
      </c>
      <c r="L9" s="19">
        <v>110173.82566604127</v>
      </c>
    </row>
    <row r="11" spans="1:12">
      <c r="A11" s="1">
        <v>2</v>
      </c>
      <c r="C11" s="1" t="s">
        <v>55</v>
      </c>
      <c r="G11" s="34">
        <v>0.05</v>
      </c>
      <c r="I11" s="34">
        <v>0.05</v>
      </c>
      <c r="J11" s="34">
        <v>0.05</v>
      </c>
      <c r="K11" s="34">
        <v>0.05</v>
      </c>
      <c r="L11" s="34">
        <v>0.05</v>
      </c>
    </row>
    <row r="13" spans="1:12">
      <c r="A13" s="1">
        <v>3</v>
      </c>
      <c r="C13" s="1" t="s">
        <v>56</v>
      </c>
      <c r="G13" s="16">
        <f>G11*G9</f>
        <v>4802.969651704947</v>
      </c>
      <c r="I13" s="16">
        <f>I11*I9</f>
        <v>2520.7726364999971</v>
      </c>
      <c r="J13" s="16">
        <f>J11*J9</f>
        <v>3489.4176035000005</v>
      </c>
      <c r="K13" s="16">
        <f>K11*K9</f>
        <v>5904.6381537811303</v>
      </c>
      <c r="L13" s="16">
        <f>L11*L9</f>
        <v>5508.6912833020642</v>
      </c>
    </row>
    <row r="15" spans="1:12">
      <c r="A15" s="1">
        <v>4</v>
      </c>
      <c r="C15" s="1" t="s">
        <v>57</v>
      </c>
      <c r="G15" s="20">
        <v>14</v>
      </c>
      <c r="I15" s="20">
        <v>14</v>
      </c>
      <c r="J15" s="20">
        <v>14</v>
      </c>
      <c r="K15" s="20">
        <v>14</v>
      </c>
      <c r="L15" s="20">
        <v>14</v>
      </c>
    </row>
    <row r="17" spans="1:12">
      <c r="A17" s="1">
        <v>5</v>
      </c>
      <c r="C17" s="1" t="s">
        <v>58</v>
      </c>
      <c r="G17" s="20">
        <f>ROUND(G13*G15/365,0)</f>
        <v>184</v>
      </c>
      <c r="I17" s="20">
        <f>ROUND(I13*I15/365,0)</f>
        <v>97</v>
      </c>
      <c r="J17" s="20">
        <f>ROUND(J13*J15/365,0)</f>
        <v>134</v>
      </c>
      <c r="K17" s="20">
        <f>ROUND(K13*K15/365,0)</f>
        <v>226</v>
      </c>
      <c r="L17" s="20">
        <f>ROUND(L13*L15/365,0)</f>
        <v>211</v>
      </c>
    </row>
    <row r="20" spans="1:12">
      <c r="A20" s="1">
        <v>6</v>
      </c>
      <c r="C20" s="1" t="s">
        <v>59</v>
      </c>
      <c r="G20" s="16">
        <v>72824.85648652495</v>
      </c>
      <c r="I20" s="16">
        <v>70916.151456087595</v>
      </c>
      <c r="J20" s="16">
        <v>76032.233820447553</v>
      </c>
      <c r="K20" s="16">
        <v>81439.843053213554</v>
      </c>
      <c r="L20" s="16">
        <v>90433.132763988309</v>
      </c>
    </row>
    <row r="22" spans="1:12">
      <c r="A22" s="1">
        <v>7</v>
      </c>
      <c r="C22" s="1" t="s">
        <v>373</v>
      </c>
      <c r="G22" s="34">
        <v>0.05</v>
      </c>
      <c r="I22" s="34">
        <v>0.05</v>
      </c>
      <c r="J22" s="34">
        <v>0.05</v>
      </c>
      <c r="K22" s="34">
        <v>0.05</v>
      </c>
      <c r="L22" s="34">
        <v>0.05</v>
      </c>
    </row>
    <row r="24" spans="1:12">
      <c r="A24" s="1">
        <v>8</v>
      </c>
      <c r="C24" s="1" t="s">
        <v>60</v>
      </c>
      <c r="G24" s="16">
        <f>G22*G20</f>
        <v>3641.2428243262475</v>
      </c>
      <c r="I24" s="16">
        <f>I22*I20</f>
        <v>3545.80757280438</v>
      </c>
      <c r="J24" s="16">
        <f>J22*J20</f>
        <v>3801.6116910223777</v>
      </c>
      <c r="K24" s="16">
        <f>K22*K20</f>
        <v>4071.9921526606777</v>
      </c>
      <c r="L24" s="16">
        <f>L22*L20</f>
        <v>4521.6566381994153</v>
      </c>
    </row>
    <row r="26" spans="1:12">
      <c r="A26" s="1">
        <v>9</v>
      </c>
      <c r="C26" s="1" t="s">
        <v>61</v>
      </c>
      <c r="F26" s="1" t="s">
        <v>13</v>
      </c>
      <c r="G26" s="20">
        <v>35</v>
      </c>
      <c r="H26" s="1" t="s">
        <v>13</v>
      </c>
      <c r="I26" s="20">
        <v>35</v>
      </c>
      <c r="J26" s="20">
        <v>35</v>
      </c>
      <c r="K26" s="20">
        <v>35</v>
      </c>
      <c r="L26" s="20">
        <v>35</v>
      </c>
    </row>
    <row r="28" spans="1:12">
      <c r="A28" s="1">
        <v>10</v>
      </c>
      <c r="C28" s="1" t="s">
        <v>62</v>
      </c>
      <c r="G28" s="20">
        <f>ROUND(G24*G26/365,0)</f>
        <v>349</v>
      </c>
      <c r="I28" s="20">
        <f>ROUND(I24*I26/365,0)</f>
        <v>340</v>
      </c>
      <c r="J28" s="20">
        <f>ROUND(J24*J26/365,0)</f>
        <v>365</v>
      </c>
      <c r="K28" s="20">
        <f>ROUND(K24*K26/365,0)</f>
        <v>390</v>
      </c>
      <c r="L28" s="20">
        <f>ROUND(L24*L26/365,0)</f>
        <v>434</v>
      </c>
    </row>
    <row r="30" spans="1:12" ht="13" thickBot="1">
      <c r="A30" s="1">
        <v>11</v>
      </c>
      <c r="C30" s="1" t="s">
        <v>63</v>
      </c>
      <c r="E30" s="1" t="s">
        <v>64</v>
      </c>
      <c r="G30" s="36">
        <f>G17-G28</f>
        <v>-165</v>
      </c>
      <c r="I30" s="36">
        <f>I17-I28</f>
        <v>-243</v>
      </c>
      <c r="J30" s="36">
        <f>J17-J28</f>
        <v>-231</v>
      </c>
      <c r="K30" s="36">
        <f>K17-K28</f>
        <v>-164</v>
      </c>
      <c r="L30" s="36">
        <f>L17-L28</f>
        <v>-223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O125"/>
  <sheetViews>
    <sheetView view="pageBreakPreview" zoomScaleSheetLayoutView="100" workbookViewId="0">
      <pane ySplit="7" topLeftCell="A64" activePane="bottomLeft" state="frozen"/>
      <selection activeCell="A20" sqref="A20"/>
      <selection pane="bottomLeft" activeCell="L71" sqref="L71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53.5429687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0" width="11.26953125" style="1" customWidth="1"/>
    <col min="11" max="11" width="11.1796875" style="1" customWidth="1"/>
    <col min="12" max="12" width="13.08984375" style="1" customWidth="1"/>
    <col min="13" max="16384" width="9.1796875" style="1"/>
  </cols>
  <sheetData>
    <row r="1" spans="1:15" ht="15">
      <c r="A1" s="10" t="s">
        <v>0</v>
      </c>
      <c r="L1" s="3" t="s">
        <v>65</v>
      </c>
    </row>
    <row r="2" spans="1:15">
      <c r="A2" s="11" t="s">
        <v>332</v>
      </c>
      <c r="L2" s="12" t="str">
        <f>Index!F2</f>
        <v>August 31, 2023</v>
      </c>
    </row>
    <row r="3" spans="1:15">
      <c r="A3" s="11" t="s">
        <v>7</v>
      </c>
    </row>
    <row r="6" spans="1:15" s="4" customFormat="1">
      <c r="E6" s="4" t="s">
        <v>13</v>
      </c>
      <c r="G6" s="13"/>
      <c r="I6" s="13"/>
      <c r="J6" s="13"/>
      <c r="K6" s="9"/>
      <c r="L6" s="9"/>
    </row>
    <row r="7" spans="1:15" s="15" customFormat="1" ht="25">
      <c r="A7" s="14" t="s">
        <v>8</v>
      </c>
      <c r="C7" s="14" t="s">
        <v>9</v>
      </c>
      <c r="E7" s="14" t="s">
        <v>10</v>
      </c>
      <c r="G7" s="14" t="str">
        <f>'Schedule 1'!G7</f>
        <v>2021 GRA
Compliance</v>
      </c>
      <c r="I7" s="14" t="str">
        <f>'Schedule 1'!I7</f>
        <v>Actual 2021</v>
      </c>
      <c r="J7" s="14" t="str">
        <f>'Schedule 1'!J7</f>
        <v>Actual 2022</v>
      </c>
      <c r="K7" s="14" t="str">
        <f>'Schedule 1'!K7</f>
        <v>Forecast 2023</v>
      </c>
      <c r="L7" s="14" t="str">
        <f>'Schedule 1'!L7</f>
        <v>Forecast 2024</v>
      </c>
    </row>
    <row r="9" spans="1:15">
      <c r="C9" s="9" t="s">
        <v>11</v>
      </c>
    </row>
    <row r="10" spans="1:15">
      <c r="A10" s="1">
        <v>1</v>
      </c>
      <c r="C10" s="1" t="s">
        <v>66</v>
      </c>
      <c r="F10" s="37"/>
      <c r="G10" s="16">
        <v>672466.67311999993</v>
      </c>
      <c r="H10" s="37"/>
      <c r="I10" s="16">
        <v>667961.78300000005</v>
      </c>
      <c r="J10" s="16">
        <f>I13</f>
        <v>691597.64155000006</v>
      </c>
      <c r="K10" s="16">
        <f>J13</f>
        <v>735254.06204999995</v>
      </c>
      <c r="L10" s="16">
        <f>K13</f>
        <v>813146.44925999991</v>
      </c>
    </row>
    <row r="11" spans="1:15">
      <c r="A11" s="1">
        <f>A10+1</f>
        <v>2</v>
      </c>
      <c r="C11" s="1" t="s">
        <v>67</v>
      </c>
      <c r="F11" s="37"/>
      <c r="G11" s="16">
        <v>57151.639539999989</v>
      </c>
      <c r="H11" s="37"/>
      <c r="I11" s="16">
        <v>26668.276719999998</v>
      </c>
      <c r="J11" s="16">
        <v>44506.015249999997</v>
      </c>
      <c r="K11" s="16">
        <v>80430.404429999995</v>
      </c>
      <c r="L11" s="16">
        <v>64154.444259999997</v>
      </c>
      <c r="N11" s="19"/>
      <c r="O11" s="19"/>
    </row>
    <row r="12" spans="1:15">
      <c r="A12" s="1">
        <f>A11+1</f>
        <v>3</v>
      </c>
      <c r="C12" s="1" t="s">
        <v>68</v>
      </c>
      <c r="F12" s="37"/>
      <c r="G12" s="20">
        <v>-1336.5035415384614</v>
      </c>
      <c r="H12" s="37"/>
      <c r="I12" s="20">
        <v>-3032.4181699999999</v>
      </c>
      <c r="J12" s="20">
        <v>-849.59474999999998</v>
      </c>
      <c r="K12" s="20">
        <v>-2538.0172200000002</v>
      </c>
      <c r="L12" s="20">
        <v>0</v>
      </c>
    </row>
    <row r="13" spans="1:15">
      <c r="A13" s="1">
        <f>A12+1</f>
        <v>4</v>
      </c>
      <c r="C13" s="1" t="s">
        <v>69</v>
      </c>
      <c r="E13" s="4" t="s">
        <v>70</v>
      </c>
      <c r="F13" s="37"/>
      <c r="G13" s="16">
        <f>G10+G11+G12</f>
        <v>728281.80911846145</v>
      </c>
      <c r="H13" s="37"/>
      <c r="I13" s="16">
        <f>I10+I11+I12</f>
        <v>691597.64155000006</v>
      </c>
      <c r="J13" s="16">
        <f>J10+J11+J12</f>
        <v>735254.06204999995</v>
      </c>
      <c r="K13" s="16">
        <f>K10+K11+K12</f>
        <v>813146.44925999991</v>
      </c>
      <c r="L13" s="16">
        <f>L10+L11+L12</f>
        <v>877300.89351999993</v>
      </c>
    </row>
    <row r="14" spans="1:15">
      <c r="F14" s="37"/>
      <c r="H14" s="37"/>
    </row>
    <row r="15" spans="1:15">
      <c r="C15" s="9" t="s">
        <v>71</v>
      </c>
    </row>
    <row r="16" spans="1:15">
      <c r="A16" s="1">
        <f>A13+1</f>
        <v>5</v>
      </c>
      <c r="C16" s="1" t="s">
        <v>66</v>
      </c>
      <c r="G16" s="16">
        <v>185384.1806900001</v>
      </c>
      <c r="I16" s="16">
        <v>184570.33900000001</v>
      </c>
      <c r="J16" s="16">
        <f>I19</f>
        <v>198509.39069999999</v>
      </c>
      <c r="K16" s="16">
        <f>J19</f>
        <v>211204.98384999999</v>
      </c>
      <c r="L16" s="16">
        <f>K19</f>
        <v>223380.18513</v>
      </c>
    </row>
    <row r="17" spans="1:15">
      <c r="A17" s="1">
        <f>A16+1</f>
        <v>6</v>
      </c>
      <c r="C17" s="1" t="s">
        <v>72</v>
      </c>
      <c r="E17" s="4" t="s">
        <v>73</v>
      </c>
      <c r="G17" s="16">
        <v>13435.829192331592</v>
      </c>
      <c r="I17" s="16">
        <v>14925.707289999998</v>
      </c>
      <c r="J17" s="16">
        <v>13308.356180000004</v>
      </c>
      <c r="K17" s="16">
        <v>14299.840619999997</v>
      </c>
      <c r="L17" s="16">
        <v>15705.50728</v>
      </c>
    </row>
    <row r="18" spans="1:15">
      <c r="A18" s="1">
        <f>A17+1</f>
        <v>7</v>
      </c>
      <c r="C18" s="1" t="s">
        <v>68</v>
      </c>
      <c r="G18" s="20">
        <v>-416.7368553846153</v>
      </c>
      <c r="I18" s="20">
        <v>-986.65558999999996</v>
      </c>
      <c r="J18" s="20">
        <v>-612.76303000000007</v>
      </c>
      <c r="K18" s="20">
        <v>-2124.6393399999997</v>
      </c>
      <c r="L18" s="20">
        <v>0</v>
      </c>
    </row>
    <row r="19" spans="1:15">
      <c r="A19" s="1">
        <f>A18+1</f>
        <v>8</v>
      </c>
      <c r="C19" s="1" t="s">
        <v>69</v>
      </c>
      <c r="E19" s="4" t="s">
        <v>293</v>
      </c>
      <c r="G19" s="19">
        <f>SUM(G16:G18)</f>
        <v>198403.27302694708</v>
      </c>
      <c r="I19" s="19">
        <f>SUM(I16:I18)</f>
        <v>198509.39069999999</v>
      </c>
      <c r="J19" s="19">
        <f>SUM(J16:J18)</f>
        <v>211204.98384999999</v>
      </c>
      <c r="K19" s="19">
        <f>SUM(K16:K18)</f>
        <v>223380.18513</v>
      </c>
      <c r="L19" s="19">
        <f>SUM(L16:L18)</f>
        <v>239085.69240999999</v>
      </c>
    </row>
    <row r="20" spans="1:15">
      <c r="G20" s="19"/>
      <c r="I20" s="19"/>
      <c r="J20" s="19"/>
      <c r="K20" s="19"/>
      <c r="L20" s="19"/>
    </row>
    <row r="21" spans="1:15">
      <c r="C21" s="1" t="s">
        <v>74</v>
      </c>
    </row>
    <row r="22" spans="1:15">
      <c r="A22" s="1">
        <f>A19+1</f>
        <v>9</v>
      </c>
      <c r="C22" s="1" t="s">
        <v>18</v>
      </c>
      <c r="G22" s="16">
        <v>13191.62039</v>
      </c>
      <c r="I22" s="16">
        <v>15165.952259999998</v>
      </c>
      <c r="J22" s="16">
        <v>15165.952259999998</v>
      </c>
      <c r="K22" s="16">
        <v>1152.4635799999996</v>
      </c>
      <c r="L22" s="16">
        <v>1152.4635799999996</v>
      </c>
      <c r="N22" s="19"/>
    </row>
    <row r="23" spans="1:15">
      <c r="A23" s="1">
        <f>A22+1</f>
        <v>10</v>
      </c>
      <c r="C23" s="1" t="s">
        <v>23</v>
      </c>
      <c r="G23" s="20">
        <v>-1039.2931599999999</v>
      </c>
      <c r="I23" s="20">
        <v>-759.8469376388889</v>
      </c>
      <c r="J23" s="20">
        <v>-1477.8164459722223</v>
      </c>
      <c r="K23" s="20">
        <v>-476.37306600000011</v>
      </c>
      <c r="L23" s="20">
        <v>-520.63452900000016</v>
      </c>
    </row>
    <row r="24" spans="1:15">
      <c r="A24" s="1">
        <f>A23+1</f>
        <v>11</v>
      </c>
      <c r="C24" s="1" t="s">
        <v>77</v>
      </c>
      <c r="E24" s="4" t="s">
        <v>75</v>
      </c>
      <c r="G24" s="17">
        <f>SUM(G22:G23)</f>
        <v>12152.327230000001</v>
      </c>
      <c r="I24" s="17">
        <f>SUM(I22:I23)</f>
        <v>14406.105322361109</v>
      </c>
      <c r="J24" s="17">
        <f>SUM(J22:J23)</f>
        <v>13688.135814027775</v>
      </c>
      <c r="K24" s="17">
        <f>SUM(K22:K23)</f>
        <v>676.09051399999953</v>
      </c>
      <c r="L24" s="17">
        <f>SUM(L22:L23)</f>
        <v>631.82905099999948</v>
      </c>
    </row>
    <row r="26" spans="1:15">
      <c r="A26" s="1">
        <f>A24+1</f>
        <v>12</v>
      </c>
      <c r="C26" s="1" t="s">
        <v>16</v>
      </c>
      <c r="E26" s="4" t="s">
        <v>78</v>
      </c>
      <c r="G26" s="29">
        <v>40571.94255</v>
      </c>
      <c r="I26" s="29">
        <v>3808.3901400000004</v>
      </c>
      <c r="J26" s="29">
        <v>33637.833770000005</v>
      </c>
      <c r="K26" s="29">
        <v>81643.673849999992</v>
      </c>
      <c r="L26" s="29">
        <v>100577.6017</v>
      </c>
    </row>
    <row r="27" spans="1:15">
      <c r="G27" s="16"/>
      <c r="I27" s="16"/>
      <c r="J27" s="16"/>
      <c r="K27" s="16"/>
      <c r="L27" s="16"/>
    </row>
    <row r="28" spans="1:15">
      <c r="C28" s="1" t="s">
        <v>79</v>
      </c>
      <c r="G28" s="16"/>
      <c r="I28" s="16"/>
      <c r="J28" s="16"/>
      <c r="K28" s="16"/>
      <c r="L28" s="16"/>
    </row>
    <row r="29" spans="1:15">
      <c r="A29" s="1">
        <f>A26+1</f>
        <v>13</v>
      </c>
      <c r="C29" s="134" t="s">
        <v>336</v>
      </c>
      <c r="G29" s="16">
        <v>3918.2389999999987</v>
      </c>
      <c r="I29" s="16">
        <v>3918.2389999999996</v>
      </c>
      <c r="J29" s="16">
        <v>3656.2389999999996</v>
      </c>
      <c r="K29" s="16">
        <v>3394.2389999999996</v>
      </c>
      <c r="L29" s="16">
        <v>3132.2389999999996</v>
      </c>
    </row>
    <row r="30" spans="1:15">
      <c r="A30" s="1">
        <f>A29+1</f>
        <v>14</v>
      </c>
      <c r="C30" s="134" t="s">
        <v>335</v>
      </c>
      <c r="G30" s="16">
        <v>2743.5471945037352</v>
      </c>
      <c r="I30" s="16">
        <f>G30</f>
        <v>2743.5471945037352</v>
      </c>
      <c r="J30" s="16">
        <v>9895.3273680989132</v>
      </c>
      <c r="K30" s="16"/>
      <c r="L30" s="16"/>
      <c r="M30" s="19"/>
      <c r="N30" s="198"/>
    </row>
    <row r="31" spans="1:15">
      <c r="A31" s="1">
        <f>A30+1</f>
        <v>15</v>
      </c>
      <c r="C31" s="134" t="s">
        <v>80</v>
      </c>
      <c r="G31" s="16">
        <v>-1843.2813259999998</v>
      </c>
      <c r="I31" s="16">
        <v>-1776.74865</v>
      </c>
      <c r="J31" s="16">
        <v>-2997.2910899999997</v>
      </c>
      <c r="K31" s="16">
        <v>-3281.4</v>
      </c>
      <c r="L31" s="16">
        <v>-3347.3319999999999</v>
      </c>
      <c r="O31" s="89"/>
    </row>
    <row r="32" spans="1:15">
      <c r="A32" s="1">
        <f>A31+1</f>
        <v>16</v>
      </c>
      <c r="C32" s="134" t="s">
        <v>81</v>
      </c>
      <c r="G32" s="20">
        <v>2790.4683099999997</v>
      </c>
      <c r="I32" s="20">
        <v>2737.5637499999998</v>
      </c>
      <c r="J32" s="20">
        <v>2729.0270600000003</v>
      </c>
      <c r="K32" s="20">
        <v>1965.9341599999998</v>
      </c>
      <c r="L32" s="20">
        <v>1965.9341599999998</v>
      </c>
    </row>
    <row r="33" spans="1:12">
      <c r="A33" s="1">
        <f>A32+1</f>
        <v>17</v>
      </c>
      <c r="C33" s="1" t="s">
        <v>311</v>
      </c>
      <c r="E33" s="4" t="s">
        <v>82</v>
      </c>
      <c r="G33" s="17">
        <f>SUM(G29:G32)</f>
        <v>7608.9731785037347</v>
      </c>
      <c r="I33" s="17">
        <f>SUM(I29:I32)</f>
        <v>7622.6012945037346</v>
      </c>
      <c r="J33" s="17">
        <f>SUM(J29:J32)</f>
        <v>13283.302338098914</v>
      </c>
      <c r="K33" s="17">
        <f>SUM(K29:K32)</f>
        <v>2078.7731599999993</v>
      </c>
      <c r="L33" s="17">
        <f>SUM(L29:L32)</f>
        <v>1750.8411599999995</v>
      </c>
    </row>
    <row r="34" spans="1:12">
      <c r="G34" s="16"/>
      <c r="I34" s="16"/>
      <c r="J34" s="16"/>
      <c r="K34" s="16"/>
      <c r="L34" s="16"/>
    </row>
    <row r="35" spans="1:12">
      <c r="A35" s="1">
        <f>A33+1</f>
        <v>18</v>
      </c>
      <c r="C35" s="1" t="s">
        <v>83</v>
      </c>
      <c r="G35" s="20">
        <f>G24+G26+G33</f>
        <v>60333.242958503739</v>
      </c>
      <c r="I35" s="20">
        <f>I24+I26+I33</f>
        <v>25837.096756864841</v>
      </c>
      <c r="J35" s="20">
        <f>J24+J26+J33</f>
        <v>60609.271922126689</v>
      </c>
      <c r="K35" s="20">
        <f>K24+K26+K33</f>
        <v>84398.537523999985</v>
      </c>
      <c r="L35" s="20">
        <f>L24+L26+L33</f>
        <v>102960.27191099999</v>
      </c>
    </row>
    <row r="36" spans="1:12">
      <c r="G36" s="16"/>
      <c r="I36" s="16"/>
      <c r="J36" s="16"/>
      <c r="K36" s="16"/>
      <c r="L36" s="16"/>
    </row>
    <row r="37" spans="1:12" ht="13" thickBot="1">
      <c r="A37" s="1">
        <f>A35+1</f>
        <v>19</v>
      </c>
      <c r="C37" s="1" t="s">
        <v>84</v>
      </c>
      <c r="G37" s="24">
        <f>G13-G19-G35</f>
        <v>469545.29313301068</v>
      </c>
      <c r="I37" s="24">
        <f>I13-I19-I35</f>
        <v>467251.15409313521</v>
      </c>
      <c r="J37" s="24">
        <f>J13-J19-J35</f>
        <v>463439.80627787329</v>
      </c>
      <c r="K37" s="24">
        <f>K13-K19-K35</f>
        <v>505367.72660599992</v>
      </c>
      <c r="L37" s="24">
        <f>L13-L19-L35</f>
        <v>535254.92919899989</v>
      </c>
    </row>
    <row r="38" spans="1:12">
      <c r="G38" s="16"/>
      <c r="I38" s="16"/>
      <c r="J38" s="16"/>
      <c r="K38" s="16"/>
      <c r="L38" s="16"/>
    </row>
    <row r="39" spans="1:12">
      <c r="C39" s="1" t="s">
        <v>22</v>
      </c>
    </row>
    <row r="40" spans="1:12">
      <c r="A40" s="1">
        <f>A37+1</f>
        <v>20</v>
      </c>
      <c r="C40" s="1" t="s">
        <v>331</v>
      </c>
      <c r="G40" s="16"/>
      <c r="I40" s="16"/>
      <c r="J40" s="16"/>
      <c r="K40" s="16"/>
      <c r="L40" s="16"/>
    </row>
    <row r="41" spans="1:12">
      <c r="A41" s="1">
        <f t="shared" ref="A41:A95" si="0">A40+1</f>
        <v>21</v>
      </c>
      <c r="C41" s="134" t="s">
        <v>85</v>
      </c>
      <c r="G41" s="16"/>
      <c r="I41" s="16"/>
      <c r="J41" s="16"/>
      <c r="K41" s="16"/>
      <c r="L41" s="16"/>
    </row>
    <row r="42" spans="1:12">
      <c r="A42" s="1">
        <f t="shared" si="0"/>
        <v>22</v>
      </c>
      <c r="C42" s="135" t="s">
        <v>86</v>
      </c>
      <c r="G42" s="16">
        <v>16797.595870000005</v>
      </c>
      <c r="I42" s="16">
        <v>15973.549309999999</v>
      </c>
      <c r="J42" s="16">
        <f>I45</f>
        <v>15148.937179999999</v>
      </c>
      <c r="K42" s="16">
        <f>J45</f>
        <v>13764.835940000001</v>
      </c>
      <c r="L42" s="16">
        <f>K45</f>
        <v>13275.839770000002</v>
      </c>
    </row>
    <row r="43" spans="1:12">
      <c r="A43" s="1">
        <f t="shared" si="0"/>
        <v>23</v>
      </c>
      <c r="C43" s="136" t="s">
        <v>87</v>
      </c>
      <c r="G43" s="16">
        <f>G45-G42-G44</f>
        <v>6685.9286200000006</v>
      </c>
      <c r="I43" s="16">
        <f>I45-I42-I44</f>
        <v>1342.9158700000003</v>
      </c>
      <c r="J43" s="16">
        <f>J45-J42-J44</f>
        <v>107.04653000000189</v>
      </c>
      <c r="K43" s="16">
        <f>K45-K42-K44</f>
        <v>560.0843700000014</v>
      </c>
      <c r="L43" s="16">
        <f>L45-L42-L44</f>
        <v>1499.9999999999986</v>
      </c>
    </row>
    <row r="44" spans="1:12">
      <c r="A44" s="1">
        <f t="shared" si="0"/>
        <v>24</v>
      </c>
      <c r="C44" s="136" t="s">
        <v>88</v>
      </c>
      <c r="G44" s="20">
        <v>-2273.6872999999996</v>
      </c>
      <c r="I44" s="20">
        <v>-2167.5279999999998</v>
      </c>
      <c r="J44" s="20">
        <v>-1491.14777</v>
      </c>
      <c r="K44" s="20">
        <v>-1049.0805399999999</v>
      </c>
      <c r="L44" s="20">
        <v>-2267.7426</v>
      </c>
    </row>
    <row r="45" spans="1:12">
      <c r="A45" s="1">
        <f t="shared" si="0"/>
        <v>25</v>
      </c>
      <c r="C45" s="135" t="s">
        <v>89</v>
      </c>
      <c r="G45" s="16">
        <v>21209.837190000006</v>
      </c>
      <c r="I45" s="16">
        <v>15148.937179999999</v>
      </c>
      <c r="J45" s="16">
        <v>13764.835940000001</v>
      </c>
      <c r="K45" s="16">
        <v>13275.839770000002</v>
      </c>
      <c r="L45" s="16">
        <v>12508.097170000001</v>
      </c>
    </row>
    <row r="46" spans="1:12">
      <c r="A46" s="1">
        <f t="shared" si="0"/>
        <v>26</v>
      </c>
      <c r="C46" s="134" t="s">
        <v>361</v>
      </c>
      <c r="G46" s="16"/>
      <c r="I46" s="16">
        <v>10343.198199999999</v>
      </c>
      <c r="J46" s="16">
        <v>10039.52435</v>
      </c>
      <c r="K46" s="16">
        <v>190</v>
      </c>
      <c r="L46" s="16">
        <v>785</v>
      </c>
    </row>
    <row r="47" spans="1:12">
      <c r="C47" s="135"/>
      <c r="G47" s="16"/>
      <c r="I47" s="16"/>
      <c r="J47" s="16"/>
      <c r="K47" s="16"/>
      <c r="L47" s="16"/>
    </row>
    <row r="48" spans="1:12">
      <c r="A48" s="1">
        <f>A46+1</f>
        <v>27</v>
      </c>
      <c r="C48" s="134" t="s">
        <v>90</v>
      </c>
      <c r="G48" s="16"/>
      <c r="I48" s="16"/>
      <c r="J48" s="16"/>
      <c r="K48" s="16"/>
      <c r="L48" s="16"/>
    </row>
    <row r="49" spans="1:12">
      <c r="A49" s="1">
        <f t="shared" si="0"/>
        <v>28</v>
      </c>
      <c r="C49" s="135" t="s">
        <v>86</v>
      </c>
      <c r="G49" s="16">
        <v>11881.954470000001</v>
      </c>
      <c r="I49" s="16">
        <v>12484.77079</v>
      </c>
      <c r="J49" s="16">
        <f>I52</f>
        <v>13883.55631</v>
      </c>
      <c r="K49" s="16">
        <f>J52</f>
        <v>17088.781999999999</v>
      </c>
      <c r="L49" s="16">
        <f>K52</f>
        <v>27135.07386</v>
      </c>
    </row>
    <row r="50" spans="1:12">
      <c r="A50" s="1">
        <f t="shared" si="0"/>
        <v>29</v>
      </c>
      <c r="C50" s="136" t="s">
        <v>87</v>
      </c>
      <c r="G50" s="16">
        <f>G52-G49-G51</f>
        <v>1745.0000000000009</v>
      </c>
      <c r="I50" s="16">
        <f>I52-I49-I51</f>
        <v>1737.5505299999995</v>
      </c>
      <c r="J50" s="16">
        <f>J52-J49-J51</f>
        <v>3543.9906899999992</v>
      </c>
      <c r="K50" s="16">
        <f>K52-K49-K51</f>
        <v>10865.85</v>
      </c>
      <c r="L50" s="16">
        <f>L52-L49-L51</f>
        <v>6110</v>
      </c>
    </row>
    <row r="51" spans="1:12">
      <c r="A51" s="1">
        <f t="shared" si="0"/>
        <v>30</v>
      </c>
      <c r="C51" s="136" t="s">
        <v>88</v>
      </c>
      <c r="G51" s="20">
        <v>-338.76501000000002</v>
      </c>
      <c r="I51" s="20">
        <v>-338.76501000000002</v>
      </c>
      <c r="J51" s="20">
        <v>-338.76499999999999</v>
      </c>
      <c r="K51" s="20">
        <v>-819.55813999999998</v>
      </c>
      <c r="L51" s="20">
        <v>-927.53455000000008</v>
      </c>
    </row>
    <row r="52" spans="1:12">
      <c r="A52" s="1">
        <f t="shared" si="0"/>
        <v>31</v>
      </c>
      <c r="C52" s="135" t="s">
        <v>89</v>
      </c>
      <c r="G52" s="16">
        <v>13288.189460000001</v>
      </c>
      <c r="I52" s="16">
        <v>13883.55631</v>
      </c>
      <c r="J52" s="16">
        <v>17088.781999999999</v>
      </c>
      <c r="K52" s="16">
        <v>27135.07386</v>
      </c>
      <c r="L52" s="16">
        <v>32317.53931</v>
      </c>
    </row>
    <row r="53" spans="1:12">
      <c r="A53" s="1">
        <f t="shared" si="0"/>
        <v>32</v>
      </c>
      <c r="C53" s="134" t="s">
        <v>362</v>
      </c>
      <c r="G53" s="16"/>
      <c r="I53" s="16">
        <v>13425.368779999999</v>
      </c>
      <c r="J53" s="16">
        <v>13065.92995</v>
      </c>
      <c r="K53" s="16">
        <v>23356.4228</v>
      </c>
      <c r="L53" s="16">
        <v>29053.4228</v>
      </c>
    </row>
    <row r="54" spans="1:12">
      <c r="C54" s="135"/>
      <c r="G54" s="16"/>
      <c r="I54" s="16"/>
      <c r="J54" s="16"/>
      <c r="K54" s="16"/>
      <c r="L54" s="16"/>
    </row>
    <row r="55" spans="1:12">
      <c r="A55" s="1">
        <f>A53+1</f>
        <v>33</v>
      </c>
      <c r="C55" s="134" t="s">
        <v>91</v>
      </c>
      <c r="G55" s="16"/>
      <c r="I55" s="16"/>
      <c r="J55" s="16"/>
      <c r="K55" s="16"/>
      <c r="L55" s="16"/>
    </row>
    <row r="56" spans="1:12">
      <c r="A56" s="1">
        <f t="shared" si="0"/>
        <v>34</v>
      </c>
      <c r="C56" s="135" t="s">
        <v>86</v>
      </c>
      <c r="G56" s="16">
        <v>203.18117999999998</v>
      </c>
      <c r="I56" s="16">
        <v>203.18118000000001</v>
      </c>
      <c r="J56" s="16">
        <f>I59</f>
        <v>228.69177999999999</v>
      </c>
      <c r="K56" s="16">
        <f>J59</f>
        <v>177.79390999999998</v>
      </c>
      <c r="L56" s="16">
        <f>K59</f>
        <v>126.89604</v>
      </c>
    </row>
    <row r="57" spans="1:12">
      <c r="A57" s="1">
        <f t="shared" si="0"/>
        <v>35</v>
      </c>
      <c r="C57" s="136" t="s">
        <v>87</v>
      </c>
      <c r="G57" s="16">
        <v>80</v>
      </c>
      <c r="I57" s="16">
        <f>I59-I56-I58</f>
        <v>80.850539999999995</v>
      </c>
      <c r="J57" s="16">
        <f>J59-J56-J58</f>
        <v>0</v>
      </c>
      <c r="K57" s="16">
        <f>K59-K56-K58</f>
        <v>0</v>
      </c>
      <c r="L57" s="16">
        <f>L59-L56-L58</f>
        <v>0</v>
      </c>
    </row>
    <row r="58" spans="1:12">
      <c r="A58" s="1">
        <f t="shared" si="0"/>
        <v>36</v>
      </c>
      <c r="C58" s="136" t="s">
        <v>88</v>
      </c>
      <c r="G58" s="20">
        <v>-64.270150000000001</v>
      </c>
      <c r="I58" s="20">
        <v>-55.339940000000006</v>
      </c>
      <c r="J58" s="20">
        <v>-50.897870000000005</v>
      </c>
      <c r="K58" s="20">
        <v>-50.897870000000005</v>
      </c>
      <c r="L58" s="20">
        <v>-50.897870000000005</v>
      </c>
    </row>
    <row r="59" spans="1:12">
      <c r="A59" s="1">
        <f t="shared" si="0"/>
        <v>37</v>
      </c>
      <c r="C59" s="135" t="s">
        <v>89</v>
      </c>
      <c r="G59" s="16">
        <f>SUM(G56:G58)</f>
        <v>218.91102999999998</v>
      </c>
      <c r="I59" s="16">
        <v>228.69177999999999</v>
      </c>
      <c r="J59" s="16">
        <v>177.79390999999998</v>
      </c>
      <c r="K59" s="16">
        <v>126.89604</v>
      </c>
      <c r="L59" s="16">
        <v>75.998169999999988</v>
      </c>
    </row>
    <row r="60" spans="1:12">
      <c r="A60" s="1">
        <f t="shared" si="0"/>
        <v>38</v>
      </c>
      <c r="C60" s="134" t="s">
        <v>363</v>
      </c>
      <c r="G60" s="16"/>
      <c r="I60" s="16">
        <v>0</v>
      </c>
      <c r="J60" s="16">
        <v>0</v>
      </c>
      <c r="K60" s="16">
        <v>0</v>
      </c>
      <c r="L60" s="16">
        <v>0</v>
      </c>
    </row>
    <row r="61" spans="1:12">
      <c r="C61" s="135"/>
      <c r="G61" s="16"/>
      <c r="I61" s="16"/>
      <c r="J61" s="16"/>
      <c r="K61" s="16"/>
      <c r="L61" s="16"/>
    </row>
    <row r="62" spans="1:12">
      <c r="A62" s="1">
        <f>A60+1</f>
        <v>39</v>
      </c>
      <c r="C62" s="134" t="s">
        <v>365</v>
      </c>
      <c r="G62" s="16"/>
      <c r="I62" s="16"/>
      <c r="J62" s="16"/>
      <c r="K62" s="16"/>
      <c r="L62" s="16"/>
    </row>
    <row r="63" spans="1:12">
      <c r="A63" s="1">
        <f t="shared" si="0"/>
        <v>40</v>
      </c>
      <c r="C63" s="135" t="s">
        <v>86</v>
      </c>
      <c r="G63" s="16">
        <v>1329.1874329999991</v>
      </c>
      <c r="I63" s="16">
        <v>1329.185910999998</v>
      </c>
      <c r="J63" s="16">
        <f>I66</f>
        <v>1107.6548709999981</v>
      </c>
      <c r="K63" s="16">
        <f>J66</f>
        <v>886.1235909999981</v>
      </c>
      <c r="L63" s="16">
        <f>K66</f>
        <v>664.59255099999814</v>
      </c>
    </row>
    <row r="64" spans="1:12">
      <c r="A64" s="1">
        <f t="shared" si="0"/>
        <v>41</v>
      </c>
      <c r="C64" s="136" t="s">
        <v>87</v>
      </c>
      <c r="G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1:12">
      <c r="A65" s="1">
        <f t="shared" si="0"/>
        <v>42</v>
      </c>
      <c r="C65" s="136" t="s">
        <v>88</v>
      </c>
      <c r="G65" s="20">
        <v>-221.53123899999997</v>
      </c>
      <c r="I65" s="20">
        <v>-221.53103999999993</v>
      </c>
      <c r="J65" s="20">
        <v>-221.53128000000001</v>
      </c>
      <c r="K65" s="20">
        <v>-221.53103999999993</v>
      </c>
      <c r="L65" s="20">
        <v>-221.53103999999993</v>
      </c>
    </row>
    <row r="66" spans="1:12">
      <c r="A66" s="1">
        <f t="shared" si="0"/>
        <v>43</v>
      </c>
      <c r="C66" s="135" t="s">
        <v>89</v>
      </c>
      <c r="G66" s="16">
        <f>SUM(G63:G65)</f>
        <v>1107.6561939999992</v>
      </c>
      <c r="I66" s="16">
        <f>SUM(I63:I65)</f>
        <v>1107.6548709999981</v>
      </c>
      <c r="J66" s="16">
        <f>SUM(J63:J65)</f>
        <v>886.1235909999981</v>
      </c>
      <c r="K66" s="16">
        <f>SUM(K63:K65)</f>
        <v>664.59255099999814</v>
      </c>
      <c r="L66" s="16">
        <f>SUM(L63:L65)</f>
        <v>443.06151099999818</v>
      </c>
    </row>
    <row r="67" spans="1:12">
      <c r="A67" s="1">
        <f t="shared" si="0"/>
        <v>44</v>
      </c>
      <c r="C67" s="134" t="s">
        <v>364</v>
      </c>
      <c r="G67" s="16"/>
      <c r="I67" s="16">
        <v>0</v>
      </c>
      <c r="J67" s="16">
        <v>0</v>
      </c>
      <c r="K67" s="16">
        <v>0</v>
      </c>
      <c r="L67" s="16">
        <v>0</v>
      </c>
    </row>
    <row r="68" spans="1:12">
      <c r="C68" s="135"/>
      <c r="G68" s="16"/>
      <c r="I68" s="16"/>
      <c r="J68" s="16"/>
      <c r="K68" s="16"/>
      <c r="L68" s="16"/>
    </row>
    <row r="69" spans="1:12">
      <c r="A69" s="1">
        <f>A67+1</f>
        <v>45</v>
      </c>
      <c r="C69" s="134" t="s">
        <v>92</v>
      </c>
      <c r="G69" s="16"/>
      <c r="I69" s="16"/>
      <c r="J69" s="16"/>
      <c r="K69" s="16"/>
      <c r="L69" s="16"/>
    </row>
    <row r="70" spans="1:12">
      <c r="A70" s="1">
        <f t="shared" si="0"/>
        <v>46</v>
      </c>
      <c r="C70" s="135" t="s">
        <v>86</v>
      </c>
      <c r="G70" s="16">
        <v>5076.271920000001</v>
      </c>
      <c r="I70" s="16">
        <v>4951.9837800000005</v>
      </c>
      <c r="J70" s="16">
        <f>I73</f>
        <v>5012.4269700000004</v>
      </c>
      <c r="K70" s="16">
        <f>J73</f>
        <v>4582.3754600000011</v>
      </c>
      <c r="L70" s="16">
        <f>K73</f>
        <v>9840.0845800000006</v>
      </c>
    </row>
    <row r="71" spans="1:12">
      <c r="A71" s="1">
        <f t="shared" si="0"/>
        <v>47</v>
      </c>
      <c r="C71" s="136" t="s">
        <v>87</v>
      </c>
      <c r="G71" s="16">
        <v>1095</v>
      </c>
      <c r="I71" s="16">
        <f>I73-I70-I72</f>
        <v>926.36728999999991</v>
      </c>
      <c r="J71" s="16">
        <f>J73-J70-J72</f>
        <v>359.27447000000063</v>
      </c>
      <c r="K71" s="16">
        <f>K73-K70-K72</f>
        <v>5976.1814299999996</v>
      </c>
      <c r="L71" s="16">
        <f>L73-L70-L72</f>
        <v>4830</v>
      </c>
    </row>
    <row r="72" spans="1:12">
      <c r="A72" s="1">
        <f t="shared" si="0"/>
        <v>48</v>
      </c>
      <c r="C72" s="136" t="s">
        <v>88</v>
      </c>
      <c r="G72" s="20">
        <v>-728.80534000000011</v>
      </c>
      <c r="I72" s="20">
        <v>-865.92409999999995</v>
      </c>
      <c r="J72" s="20">
        <v>-789.32597999999996</v>
      </c>
      <c r="K72" s="20">
        <v>-718.47231000000011</v>
      </c>
      <c r="L72" s="20">
        <v>-1280.6828700000001</v>
      </c>
    </row>
    <row r="73" spans="1:12">
      <c r="A73" s="1">
        <f t="shared" si="0"/>
        <v>49</v>
      </c>
      <c r="C73" s="135" t="s">
        <v>89</v>
      </c>
      <c r="G73" s="16">
        <f>SUM(G70:G72)</f>
        <v>5442.4665800000012</v>
      </c>
      <c r="I73" s="16">
        <v>5012.4269700000004</v>
      </c>
      <c r="J73" s="16">
        <v>4582.3754600000011</v>
      </c>
      <c r="K73" s="16">
        <v>9840.0845800000006</v>
      </c>
      <c r="L73" s="16">
        <v>13389.40171</v>
      </c>
    </row>
    <row r="74" spans="1:12">
      <c r="A74" s="1">
        <f t="shared" si="0"/>
        <v>50</v>
      </c>
      <c r="C74" s="134" t="s">
        <v>366</v>
      </c>
      <c r="G74" s="16"/>
      <c r="I74" s="16">
        <v>24.975000000000001</v>
      </c>
      <c r="J74" s="16">
        <v>105.92007000000001</v>
      </c>
      <c r="K74" s="16">
        <v>174.81232</v>
      </c>
      <c r="L74" s="16">
        <v>4624.81232</v>
      </c>
    </row>
    <row r="75" spans="1:12">
      <c r="C75" s="135"/>
      <c r="G75" s="16"/>
      <c r="I75" s="16"/>
      <c r="J75" s="16"/>
      <c r="K75" s="16"/>
      <c r="L75" s="16"/>
    </row>
    <row r="76" spans="1:12">
      <c r="A76" s="1">
        <f>A74+1</f>
        <v>51</v>
      </c>
      <c r="C76" s="134" t="s">
        <v>317</v>
      </c>
      <c r="G76" s="16"/>
      <c r="I76" s="16"/>
      <c r="J76" s="16"/>
      <c r="K76" s="16"/>
      <c r="L76" s="16"/>
    </row>
    <row r="77" spans="1:12">
      <c r="A77" s="1">
        <f t="shared" si="0"/>
        <v>52</v>
      </c>
      <c r="C77" s="135" t="s">
        <v>86</v>
      </c>
      <c r="G77" s="16">
        <v>876.46635000000128</v>
      </c>
      <c r="I77" s="16">
        <v>720.12384409825438</v>
      </c>
      <c r="J77" s="16">
        <f>I80</f>
        <v>622.74152409825479</v>
      </c>
      <c r="K77" s="16">
        <f>J80</f>
        <v>736.26465409825471</v>
      </c>
      <c r="L77" s="16">
        <f>K80</f>
        <v>1856.5061900982544</v>
      </c>
    </row>
    <row r="78" spans="1:12">
      <c r="A78" s="1">
        <f t="shared" si="0"/>
        <v>53</v>
      </c>
      <c r="C78" s="136" t="s">
        <v>87</v>
      </c>
      <c r="G78" s="16">
        <v>119.99999999999977</v>
      </c>
      <c r="I78" s="16">
        <f>I80-I77-I79</f>
        <v>-4.0020599999995738</v>
      </c>
      <c r="J78" s="16">
        <f>J80-J77-J79</f>
        <v>207.9413899999999</v>
      </c>
      <c r="K78" s="16">
        <f>K80-K77-K79</f>
        <v>1249.9999999999995</v>
      </c>
      <c r="L78" s="16">
        <f>L80-L77-L79</f>
        <v>1160.0000000000002</v>
      </c>
    </row>
    <row r="79" spans="1:12">
      <c r="A79" s="1">
        <f t="shared" si="0"/>
        <v>54</v>
      </c>
      <c r="C79" s="136" t="s">
        <v>88</v>
      </c>
      <c r="G79" s="20">
        <v>-161.47457499999996</v>
      </c>
      <c r="I79" s="20">
        <v>-93.380260000000021</v>
      </c>
      <c r="J79" s="20">
        <v>-94.418259999999975</v>
      </c>
      <c r="K79" s="20">
        <v>-129.75846400000012</v>
      </c>
      <c r="L79" s="20">
        <v>-254.758464</v>
      </c>
    </row>
    <row r="80" spans="1:12">
      <c r="A80" s="1">
        <f t="shared" si="0"/>
        <v>55</v>
      </c>
      <c r="C80" s="135" t="s">
        <v>89</v>
      </c>
      <c r="G80" s="16">
        <f>SUM(G77:G79)</f>
        <v>834.9917750000011</v>
      </c>
      <c r="I80" s="16">
        <v>622.74152409825479</v>
      </c>
      <c r="J80" s="16">
        <v>736.26465409825471</v>
      </c>
      <c r="K80" s="16">
        <v>1856.5061900982544</v>
      </c>
      <c r="L80" s="16">
        <v>2761.7477260982546</v>
      </c>
    </row>
    <row r="81" spans="1:14">
      <c r="A81" s="1">
        <f t="shared" si="0"/>
        <v>56</v>
      </c>
      <c r="C81" s="134" t="s">
        <v>367</v>
      </c>
      <c r="G81" s="16"/>
      <c r="I81" s="16">
        <v>145.46065000000013</v>
      </c>
      <c r="J81" s="16">
        <v>0</v>
      </c>
      <c r="K81" s="16">
        <v>0</v>
      </c>
      <c r="L81" s="16">
        <v>0</v>
      </c>
    </row>
    <row r="82" spans="1:14">
      <c r="C82" s="135"/>
      <c r="G82" s="16"/>
      <c r="I82" s="16"/>
      <c r="J82" s="16"/>
      <c r="K82" s="16"/>
      <c r="L82" s="16"/>
    </row>
    <row r="83" spans="1:14">
      <c r="A83" s="1">
        <f>A81+1</f>
        <v>57</v>
      </c>
      <c r="C83" s="134" t="s">
        <v>93</v>
      </c>
      <c r="G83" s="16"/>
      <c r="I83" s="16"/>
      <c r="J83" s="16"/>
      <c r="K83" s="16"/>
      <c r="L83" s="16"/>
    </row>
    <row r="84" spans="1:14">
      <c r="A84" s="1">
        <f t="shared" si="0"/>
        <v>58</v>
      </c>
      <c r="C84" s="135" t="s">
        <v>86</v>
      </c>
      <c r="G84" s="16">
        <v>63.155828000000184</v>
      </c>
      <c r="I84" s="16">
        <v>182.12368800000039</v>
      </c>
      <c r="J84" s="16">
        <f>I87</f>
        <v>227.30555800000036</v>
      </c>
      <c r="K84" s="16">
        <f>J87</f>
        <v>880.79343800000038</v>
      </c>
      <c r="L84" s="16">
        <f>K87</f>
        <v>1016.4312080000004</v>
      </c>
    </row>
    <row r="85" spans="1:14">
      <c r="A85" s="1">
        <f t="shared" si="0"/>
        <v>59</v>
      </c>
      <c r="C85" s="136" t="s">
        <v>87</v>
      </c>
      <c r="G85" s="16">
        <v>0</v>
      </c>
      <c r="I85" s="16">
        <v>100.55083</v>
      </c>
      <c r="J85" s="16">
        <v>903.48795999999993</v>
      </c>
      <c r="K85" s="16">
        <v>385.63777000000005</v>
      </c>
      <c r="L85" s="16"/>
    </row>
    <row r="86" spans="1:14">
      <c r="A86" s="1">
        <f t="shared" si="0"/>
        <v>60</v>
      </c>
      <c r="C86" s="136" t="s">
        <v>88</v>
      </c>
      <c r="G86" s="20">
        <v>-55.368960000000015</v>
      </c>
      <c r="I86" s="20">
        <v>-55.368960000000015</v>
      </c>
      <c r="J86" s="20">
        <v>-250.00008</v>
      </c>
      <c r="K86" s="20">
        <v>-250.00000000000006</v>
      </c>
      <c r="L86" s="20">
        <v>-249.99996000000007</v>
      </c>
    </row>
    <row r="87" spans="1:14">
      <c r="A87" s="1">
        <f t="shared" si="0"/>
        <v>61</v>
      </c>
      <c r="C87" s="135" t="s">
        <v>89</v>
      </c>
      <c r="G87" s="16">
        <f>SUM(G84:G86)</f>
        <v>7.7868680000001689</v>
      </c>
      <c r="I87" s="16">
        <f>SUM(I84:I86)</f>
        <v>227.30555800000036</v>
      </c>
      <c r="J87" s="16">
        <f>SUM(J84:J86)</f>
        <v>880.79343800000038</v>
      </c>
      <c r="K87" s="16">
        <f>SUM(K84:K86)</f>
        <v>1016.4312080000004</v>
      </c>
      <c r="L87" s="16">
        <f>SUM(L84:L86)</f>
        <v>766.43124800000032</v>
      </c>
    </row>
    <row r="88" spans="1:14">
      <c r="C88" s="134"/>
      <c r="G88" s="16"/>
      <c r="I88" s="16"/>
      <c r="J88" s="16"/>
      <c r="K88" s="16"/>
      <c r="L88" s="16"/>
    </row>
    <row r="89" spans="1:14">
      <c r="A89" s="1">
        <f>A87+1</f>
        <v>62</v>
      </c>
      <c r="C89" s="134" t="s">
        <v>316</v>
      </c>
      <c r="G89" s="16"/>
      <c r="I89" s="16"/>
      <c r="J89" s="16"/>
      <c r="K89" s="16"/>
      <c r="L89" s="16"/>
    </row>
    <row r="90" spans="1:14">
      <c r="A90" s="1">
        <f t="shared" si="0"/>
        <v>63</v>
      </c>
      <c r="C90" s="135" t="s">
        <v>86</v>
      </c>
      <c r="G90" s="16">
        <v>1516.6144219999992</v>
      </c>
      <c r="I90" s="16">
        <v>4792.8214679017456</v>
      </c>
      <c r="J90" s="16">
        <v>5941.5720579017461</v>
      </c>
      <c r="K90" s="16">
        <v>5600.865417901744</v>
      </c>
      <c r="L90" s="16">
        <v>1750.8044019017448</v>
      </c>
    </row>
    <row r="91" spans="1:14">
      <c r="A91" s="1">
        <f t="shared" si="0"/>
        <v>64</v>
      </c>
      <c r="C91" s="136" t="s">
        <v>87</v>
      </c>
      <c r="G91" s="16">
        <v>821</v>
      </c>
      <c r="I91" s="16">
        <v>815.41380999999978</v>
      </c>
      <c r="J91" s="16">
        <v>-390.04308000000083</v>
      </c>
      <c r="K91" s="16">
        <v>-3909.1024099999995</v>
      </c>
      <c r="L91" s="16">
        <v>1599.9999999999998</v>
      </c>
    </row>
    <row r="92" spans="1:14">
      <c r="A92" s="1">
        <f>A91+1</f>
        <v>65</v>
      </c>
      <c r="C92" s="136" t="s">
        <v>88</v>
      </c>
      <c r="G92" s="16">
        <f>-224.842616111112+6-G93</f>
        <v>-274.21157611111198</v>
      </c>
      <c r="I92" s="16">
        <v>277.96782000000007</v>
      </c>
      <c r="J92" s="16">
        <v>-200.66364000000004</v>
      </c>
      <c r="K92" s="16">
        <v>-190.95860600000003</v>
      </c>
      <c r="L92" s="16">
        <v>-130.90737599999989</v>
      </c>
    </row>
    <row r="93" spans="1:14">
      <c r="A93" s="1">
        <f t="shared" si="0"/>
        <v>66</v>
      </c>
      <c r="C93" s="136" t="s">
        <v>490</v>
      </c>
      <c r="G93" s="20">
        <f>-G86</f>
        <v>55.368960000000015</v>
      </c>
      <c r="I93" s="20">
        <f>-I86</f>
        <v>55.368960000000015</v>
      </c>
      <c r="J93" s="20">
        <f>-J86</f>
        <v>250.00008</v>
      </c>
      <c r="K93" s="20">
        <f>-K86</f>
        <v>250.00000000000006</v>
      </c>
      <c r="L93" s="20">
        <f>-L86</f>
        <v>249.99996000000007</v>
      </c>
    </row>
    <row r="94" spans="1:14">
      <c r="A94" s="1">
        <f t="shared" si="0"/>
        <v>67</v>
      </c>
      <c r="C94" s="135" t="s">
        <v>89</v>
      </c>
      <c r="G94" s="16">
        <f>SUM(G90:G93)</f>
        <v>2118.7718058888868</v>
      </c>
      <c r="I94" s="16">
        <f>SUM(I90:I93)</f>
        <v>5941.5720579017452</v>
      </c>
      <c r="J94" s="16">
        <f>SUM(J90:J93)</f>
        <v>5600.8654179017458</v>
      </c>
      <c r="K94" s="16">
        <f>SUM(K90:K93)</f>
        <v>1750.8044019017443</v>
      </c>
      <c r="L94" s="16">
        <f>SUM(L90:L93)</f>
        <v>3469.8969859017443</v>
      </c>
    </row>
    <row r="95" spans="1:14">
      <c r="A95" s="1">
        <f t="shared" si="0"/>
        <v>68</v>
      </c>
      <c r="C95" s="134" t="s">
        <v>375</v>
      </c>
      <c r="G95" s="16"/>
      <c r="I95" s="16">
        <v>7959.8773300000003</v>
      </c>
      <c r="J95" s="16">
        <v>6206.4065399999999</v>
      </c>
      <c r="K95" s="16">
        <v>2274.1556299999997</v>
      </c>
      <c r="L95" s="16">
        <v>3874.1556299999997</v>
      </c>
      <c r="N95" s="19"/>
    </row>
    <row r="96" spans="1:14">
      <c r="C96" s="134"/>
      <c r="G96" s="16"/>
      <c r="I96" s="16"/>
      <c r="J96" s="16"/>
      <c r="K96" s="16"/>
      <c r="L96" s="16"/>
    </row>
    <row r="97" spans="1:15">
      <c r="A97" s="1">
        <f>A95+1</f>
        <v>69</v>
      </c>
      <c r="C97" s="134" t="s">
        <v>413</v>
      </c>
      <c r="G97" s="16"/>
      <c r="I97" s="16"/>
      <c r="J97" s="16"/>
      <c r="K97" s="16"/>
      <c r="L97" s="16"/>
    </row>
    <row r="98" spans="1:15">
      <c r="A98" s="1">
        <f t="shared" ref="A98:A101" si="1">A97+1</f>
        <v>70</v>
      </c>
      <c r="C98" s="135" t="s">
        <v>86</v>
      </c>
      <c r="G98" s="16"/>
      <c r="I98" s="16">
        <v>0</v>
      </c>
      <c r="J98" s="16">
        <v>0</v>
      </c>
      <c r="K98" s="16">
        <f>J101</f>
        <v>25.876999999999999</v>
      </c>
      <c r="L98" s="16">
        <f>K101</f>
        <v>25.876999999999999</v>
      </c>
    </row>
    <row r="99" spans="1:15">
      <c r="A99" s="1">
        <f t="shared" si="1"/>
        <v>71</v>
      </c>
      <c r="C99" s="136" t="s">
        <v>87</v>
      </c>
      <c r="G99" s="16"/>
      <c r="I99" s="16">
        <v>0</v>
      </c>
      <c r="J99" s="16">
        <v>25.876999999999999</v>
      </c>
      <c r="K99" s="16">
        <v>0</v>
      </c>
      <c r="L99" s="16">
        <v>0</v>
      </c>
    </row>
    <row r="100" spans="1:15">
      <c r="A100" s="1">
        <f t="shared" si="1"/>
        <v>72</v>
      </c>
      <c r="C100" s="136" t="s">
        <v>88</v>
      </c>
      <c r="G100" s="20"/>
      <c r="I100" s="20">
        <v>0</v>
      </c>
      <c r="J100" s="20">
        <v>0</v>
      </c>
      <c r="K100" s="20">
        <v>0</v>
      </c>
      <c r="L100" s="20">
        <v>0</v>
      </c>
    </row>
    <row r="101" spans="1:15">
      <c r="A101" s="1">
        <f t="shared" si="1"/>
        <v>73</v>
      </c>
      <c r="C101" s="135" t="s">
        <v>89</v>
      </c>
      <c r="G101" s="16">
        <f>SUM(G98:G100)</f>
        <v>0</v>
      </c>
      <c r="I101" s="16">
        <f>SUM(I98:I100)</f>
        <v>0</v>
      </c>
      <c r="J101" s="16">
        <f>SUM(J98:J100)</f>
        <v>25.876999999999999</v>
      </c>
      <c r="K101" s="16">
        <f>SUM(K98:K100)</f>
        <v>25.876999999999999</v>
      </c>
      <c r="L101" s="16">
        <f>SUM(L98:L100)</f>
        <v>25.876999999999999</v>
      </c>
    </row>
    <row r="102" spans="1:15">
      <c r="C102" s="134"/>
      <c r="G102" s="16"/>
      <c r="I102" s="16"/>
      <c r="J102" s="16"/>
      <c r="K102" s="16"/>
      <c r="L102" s="16"/>
    </row>
    <row r="103" spans="1:15">
      <c r="A103" s="1">
        <f>A101+1</f>
        <v>74</v>
      </c>
      <c r="C103" s="134" t="s">
        <v>414</v>
      </c>
      <c r="G103" s="16"/>
      <c r="I103" s="16"/>
      <c r="J103" s="16"/>
      <c r="K103" s="16"/>
      <c r="L103" s="16"/>
    </row>
    <row r="104" spans="1:15">
      <c r="A104" s="1">
        <f t="shared" ref="A104:A107" si="2">A103+1</f>
        <v>75</v>
      </c>
      <c r="C104" s="135" t="s">
        <v>86</v>
      </c>
      <c r="G104" s="16"/>
      <c r="I104" s="16">
        <v>0</v>
      </c>
      <c r="J104" s="16">
        <v>0</v>
      </c>
      <c r="K104" s="16">
        <f>J107</f>
        <v>-62.4</v>
      </c>
      <c r="L104" s="16">
        <f>K107</f>
        <v>-62.4</v>
      </c>
    </row>
    <row r="105" spans="1:15">
      <c r="A105" s="1">
        <f t="shared" si="2"/>
        <v>76</v>
      </c>
      <c r="C105" s="136" t="s">
        <v>87</v>
      </c>
      <c r="G105" s="16"/>
      <c r="I105" s="16">
        <v>0</v>
      </c>
      <c r="J105" s="16">
        <v>-62.4</v>
      </c>
      <c r="K105" s="16">
        <v>0</v>
      </c>
      <c r="L105" s="16">
        <v>0</v>
      </c>
    </row>
    <row r="106" spans="1:15">
      <c r="A106" s="1">
        <f t="shared" si="2"/>
        <v>77</v>
      </c>
      <c r="C106" s="136" t="s">
        <v>88</v>
      </c>
      <c r="G106" s="20"/>
      <c r="I106" s="20">
        <v>0</v>
      </c>
      <c r="J106" s="20">
        <v>0</v>
      </c>
      <c r="K106" s="20">
        <v>0</v>
      </c>
      <c r="L106" s="20">
        <v>0</v>
      </c>
    </row>
    <row r="107" spans="1:15">
      <c r="A107" s="1">
        <f t="shared" si="2"/>
        <v>78</v>
      </c>
      <c r="C107" s="135" t="s">
        <v>89</v>
      </c>
      <c r="G107" s="16">
        <f>SUM(G104:G106)</f>
        <v>0</v>
      </c>
      <c r="I107" s="16">
        <f>SUM(I104:I106)</f>
        <v>0</v>
      </c>
      <c r="J107" s="16">
        <f>SUM(J104:J106)</f>
        <v>-62.4</v>
      </c>
      <c r="K107" s="16">
        <f>SUM(K104:K106)</f>
        <v>-62.4</v>
      </c>
      <c r="L107" s="16">
        <f>SUM(L104:L106)</f>
        <v>-62.4</v>
      </c>
    </row>
    <row r="108" spans="1:15">
      <c r="C108" s="134"/>
      <c r="G108" s="16"/>
      <c r="I108" s="16"/>
      <c r="J108" s="16"/>
      <c r="K108" s="16"/>
      <c r="L108" s="16"/>
    </row>
    <row r="109" spans="1:15">
      <c r="A109" s="1">
        <f>A107+1</f>
        <v>79</v>
      </c>
      <c r="C109" s="1" t="s">
        <v>329</v>
      </c>
      <c r="G109" s="16"/>
      <c r="I109" s="16"/>
      <c r="J109" s="16"/>
      <c r="K109" s="16"/>
      <c r="L109" s="16"/>
    </row>
    <row r="110" spans="1:15">
      <c r="A110" s="1">
        <f t="shared" ref="A110:A113" si="3">A109+1</f>
        <v>80</v>
      </c>
      <c r="C110" s="134" t="s">
        <v>86</v>
      </c>
      <c r="G110" s="16">
        <f>G42+G49+G56+G63+G70+G77+G84+G90</f>
        <v>37744.427473000011</v>
      </c>
      <c r="I110" s="16">
        <f t="shared" ref="I110:L111" si="4">I42+I49+I56+I63+I70+I77+I84+I90+I98+I104</f>
        <v>40637.739970999995</v>
      </c>
      <c r="J110" s="16">
        <f t="shared" si="4"/>
        <v>42172.886250999996</v>
      </c>
      <c r="K110" s="16">
        <f t="shared" si="4"/>
        <v>43681.311411000002</v>
      </c>
      <c r="L110" s="16">
        <f t="shared" si="4"/>
        <v>55629.705601000009</v>
      </c>
      <c r="O110" s="19"/>
    </row>
    <row r="111" spans="1:15">
      <c r="A111" s="1">
        <f t="shared" si="3"/>
        <v>81</v>
      </c>
      <c r="C111" s="137" t="s">
        <v>87</v>
      </c>
      <c r="G111" s="16">
        <f>G43+G50+G57+G64+G71+G78+G85+G91</f>
        <v>10546.928620000002</v>
      </c>
      <c r="I111" s="16">
        <f t="shared" si="4"/>
        <v>4999.6468100000002</v>
      </c>
      <c r="J111" s="16">
        <f t="shared" si="4"/>
        <v>4695.1749600000003</v>
      </c>
      <c r="K111" s="16">
        <f t="shared" si="4"/>
        <v>15128.651160000005</v>
      </c>
      <c r="L111" s="16">
        <f t="shared" si="4"/>
        <v>15199.999999999998</v>
      </c>
      <c r="O111" s="19"/>
    </row>
    <row r="112" spans="1:15">
      <c r="A112" s="1">
        <f t="shared" si="3"/>
        <v>82</v>
      </c>
      <c r="C112" s="137" t="s">
        <v>88</v>
      </c>
      <c r="G112" s="20">
        <f>G44+G51+G58+G65+G72+G79+G86+G93+G100+G106+G92</f>
        <v>-4062.7451901111117</v>
      </c>
      <c r="I112" s="20">
        <f>I44+I51+I58+I65+I72+I79+I86+I93+I100+I106+I92</f>
        <v>-3464.5005299999993</v>
      </c>
      <c r="J112" s="20">
        <f>J44+J51+J58+J65+J72+J79+J86+J93+J100+J106+J92</f>
        <v>-3186.7498000000001</v>
      </c>
      <c r="K112" s="20">
        <f>K44+K51+K58+K65+K72+K79+K86+K93+K100+K106+K92</f>
        <v>-3180.2569700000004</v>
      </c>
      <c r="L112" s="20">
        <f>L44+L51+L58+L65+L72+L79+L86+L93+L100+L106+L92</f>
        <v>-5134.0547699999997</v>
      </c>
      <c r="O112" s="19"/>
    </row>
    <row r="113" spans="1:12">
      <c r="A113" s="1">
        <f t="shared" si="3"/>
        <v>83</v>
      </c>
      <c r="C113" s="134" t="s">
        <v>89</v>
      </c>
      <c r="E113" s="4" t="s">
        <v>320</v>
      </c>
      <c r="G113" s="16">
        <f>SUM(G110:G112)</f>
        <v>44228.610902888897</v>
      </c>
      <c r="I113" s="16">
        <f>SUM(I110:I112)</f>
        <v>42172.886250999996</v>
      </c>
      <c r="J113" s="16">
        <f>SUM(J110:J112)</f>
        <v>43681.311410999995</v>
      </c>
      <c r="K113" s="16">
        <f>SUM(K110:K112)</f>
        <v>55629.705601000009</v>
      </c>
      <c r="L113" s="16">
        <f>SUM(L110:L112)</f>
        <v>65695.650831000006</v>
      </c>
    </row>
    <row r="114" spans="1:12">
      <c r="C114" s="134"/>
      <c r="G114" s="16"/>
      <c r="I114" s="16"/>
      <c r="J114" s="16"/>
      <c r="K114" s="16"/>
      <c r="L114" s="16"/>
    </row>
    <row r="115" spans="1:12">
      <c r="A115" s="1">
        <f>A113+1</f>
        <v>84</v>
      </c>
      <c r="C115" s="1" t="s">
        <v>415</v>
      </c>
      <c r="E115" s="4" t="s">
        <v>94</v>
      </c>
      <c r="G115" s="17">
        <v>30489.241899999997</v>
      </c>
      <c r="I115" s="17">
        <v>29343.424080000001</v>
      </c>
      <c r="J115" s="17">
        <v>28260.285070000002</v>
      </c>
      <c r="K115" s="17">
        <v>25706.850539999999</v>
      </c>
      <c r="L115" s="17">
        <v>38048.850539999999</v>
      </c>
    </row>
    <row r="116" spans="1:12">
      <c r="G116" s="16"/>
      <c r="I116" s="16"/>
      <c r="J116" s="16"/>
      <c r="K116" s="16"/>
      <c r="L116" s="16"/>
    </row>
    <row r="117" spans="1:12">
      <c r="A117" s="1">
        <f>A115+1</f>
        <v>85</v>
      </c>
      <c r="C117" s="1" t="s">
        <v>330</v>
      </c>
      <c r="G117" s="20">
        <f>G113-G115</f>
        <v>13739.3690028889</v>
      </c>
      <c r="I117" s="20">
        <f>I113-I115</f>
        <v>12829.462170999996</v>
      </c>
      <c r="J117" s="20">
        <f>J113-J115</f>
        <v>15421.026340999993</v>
      </c>
      <c r="K117" s="20">
        <f>K113-K115</f>
        <v>29922.855061000009</v>
      </c>
      <c r="L117" s="20">
        <f>L113-L115</f>
        <v>27646.800291000007</v>
      </c>
    </row>
    <row r="119" spans="1:12" ht="13" thickBot="1">
      <c r="A119" s="1">
        <f>A117+1</f>
        <v>86</v>
      </c>
      <c r="C119" s="1" t="s">
        <v>333</v>
      </c>
      <c r="E119" s="4" t="s">
        <v>76</v>
      </c>
      <c r="G119" s="36">
        <f>G37+G117</f>
        <v>483284.66213589959</v>
      </c>
      <c r="I119" s="36">
        <f>I37+I117</f>
        <v>480080.61626413523</v>
      </c>
      <c r="J119" s="36">
        <f>J37+J117</f>
        <v>478860.83261887328</v>
      </c>
      <c r="K119" s="36">
        <f>K37+K117</f>
        <v>535290.58166699996</v>
      </c>
      <c r="L119" s="36">
        <f>L37+L117</f>
        <v>562901.72948999994</v>
      </c>
    </row>
    <row r="120" spans="1:12">
      <c r="G120" s="19"/>
      <c r="I120" s="19"/>
      <c r="J120" s="19"/>
      <c r="K120" s="19"/>
      <c r="L120" s="19"/>
    </row>
    <row r="121" spans="1:12">
      <c r="C121" s="1" t="s">
        <v>410</v>
      </c>
      <c r="G121" s="16"/>
      <c r="I121" s="16"/>
      <c r="J121" s="16"/>
      <c r="K121" s="16"/>
      <c r="L121" s="16"/>
    </row>
    <row r="122" spans="1:12">
      <c r="C122" s="1" t="s">
        <v>424</v>
      </c>
      <c r="G122" s="16"/>
      <c r="I122" s="16"/>
      <c r="J122" s="16"/>
      <c r="K122" s="16"/>
      <c r="L122" s="16"/>
    </row>
    <row r="123" spans="1:12">
      <c r="C123" s="135"/>
      <c r="G123" s="16"/>
      <c r="I123" s="16"/>
      <c r="J123" s="16"/>
      <c r="K123" s="16"/>
      <c r="L123" s="16"/>
    </row>
    <row r="124" spans="1:12">
      <c r="G124" s="16"/>
      <c r="I124" s="16"/>
      <c r="J124" s="16"/>
      <c r="K124" s="16"/>
      <c r="L124" s="16"/>
    </row>
    <row r="125" spans="1:12">
      <c r="E125" s="117"/>
      <c r="G125" s="19"/>
      <c r="I125" s="19"/>
      <c r="J125" s="19"/>
      <c r="K125" s="1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3" fitToHeight="2" orientation="portrait" blackAndWhite="1" r:id="rId1"/>
  <headerFooter alignWithMargins="0"/>
  <rowBreaks count="1" manualBreakCount="1">
    <brk id="6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V154"/>
  <sheetViews>
    <sheetView view="pageBreakPreview" zoomScaleNormal="100" zoomScaleSheetLayoutView="100" workbookViewId="0">
      <pane ySplit="6" topLeftCell="A63" activePane="bottomLeft" state="frozen"/>
      <selection activeCell="H15" sqref="H15"/>
      <selection pane="bottomLeft" activeCell="A70" sqref="A70"/>
    </sheetView>
  </sheetViews>
  <sheetFormatPr defaultColWidth="9.1796875" defaultRowHeight="12.5"/>
  <cols>
    <col min="1" max="1" width="5.7265625" style="119" customWidth="1"/>
    <col min="2" max="2" width="31.1796875" style="119" customWidth="1"/>
    <col min="3" max="4" width="14.54296875" style="120" customWidth="1"/>
    <col min="5" max="5" width="12.54296875" style="120" bestFit="1" customWidth="1"/>
    <col min="6" max="6" width="14.54296875" style="120" customWidth="1"/>
    <col min="7" max="7" width="15.26953125" style="121" customWidth="1"/>
    <col min="8" max="8" width="17" style="120" customWidth="1"/>
    <col min="23" max="16384" width="9.1796875" style="119"/>
  </cols>
  <sheetData>
    <row r="1" spans="1:22" s="139" customFormat="1" ht="15.75" customHeight="1">
      <c r="A1" s="143" t="s">
        <v>0</v>
      </c>
      <c r="B1" s="140"/>
      <c r="C1" s="140"/>
      <c r="D1" s="140"/>
      <c r="E1" s="144"/>
      <c r="F1" s="140"/>
      <c r="H1" s="145" t="s">
        <v>470</v>
      </c>
    </row>
    <row r="2" spans="1:22" s="139" customFormat="1" ht="15.75" customHeight="1">
      <c r="A2" s="146" t="s">
        <v>371</v>
      </c>
      <c r="B2" s="140"/>
      <c r="C2" s="140"/>
      <c r="D2" s="140"/>
      <c r="E2" s="144"/>
      <c r="F2" s="140"/>
      <c r="H2" s="147" t="str">
        <f>Index!F2</f>
        <v>August 31, 2023</v>
      </c>
    </row>
    <row r="3" spans="1:22" s="139" customFormat="1" ht="15.75" customHeight="1">
      <c r="A3" s="163" t="s">
        <v>338</v>
      </c>
      <c r="B3" s="140"/>
      <c r="C3" s="140"/>
      <c r="D3" s="140"/>
      <c r="E3" s="144"/>
      <c r="F3" s="140"/>
      <c r="G3" s="140"/>
      <c r="H3" s="140"/>
    </row>
    <row r="4" spans="1:22" s="139" customFormat="1" ht="15.75" customHeight="1">
      <c r="A4" s="141"/>
      <c r="B4" s="141"/>
      <c r="C4" s="141"/>
      <c r="D4" s="141"/>
      <c r="E4" s="141"/>
      <c r="F4" s="141"/>
      <c r="G4" s="141"/>
      <c r="H4" s="141"/>
    </row>
    <row r="5" spans="1:22" s="139" customFormat="1">
      <c r="A5" s="148"/>
      <c r="B5" s="148"/>
      <c r="C5" s="142"/>
      <c r="D5" s="142"/>
      <c r="E5" s="142"/>
      <c r="F5" s="142"/>
      <c r="G5" s="149"/>
      <c r="H5" s="142"/>
    </row>
    <row r="6" spans="1:22" s="151" customFormat="1" ht="37.5">
      <c r="A6" s="148"/>
      <c r="B6" s="148" t="s">
        <v>9</v>
      </c>
      <c r="C6" s="142" t="s">
        <v>368</v>
      </c>
      <c r="D6" s="142" t="s">
        <v>369</v>
      </c>
      <c r="E6" s="157" t="s">
        <v>370</v>
      </c>
      <c r="F6" s="142" t="s">
        <v>343</v>
      </c>
      <c r="G6" s="150" t="s">
        <v>318</v>
      </c>
      <c r="H6" s="142" t="s">
        <v>348</v>
      </c>
    </row>
    <row r="7" spans="1:22">
      <c r="A7" s="118" t="s">
        <v>96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</row>
    <row r="8" spans="1:22">
      <c r="A8" s="122"/>
      <c r="B8" s="123" t="s">
        <v>97</v>
      </c>
      <c r="C8" s="158">
        <v>444911.51999999996</v>
      </c>
      <c r="D8" s="158">
        <v>0</v>
      </c>
      <c r="E8" s="158"/>
      <c r="F8" s="158">
        <f t="shared" ref="F8:F13" si="0">C8+D8-E8</f>
        <v>444911.51999999996</v>
      </c>
      <c r="G8" s="152">
        <v>0</v>
      </c>
      <c r="H8" s="158">
        <v>0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</row>
    <row r="9" spans="1:22">
      <c r="A9" s="122"/>
      <c r="B9" s="123" t="s">
        <v>98</v>
      </c>
      <c r="C9" s="158">
        <v>27680.47</v>
      </c>
      <c r="D9" s="158">
        <v>0</v>
      </c>
      <c r="E9" s="158"/>
      <c r="F9" s="158">
        <f t="shared" si="0"/>
        <v>27680.47</v>
      </c>
      <c r="G9" s="152">
        <v>0</v>
      </c>
      <c r="H9" s="158">
        <v>0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</row>
    <row r="10" spans="1:22">
      <c r="A10" s="122"/>
      <c r="B10" s="123" t="s">
        <v>99</v>
      </c>
      <c r="C10" s="158">
        <v>576862.49</v>
      </c>
      <c r="D10" s="158">
        <v>0</v>
      </c>
      <c r="E10" s="158"/>
      <c r="F10" s="158">
        <f t="shared" si="0"/>
        <v>576862.49</v>
      </c>
      <c r="G10" s="152">
        <v>0</v>
      </c>
      <c r="H10" s="158">
        <v>0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</row>
    <row r="11" spans="1:22">
      <c r="A11" s="122"/>
      <c r="B11" s="123" t="s">
        <v>133</v>
      </c>
      <c r="C11" s="158">
        <v>17775.009999999998</v>
      </c>
      <c r="D11" s="158">
        <v>0</v>
      </c>
      <c r="E11" s="158"/>
      <c r="F11" s="158">
        <f t="shared" si="0"/>
        <v>17775.009999999998</v>
      </c>
      <c r="G11" s="152">
        <v>0</v>
      </c>
      <c r="H11" s="158">
        <v>0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</row>
    <row r="12" spans="1:22">
      <c r="A12" s="122"/>
      <c r="B12" s="123" t="s">
        <v>100</v>
      </c>
      <c r="C12" s="158">
        <v>547992.46000000008</v>
      </c>
      <c r="D12" s="158">
        <v>0</v>
      </c>
      <c r="E12" s="158"/>
      <c r="F12" s="158">
        <f t="shared" si="0"/>
        <v>547992.46000000008</v>
      </c>
      <c r="G12" s="152">
        <v>0</v>
      </c>
      <c r="H12" s="158">
        <v>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</row>
    <row r="13" spans="1:22">
      <c r="A13" s="122"/>
      <c r="B13" s="123" t="s">
        <v>101</v>
      </c>
      <c r="C13" s="158">
        <v>128779.83000000002</v>
      </c>
      <c r="D13" s="158">
        <v>0</v>
      </c>
      <c r="E13" s="158">
        <f>H13</f>
        <v>1568.7</v>
      </c>
      <c r="F13" s="158">
        <f t="shared" si="0"/>
        <v>127211.13000000002</v>
      </c>
      <c r="G13" s="152">
        <v>50</v>
      </c>
      <c r="H13" s="158">
        <v>1568.7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</row>
    <row r="14" spans="1:22">
      <c r="A14" s="122"/>
      <c r="B14" s="123" t="s">
        <v>315</v>
      </c>
      <c r="C14" s="159"/>
      <c r="D14" s="159"/>
      <c r="E14" s="159"/>
      <c r="F14" s="159"/>
      <c r="G14" s="124"/>
      <c r="H14" s="159">
        <v>-12.96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2" s="127" customFormat="1" ht="18.75" customHeight="1">
      <c r="A15" s="118" t="s">
        <v>102</v>
      </c>
      <c r="B15" s="118"/>
      <c r="C15" s="160">
        <f>SUBTOTAL(9,C8:C14)</f>
        <v>1744001.7800000003</v>
      </c>
      <c r="D15" s="160">
        <f>SUBTOTAL(9,D8:D14)</f>
        <v>0</v>
      </c>
      <c r="E15" s="160">
        <f>SUBTOTAL(9,E8:E14)</f>
        <v>1568.7</v>
      </c>
      <c r="F15" s="160">
        <f>SUBTOTAL(9,F8:F14)</f>
        <v>1742433.0800000003</v>
      </c>
      <c r="G15" s="126"/>
      <c r="H15" s="160">
        <f>SUBTOTAL(9,H8:H14)</f>
        <v>1555.74</v>
      </c>
    </row>
    <row r="16" spans="1:22">
      <c r="C16" s="161"/>
      <c r="D16" s="161"/>
      <c r="E16" s="161"/>
      <c r="F16" s="161"/>
      <c r="G16" s="128"/>
      <c r="H16" s="161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8">
      <c r="A17" s="118" t="s">
        <v>103</v>
      </c>
      <c r="C17" s="161"/>
      <c r="D17" s="161"/>
      <c r="E17" s="161"/>
      <c r="F17" s="161"/>
      <c r="G17" s="128"/>
      <c r="H17" s="161"/>
    </row>
    <row r="18" spans="1:8">
      <c r="A18" s="129"/>
      <c r="B18" s="123" t="s">
        <v>104</v>
      </c>
      <c r="C18" s="158">
        <v>52844456.819999985</v>
      </c>
      <c r="D18" s="158">
        <v>1969356.53</v>
      </c>
      <c r="E18" s="158"/>
      <c r="F18" s="158">
        <f t="shared" ref="F18:F27" si="1">C18+D18-E18</f>
        <v>54813813.349999987</v>
      </c>
      <c r="G18" s="152">
        <v>72</v>
      </c>
      <c r="H18" s="158">
        <v>731284.88</v>
      </c>
    </row>
    <row r="19" spans="1:8">
      <c r="A19" s="129"/>
      <c r="B19" s="123" t="s">
        <v>111</v>
      </c>
      <c r="C19" s="158">
        <v>10278688.460000001</v>
      </c>
      <c r="D19" s="158">
        <v>0</v>
      </c>
      <c r="E19" s="158"/>
      <c r="F19" s="158">
        <f t="shared" si="1"/>
        <v>10278688.460000001</v>
      </c>
      <c r="G19" s="152">
        <v>40</v>
      </c>
      <c r="H19" s="158">
        <v>256967.21</v>
      </c>
    </row>
    <row r="20" spans="1:8">
      <c r="A20" s="129"/>
      <c r="B20" s="123" t="s">
        <v>105</v>
      </c>
      <c r="C20" s="158">
        <v>167412116.48000002</v>
      </c>
      <c r="D20" s="158">
        <v>500173.62</v>
      </c>
      <c r="E20" s="158"/>
      <c r="F20" s="158">
        <f t="shared" si="1"/>
        <v>167912290.10000002</v>
      </c>
      <c r="G20" s="152">
        <v>103</v>
      </c>
      <c r="H20" s="158">
        <v>1844850.23</v>
      </c>
    </row>
    <row r="21" spans="1:8">
      <c r="A21" s="129"/>
      <c r="B21" s="123" t="s">
        <v>372</v>
      </c>
      <c r="C21" s="158">
        <v>6711437.5</v>
      </c>
      <c r="D21" s="158"/>
      <c r="E21" s="158"/>
      <c r="F21" s="158">
        <f t="shared" si="1"/>
        <v>6711437.5</v>
      </c>
      <c r="G21" s="152"/>
      <c r="H21" s="158">
        <v>0</v>
      </c>
    </row>
    <row r="22" spans="1:8">
      <c r="A22" s="129"/>
      <c r="B22" s="123" t="s">
        <v>294</v>
      </c>
      <c r="C22" s="158">
        <v>9052984.6500000004</v>
      </c>
      <c r="D22" s="158">
        <v>2460966.84</v>
      </c>
      <c r="E22" s="158"/>
      <c r="F22" s="158">
        <f t="shared" si="1"/>
        <v>11513951.49</v>
      </c>
      <c r="G22" s="152">
        <v>10</v>
      </c>
      <c r="H22" s="158">
        <v>905298.49</v>
      </c>
    </row>
    <row r="23" spans="1:8">
      <c r="A23" s="129"/>
      <c r="B23" s="123" t="s">
        <v>106</v>
      </c>
      <c r="C23" s="158">
        <v>28222837.399999995</v>
      </c>
      <c r="D23" s="158">
        <v>0</v>
      </c>
      <c r="E23" s="158"/>
      <c r="F23" s="158">
        <f t="shared" si="1"/>
        <v>28222837.399999995</v>
      </c>
      <c r="G23" s="152">
        <v>85</v>
      </c>
      <c r="H23" s="158">
        <v>325384.40000000002</v>
      </c>
    </row>
    <row r="24" spans="1:8">
      <c r="A24" s="129"/>
      <c r="B24" s="123" t="s">
        <v>107</v>
      </c>
      <c r="C24" s="158">
        <v>27366286.300000004</v>
      </c>
      <c r="D24" s="158">
        <v>0</v>
      </c>
      <c r="E24" s="158"/>
      <c r="F24" s="158">
        <f t="shared" si="1"/>
        <v>27366286.300000004</v>
      </c>
      <c r="G24" s="152">
        <v>40</v>
      </c>
      <c r="H24" s="158">
        <v>725115.98</v>
      </c>
    </row>
    <row r="25" spans="1:8">
      <c r="A25" s="129"/>
      <c r="B25" s="123" t="s">
        <v>313</v>
      </c>
      <c r="C25" s="158">
        <v>851180.05</v>
      </c>
      <c r="D25" s="158">
        <v>0</v>
      </c>
      <c r="E25" s="158"/>
      <c r="F25" s="158">
        <f t="shared" si="1"/>
        <v>851180.05</v>
      </c>
      <c r="G25" s="152">
        <v>20</v>
      </c>
      <c r="H25" s="158">
        <v>42559</v>
      </c>
    </row>
    <row r="26" spans="1:8">
      <c r="A26" s="129"/>
      <c r="B26" s="123" t="s">
        <v>108</v>
      </c>
      <c r="C26" s="158">
        <v>11691437.920000002</v>
      </c>
      <c r="D26" s="158">
        <v>1470788.55</v>
      </c>
      <c r="E26" s="158"/>
      <c r="F26" s="158">
        <f t="shared" si="1"/>
        <v>13162226.470000003</v>
      </c>
      <c r="G26" s="152">
        <v>30</v>
      </c>
      <c r="H26" s="158">
        <v>389714.59</v>
      </c>
    </row>
    <row r="27" spans="1:8">
      <c r="A27" s="129"/>
      <c r="B27" s="123" t="s">
        <v>109</v>
      </c>
      <c r="C27" s="158">
        <v>107086</v>
      </c>
      <c r="D27" s="158">
        <v>0</v>
      </c>
      <c r="E27" s="158"/>
      <c r="F27" s="158">
        <f t="shared" si="1"/>
        <v>107086</v>
      </c>
      <c r="G27" s="152">
        <v>30</v>
      </c>
      <c r="H27" s="158">
        <v>2667.14</v>
      </c>
    </row>
    <row r="28" spans="1:8">
      <c r="A28" s="129"/>
      <c r="B28" s="123" t="s">
        <v>315</v>
      </c>
      <c r="C28" s="159"/>
      <c r="D28" s="159"/>
      <c r="E28" s="159"/>
      <c r="F28" s="159"/>
      <c r="G28" s="153"/>
      <c r="H28" s="159">
        <v>-140295.96</v>
      </c>
    </row>
    <row r="29" spans="1:8" s="127" customFormat="1">
      <c r="A29" s="118" t="s">
        <v>110</v>
      </c>
      <c r="B29" s="118"/>
      <c r="C29" s="160">
        <f>SUBTOTAL(9,C18:C28)</f>
        <v>314538511.58000004</v>
      </c>
      <c r="D29" s="160">
        <f>SUBTOTAL(9,D18:D28)</f>
        <v>6401285.54</v>
      </c>
      <c r="E29" s="160">
        <f>SUBTOTAL(9,E18:E28)</f>
        <v>0</v>
      </c>
      <c r="F29" s="160">
        <f>SUBTOTAL(9,F18:F28)</f>
        <v>320939797.12000006</v>
      </c>
      <c r="G29" s="125"/>
      <c r="H29" s="160">
        <f>SUBTOTAL(9,H18:H28)</f>
        <v>5083545.959999999</v>
      </c>
    </row>
    <row r="30" spans="1:8">
      <c r="C30" s="161"/>
      <c r="D30" s="161"/>
      <c r="E30" s="161"/>
      <c r="F30" s="161"/>
      <c r="G30" s="128"/>
      <c r="H30" s="161"/>
    </row>
    <row r="31" spans="1:8">
      <c r="A31" s="118" t="s">
        <v>98</v>
      </c>
      <c r="C31" s="161"/>
      <c r="D31" s="161"/>
      <c r="E31" s="161"/>
      <c r="F31" s="161"/>
      <c r="G31" s="128"/>
      <c r="H31" s="161"/>
    </row>
    <row r="32" spans="1:8">
      <c r="A32" s="129"/>
      <c r="B32" s="123" t="s">
        <v>104</v>
      </c>
      <c r="C32" s="158">
        <v>1562351.7</v>
      </c>
      <c r="D32" s="158">
        <v>0</v>
      </c>
      <c r="E32" s="158"/>
      <c r="F32" s="158">
        <f t="shared" ref="F32:F39" si="2">C32+D32-E32</f>
        <v>1562351.7</v>
      </c>
      <c r="G32" s="152">
        <v>72</v>
      </c>
      <c r="H32" s="158">
        <v>21699.33</v>
      </c>
    </row>
    <row r="33" spans="1:8">
      <c r="A33" s="129"/>
      <c r="B33" s="123" t="s">
        <v>111</v>
      </c>
      <c r="C33" s="158">
        <v>474668.13</v>
      </c>
      <c r="D33" s="158">
        <v>0</v>
      </c>
      <c r="E33" s="158"/>
      <c r="F33" s="158">
        <f t="shared" si="2"/>
        <v>474668.13</v>
      </c>
      <c r="G33" s="152">
        <v>55</v>
      </c>
      <c r="H33" s="158">
        <v>8630.31</v>
      </c>
    </row>
    <row r="34" spans="1:8">
      <c r="A34" s="129"/>
      <c r="B34" s="123" t="s">
        <v>112</v>
      </c>
      <c r="C34" s="158">
        <v>2735507.95</v>
      </c>
      <c r="D34" s="158">
        <v>97.94</v>
      </c>
      <c r="E34" s="158"/>
      <c r="F34" s="158">
        <f t="shared" si="2"/>
        <v>2735605.89</v>
      </c>
      <c r="G34" s="152">
        <v>40</v>
      </c>
      <c r="H34" s="158">
        <v>45025.19</v>
      </c>
    </row>
    <row r="35" spans="1:8">
      <c r="A35" s="129"/>
      <c r="B35" s="123" t="s">
        <v>113</v>
      </c>
      <c r="C35" s="158">
        <v>14202332.549999997</v>
      </c>
      <c r="D35" s="158">
        <v>4300000</v>
      </c>
      <c r="E35" s="158">
        <v>1996147.56</v>
      </c>
      <c r="F35" s="158">
        <f t="shared" si="2"/>
        <v>16506184.989999996</v>
      </c>
      <c r="G35" s="152">
        <v>40</v>
      </c>
      <c r="H35" s="158">
        <v>283909.78999999998</v>
      </c>
    </row>
    <row r="36" spans="1:8">
      <c r="A36" s="129"/>
      <c r="B36" s="123" t="s">
        <v>294</v>
      </c>
      <c r="C36" s="158">
        <v>2962780.46</v>
      </c>
      <c r="D36" s="158">
        <v>0</v>
      </c>
      <c r="E36" s="158"/>
      <c r="F36" s="158">
        <f t="shared" si="2"/>
        <v>2962780.46</v>
      </c>
      <c r="G36" s="152">
        <v>5</v>
      </c>
      <c r="H36" s="158">
        <v>0</v>
      </c>
    </row>
    <row r="37" spans="1:8">
      <c r="A37" s="129"/>
      <c r="B37" s="123" t="s">
        <v>314</v>
      </c>
      <c r="C37" s="158">
        <v>243547.65000000002</v>
      </c>
      <c r="D37" s="158">
        <v>0</v>
      </c>
      <c r="E37" s="158"/>
      <c r="F37" s="158">
        <f t="shared" si="2"/>
        <v>243547.65000000002</v>
      </c>
      <c r="G37" s="152">
        <v>12</v>
      </c>
      <c r="H37" s="158">
        <v>0</v>
      </c>
    </row>
    <row r="38" spans="1:8">
      <c r="A38" s="129"/>
      <c r="B38" s="123" t="s">
        <v>107</v>
      </c>
      <c r="C38" s="158">
        <v>9428053.0000000019</v>
      </c>
      <c r="D38" s="158">
        <v>51860.62</v>
      </c>
      <c r="E38" s="158">
        <v>541869.66</v>
      </c>
      <c r="F38" s="158">
        <f t="shared" si="2"/>
        <v>8938043.9600000009</v>
      </c>
      <c r="G38" s="152">
        <v>45</v>
      </c>
      <c r="H38" s="158">
        <v>208369.71</v>
      </c>
    </row>
    <row r="39" spans="1:8">
      <c r="A39" s="129"/>
      <c r="B39" s="123" t="s">
        <v>108</v>
      </c>
      <c r="C39" s="158">
        <v>1874382.7200000002</v>
      </c>
      <c r="D39" s="158">
        <v>0</v>
      </c>
      <c r="E39" s="158"/>
      <c r="F39" s="158">
        <f t="shared" si="2"/>
        <v>1874382.7200000002</v>
      </c>
      <c r="G39" s="152">
        <v>30</v>
      </c>
      <c r="H39" s="158">
        <v>60438.53</v>
      </c>
    </row>
    <row r="40" spans="1:8">
      <c r="A40" s="129"/>
      <c r="B40" s="123" t="s">
        <v>315</v>
      </c>
      <c r="C40" s="159"/>
      <c r="D40" s="159"/>
      <c r="E40" s="159"/>
      <c r="F40" s="159"/>
      <c r="G40" s="124"/>
      <c r="H40" s="159">
        <v>-74396.160000000003</v>
      </c>
    </row>
    <row r="41" spans="1:8" s="127" customFormat="1" ht="18.75" customHeight="1">
      <c r="A41" s="118" t="s">
        <v>114</v>
      </c>
      <c r="B41" s="118"/>
      <c r="C41" s="160">
        <f>SUBTOTAL(9,C32:C40)</f>
        <v>33483624.159999996</v>
      </c>
      <c r="D41" s="160">
        <f>SUBTOTAL(9,D32:D40)</f>
        <v>4351958.5600000005</v>
      </c>
      <c r="E41" s="160">
        <f>SUBTOTAL(9,E32:E40)</f>
        <v>2538017.2200000002</v>
      </c>
      <c r="F41" s="160">
        <f>SUBTOTAL(9,F32:F40)</f>
        <v>35297565.5</v>
      </c>
      <c r="G41" s="126"/>
      <c r="H41" s="160">
        <f>SUBTOTAL(9,H32:H40)</f>
        <v>553676.69999999995</v>
      </c>
    </row>
    <row r="42" spans="1:8">
      <c r="C42" s="161"/>
      <c r="D42" s="161"/>
      <c r="E42" s="161"/>
      <c r="F42" s="161"/>
      <c r="G42" s="128"/>
      <c r="H42" s="161"/>
    </row>
    <row r="43" spans="1:8">
      <c r="A43" s="118" t="s">
        <v>115</v>
      </c>
      <c r="C43" s="161"/>
      <c r="D43" s="161"/>
      <c r="E43" s="161"/>
      <c r="F43" s="161"/>
      <c r="G43" s="128"/>
      <c r="H43" s="161"/>
    </row>
    <row r="44" spans="1:8">
      <c r="A44" s="129"/>
      <c r="B44" s="123" t="s">
        <v>115</v>
      </c>
      <c r="C44" s="159">
        <v>0</v>
      </c>
      <c r="D44" s="159">
        <v>0</v>
      </c>
      <c r="E44" s="159"/>
      <c r="F44" s="159">
        <f>C44+D44-E44</f>
        <v>0</v>
      </c>
      <c r="G44" s="153">
        <v>0</v>
      </c>
      <c r="H44" s="159">
        <v>0</v>
      </c>
    </row>
    <row r="45" spans="1:8" s="127" customFormat="1" ht="18.75" customHeight="1">
      <c r="A45" s="118" t="s">
        <v>116</v>
      </c>
      <c r="B45" s="118"/>
      <c r="C45" s="160">
        <f>C44</f>
        <v>0</v>
      </c>
      <c r="D45" s="160">
        <f>D44</f>
        <v>0</v>
      </c>
      <c r="E45" s="160">
        <f>E44</f>
        <v>0</v>
      </c>
      <c r="F45" s="160">
        <f>F44</f>
        <v>0</v>
      </c>
      <c r="G45" s="126"/>
      <c r="H45" s="160">
        <f>SUBTOTAL(9,H44)</f>
        <v>0</v>
      </c>
    </row>
    <row r="46" spans="1:8">
      <c r="C46" s="161"/>
      <c r="D46" s="161"/>
      <c r="E46" s="161"/>
      <c r="F46" s="161"/>
      <c r="G46" s="128"/>
      <c r="H46" s="161"/>
    </row>
    <row r="47" spans="1:8">
      <c r="A47" s="118" t="s">
        <v>99</v>
      </c>
      <c r="C47" s="161"/>
      <c r="D47" s="161"/>
      <c r="E47" s="161"/>
      <c r="F47" s="161"/>
      <c r="G47" s="128"/>
      <c r="H47" s="161"/>
    </row>
    <row r="48" spans="1:8">
      <c r="A48" s="129"/>
      <c r="B48" s="123" t="s">
        <v>117</v>
      </c>
      <c r="C48" s="158">
        <v>82825492.48999998</v>
      </c>
      <c r="D48" s="158">
        <v>1963276.92</v>
      </c>
      <c r="E48" s="158"/>
      <c r="F48" s="158">
        <f t="shared" ref="F48:F58" si="3">C48+D48-E48</f>
        <v>84788769.409999982</v>
      </c>
      <c r="G48" s="152">
        <v>65</v>
      </c>
      <c r="H48" s="158">
        <v>1274238.32</v>
      </c>
    </row>
    <row r="49" spans="1:8">
      <c r="A49" s="129"/>
      <c r="B49" s="123" t="s">
        <v>118</v>
      </c>
      <c r="C49" s="158">
        <v>16756318.379999999</v>
      </c>
      <c r="D49" s="158">
        <v>0</v>
      </c>
      <c r="E49" s="158"/>
      <c r="F49" s="158">
        <f t="shared" si="3"/>
        <v>16756318.379999999</v>
      </c>
      <c r="G49" s="152">
        <v>60</v>
      </c>
      <c r="H49" s="158">
        <v>263220.65999999997</v>
      </c>
    </row>
    <row r="50" spans="1:8">
      <c r="A50" s="129"/>
      <c r="B50" s="123" t="s">
        <v>119</v>
      </c>
      <c r="C50" s="158">
        <v>4297239.04</v>
      </c>
      <c r="D50" s="158">
        <v>0</v>
      </c>
      <c r="E50" s="158"/>
      <c r="F50" s="158">
        <f t="shared" si="3"/>
        <v>4297239.04</v>
      </c>
      <c r="G50" s="152">
        <v>60</v>
      </c>
      <c r="H50" s="158">
        <v>67865.73</v>
      </c>
    </row>
    <row r="51" spans="1:8">
      <c r="A51" s="129"/>
      <c r="B51" s="123" t="s">
        <v>120</v>
      </c>
      <c r="C51" s="158">
        <v>20202888.569999997</v>
      </c>
      <c r="D51" s="158">
        <v>0</v>
      </c>
      <c r="E51" s="158"/>
      <c r="F51" s="158">
        <f t="shared" si="3"/>
        <v>20202888.569999997</v>
      </c>
      <c r="G51" s="152">
        <v>60</v>
      </c>
      <c r="H51" s="158">
        <v>313161.65999999997</v>
      </c>
    </row>
    <row r="52" spans="1:8">
      <c r="A52" s="129"/>
      <c r="B52" s="123" t="s">
        <v>121</v>
      </c>
      <c r="C52" s="158">
        <v>277975</v>
      </c>
      <c r="D52" s="158">
        <v>0</v>
      </c>
      <c r="E52" s="158"/>
      <c r="F52" s="158">
        <f t="shared" si="3"/>
        <v>277975</v>
      </c>
      <c r="G52" s="152">
        <v>60</v>
      </c>
      <c r="H52" s="158">
        <v>4144.75</v>
      </c>
    </row>
    <row r="53" spans="1:8">
      <c r="A53" s="129"/>
      <c r="B53" s="123" t="s">
        <v>122</v>
      </c>
      <c r="C53" s="158">
        <v>62928127.179999962</v>
      </c>
      <c r="D53" s="158">
        <v>2179355.46</v>
      </c>
      <c r="E53" s="158"/>
      <c r="F53" s="158">
        <f t="shared" si="3"/>
        <v>65107482.639999963</v>
      </c>
      <c r="G53" s="152">
        <v>54</v>
      </c>
      <c r="H53" s="158">
        <v>1278367</v>
      </c>
    </row>
    <row r="54" spans="1:8">
      <c r="A54" s="129"/>
      <c r="B54" s="123" t="s">
        <v>334</v>
      </c>
      <c r="C54" s="158">
        <v>10688553.15</v>
      </c>
      <c r="D54" s="158">
        <v>0</v>
      </c>
      <c r="E54" s="158"/>
      <c r="F54" s="158">
        <f t="shared" si="3"/>
        <v>10688553.15</v>
      </c>
      <c r="G54" s="152">
        <v>10</v>
      </c>
      <c r="H54" s="158">
        <v>890712.76</v>
      </c>
    </row>
    <row r="55" spans="1:8">
      <c r="A55" s="129"/>
      <c r="B55" s="123" t="s">
        <v>340</v>
      </c>
      <c r="C55" s="158">
        <v>13991451.050000001</v>
      </c>
      <c r="D55" s="158">
        <v>0</v>
      </c>
      <c r="E55" s="158"/>
      <c r="F55" s="158">
        <f t="shared" si="3"/>
        <v>13991451.050000001</v>
      </c>
      <c r="G55" s="152">
        <v>10</v>
      </c>
      <c r="H55" s="158">
        <v>1399145.105</v>
      </c>
    </row>
    <row r="56" spans="1:8">
      <c r="A56" s="129"/>
      <c r="B56" s="123" t="s">
        <v>341</v>
      </c>
      <c r="C56" s="158">
        <v>848040.31</v>
      </c>
      <c r="D56" s="158">
        <v>0</v>
      </c>
      <c r="E56" s="158"/>
      <c r="F56" s="158">
        <f t="shared" si="3"/>
        <v>848040.31</v>
      </c>
      <c r="G56" s="152">
        <v>10</v>
      </c>
      <c r="H56" s="158">
        <v>84804.031000000003</v>
      </c>
    </row>
    <row r="57" spans="1:8">
      <c r="A57" s="129"/>
      <c r="B57" s="123" t="s">
        <v>123</v>
      </c>
      <c r="C57" s="158">
        <v>8907593.5500000007</v>
      </c>
      <c r="D57" s="158">
        <v>0</v>
      </c>
      <c r="E57" s="158"/>
      <c r="F57" s="158">
        <f t="shared" si="3"/>
        <v>8907593.5500000007</v>
      </c>
      <c r="G57" s="152">
        <v>55</v>
      </c>
      <c r="H57" s="158">
        <v>28093.143999999855</v>
      </c>
    </row>
    <row r="58" spans="1:8">
      <c r="A58" s="129"/>
      <c r="B58" s="123" t="s">
        <v>124</v>
      </c>
      <c r="C58" s="158">
        <v>274477.45</v>
      </c>
      <c r="D58" s="158">
        <v>0</v>
      </c>
      <c r="E58" s="158"/>
      <c r="F58" s="158">
        <f t="shared" si="3"/>
        <v>274477.45</v>
      </c>
      <c r="G58" s="152">
        <v>30</v>
      </c>
      <c r="H58" s="158">
        <v>7085.05</v>
      </c>
    </row>
    <row r="59" spans="1:8">
      <c r="A59" s="129"/>
      <c r="B59" s="123" t="s">
        <v>315</v>
      </c>
      <c r="C59" s="159"/>
      <c r="D59" s="159"/>
      <c r="E59" s="159"/>
      <c r="F59" s="159"/>
      <c r="G59" s="153"/>
      <c r="H59" s="159">
        <v>-79596.960000000006</v>
      </c>
    </row>
    <row r="60" spans="1:8" s="127" customFormat="1" ht="18" customHeight="1">
      <c r="A60" s="118" t="s">
        <v>125</v>
      </c>
      <c r="B60" s="118"/>
      <c r="C60" s="160">
        <f>SUBTOTAL(9,C48:C59)</f>
        <v>221998156.16999996</v>
      </c>
      <c r="D60" s="160">
        <f>SUBTOTAL(9,D48:D59)</f>
        <v>4142632.38</v>
      </c>
      <c r="E60" s="160">
        <f>SUBTOTAL(9,E48:E59)</f>
        <v>0</v>
      </c>
      <c r="F60" s="160">
        <f>SUBTOTAL(9,F48:F59)</f>
        <v>226140788.54999995</v>
      </c>
      <c r="G60" s="126"/>
      <c r="H60" s="160">
        <f>SUBTOTAL(9,H48:H59)</f>
        <v>5531241.25</v>
      </c>
    </row>
    <row r="61" spans="1:8">
      <c r="C61" s="161"/>
      <c r="D61" s="161"/>
      <c r="E61" s="161"/>
      <c r="F61" s="161"/>
      <c r="G61" s="128"/>
      <c r="H61" s="161"/>
    </row>
    <row r="62" spans="1:8">
      <c r="A62" s="118" t="s">
        <v>126</v>
      </c>
      <c r="C62" s="161"/>
      <c r="D62" s="161"/>
      <c r="E62" s="161"/>
      <c r="F62" s="161"/>
      <c r="G62" s="128"/>
      <c r="H62" s="161"/>
    </row>
    <row r="63" spans="1:8">
      <c r="A63" s="129"/>
      <c r="B63" s="123" t="s">
        <v>117</v>
      </c>
      <c r="C63" s="158">
        <v>4583998.2</v>
      </c>
      <c r="D63" s="158">
        <v>0</v>
      </c>
      <c r="E63" s="158"/>
      <c r="F63" s="158">
        <f t="shared" ref="F63:F73" si="4">C63+D63-E63</f>
        <v>4583998.2</v>
      </c>
      <c r="G63" s="152">
        <v>65</v>
      </c>
      <c r="H63" s="158">
        <v>68509.09</v>
      </c>
    </row>
    <row r="64" spans="1:8">
      <c r="A64" s="129"/>
      <c r="B64" s="123" t="s">
        <v>127</v>
      </c>
      <c r="C64" s="158">
        <v>2646131.54</v>
      </c>
      <c r="D64" s="158">
        <v>0</v>
      </c>
      <c r="E64" s="158"/>
      <c r="F64" s="158">
        <f t="shared" si="4"/>
        <v>2646131.54</v>
      </c>
      <c r="G64" s="152">
        <v>12</v>
      </c>
      <c r="H64" s="158">
        <v>13328.76</v>
      </c>
    </row>
    <row r="65" spans="1:8">
      <c r="A65" s="129"/>
      <c r="B65" s="123" t="s">
        <v>128</v>
      </c>
      <c r="C65" s="158">
        <v>41597.199999999997</v>
      </c>
      <c r="D65" s="158">
        <v>0</v>
      </c>
      <c r="E65" s="158"/>
      <c r="F65" s="158">
        <f t="shared" si="4"/>
        <v>41597.199999999997</v>
      </c>
      <c r="G65" s="152">
        <v>60</v>
      </c>
      <c r="H65" s="158">
        <v>685.52</v>
      </c>
    </row>
    <row r="66" spans="1:8">
      <c r="A66" s="129"/>
      <c r="B66" s="123" t="s">
        <v>295</v>
      </c>
      <c r="C66" s="158">
        <v>432532.51</v>
      </c>
      <c r="D66" s="158">
        <v>0</v>
      </c>
      <c r="E66" s="158"/>
      <c r="F66" s="158">
        <f t="shared" si="4"/>
        <v>432532.51</v>
      </c>
      <c r="G66" s="152">
        <v>12</v>
      </c>
      <c r="H66" s="158">
        <v>2178.2399999999998</v>
      </c>
    </row>
    <row r="67" spans="1:8">
      <c r="A67" s="129"/>
      <c r="B67" s="123" t="s">
        <v>129</v>
      </c>
      <c r="C67" s="158">
        <v>0</v>
      </c>
      <c r="D67" s="158">
        <v>0</v>
      </c>
      <c r="E67" s="158"/>
      <c r="F67" s="158">
        <f t="shared" si="4"/>
        <v>0</v>
      </c>
      <c r="G67" s="152">
        <v>60</v>
      </c>
      <c r="H67" s="158">
        <v>0</v>
      </c>
    </row>
    <row r="68" spans="1:8">
      <c r="A68" s="129"/>
      <c r="B68" s="123" t="s">
        <v>296</v>
      </c>
      <c r="C68" s="158">
        <v>95136.43</v>
      </c>
      <c r="D68" s="158">
        <v>0</v>
      </c>
      <c r="E68" s="158"/>
      <c r="F68" s="158">
        <f t="shared" si="4"/>
        <v>95136.43</v>
      </c>
      <c r="G68" s="152">
        <v>12</v>
      </c>
      <c r="H68" s="158">
        <v>479.16</v>
      </c>
    </row>
    <row r="69" spans="1:8">
      <c r="A69" s="129"/>
      <c r="B69" s="123" t="s">
        <v>130</v>
      </c>
      <c r="C69" s="158">
        <v>1837887.92</v>
      </c>
      <c r="D69" s="158">
        <v>0</v>
      </c>
      <c r="E69" s="158"/>
      <c r="F69" s="158">
        <f t="shared" si="4"/>
        <v>1837887.92</v>
      </c>
      <c r="G69" s="152">
        <v>60</v>
      </c>
      <c r="H69" s="158">
        <v>24349.43</v>
      </c>
    </row>
    <row r="70" spans="1:8">
      <c r="A70" s="129"/>
      <c r="B70" s="123" t="s">
        <v>131</v>
      </c>
      <c r="C70" s="158">
        <v>78813.429999999993</v>
      </c>
      <c r="D70" s="158">
        <v>0</v>
      </c>
      <c r="E70" s="158"/>
      <c r="F70" s="158">
        <f t="shared" si="4"/>
        <v>78813.429999999993</v>
      </c>
      <c r="G70" s="152">
        <v>45</v>
      </c>
      <c r="H70" s="158">
        <v>1751.41</v>
      </c>
    </row>
    <row r="71" spans="1:8">
      <c r="A71" s="129"/>
      <c r="B71" s="123" t="s">
        <v>297</v>
      </c>
      <c r="C71" s="158">
        <v>920692.5</v>
      </c>
      <c r="D71" s="158">
        <v>0</v>
      </c>
      <c r="E71" s="158"/>
      <c r="F71" s="158">
        <f t="shared" si="4"/>
        <v>920692.5</v>
      </c>
      <c r="G71" s="152">
        <v>12</v>
      </c>
      <c r="H71" s="158">
        <v>4637.6400000000003</v>
      </c>
    </row>
    <row r="72" spans="1:8">
      <c r="A72" s="129"/>
      <c r="B72" s="123" t="s">
        <v>298</v>
      </c>
      <c r="C72" s="158">
        <v>8092849.4799999995</v>
      </c>
      <c r="D72" s="158">
        <v>0</v>
      </c>
      <c r="E72" s="158"/>
      <c r="F72" s="158">
        <f t="shared" si="4"/>
        <v>8092849.4799999995</v>
      </c>
      <c r="G72" s="152">
        <v>54</v>
      </c>
      <c r="H72" s="158">
        <v>149867.57999999999</v>
      </c>
    </row>
    <row r="73" spans="1:8">
      <c r="A73" s="129"/>
      <c r="B73" s="123" t="s">
        <v>299</v>
      </c>
      <c r="C73" s="158">
        <v>7111245.04</v>
      </c>
      <c r="D73" s="158">
        <v>0</v>
      </c>
      <c r="E73" s="158"/>
      <c r="F73" s="158">
        <f t="shared" si="4"/>
        <v>7111245.04</v>
      </c>
      <c r="G73" s="152">
        <v>12</v>
      </c>
      <c r="H73" s="158">
        <v>38778</v>
      </c>
    </row>
    <row r="74" spans="1:8">
      <c r="A74" s="129"/>
      <c r="B74" s="123" t="s">
        <v>315</v>
      </c>
      <c r="C74" s="159"/>
      <c r="D74" s="159"/>
      <c r="E74" s="159"/>
      <c r="F74" s="159"/>
      <c r="G74" s="153"/>
      <c r="H74" s="159">
        <v>-46018.2</v>
      </c>
    </row>
    <row r="75" spans="1:8" s="127" customFormat="1">
      <c r="A75" s="118" t="s">
        <v>132</v>
      </c>
      <c r="B75" s="118"/>
      <c r="C75" s="160">
        <f>SUBTOTAL(9,C63:C74)</f>
        <v>25840884.25</v>
      </c>
      <c r="D75" s="160">
        <f>SUBTOTAL(9,D63:D74)</f>
        <v>0</v>
      </c>
      <c r="E75" s="160">
        <f>SUBTOTAL(9,E63:E74)</f>
        <v>0</v>
      </c>
      <c r="F75" s="160">
        <f>SUBTOTAL(9,F63:F74)</f>
        <v>25840884.25</v>
      </c>
      <c r="G75" s="126"/>
      <c r="H75" s="160">
        <f>SUBTOTAL(9,H63:H74)</f>
        <v>258546.63</v>
      </c>
    </row>
    <row r="76" spans="1:8">
      <c r="C76" s="161"/>
      <c r="D76" s="161"/>
      <c r="E76" s="161"/>
      <c r="F76" s="161"/>
      <c r="G76" s="128"/>
      <c r="H76" s="161"/>
    </row>
    <row r="77" spans="1:8">
      <c r="A77" s="118" t="s">
        <v>133</v>
      </c>
      <c r="C77" s="161"/>
      <c r="D77" s="161"/>
      <c r="E77" s="161"/>
      <c r="F77" s="161"/>
      <c r="G77" s="128"/>
      <c r="H77" s="161"/>
    </row>
    <row r="78" spans="1:8">
      <c r="A78" s="129"/>
      <c r="B78" s="123" t="s">
        <v>117</v>
      </c>
      <c r="C78" s="158">
        <v>10354693.419999992</v>
      </c>
      <c r="D78" s="158">
        <v>7432381.7800000003</v>
      </c>
      <c r="E78" s="158"/>
      <c r="F78" s="158">
        <f t="shared" ref="F78:F93" si="5">C78+D78-E78</f>
        <v>17787075.199999992</v>
      </c>
      <c r="G78" s="152">
        <v>40</v>
      </c>
      <c r="H78" s="158">
        <v>246620.76</v>
      </c>
    </row>
    <row r="79" spans="1:8">
      <c r="A79" s="129"/>
      <c r="B79" s="123" t="s">
        <v>118</v>
      </c>
      <c r="C79" s="158">
        <v>44763.01</v>
      </c>
      <c r="D79" s="158">
        <v>0</v>
      </c>
      <c r="E79" s="158"/>
      <c r="F79" s="158">
        <f t="shared" si="5"/>
        <v>44763.01</v>
      </c>
      <c r="G79" s="152">
        <v>50</v>
      </c>
      <c r="H79" s="158">
        <v>895.26</v>
      </c>
    </row>
    <row r="80" spans="1:8">
      <c r="A80" s="129"/>
      <c r="B80" s="123" t="s">
        <v>129</v>
      </c>
      <c r="C80" s="158">
        <v>662900.07999999984</v>
      </c>
      <c r="D80" s="158">
        <v>0</v>
      </c>
      <c r="E80" s="158"/>
      <c r="F80" s="158">
        <f t="shared" si="5"/>
        <v>662900.07999999984</v>
      </c>
      <c r="G80" s="152">
        <v>50</v>
      </c>
      <c r="H80" s="158">
        <v>18940.02</v>
      </c>
    </row>
    <row r="81" spans="1:8">
      <c r="A81" s="129"/>
      <c r="B81" s="123" t="s">
        <v>134</v>
      </c>
      <c r="C81" s="158">
        <v>285794.73</v>
      </c>
      <c r="D81" s="158">
        <v>0</v>
      </c>
      <c r="E81" s="158"/>
      <c r="F81" s="158">
        <f t="shared" si="5"/>
        <v>285794.73</v>
      </c>
      <c r="G81" s="152">
        <v>50</v>
      </c>
      <c r="H81" s="158">
        <v>5388.99</v>
      </c>
    </row>
    <row r="82" spans="1:8">
      <c r="A82" s="129"/>
      <c r="B82" s="123" t="s">
        <v>135</v>
      </c>
      <c r="C82" s="158">
        <v>2119495.4099999983</v>
      </c>
      <c r="D82" s="158">
        <v>0</v>
      </c>
      <c r="E82" s="158"/>
      <c r="F82" s="158">
        <f t="shared" si="5"/>
        <v>2119495.4099999983</v>
      </c>
      <c r="G82" s="152">
        <v>40</v>
      </c>
      <c r="H82" s="158">
        <v>52980</v>
      </c>
    </row>
    <row r="83" spans="1:8">
      <c r="A83" s="129"/>
      <c r="B83" s="123" t="s">
        <v>136</v>
      </c>
      <c r="C83" s="158">
        <v>385154.92</v>
      </c>
      <c r="D83" s="158">
        <v>0</v>
      </c>
      <c r="E83" s="158"/>
      <c r="F83" s="158">
        <f t="shared" si="5"/>
        <v>385154.92</v>
      </c>
      <c r="G83" s="152">
        <v>40</v>
      </c>
      <c r="H83" s="158">
        <v>9628.8700000000008</v>
      </c>
    </row>
    <row r="84" spans="1:8">
      <c r="A84" s="129"/>
      <c r="B84" s="123" t="s">
        <v>312</v>
      </c>
      <c r="C84" s="158">
        <v>43376.77</v>
      </c>
      <c r="D84" s="158">
        <v>0</v>
      </c>
      <c r="E84" s="158"/>
      <c r="F84" s="158">
        <f t="shared" si="5"/>
        <v>43376.77</v>
      </c>
      <c r="G84" s="152">
        <v>40</v>
      </c>
      <c r="H84" s="158">
        <v>1084.43</v>
      </c>
    </row>
    <row r="85" spans="1:8">
      <c r="A85" s="129"/>
      <c r="B85" s="123" t="s">
        <v>137</v>
      </c>
      <c r="C85" s="158">
        <v>0</v>
      </c>
      <c r="D85" s="158">
        <v>0</v>
      </c>
      <c r="E85" s="158"/>
      <c r="F85" s="158">
        <f t="shared" si="5"/>
        <v>0</v>
      </c>
      <c r="G85" s="152">
        <v>0</v>
      </c>
      <c r="H85" s="158">
        <v>0</v>
      </c>
    </row>
    <row r="86" spans="1:8">
      <c r="A86" s="129"/>
      <c r="B86" s="123" t="s">
        <v>138</v>
      </c>
      <c r="C86" s="158">
        <v>312632.61</v>
      </c>
      <c r="D86" s="158">
        <v>0</v>
      </c>
      <c r="E86" s="158"/>
      <c r="F86" s="158">
        <f t="shared" si="5"/>
        <v>312632.61</v>
      </c>
      <c r="G86" s="152">
        <v>16</v>
      </c>
      <c r="H86" s="158">
        <v>12367.24</v>
      </c>
    </row>
    <row r="87" spans="1:8">
      <c r="A87" s="129"/>
      <c r="B87" s="123" t="s">
        <v>139</v>
      </c>
      <c r="C87" s="158">
        <v>288392.19</v>
      </c>
      <c r="D87" s="158">
        <v>0</v>
      </c>
      <c r="E87" s="158"/>
      <c r="F87" s="158">
        <f t="shared" si="5"/>
        <v>288392.19</v>
      </c>
      <c r="G87" s="152">
        <v>16</v>
      </c>
      <c r="H87" s="158">
        <v>11585.06</v>
      </c>
    </row>
    <row r="88" spans="1:8">
      <c r="A88" s="129"/>
      <c r="B88" s="123" t="s">
        <v>122</v>
      </c>
      <c r="C88" s="158">
        <v>1287180.0000000002</v>
      </c>
      <c r="D88" s="158">
        <v>616260.07999999996</v>
      </c>
      <c r="E88" s="158"/>
      <c r="F88" s="158">
        <f t="shared" si="5"/>
        <v>1903440.08</v>
      </c>
      <c r="G88" s="152">
        <v>40</v>
      </c>
      <c r="H88" s="158">
        <v>30257.29</v>
      </c>
    </row>
    <row r="89" spans="1:8">
      <c r="A89" s="129"/>
      <c r="B89" s="123" t="s">
        <v>123</v>
      </c>
      <c r="C89" s="158">
        <v>64798.340000000004</v>
      </c>
      <c r="D89" s="158">
        <v>0</v>
      </c>
      <c r="E89" s="158"/>
      <c r="F89" s="158">
        <f t="shared" si="5"/>
        <v>64798.340000000004</v>
      </c>
      <c r="G89" s="152">
        <v>55</v>
      </c>
      <c r="H89" s="158">
        <v>1178.1500000000001</v>
      </c>
    </row>
    <row r="90" spans="1:8">
      <c r="A90" s="129"/>
      <c r="B90" s="123" t="s">
        <v>124</v>
      </c>
      <c r="C90" s="158">
        <v>100328.43</v>
      </c>
      <c r="D90" s="158">
        <v>0</v>
      </c>
      <c r="E90" s="158"/>
      <c r="F90" s="158">
        <f t="shared" si="5"/>
        <v>100328.43</v>
      </c>
      <c r="G90" s="152">
        <v>30</v>
      </c>
      <c r="H90" s="158">
        <v>3005.45</v>
      </c>
    </row>
    <row r="91" spans="1:8">
      <c r="A91" s="129"/>
      <c r="B91" s="123" t="s">
        <v>140</v>
      </c>
      <c r="C91" s="158">
        <v>603366.85000000009</v>
      </c>
      <c r="D91" s="158">
        <v>0</v>
      </c>
      <c r="E91" s="158"/>
      <c r="F91" s="158">
        <f t="shared" si="5"/>
        <v>603366.85000000009</v>
      </c>
      <c r="G91" s="152">
        <v>40</v>
      </c>
      <c r="H91" s="158">
        <v>14126.5</v>
      </c>
    </row>
    <row r="92" spans="1:8">
      <c r="A92" s="129"/>
      <c r="B92" s="123" t="s">
        <v>141</v>
      </c>
      <c r="C92" s="158">
        <v>4042479.1899999995</v>
      </c>
      <c r="D92" s="158">
        <v>0</v>
      </c>
      <c r="E92" s="158"/>
      <c r="F92" s="158">
        <f t="shared" si="5"/>
        <v>4042479.1899999995</v>
      </c>
      <c r="G92" s="152">
        <v>35</v>
      </c>
      <c r="H92" s="158">
        <v>111157.97</v>
      </c>
    </row>
    <row r="93" spans="1:8">
      <c r="A93" s="129"/>
      <c r="B93" s="123" t="s">
        <v>142</v>
      </c>
      <c r="C93" s="158">
        <v>36442.910000000003</v>
      </c>
      <c r="D93" s="158">
        <v>0</v>
      </c>
      <c r="E93" s="158"/>
      <c r="F93" s="158">
        <f t="shared" si="5"/>
        <v>36442.910000000003</v>
      </c>
      <c r="G93" s="152">
        <v>30</v>
      </c>
      <c r="H93" s="158">
        <v>293.20999999999998</v>
      </c>
    </row>
    <row r="94" spans="1:8">
      <c r="A94" s="129"/>
      <c r="B94" s="123" t="s">
        <v>315</v>
      </c>
      <c r="C94" s="159"/>
      <c r="D94" s="159"/>
      <c r="E94" s="159"/>
      <c r="F94" s="159"/>
      <c r="G94" s="124"/>
      <c r="H94" s="159">
        <v>49978.92</v>
      </c>
    </row>
    <row r="95" spans="1:8" s="127" customFormat="1" ht="18" customHeight="1">
      <c r="A95" s="118" t="s">
        <v>143</v>
      </c>
      <c r="B95" s="118"/>
      <c r="C95" s="160">
        <f>SUBTOTAL(9,C78:C94)</f>
        <v>20631798.859999988</v>
      </c>
      <c r="D95" s="160">
        <f>SUBTOTAL(9,D78:D94)</f>
        <v>8048641.8600000003</v>
      </c>
      <c r="E95" s="160">
        <f>SUBTOTAL(9,E78:E94)</f>
        <v>0</v>
      </c>
      <c r="F95" s="160">
        <f>SUBTOTAL(9,F78:F94)</f>
        <v>28680440.719999995</v>
      </c>
      <c r="G95" s="126"/>
      <c r="H95" s="160">
        <f>SUBTOTAL(9,H78:H94)</f>
        <v>569488.12</v>
      </c>
    </row>
    <row r="96" spans="1:8">
      <c r="C96" s="162"/>
      <c r="D96" s="162"/>
      <c r="E96" s="162"/>
      <c r="F96" s="162"/>
      <c r="G96" s="130"/>
      <c r="H96" s="162"/>
    </row>
    <row r="97" spans="1:8">
      <c r="A97" s="118" t="s">
        <v>144</v>
      </c>
      <c r="C97" s="161"/>
      <c r="D97" s="161"/>
      <c r="E97" s="161"/>
      <c r="F97" s="161"/>
      <c r="G97" s="128"/>
      <c r="H97" s="161"/>
    </row>
    <row r="98" spans="1:8">
      <c r="A98" s="129"/>
      <c r="B98" s="123" t="s">
        <v>145</v>
      </c>
      <c r="C98" s="158">
        <v>4320.91</v>
      </c>
      <c r="D98" s="158">
        <v>0</v>
      </c>
      <c r="E98" s="158"/>
      <c r="F98" s="158">
        <f t="shared" ref="F98:F110" si="6">C98+D98-E98</f>
        <v>4320.91</v>
      </c>
      <c r="G98" s="152">
        <v>50</v>
      </c>
      <c r="H98" s="158">
        <v>86.42</v>
      </c>
    </row>
    <row r="99" spans="1:8">
      <c r="A99" s="129"/>
      <c r="B99" s="123" t="s">
        <v>146</v>
      </c>
      <c r="C99" s="158">
        <v>2615170.14</v>
      </c>
      <c r="D99" s="158">
        <v>4246677.04</v>
      </c>
      <c r="E99" s="158"/>
      <c r="F99" s="158">
        <f t="shared" si="6"/>
        <v>6861847.1799999997</v>
      </c>
      <c r="G99" s="152">
        <v>50</v>
      </c>
      <c r="H99" s="158">
        <v>49863.92</v>
      </c>
    </row>
    <row r="100" spans="1:8">
      <c r="A100" s="129"/>
      <c r="B100" s="123" t="s">
        <v>147</v>
      </c>
      <c r="C100" s="158">
        <v>10587763.250000004</v>
      </c>
      <c r="D100" s="158">
        <v>135000</v>
      </c>
      <c r="E100" s="158"/>
      <c r="F100" s="158">
        <f t="shared" si="6"/>
        <v>10722763.250000004</v>
      </c>
      <c r="G100" s="152">
        <v>55</v>
      </c>
      <c r="H100" s="158">
        <v>192504.92</v>
      </c>
    </row>
    <row r="101" spans="1:8">
      <c r="A101" s="129"/>
      <c r="B101" s="123" t="s">
        <v>148</v>
      </c>
      <c r="C101" s="158">
        <v>1919263.0599999998</v>
      </c>
      <c r="D101" s="158">
        <v>40000</v>
      </c>
      <c r="E101" s="158"/>
      <c r="F101" s="158">
        <f t="shared" si="6"/>
        <v>1959263.0599999998</v>
      </c>
      <c r="G101" s="152">
        <v>20</v>
      </c>
      <c r="H101" s="158">
        <v>43089.43</v>
      </c>
    </row>
    <row r="102" spans="1:8">
      <c r="A102" s="129"/>
      <c r="B102" s="123" t="s">
        <v>149</v>
      </c>
      <c r="C102" s="158">
        <v>19296.990000000002</v>
      </c>
      <c r="D102" s="158">
        <v>0</v>
      </c>
      <c r="E102" s="158"/>
      <c r="F102" s="158">
        <f t="shared" si="6"/>
        <v>19296.990000000002</v>
      </c>
      <c r="G102" s="152">
        <v>40</v>
      </c>
      <c r="H102" s="158">
        <v>318.87</v>
      </c>
    </row>
    <row r="103" spans="1:8">
      <c r="A103" s="129"/>
      <c r="B103" s="123" t="s">
        <v>150</v>
      </c>
      <c r="C103" s="158">
        <v>88444.14</v>
      </c>
      <c r="D103" s="158">
        <v>63706.7</v>
      </c>
      <c r="E103" s="158"/>
      <c r="F103" s="158">
        <f t="shared" si="6"/>
        <v>152150.84</v>
      </c>
      <c r="G103" s="152">
        <v>30</v>
      </c>
      <c r="H103" s="158">
        <v>1912.16</v>
      </c>
    </row>
    <row r="104" spans="1:8">
      <c r="A104" s="129"/>
      <c r="B104" s="123" t="s">
        <v>151</v>
      </c>
      <c r="C104" s="158">
        <v>1437633.4100000004</v>
      </c>
      <c r="D104" s="158">
        <v>193000</v>
      </c>
      <c r="E104" s="158"/>
      <c r="F104" s="158">
        <f t="shared" si="6"/>
        <v>1630633.4100000004</v>
      </c>
      <c r="G104" s="152">
        <v>7</v>
      </c>
      <c r="H104" s="158">
        <v>142371.72</v>
      </c>
    </row>
    <row r="105" spans="1:8">
      <c r="A105" s="129"/>
      <c r="B105" s="123" t="s">
        <v>152</v>
      </c>
      <c r="C105" s="158">
        <v>0</v>
      </c>
      <c r="D105" s="158">
        <v>0</v>
      </c>
      <c r="E105" s="158"/>
      <c r="F105" s="158">
        <f t="shared" si="6"/>
        <v>0</v>
      </c>
      <c r="G105" s="152">
        <v>5</v>
      </c>
      <c r="H105" s="158">
        <v>0</v>
      </c>
    </row>
    <row r="106" spans="1:8">
      <c r="A106" s="129"/>
      <c r="B106" s="123" t="s">
        <v>153</v>
      </c>
      <c r="C106" s="158">
        <v>2848036.9499999979</v>
      </c>
      <c r="D106" s="158">
        <v>366451.59</v>
      </c>
      <c r="E106" s="158"/>
      <c r="F106" s="158">
        <f t="shared" si="6"/>
        <v>3214488.5399999977</v>
      </c>
      <c r="G106" s="152">
        <v>20</v>
      </c>
      <c r="H106" s="158">
        <v>111886.23</v>
      </c>
    </row>
    <row r="107" spans="1:8">
      <c r="A107" s="129"/>
      <c r="B107" s="123" t="s">
        <v>137</v>
      </c>
      <c r="C107" s="158">
        <v>0</v>
      </c>
      <c r="D107" s="158">
        <v>0</v>
      </c>
      <c r="E107" s="158"/>
      <c r="F107" s="158">
        <f t="shared" si="6"/>
        <v>0</v>
      </c>
      <c r="G107" s="152">
        <v>15</v>
      </c>
      <c r="H107" s="158">
        <v>0</v>
      </c>
    </row>
    <row r="108" spans="1:8">
      <c r="A108" s="129"/>
      <c r="B108" s="123" t="s">
        <v>154</v>
      </c>
      <c r="C108" s="158">
        <v>5623403.629999998</v>
      </c>
      <c r="D108" s="158">
        <v>138983.01999999999</v>
      </c>
      <c r="E108" s="158"/>
      <c r="F108" s="158">
        <f t="shared" si="6"/>
        <v>5762386.6499999976</v>
      </c>
      <c r="G108" s="152">
        <v>20</v>
      </c>
      <c r="H108" s="158">
        <v>222044.94</v>
      </c>
    </row>
    <row r="109" spans="1:8">
      <c r="A109" s="129"/>
      <c r="B109" s="123" t="s">
        <v>155</v>
      </c>
      <c r="C109" s="158">
        <v>59031.369999999995</v>
      </c>
      <c r="D109" s="158">
        <v>0</v>
      </c>
      <c r="E109" s="158"/>
      <c r="F109" s="158">
        <f t="shared" si="6"/>
        <v>59031.369999999995</v>
      </c>
      <c r="G109" s="152">
        <v>40</v>
      </c>
      <c r="H109" s="158">
        <v>1129.08</v>
      </c>
    </row>
    <row r="110" spans="1:8">
      <c r="A110" s="129"/>
      <c r="B110" s="123" t="s">
        <v>156</v>
      </c>
      <c r="C110" s="158">
        <v>2152408.6399999997</v>
      </c>
      <c r="D110" s="158">
        <v>810234.67</v>
      </c>
      <c r="E110" s="158"/>
      <c r="F110" s="158">
        <f t="shared" si="6"/>
        <v>2962643.3099999996</v>
      </c>
      <c r="G110" s="152">
        <v>40</v>
      </c>
      <c r="H110" s="158">
        <v>19232.490000000002</v>
      </c>
    </row>
    <row r="111" spans="1:8">
      <c r="A111" s="129"/>
      <c r="B111" s="123" t="s">
        <v>315</v>
      </c>
      <c r="C111" s="159"/>
      <c r="D111" s="159"/>
      <c r="E111" s="159"/>
      <c r="F111" s="159"/>
      <c r="G111" s="153"/>
      <c r="H111" s="159">
        <v>-67343.759999999995</v>
      </c>
    </row>
    <row r="112" spans="1:8" s="127" customFormat="1" ht="18" customHeight="1">
      <c r="A112" s="118" t="s">
        <v>157</v>
      </c>
      <c r="B112" s="118"/>
      <c r="C112" s="160">
        <f>SUBTOTAL(9,C98:C111)</f>
        <v>27354772.490000006</v>
      </c>
      <c r="D112" s="160">
        <f>SUBTOTAL(9,D98:D111)</f>
        <v>5994053.0199999996</v>
      </c>
      <c r="E112" s="160">
        <f>SUBTOTAL(9,E98:E111)</f>
        <v>0</v>
      </c>
      <c r="F112" s="160">
        <f>SUBTOTAL(9,F98:F111)</f>
        <v>33348825.509999998</v>
      </c>
      <c r="G112" s="126"/>
      <c r="H112" s="160">
        <f>SUBTOTAL(9,H98:H111)</f>
        <v>717096.41999999981</v>
      </c>
    </row>
    <row r="113" spans="1:8">
      <c r="C113" s="162"/>
      <c r="D113" s="162"/>
      <c r="E113" s="162"/>
      <c r="F113" s="162"/>
      <c r="G113" s="132"/>
      <c r="H113" s="162"/>
    </row>
    <row r="114" spans="1:8">
      <c r="A114" s="118" t="s">
        <v>158</v>
      </c>
      <c r="C114" s="161"/>
      <c r="D114" s="161"/>
      <c r="E114" s="161"/>
      <c r="F114" s="161"/>
      <c r="G114" s="128"/>
      <c r="H114" s="161"/>
    </row>
    <row r="115" spans="1:8">
      <c r="A115" s="129"/>
      <c r="B115" s="123" t="s">
        <v>159</v>
      </c>
      <c r="C115" s="158">
        <v>357571.19</v>
      </c>
      <c r="D115" s="158">
        <v>35000</v>
      </c>
      <c r="E115" s="158"/>
      <c r="F115" s="158">
        <f t="shared" ref="F115:F121" si="7">C115+D115-E115</f>
        <v>392571.19</v>
      </c>
      <c r="G115" s="152">
        <v>8</v>
      </c>
      <c r="H115" s="158">
        <v>14005.73</v>
      </c>
    </row>
    <row r="116" spans="1:8">
      <c r="A116" s="129"/>
      <c r="B116" s="123" t="s">
        <v>160</v>
      </c>
      <c r="C116" s="158">
        <v>211681.52</v>
      </c>
      <c r="D116" s="158">
        <v>0</v>
      </c>
      <c r="E116" s="158"/>
      <c r="F116" s="158">
        <f t="shared" si="7"/>
        <v>211681.52</v>
      </c>
      <c r="G116" s="152">
        <v>11</v>
      </c>
      <c r="H116" s="158">
        <v>14817.83</v>
      </c>
    </row>
    <row r="117" spans="1:8">
      <c r="A117" s="129"/>
      <c r="B117" s="123" t="s">
        <v>300</v>
      </c>
      <c r="C117" s="158">
        <v>71771.58</v>
      </c>
      <c r="D117" s="158">
        <v>0</v>
      </c>
      <c r="E117" s="158"/>
      <c r="F117" s="158">
        <f t="shared" si="7"/>
        <v>71771.58</v>
      </c>
      <c r="G117" s="152">
        <v>25</v>
      </c>
      <c r="H117" s="158">
        <v>2927.31</v>
      </c>
    </row>
    <row r="118" spans="1:8">
      <c r="A118" s="129"/>
      <c r="B118" s="123" t="s">
        <v>161</v>
      </c>
      <c r="C118" s="158">
        <v>53710.58</v>
      </c>
      <c r="D118" s="158">
        <v>0</v>
      </c>
      <c r="E118" s="158"/>
      <c r="F118" s="158">
        <f t="shared" si="7"/>
        <v>53710.58</v>
      </c>
      <c r="G118" s="152">
        <v>25</v>
      </c>
      <c r="H118" s="158">
        <v>2546.0100000000002</v>
      </c>
    </row>
    <row r="119" spans="1:8">
      <c r="A119" s="129"/>
      <c r="B119" s="123" t="s">
        <v>162</v>
      </c>
      <c r="C119" s="158">
        <v>3289719.18</v>
      </c>
      <c r="D119" s="158">
        <v>623784</v>
      </c>
      <c r="E119" s="158"/>
      <c r="F119" s="158">
        <f t="shared" si="7"/>
        <v>3913503.18</v>
      </c>
      <c r="G119" s="152">
        <v>9</v>
      </c>
      <c r="H119" s="158">
        <v>302941.39</v>
      </c>
    </row>
    <row r="120" spans="1:8">
      <c r="A120" s="129"/>
      <c r="B120" s="123" t="s">
        <v>163</v>
      </c>
      <c r="C120" s="158">
        <v>1459849.11</v>
      </c>
      <c r="D120" s="158">
        <v>389475.16</v>
      </c>
      <c r="E120" s="158"/>
      <c r="F120" s="158">
        <f t="shared" si="7"/>
        <v>1849324.27</v>
      </c>
      <c r="G120" s="152">
        <v>20</v>
      </c>
      <c r="H120" s="158">
        <v>58393.96</v>
      </c>
    </row>
    <row r="121" spans="1:8">
      <c r="A121" s="129"/>
      <c r="B121" s="123" t="s">
        <v>301</v>
      </c>
      <c r="C121" s="158">
        <v>1003858.15</v>
      </c>
      <c r="D121" s="158">
        <v>0</v>
      </c>
      <c r="E121" s="158"/>
      <c r="F121" s="158">
        <f t="shared" si="7"/>
        <v>1003858.15</v>
      </c>
      <c r="G121" s="154">
        <v>20</v>
      </c>
      <c r="H121" s="158">
        <v>60731.33</v>
      </c>
    </row>
    <row r="122" spans="1:8">
      <c r="A122" s="129"/>
      <c r="B122" s="123" t="s">
        <v>315</v>
      </c>
      <c r="C122" s="159"/>
      <c r="D122" s="159"/>
      <c r="E122" s="159"/>
      <c r="F122" s="159"/>
      <c r="G122" s="155"/>
      <c r="H122" s="159">
        <v>19267.32</v>
      </c>
    </row>
    <row r="123" spans="1:8" s="127" customFormat="1" ht="18" customHeight="1">
      <c r="A123" s="118" t="s">
        <v>164</v>
      </c>
      <c r="B123" s="118"/>
      <c r="C123" s="160">
        <f>SUBTOTAL(9,C115:C122)</f>
        <v>6448161.3100000005</v>
      </c>
      <c r="D123" s="160">
        <f>SUBTOTAL(9,D115:D122)</f>
        <v>1048259.1599999999</v>
      </c>
      <c r="E123" s="160">
        <f>SUBTOTAL(9,E115:E122)</f>
        <v>0</v>
      </c>
      <c r="F123" s="160">
        <f>SUBTOTAL(9,F115:F122)</f>
        <v>7496420.4700000007</v>
      </c>
      <c r="G123" s="125"/>
      <c r="H123" s="160">
        <f>SUBTOTAL(9,H115:H122)</f>
        <v>475630.88000000006</v>
      </c>
    </row>
    <row r="124" spans="1:8">
      <c r="C124" s="162"/>
      <c r="D124" s="162"/>
      <c r="E124" s="162"/>
      <c r="F124" s="162"/>
      <c r="H124" s="162"/>
    </row>
    <row r="125" spans="1:8">
      <c r="A125" s="118" t="s">
        <v>302</v>
      </c>
      <c r="C125" s="161"/>
      <c r="D125" s="161"/>
      <c r="E125" s="161"/>
      <c r="F125" s="161"/>
      <c r="G125" s="128"/>
      <c r="H125" s="161"/>
    </row>
    <row r="126" spans="1:8">
      <c r="A126" s="129"/>
      <c r="B126" s="123" t="s">
        <v>302</v>
      </c>
      <c r="C126" s="159">
        <v>1165687.07</v>
      </c>
      <c r="D126" s="159">
        <v>0</v>
      </c>
      <c r="E126" s="159"/>
      <c r="F126" s="159">
        <f>C126+D126-E126</f>
        <v>1165687.07</v>
      </c>
      <c r="G126" s="153">
        <v>0</v>
      </c>
      <c r="H126" s="159">
        <v>0</v>
      </c>
    </row>
    <row r="127" spans="1:8" s="127" customFormat="1" ht="18.75" customHeight="1">
      <c r="A127" s="118" t="s">
        <v>303</v>
      </c>
      <c r="B127" s="118"/>
      <c r="C127" s="160">
        <f>SUBTOTAL(9,C126)</f>
        <v>1165687.07</v>
      </c>
      <c r="D127" s="160">
        <f>SUBTOTAL(9,D126)</f>
        <v>0</v>
      </c>
      <c r="E127" s="160">
        <f>SUBTOTAL(9,E126)</f>
        <v>0</v>
      </c>
      <c r="F127" s="160">
        <f>SUBTOTAL(9,F126)</f>
        <v>1165687.07</v>
      </c>
      <c r="G127" s="126"/>
      <c r="H127" s="160">
        <f>SUBTOTAL(9,H126)</f>
        <v>0</v>
      </c>
    </row>
    <row r="128" spans="1:8" s="127" customFormat="1" ht="18.75" customHeight="1">
      <c r="A128" s="118"/>
      <c r="B128" s="118"/>
      <c r="C128" s="160"/>
      <c r="D128" s="160"/>
      <c r="E128" s="160"/>
      <c r="F128" s="160"/>
      <c r="G128" s="126"/>
      <c r="H128" s="160"/>
    </row>
    <row r="129" spans="1:8">
      <c r="A129" s="118" t="s">
        <v>304</v>
      </c>
      <c r="C129" s="161"/>
      <c r="D129" s="161"/>
      <c r="E129" s="161"/>
      <c r="F129" s="161"/>
      <c r="G129" s="128"/>
      <c r="H129" s="161"/>
    </row>
    <row r="130" spans="1:8">
      <c r="A130" s="129"/>
      <c r="B130" s="123" t="s">
        <v>104</v>
      </c>
      <c r="C130" s="158">
        <v>6184735</v>
      </c>
      <c r="D130" s="158">
        <v>0</v>
      </c>
      <c r="E130" s="158"/>
      <c r="F130" s="158">
        <f t="shared" ref="F130:F136" si="8">C130+D130-E130</f>
        <v>6184735</v>
      </c>
      <c r="G130" s="152">
        <v>72</v>
      </c>
      <c r="H130" s="158">
        <v>85899.1</v>
      </c>
    </row>
    <row r="131" spans="1:8">
      <c r="A131" s="129"/>
      <c r="B131" s="123" t="s">
        <v>305</v>
      </c>
      <c r="C131" s="158">
        <v>13200669.02</v>
      </c>
      <c r="D131" s="158">
        <v>0</v>
      </c>
      <c r="E131" s="158"/>
      <c r="F131" s="158">
        <f t="shared" si="8"/>
        <v>13200669.02</v>
      </c>
      <c r="G131" s="152">
        <v>60</v>
      </c>
      <c r="H131" s="158">
        <v>200436.58</v>
      </c>
    </row>
    <row r="132" spans="1:8">
      <c r="A132" s="129"/>
      <c r="B132" s="123" t="s">
        <v>306</v>
      </c>
      <c r="C132" s="158">
        <v>20890968.260000002</v>
      </c>
      <c r="D132" s="158">
        <v>0</v>
      </c>
      <c r="E132" s="158"/>
      <c r="F132" s="158">
        <f t="shared" si="8"/>
        <v>20890968.260000002</v>
      </c>
      <c r="G132" s="152">
        <v>40</v>
      </c>
      <c r="H132" s="158">
        <v>522274.21</v>
      </c>
    </row>
    <row r="133" spans="1:8">
      <c r="A133" s="129"/>
      <c r="B133" s="123" t="s">
        <v>294</v>
      </c>
      <c r="C133" s="158">
        <v>548443.35</v>
      </c>
      <c r="D133" s="158">
        <v>800000</v>
      </c>
      <c r="E133" s="158"/>
      <c r="F133" s="158">
        <f t="shared" si="8"/>
        <v>1348443.35</v>
      </c>
      <c r="G133" s="152">
        <v>2</v>
      </c>
      <c r="H133" s="158">
        <v>0</v>
      </c>
    </row>
    <row r="134" spans="1:8">
      <c r="A134" s="129"/>
      <c r="B134" s="123" t="s">
        <v>107</v>
      </c>
      <c r="C134" s="158">
        <v>3655939.21</v>
      </c>
      <c r="D134" s="158">
        <v>0</v>
      </c>
      <c r="E134" s="158"/>
      <c r="F134" s="158">
        <f t="shared" si="8"/>
        <v>3655939.21</v>
      </c>
      <c r="G134" s="152">
        <v>45</v>
      </c>
      <c r="H134" s="158">
        <v>81243.09</v>
      </c>
    </row>
    <row r="135" spans="1:8">
      <c r="A135" s="129"/>
      <c r="B135" s="123" t="s">
        <v>108</v>
      </c>
      <c r="C135" s="158">
        <v>2870009.21</v>
      </c>
      <c r="D135" s="158">
        <v>20199.830000000002</v>
      </c>
      <c r="E135" s="158"/>
      <c r="F135" s="158">
        <f t="shared" si="8"/>
        <v>2890209.04</v>
      </c>
      <c r="G135" s="152">
        <v>30</v>
      </c>
      <c r="H135" s="158">
        <v>95666.97</v>
      </c>
    </row>
    <row r="136" spans="1:8">
      <c r="A136" s="129"/>
      <c r="B136" s="119" t="s">
        <v>307</v>
      </c>
      <c r="C136" s="158">
        <v>779651</v>
      </c>
      <c r="D136" s="158">
        <v>0</v>
      </c>
      <c r="E136" s="158"/>
      <c r="F136" s="158">
        <f t="shared" si="8"/>
        <v>779651</v>
      </c>
      <c r="G136" s="152">
        <v>30</v>
      </c>
      <c r="H136" s="158">
        <v>25988.37</v>
      </c>
    </row>
    <row r="137" spans="1:8">
      <c r="A137" s="129"/>
      <c r="B137" s="123" t="s">
        <v>315</v>
      </c>
      <c r="C137" s="159"/>
      <c r="D137" s="159"/>
      <c r="E137" s="159"/>
      <c r="F137" s="159"/>
      <c r="G137" s="153"/>
      <c r="H137" s="159">
        <v>-13981.32</v>
      </c>
    </row>
    <row r="138" spans="1:8" s="127" customFormat="1" ht="18" customHeight="1">
      <c r="A138" s="118" t="s">
        <v>308</v>
      </c>
      <c r="B138" s="118"/>
      <c r="C138" s="160">
        <f>SUBTOTAL(9,C130:C137)</f>
        <v>48130415.050000004</v>
      </c>
      <c r="D138" s="160">
        <f>SUBTOTAL(9,D130:D137)</f>
        <v>820199.83</v>
      </c>
      <c r="E138" s="160">
        <f>SUBTOTAL(9,E130:E137)</f>
        <v>0</v>
      </c>
      <c r="F138" s="160">
        <f>SUBTOTAL(9,F130:F137)</f>
        <v>48950614.880000003</v>
      </c>
      <c r="G138" s="133"/>
      <c r="H138" s="160">
        <f>SUBTOTAL(9,H130:H137)</f>
        <v>997527</v>
      </c>
    </row>
    <row r="139" spans="1:8">
      <c r="C139" s="162"/>
      <c r="D139" s="162"/>
      <c r="E139" s="162"/>
      <c r="F139" s="162"/>
      <c r="H139" s="162"/>
    </row>
    <row r="140" spans="1:8">
      <c r="A140" s="127" t="s">
        <v>376</v>
      </c>
      <c r="C140" s="162"/>
      <c r="D140" s="162"/>
      <c r="E140" s="162"/>
      <c r="F140" s="162"/>
      <c r="H140" s="162"/>
    </row>
    <row r="141" spans="1:8">
      <c r="B141" s="119" t="s">
        <v>376</v>
      </c>
      <c r="C141" s="159">
        <v>1180856</v>
      </c>
      <c r="D141" s="159">
        <v>750134.11</v>
      </c>
      <c r="E141" s="159"/>
      <c r="F141" s="159">
        <f>C141+D141</f>
        <v>1930990.1099999999</v>
      </c>
      <c r="G141" s="153"/>
      <c r="H141" s="159">
        <v>113077.75999999999</v>
      </c>
    </row>
    <row r="142" spans="1:8">
      <c r="A142" s="127" t="s">
        <v>377</v>
      </c>
      <c r="C142" s="160">
        <f>SUBTOTAL(9,C141)</f>
        <v>1180856</v>
      </c>
      <c r="D142" s="160">
        <f>SUBTOTAL(9,D141)</f>
        <v>750134.11</v>
      </c>
      <c r="E142" s="160">
        <f>SUBTOTAL(9,E141)</f>
        <v>0</v>
      </c>
      <c r="F142" s="160">
        <f>SUBTOTAL(9,F141)</f>
        <v>1930990.1099999999</v>
      </c>
      <c r="G142" s="166"/>
      <c r="H142" s="160">
        <f>SUBTOTAL(9,H141)</f>
        <v>113077.75999999999</v>
      </c>
    </row>
    <row r="143" spans="1:8">
      <c r="C143" s="162"/>
      <c r="D143" s="162"/>
      <c r="E143" s="162"/>
      <c r="F143" s="162"/>
      <c r="H143" s="162"/>
    </row>
    <row r="144" spans="1:8" s="127" customFormat="1" ht="18" customHeight="1">
      <c r="A144" s="118" t="s">
        <v>28</v>
      </c>
      <c r="B144" s="118"/>
      <c r="C144" s="160">
        <f>SUBTOTAL(9,C8:C142)</f>
        <v>702516868.71999979</v>
      </c>
      <c r="D144" s="160">
        <f>SUBTOTAL(9,D8:D142)</f>
        <v>31557164.459999997</v>
      </c>
      <c r="E144" s="160">
        <f>SUBTOTAL(9,E8:E142)</f>
        <v>2539585.92</v>
      </c>
      <c r="F144" s="160">
        <f>SUBTOTAL(9,F8:F142)</f>
        <v>731534447.25999963</v>
      </c>
      <c r="G144" s="133"/>
      <c r="H144" s="160">
        <f>SUBTOTAL(9,H8:H142)</f>
        <v>14301386.460000001</v>
      </c>
    </row>
    <row r="145" spans="3:8">
      <c r="C145" s="131"/>
      <c r="D145" s="131"/>
      <c r="E145" s="131"/>
      <c r="F145" s="131"/>
      <c r="H145" s="131"/>
    </row>
    <row r="146" spans="3:8">
      <c r="F146" s="158"/>
      <c r="H146" s="158"/>
    </row>
    <row r="147" spans="3:8">
      <c r="C147" s="158"/>
      <c r="F147" s="158"/>
      <c r="H147" s="158"/>
    </row>
    <row r="148" spans="3:8">
      <c r="C148" s="158"/>
      <c r="F148" s="158"/>
      <c r="H148" s="158"/>
    </row>
    <row r="149" spans="3:8">
      <c r="C149" s="158"/>
      <c r="F149" s="158"/>
      <c r="H149" s="158"/>
    </row>
    <row r="150" spans="3:8">
      <c r="F150" s="158"/>
      <c r="H150" s="158"/>
    </row>
    <row r="151" spans="3:8">
      <c r="H151" s="158"/>
    </row>
    <row r="152" spans="3:8">
      <c r="H152" s="158"/>
    </row>
    <row r="153" spans="3:8">
      <c r="H153" s="158"/>
    </row>
    <row r="154" spans="3:8">
      <c r="H154" s="158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76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V155"/>
  <sheetViews>
    <sheetView view="pageBreakPreview" zoomScaleNormal="100" zoomScaleSheetLayoutView="100" workbookViewId="0">
      <pane ySplit="6" topLeftCell="A7" activePane="bottomLeft" state="frozen"/>
      <selection activeCell="H15" sqref="H15"/>
      <selection pane="bottomLeft" activeCell="B7" sqref="B7"/>
    </sheetView>
  </sheetViews>
  <sheetFormatPr defaultColWidth="9.1796875" defaultRowHeight="12.5"/>
  <cols>
    <col min="1" max="1" width="5.7265625" style="119" customWidth="1"/>
    <col min="2" max="2" width="31.1796875" style="119" customWidth="1"/>
    <col min="3" max="4" width="14.54296875" style="120" customWidth="1"/>
    <col min="5" max="5" width="12.54296875" style="120" bestFit="1" customWidth="1"/>
    <col min="6" max="6" width="14.54296875" style="120" customWidth="1"/>
    <col min="7" max="7" width="15.26953125" style="121" customWidth="1"/>
    <col min="8" max="8" width="17" style="120" customWidth="1"/>
    <col min="23" max="16384" width="9.1796875" style="119"/>
  </cols>
  <sheetData>
    <row r="1" spans="1:22" s="139" customFormat="1" ht="15.75" customHeight="1">
      <c r="A1" s="143" t="s">
        <v>0</v>
      </c>
      <c r="B1" s="140"/>
      <c r="C1" s="140"/>
      <c r="D1" s="140"/>
      <c r="E1" s="144"/>
      <c r="F1" s="140"/>
      <c r="H1" s="145" t="s">
        <v>471</v>
      </c>
    </row>
    <row r="2" spans="1:22" s="139" customFormat="1" ht="15.75" customHeight="1">
      <c r="A2" s="146" t="s">
        <v>342</v>
      </c>
      <c r="B2" s="140"/>
      <c r="C2" s="140"/>
      <c r="D2" s="140"/>
      <c r="E2" s="144"/>
      <c r="F2" s="140"/>
      <c r="H2" s="147" t="str">
        <f>Index!F2</f>
        <v>August 31, 2023</v>
      </c>
    </row>
    <row r="3" spans="1:22" s="139" customFormat="1" ht="15.75" customHeight="1">
      <c r="A3" s="163" t="s">
        <v>338</v>
      </c>
      <c r="B3" s="140"/>
      <c r="C3" s="140"/>
      <c r="D3" s="140"/>
      <c r="E3" s="144"/>
      <c r="F3" s="140"/>
      <c r="G3" s="140"/>
      <c r="H3" s="140"/>
    </row>
    <row r="4" spans="1:22" s="139" customFormat="1" ht="15.75" customHeight="1">
      <c r="A4" s="141"/>
      <c r="B4" s="141"/>
      <c r="C4" s="141"/>
      <c r="D4" s="141"/>
      <c r="E4" s="141"/>
      <c r="F4" s="141"/>
      <c r="G4" s="141"/>
      <c r="H4" s="141"/>
    </row>
    <row r="5" spans="1:22" s="139" customFormat="1">
      <c r="A5" s="148"/>
      <c r="B5" s="148"/>
      <c r="C5" s="142"/>
      <c r="D5" s="142"/>
      <c r="E5" s="142"/>
      <c r="F5" s="142"/>
      <c r="G5" s="149"/>
      <c r="H5" s="142"/>
    </row>
    <row r="6" spans="1:22" s="151" customFormat="1" ht="37.5">
      <c r="A6" s="148"/>
      <c r="B6" s="148" t="s">
        <v>9</v>
      </c>
      <c r="C6" s="142" t="s">
        <v>343</v>
      </c>
      <c r="D6" s="142" t="s">
        <v>344</v>
      </c>
      <c r="E6" s="157" t="s">
        <v>345</v>
      </c>
      <c r="F6" s="142" t="s">
        <v>346</v>
      </c>
      <c r="G6" s="150" t="s">
        <v>318</v>
      </c>
      <c r="H6" s="142" t="str">
        <f>'Schedule 1'!L7</f>
        <v>Forecast 2024</v>
      </c>
    </row>
    <row r="7" spans="1:22">
      <c r="A7" s="118" t="s">
        <v>96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</row>
    <row r="8" spans="1:22">
      <c r="A8" s="122"/>
      <c r="B8" s="123" t="s">
        <v>97</v>
      </c>
      <c r="C8" s="158">
        <f>'Schedule 3A - 2023'!F8</f>
        <v>444911.51999999996</v>
      </c>
      <c r="D8" s="158">
        <v>0</v>
      </c>
      <c r="E8" s="158"/>
      <c r="F8" s="158">
        <f t="shared" ref="F8:F13" si="0">C8+D8-E8</f>
        <v>444911.51999999996</v>
      </c>
      <c r="G8" s="152">
        <v>0</v>
      </c>
      <c r="H8" s="158">
        <v>0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</row>
    <row r="9" spans="1:22">
      <c r="A9" s="122"/>
      <c r="B9" s="123" t="s">
        <v>98</v>
      </c>
      <c r="C9" s="158">
        <f>'Schedule 3A - 2023'!F9</f>
        <v>27680.47</v>
      </c>
      <c r="D9" s="158">
        <v>0</v>
      </c>
      <c r="E9" s="158"/>
      <c r="F9" s="158">
        <f t="shared" si="0"/>
        <v>27680.47</v>
      </c>
      <c r="G9" s="152">
        <v>0</v>
      </c>
      <c r="H9" s="158">
        <v>0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</row>
    <row r="10" spans="1:22">
      <c r="A10" s="122"/>
      <c r="B10" s="123" t="s">
        <v>99</v>
      </c>
      <c r="C10" s="158">
        <f>'Schedule 3A - 2023'!F10</f>
        <v>576862.49</v>
      </c>
      <c r="D10" s="158">
        <v>0</v>
      </c>
      <c r="E10" s="158"/>
      <c r="F10" s="158">
        <f t="shared" si="0"/>
        <v>576862.49</v>
      </c>
      <c r="G10" s="152">
        <v>0</v>
      </c>
      <c r="H10" s="158">
        <v>0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</row>
    <row r="11" spans="1:22">
      <c r="A11" s="122"/>
      <c r="B11" s="123" t="s">
        <v>133</v>
      </c>
      <c r="C11" s="158">
        <f>'Schedule 3A - 2023'!F11</f>
        <v>17775.009999999998</v>
      </c>
      <c r="D11" s="158">
        <v>0</v>
      </c>
      <c r="E11" s="158"/>
      <c r="F11" s="158">
        <f t="shared" si="0"/>
        <v>17775.009999999998</v>
      </c>
      <c r="G11" s="152">
        <v>0</v>
      </c>
      <c r="H11" s="158">
        <v>0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</row>
    <row r="12" spans="1:22">
      <c r="A12" s="122"/>
      <c r="B12" s="123" t="s">
        <v>100</v>
      </c>
      <c r="C12" s="158">
        <f>'Schedule 3A - 2023'!F12</f>
        <v>547992.46000000008</v>
      </c>
      <c r="D12" s="158">
        <v>0</v>
      </c>
      <c r="E12" s="158"/>
      <c r="F12" s="158">
        <f t="shared" si="0"/>
        <v>547992.46000000008</v>
      </c>
      <c r="G12" s="152">
        <v>0</v>
      </c>
      <c r="H12" s="158">
        <v>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</row>
    <row r="13" spans="1:22">
      <c r="A13" s="122"/>
      <c r="B13" s="123" t="s">
        <v>101</v>
      </c>
      <c r="C13" s="158">
        <f>'Schedule 3A - 2023'!F13</f>
        <v>127211.13000000002</v>
      </c>
      <c r="D13" s="158">
        <v>0</v>
      </c>
      <c r="E13" s="158">
        <f>H13</f>
        <v>1568.7</v>
      </c>
      <c r="F13" s="158">
        <f t="shared" si="0"/>
        <v>125642.43000000002</v>
      </c>
      <c r="G13" s="152">
        <v>50</v>
      </c>
      <c r="H13" s="158">
        <v>1568.7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</row>
    <row r="14" spans="1:22">
      <c r="A14" s="122"/>
      <c r="B14" s="123" t="s">
        <v>315</v>
      </c>
      <c r="C14" s="159"/>
      <c r="D14" s="159"/>
      <c r="E14" s="159"/>
      <c r="F14" s="159"/>
      <c r="G14" s="124"/>
      <c r="H14" s="159">
        <v>-12.96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2" s="127" customFormat="1" ht="18.75" customHeight="1">
      <c r="A15" s="118" t="s">
        <v>102</v>
      </c>
      <c r="B15" s="118"/>
      <c r="C15" s="160">
        <f>SUBTOTAL(9,C8:C14)</f>
        <v>1742433.0800000003</v>
      </c>
      <c r="D15" s="160">
        <f>SUBTOTAL(9,D8:D14)</f>
        <v>0</v>
      </c>
      <c r="E15" s="160">
        <f>SUBTOTAL(9,E8:E14)</f>
        <v>1568.7</v>
      </c>
      <c r="F15" s="160">
        <f>SUBTOTAL(9,F8:F14)</f>
        <v>1740864.3800000001</v>
      </c>
      <c r="G15" s="126"/>
      <c r="H15" s="160">
        <f>SUBTOTAL(9,H8:H14)</f>
        <v>1555.74</v>
      </c>
    </row>
    <row r="16" spans="1:22">
      <c r="C16" s="161"/>
      <c r="D16" s="161"/>
      <c r="E16" s="161"/>
      <c r="F16" s="161"/>
      <c r="G16" s="128"/>
      <c r="H16" s="161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8">
      <c r="A17" s="118" t="s">
        <v>103</v>
      </c>
      <c r="C17" s="161"/>
      <c r="D17" s="161"/>
      <c r="E17" s="161"/>
      <c r="F17" s="161"/>
      <c r="G17" s="128"/>
      <c r="H17" s="161"/>
    </row>
    <row r="18" spans="1:8">
      <c r="A18" s="129"/>
      <c r="B18" s="123" t="s">
        <v>104</v>
      </c>
      <c r="C18" s="158">
        <f>'Schedule 3A - 2023'!F18</f>
        <v>54813813.349999987</v>
      </c>
      <c r="D18" s="158">
        <v>1000000</v>
      </c>
      <c r="E18" s="158"/>
      <c r="F18" s="158">
        <f t="shared" ref="F18:F27" si="1">C18+D18-E18</f>
        <v>55813813.349999987</v>
      </c>
      <c r="G18" s="152">
        <v>72</v>
      </c>
      <c r="H18" s="158">
        <v>758637.05</v>
      </c>
    </row>
    <row r="19" spans="1:8">
      <c r="A19" s="129"/>
      <c r="B19" s="123" t="s">
        <v>111</v>
      </c>
      <c r="C19" s="158">
        <f>'Schedule 3A - 2023'!F19</f>
        <v>10278688.460000001</v>
      </c>
      <c r="D19" s="158">
        <v>0</v>
      </c>
      <c r="E19" s="158"/>
      <c r="F19" s="158">
        <f t="shared" si="1"/>
        <v>10278688.460000001</v>
      </c>
      <c r="G19" s="152">
        <v>40</v>
      </c>
      <c r="H19" s="158">
        <v>256967.21</v>
      </c>
    </row>
    <row r="20" spans="1:8">
      <c r="A20" s="129"/>
      <c r="B20" s="123" t="s">
        <v>105</v>
      </c>
      <c r="C20" s="158">
        <f>'Schedule 3A - 2023'!F20</f>
        <v>167912290.10000002</v>
      </c>
      <c r="D20" s="158">
        <v>0</v>
      </c>
      <c r="E20" s="158"/>
      <c r="F20" s="158">
        <f t="shared" si="1"/>
        <v>167912290.10000002</v>
      </c>
      <c r="G20" s="152">
        <v>103</v>
      </c>
      <c r="H20" s="158">
        <v>1849706.29</v>
      </c>
    </row>
    <row r="21" spans="1:8">
      <c r="A21" s="129"/>
      <c r="B21" s="123" t="s">
        <v>372</v>
      </c>
      <c r="C21" s="158">
        <f>'Schedule 3A - 2023'!F21</f>
        <v>6711437.5</v>
      </c>
      <c r="D21" s="158">
        <v>0</v>
      </c>
      <c r="E21" s="158"/>
      <c r="F21" s="158">
        <f t="shared" si="1"/>
        <v>6711437.5</v>
      </c>
      <c r="G21" s="152"/>
      <c r="H21" s="158">
        <v>0</v>
      </c>
    </row>
    <row r="22" spans="1:8">
      <c r="A22" s="129"/>
      <c r="B22" s="123" t="s">
        <v>294</v>
      </c>
      <c r="C22" s="158">
        <f>'Schedule 3A - 2023'!F22</f>
        <v>11513951.49</v>
      </c>
      <c r="D22" s="158">
        <v>0</v>
      </c>
      <c r="E22" s="158"/>
      <c r="F22" s="158">
        <f t="shared" si="1"/>
        <v>11513951.49</v>
      </c>
      <c r="G22" s="152">
        <v>10</v>
      </c>
      <c r="H22" s="158">
        <v>1151395.17</v>
      </c>
    </row>
    <row r="23" spans="1:8">
      <c r="A23" s="129"/>
      <c r="B23" s="123" t="s">
        <v>106</v>
      </c>
      <c r="C23" s="158">
        <f>'Schedule 3A - 2023'!F23</f>
        <v>28222837.399999995</v>
      </c>
      <c r="D23" s="158">
        <v>0</v>
      </c>
      <c r="E23" s="158"/>
      <c r="F23" s="158">
        <f t="shared" si="1"/>
        <v>28222837.399999995</v>
      </c>
      <c r="G23" s="152">
        <v>85</v>
      </c>
      <c r="H23" s="158">
        <v>325384.40000000002</v>
      </c>
    </row>
    <row r="24" spans="1:8">
      <c r="A24" s="129"/>
      <c r="B24" s="123" t="s">
        <v>107</v>
      </c>
      <c r="C24" s="158">
        <f>'Schedule 3A - 2023'!F24</f>
        <v>27366286.300000004</v>
      </c>
      <c r="D24" s="158">
        <v>0</v>
      </c>
      <c r="E24" s="158"/>
      <c r="F24" s="158">
        <f t="shared" si="1"/>
        <v>27366286.300000004</v>
      </c>
      <c r="G24" s="152">
        <v>40</v>
      </c>
      <c r="H24" s="158">
        <v>727102.61</v>
      </c>
    </row>
    <row r="25" spans="1:8">
      <c r="A25" s="129"/>
      <c r="B25" s="123" t="s">
        <v>313</v>
      </c>
      <c r="C25" s="158">
        <f>'Schedule 3A - 2023'!F25</f>
        <v>851180.05</v>
      </c>
      <c r="D25" s="158">
        <v>0</v>
      </c>
      <c r="E25" s="158"/>
      <c r="F25" s="158">
        <f t="shared" si="1"/>
        <v>851180.05</v>
      </c>
      <c r="G25" s="152">
        <v>20</v>
      </c>
      <c r="H25" s="158">
        <v>42559</v>
      </c>
    </row>
    <row r="26" spans="1:8">
      <c r="A26" s="129"/>
      <c r="B26" s="123" t="s">
        <v>108</v>
      </c>
      <c r="C26" s="158">
        <f>'Schedule 3A - 2023'!F26</f>
        <v>13162226.470000003</v>
      </c>
      <c r="D26" s="158">
        <v>224990</v>
      </c>
      <c r="E26" s="158"/>
      <c r="F26" s="158">
        <f t="shared" si="1"/>
        <v>13387216.470000003</v>
      </c>
      <c r="G26" s="152">
        <v>30</v>
      </c>
      <c r="H26" s="158">
        <v>438740.89</v>
      </c>
    </row>
    <row r="27" spans="1:8">
      <c r="A27" s="129"/>
      <c r="B27" s="123" t="s">
        <v>109</v>
      </c>
      <c r="C27" s="158">
        <f>'Schedule 3A - 2023'!F27</f>
        <v>107086</v>
      </c>
      <c r="D27" s="158">
        <v>0</v>
      </c>
      <c r="E27" s="158"/>
      <c r="F27" s="158">
        <f t="shared" si="1"/>
        <v>107086</v>
      </c>
      <c r="G27" s="152">
        <v>30</v>
      </c>
      <c r="H27" s="158">
        <v>2667.14</v>
      </c>
    </row>
    <row r="28" spans="1:8">
      <c r="A28" s="129"/>
      <c r="B28" s="123" t="s">
        <v>315</v>
      </c>
      <c r="C28" s="159"/>
      <c r="D28" s="159"/>
      <c r="E28" s="159"/>
      <c r="F28" s="159"/>
      <c r="G28" s="153"/>
      <c r="H28" s="159">
        <v>-140295.96</v>
      </c>
    </row>
    <row r="29" spans="1:8" s="127" customFormat="1">
      <c r="A29" s="118" t="s">
        <v>110</v>
      </c>
      <c r="B29" s="118"/>
      <c r="C29" s="160">
        <f>SUBTOTAL(9,C18:C28)</f>
        <v>320939797.12000006</v>
      </c>
      <c r="D29" s="160">
        <f>SUBTOTAL(9,D18:D28)</f>
        <v>1224990</v>
      </c>
      <c r="E29" s="160">
        <f>SUBTOTAL(9,E18:E28)</f>
        <v>0</v>
      </c>
      <c r="F29" s="160">
        <f>SUBTOTAL(9,F18:F28)</f>
        <v>322164787.12000006</v>
      </c>
      <c r="G29" s="125"/>
      <c r="H29" s="160">
        <f>SUBTOTAL(9,H18:H28)</f>
        <v>5412863.7999999998</v>
      </c>
    </row>
    <row r="30" spans="1:8">
      <c r="C30" s="161"/>
      <c r="D30" s="161"/>
      <c r="E30" s="161"/>
      <c r="F30" s="161"/>
      <c r="G30" s="128"/>
      <c r="H30" s="161"/>
    </row>
    <row r="31" spans="1:8">
      <c r="A31" s="118" t="s">
        <v>98</v>
      </c>
      <c r="C31" s="161"/>
      <c r="D31" s="161"/>
      <c r="E31" s="161"/>
      <c r="F31" s="161"/>
      <c r="G31" s="128"/>
      <c r="H31" s="161"/>
    </row>
    <row r="32" spans="1:8">
      <c r="A32" s="129"/>
      <c r="B32" s="123" t="s">
        <v>104</v>
      </c>
      <c r="C32" s="158">
        <f>'Schedule 3A - 2023'!F32</f>
        <v>1562351.7</v>
      </c>
      <c r="D32" s="158">
        <v>0</v>
      </c>
      <c r="E32" s="158"/>
      <c r="F32" s="158">
        <f t="shared" ref="F32:F39" si="2">C32+D32-E32</f>
        <v>1562351.7</v>
      </c>
      <c r="G32" s="152">
        <v>72</v>
      </c>
      <c r="H32" s="158">
        <v>21699.33</v>
      </c>
    </row>
    <row r="33" spans="1:8">
      <c r="A33" s="129"/>
      <c r="B33" s="123" t="s">
        <v>111</v>
      </c>
      <c r="C33" s="158">
        <f>'Schedule 3A - 2023'!F33</f>
        <v>474668.13</v>
      </c>
      <c r="D33" s="158">
        <v>0</v>
      </c>
      <c r="E33" s="158"/>
      <c r="F33" s="158">
        <f t="shared" si="2"/>
        <v>474668.13</v>
      </c>
      <c r="G33" s="152">
        <v>55</v>
      </c>
      <c r="H33" s="158">
        <v>8630.31</v>
      </c>
    </row>
    <row r="34" spans="1:8">
      <c r="A34" s="129"/>
      <c r="B34" s="123" t="s">
        <v>112</v>
      </c>
      <c r="C34" s="158">
        <f>'Schedule 3A - 2023'!F34</f>
        <v>2735605.89</v>
      </c>
      <c r="D34" s="158">
        <v>0</v>
      </c>
      <c r="E34" s="158"/>
      <c r="F34" s="158">
        <f t="shared" si="2"/>
        <v>2735605.89</v>
      </c>
      <c r="G34" s="152">
        <v>40</v>
      </c>
      <c r="H34" s="158">
        <v>45079.31</v>
      </c>
    </row>
    <row r="35" spans="1:8">
      <c r="A35" s="129"/>
      <c r="B35" s="123" t="s">
        <v>113</v>
      </c>
      <c r="C35" s="158">
        <f>'Schedule 3A - 2023'!F35</f>
        <v>16506184.989999996</v>
      </c>
      <c r="D35" s="158">
        <v>18175455</v>
      </c>
      <c r="E35" s="158"/>
      <c r="F35" s="158">
        <f t="shared" si="2"/>
        <v>34681639.989999995</v>
      </c>
      <c r="G35" s="152">
        <v>40</v>
      </c>
      <c r="H35" s="158">
        <v>390547.83</v>
      </c>
    </row>
    <row r="36" spans="1:8">
      <c r="A36" s="129"/>
      <c r="B36" s="123" t="s">
        <v>294</v>
      </c>
      <c r="C36" s="158">
        <f>'Schedule 3A - 2023'!F36</f>
        <v>2962780.46</v>
      </c>
      <c r="D36" s="158">
        <v>450000</v>
      </c>
      <c r="E36" s="158"/>
      <c r="F36" s="158">
        <f t="shared" si="2"/>
        <v>3412780.46</v>
      </c>
      <c r="G36" s="152">
        <v>5</v>
      </c>
      <c r="H36" s="158">
        <v>0</v>
      </c>
    </row>
    <row r="37" spans="1:8">
      <c r="A37" s="129"/>
      <c r="B37" s="123" t="s">
        <v>314</v>
      </c>
      <c r="C37" s="158">
        <f>'Schedule 3A - 2023'!F37</f>
        <v>243547.65000000002</v>
      </c>
      <c r="D37" s="158">
        <v>0</v>
      </c>
      <c r="E37" s="158"/>
      <c r="F37" s="158">
        <f t="shared" si="2"/>
        <v>243547.65000000002</v>
      </c>
      <c r="G37" s="152">
        <v>12</v>
      </c>
      <c r="H37" s="158">
        <v>0</v>
      </c>
    </row>
    <row r="38" spans="1:8">
      <c r="A38" s="129"/>
      <c r="B38" s="123" t="s">
        <v>107</v>
      </c>
      <c r="C38" s="158">
        <f>'Schedule 3A - 2023'!F38</f>
        <v>8938043.9600000009</v>
      </c>
      <c r="D38" s="158">
        <v>0</v>
      </c>
      <c r="E38" s="158"/>
      <c r="F38" s="158">
        <f t="shared" si="2"/>
        <v>8938043.9600000009</v>
      </c>
      <c r="G38" s="152">
        <v>45</v>
      </c>
      <c r="H38" s="158">
        <v>208754.96</v>
      </c>
    </row>
    <row r="39" spans="1:8">
      <c r="A39" s="129"/>
      <c r="B39" s="123" t="s">
        <v>108</v>
      </c>
      <c r="C39" s="158">
        <f>'Schedule 3A - 2023'!F39</f>
        <v>1874382.7200000002</v>
      </c>
      <c r="D39" s="158">
        <v>50000</v>
      </c>
      <c r="E39" s="158"/>
      <c r="F39" s="158">
        <f t="shared" si="2"/>
        <v>1924382.7200000002</v>
      </c>
      <c r="G39" s="152">
        <v>30</v>
      </c>
      <c r="H39" s="158">
        <v>60438.53</v>
      </c>
    </row>
    <row r="40" spans="1:8">
      <c r="A40" s="129"/>
      <c r="B40" s="123" t="s">
        <v>315</v>
      </c>
      <c r="C40" s="159"/>
      <c r="D40" s="159"/>
      <c r="E40" s="159"/>
      <c r="F40" s="159"/>
      <c r="G40" s="124"/>
      <c r="H40" s="159">
        <v>-74396.160000000003</v>
      </c>
    </row>
    <row r="41" spans="1:8" s="127" customFormat="1" ht="18.75" customHeight="1">
      <c r="A41" s="118" t="s">
        <v>114</v>
      </c>
      <c r="B41" s="118"/>
      <c r="C41" s="160">
        <f>SUBTOTAL(9,C32:C40)</f>
        <v>35297565.5</v>
      </c>
      <c r="D41" s="160">
        <f>SUBTOTAL(9,D32:D40)</f>
        <v>18675455</v>
      </c>
      <c r="E41" s="160">
        <f>SUBTOTAL(9,E32:E40)</f>
        <v>0</v>
      </c>
      <c r="F41" s="160">
        <f>SUBTOTAL(9,F32:F40)</f>
        <v>53973020.499999993</v>
      </c>
      <c r="G41" s="126"/>
      <c r="H41" s="160">
        <f>SUBTOTAL(9,H32:H40)</f>
        <v>660754.11</v>
      </c>
    </row>
    <row r="42" spans="1:8">
      <c r="C42" s="161"/>
      <c r="D42" s="161"/>
      <c r="E42" s="161"/>
      <c r="F42" s="161"/>
      <c r="G42" s="128"/>
      <c r="H42" s="161"/>
    </row>
    <row r="43" spans="1:8">
      <c r="A43" s="118" t="s">
        <v>115</v>
      </c>
      <c r="C43" s="161"/>
      <c r="D43" s="161"/>
      <c r="E43" s="161"/>
      <c r="F43" s="161"/>
      <c r="G43" s="128"/>
      <c r="H43" s="161"/>
    </row>
    <row r="44" spans="1:8">
      <c r="A44" s="129"/>
      <c r="B44" s="123" t="s">
        <v>115</v>
      </c>
      <c r="C44" s="159">
        <f>'Schedule 3A - 2023'!F44</f>
        <v>0</v>
      </c>
      <c r="D44" s="159">
        <v>0</v>
      </c>
      <c r="E44" s="159"/>
      <c r="F44" s="159">
        <f>C44+D44-E44</f>
        <v>0</v>
      </c>
      <c r="G44" s="153">
        <v>0</v>
      </c>
      <c r="H44" s="159">
        <v>0</v>
      </c>
    </row>
    <row r="45" spans="1:8" s="127" customFormat="1" ht="18.75" customHeight="1">
      <c r="A45" s="118" t="s">
        <v>116</v>
      </c>
      <c r="B45" s="118"/>
      <c r="C45" s="160">
        <f>C44</f>
        <v>0</v>
      </c>
      <c r="D45" s="160">
        <f>D44</f>
        <v>0</v>
      </c>
      <c r="E45" s="160">
        <f>E44</f>
        <v>0</v>
      </c>
      <c r="F45" s="160">
        <f>F44</f>
        <v>0</v>
      </c>
      <c r="G45" s="126"/>
      <c r="H45" s="160">
        <f>SUBTOTAL(9,H44)</f>
        <v>0</v>
      </c>
    </row>
    <row r="46" spans="1:8">
      <c r="C46" s="161"/>
      <c r="D46" s="161"/>
      <c r="E46" s="161"/>
      <c r="F46" s="161"/>
      <c r="G46" s="128"/>
      <c r="H46" s="161"/>
    </row>
    <row r="47" spans="1:8">
      <c r="A47" s="118" t="s">
        <v>99</v>
      </c>
      <c r="C47" s="161"/>
      <c r="D47" s="161"/>
      <c r="E47" s="161"/>
      <c r="F47" s="161"/>
      <c r="G47" s="128"/>
      <c r="H47" s="161"/>
    </row>
    <row r="48" spans="1:8">
      <c r="A48" s="129"/>
      <c r="B48" s="123" t="s">
        <v>117</v>
      </c>
      <c r="C48" s="158">
        <f>'Schedule 3A - 2023'!F48</f>
        <v>84788769.409999982</v>
      </c>
      <c r="D48" s="158">
        <v>16448851.01</v>
      </c>
      <c r="E48" s="158"/>
      <c r="F48" s="158">
        <f t="shared" ref="F48:F58" si="3">C48+D48-E48</f>
        <v>101237620.41999999</v>
      </c>
      <c r="G48" s="152">
        <v>65</v>
      </c>
      <c r="H48" s="158">
        <v>1304305</v>
      </c>
    </row>
    <row r="49" spans="1:8">
      <c r="A49" s="129"/>
      <c r="B49" s="123" t="s">
        <v>118</v>
      </c>
      <c r="C49" s="158">
        <f>'Schedule 3A - 2023'!F49</f>
        <v>16756318.379999999</v>
      </c>
      <c r="D49" s="158">
        <v>0</v>
      </c>
      <c r="E49" s="158"/>
      <c r="F49" s="158">
        <f t="shared" si="3"/>
        <v>16756318.379999999</v>
      </c>
      <c r="G49" s="152">
        <v>60</v>
      </c>
      <c r="H49" s="158">
        <v>263819.74</v>
      </c>
    </row>
    <row r="50" spans="1:8">
      <c r="A50" s="129"/>
      <c r="B50" s="123" t="s">
        <v>119</v>
      </c>
      <c r="C50" s="158">
        <f>'Schedule 3A - 2023'!F50</f>
        <v>4297239.04</v>
      </c>
      <c r="D50" s="158">
        <v>0</v>
      </c>
      <c r="E50" s="158"/>
      <c r="F50" s="158">
        <f t="shared" si="3"/>
        <v>4297239.04</v>
      </c>
      <c r="G50" s="152">
        <v>60</v>
      </c>
      <c r="H50" s="158">
        <v>68017.149999999994</v>
      </c>
    </row>
    <row r="51" spans="1:8">
      <c r="A51" s="129"/>
      <c r="B51" s="123" t="s">
        <v>120</v>
      </c>
      <c r="C51" s="158">
        <f>'Schedule 3A - 2023'!F51</f>
        <v>20202888.569999997</v>
      </c>
      <c r="D51" s="158">
        <v>0</v>
      </c>
      <c r="E51" s="158"/>
      <c r="F51" s="158">
        <f t="shared" si="3"/>
        <v>20202888.569999997</v>
      </c>
      <c r="G51" s="152">
        <v>60</v>
      </c>
      <c r="H51" s="158">
        <v>314019.61</v>
      </c>
    </row>
    <row r="52" spans="1:8">
      <c r="A52" s="129"/>
      <c r="B52" s="123" t="s">
        <v>121</v>
      </c>
      <c r="C52" s="158">
        <f>'Schedule 3A - 2023'!F52</f>
        <v>277975</v>
      </c>
      <c r="D52" s="158">
        <v>0</v>
      </c>
      <c r="E52" s="158"/>
      <c r="F52" s="158">
        <f t="shared" si="3"/>
        <v>277975</v>
      </c>
      <c r="G52" s="152">
        <v>60</v>
      </c>
      <c r="H52" s="158">
        <v>4156.1000000000004</v>
      </c>
    </row>
    <row r="53" spans="1:8">
      <c r="A53" s="129"/>
      <c r="B53" s="123" t="s">
        <v>122</v>
      </c>
      <c r="C53" s="158">
        <f>'Schedule 3A - 2023'!F53</f>
        <v>65107482.639999963</v>
      </c>
      <c r="D53" s="158">
        <v>1184000</v>
      </c>
      <c r="E53" s="158"/>
      <c r="F53" s="158">
        <f t="shared" si="3"/>
        <v>66291482.639999963</v>
      </c>
      <c r="G53" s="152">
        <v>54</v>
      </c>
      <c r="H53" s="158">
        <v>1315910.83</v>
      </c>
    </row>
    <row r="54" spans="1:8">
      <c r="A54" s="129"/>
      <c r="B54" s="123" t="s">
        <v>334</v>
      </c>
      <c r="C54" s="158">
        <f>'Schedule 3A - 2023'!F54</f>
        <v>10688553.15</v>
      </c>
      <c r="D54" s="158">
        <v>0</v>
      </c>
      <c r="E54" s="158"/>
      <c r="F54" s="158">
        <f t="shared" si="3"/>
        <v>10688553.15</v>
      </c>
      <c r="G54" s="152">
        <v>10</v>
      </c>
      <c r="H54" s="158">
        <v>890712.76</v>
      </c>
    </row>
    <row r="55" spans="1:8">
      <c r="A55" s="129"/>
      <c r="B55" s="123" t="s">
        <v>340</v>
      </c>
      <c r="C55" s="158">
        <f>'Schedule 3A - 2023'!F55</f>
        <v>13991451.050000001</v>
      </c>
      <c r="D55" s="158">
        <v>0</v>
      </c>
      <c r="E55" s="158"/>
      <c r="F55" s="158">
        <f t="shared" si="3"/>
        <v>13991451.050000001</v>
      </c>
      <c r="G55" s="152">
        <v>10</v>
      </c>
      <c r="H55" s="158">
        <v>1399145.105</v>
      </c>
    </row>
    <row r="56" spans="1:8">
      <c r="A56" s="129"/>
      <c r="B56" s="123" t="s">
        <v>341</v>
      </c>
      <c r="C56" s="158">
        <f>'Schedule 3A - 2023'!F56</f>
        <v>848040.31</v>
      </c>
      <c r="D56" s="158">
        <v>0</v>
      </c>
      <c r="E56" s="158"/>
      <c r="F56" s="158">
        <f t="shared" si="3"/>
        <v>848040.31</v>
      </c>
      <c r="G56" s="152">
        <v>10</v>
      </c>
      <c r="H56" s="158">
        <v>84804.031000000003</v>
      </c>
    </row>
    <row r="57" spans="1:8">
      <c r="A57" s="129"/>
      <c r="B57" s="123" t="s">
        <v>123</v>
      </c>
      <c r="C57" s="158">
        <f>'Schedule 3A - 2023'!F57</f>
        <v>8907593.5500000007</v>
      </c>
      <c r="D57" s="158">
        <v>0</v>
      </c>
      <c r="E57" s="158"/>
      <c r="F57" s="158">
        <f t="shared" si="3"/>
        <v>8907593.5500000007</v>
      </c>
      <c r="G57" s="152">
        <v>55</v>
      </c>
      <c r="H57" s="158">
        <v>28093.143999999855</v>
      </c>
    </row>
    <row r="58" spans="1:8">
      <c r="A58" s="129"/>
      <c r="B58" s="123" t="s">
        <v>124</v>
      </c>
      <c r="C58" s="158">
        <f>'Schedule 3A - 2023'!F58</f>
        <v>274477.45</v>
      </c>
      <c r="D58" s="158">
        <v>0</v>
      </c>
      <c r="E58" s="158"/>
      <c r="F58" s="158">
        <f t="shared" si="3"/>
        <v>274477.45</v>
      </c>
      <c r="G58" s="152">
        <v>30</v>
      </c>
      <c r="H58" s="158">
        <v>7104.46</v>
      </c>
    </row>
    <row r="59" spans="1:8">
      <c r="A59" s="129"/>
      <c r="B59" s="123" t="s">
        <v>315</v>
      </c>
      <c r="C59" s="159"/>
      <c r="D59" s="159"/>
      <c r="E59" s="159"/>
      <c r="F59" s="159"/>
      <c r="G59" s="153"/>
      <c r="H59" s="159">
        <v>-79596.960000000006</v>
      </c>
    </row>
    <row r="60" spans="1:8" s="127" customFormat="1" ht="18" customHeight="1">
      <c r="A60" s="118" t="s">
        <v>125</v>
      </c>
      <c r="B60" s="118"/>
      <c r="C60" s="160">
        <f>SUBTOTAL(9,C48:C59)</f>
        <v>226140788.54999995</v>
      </c>
      <c r="D60" s="160">
        <f>SUBTOTAL(9,D48:D59)</f>
        <v>17632851.009999998</v>
      </c>
      <c r="E60" s="160">
        <f>SUBTOTAL(9,E48:E59)</f>
        <v>0</v>
      </c>
      <c r="F60" s="160">
        <f>SUBTOTAL(9,F48:F59)</f>
        <v>243773639.55999997</v>
      </c>
      <c r="G60" s="126"/>
      <c r="H60" s="160">
        <f>SUBTOTAL(9,H48:H59)</f>
        <v>5600490.9700000007</v>
      </c>
    </row>
    <row r="61" spans="1:8">
      <c r="C61" s="161"/>
      <c r="D61" s="161"/>
      <c r="E61" s="161"/>
      <c r="F61" s="161"/>
      <c r="G61" s="128"/>
      <c r="H61" s="161"/>
    </row>
    <row r="62" spans="1:8">
      <c r="A62" s="118" t="s">
        <v>126</v>
      </c>
      <c r="C62" s="161"/>
      <c r="D62" s="161"/>
      <c r="E62" s="161"/>
      <c r="F62" s="161"/>
      <c r="G62" s="128"/>
      <c r="H62" s="161"/>
    </row>
    <row r="63" spans="1:8">
      <c r="A63" s="129"/>
      <c r="B63" s="123" t="s">
        <v>117</v>
      </c>
      <c r="C63" s="158">
        <f>'Schedule 3A - 2023'!F63</f>
        <v>4583998.2</v>
      </c>
      <c r="D63" s="158">
        <v>0</v>
      </c>
      <c r="E63" s="158"/>
      <c r="F63" s="158">
        <f t="shared" ref="F63:F73" si="4">C63+D63-E63</f>
        <v>4583998.2</v>
      </c>
      <c r="G63" s="152">
        <v>65</v>
      </c>
      <c r="H63" s="158">
        <v>68509.09</v>
      </c>
    </row>
    <row r="64" spans="1:8">
      <c r="A64" s="129"/>
      <c r="B64" s="123" t="s">
        <v>127</v>
      </c>
      <c r="C64" s="158">
        <f>'Schedule 3A - 2023'!F64</f>
        <v>2646131.54</v>
      </c>
      <c r="D64" s="158">
        <v>0</v>
      </c>
      <c r="E64" s="158"/>
      <c r="F64" s="158">
        <f t="shared" si="4"/>
        <v>2646131.54</v>
      </c>
      <c r="G64" s="152">
        <v>12</v>
      </c>
      <c r="H64" s="158">
        <v>13328.76</v>
      </c>
    </row>
    <row r="65" spans="1:8">
      <c r="A65" s="129"/>
      <c r="B65" s="123" t="s">
        <v>128</v>
      </c>
      <c r="C65" s="158">
        <f>'Schedule 3A - 2023'!F65</f>
        <v>41597.199999999997</v>
      </c>
      <c r="D65" s="158">
        <v>0</v>
      </c>
      <c r="E65" s="158"/>
      <c r="F65" s="158">
        <f t="shared" si="4"/>
        <v>41597.199999999997</v>
      </c>
      <c r="G65" s="152">
        <v>60</v>
      </c>
      <c r="H65" s="158">
        <v>687.4</v>
      </c>
    </row>
    <row r="66" spans="1:8">
      <c r="A66" s="129"/>
      <c r="B66" s="123" t="s">
        <v>295</v>
      </c>
      <c r="C66" s="158">
        <f>'Schedule 3A - 2023'!F66</f>
        <v>432532.51</v>
      </c>
      <c r="D66" s="158">
        <v>0</v>
      </c>
      <c r="E66" s="158"/>
      <c r="F66" s="158">
        <f t="shared" si="4"/>
        <v>432532.51</v>
      </c>
      <c r="G66" s="152">
        <v>12</v>
      </c>
      <c r="H66" s="158">
        <v>2178.2399999999998</v>
      </c>
    </row>
    <row r="67" spans="1:8">
      <c r="A67" s="129"/>
      <c r="B67" s="123" t="s">
        <v>129</v>
      </c>
      <c r="C67" s="158">
        <f>'Schedule 3A - 2023'!F67</f>
        <v>0</v>
      </c>
      <c r="D67" s="158">
        <v>0</v>
      </c>
      <c r="E67" s="158"/>
      <c r="F67" s="158">
        <f t="shared" si="4"/>
        <v>0</v>
      </c>
      <c r="G67" s="152">
        <v>60</v>
      </c>
      <c r="H67" s="158">
        <v>0</v>
      </c>
    </row>
    <row r="68" spans="1:8">
      <c r="A68" s="129"/>
      <c r="B68" s="123" t="s">
        <v>296</v>
      </c>
      <c r="C68" s="158">
        <f>'Schedule 3A - 2023'!F68</f>
        <v>95136.43</v>
      </c>
      <c r="D68" s="158">
        <v>0</v>
      </c>
      <c r="E68" s="158"/>
      <c r="F68" s="158">
        <f t="shared" si="4"/>
        <v>95136.43</v>
      </c>
      <c r="G68" s="152">
        <v>12</v>
      </c>
      <c r="H68" s="158">
        <v>479.16</v>
      </c>
    </row>
    <row r="69" spans="1:8">
      <c r="A69" s="129"/>
      <c r="B69" s="123" t="s">
        <v>130</v>
      </c>
      <c r="C69" s="158">
        <f>'Schedule 3A - 2023'!F69</f>
        <v>1837887.92</v>
      </c>
      <c r="D69" s="158">
        <v>0</v>
      </c>
      <c r="E69" s="158"/>
      <c r="F69" s="158">
        <f t="shared" si="4"/>
        <v>1837887.92</v>
      </c>
      <c r="G69" s="152">
        <v>60</v>
      </c>
      <c r="H69" s="158">
        <v>24416.12</v>
      </c>
    </row>
    <row r="70" spans="1:8">
      <c r="A70" s="129"/>
      <c r="B70" s="123" t="s">
        <v>131</v>
      </c>
      <c r="C70" s="158">
        <f>'Schedule 3A - 2023'!F70</f>
        <v>78813.429999999993</v>
      </c>
      <c r="D70" s="158">
        <v>0</v>
      </c>
      <c r="E70" s="158"/>
      <c r="F70" s="158">
        <f t="shared" si="4"/>
        <v>78813.429999999993</v>
      </c>
      <c r="G70" s="152">
        <v>45</v>
      </c>
      <c r="H70" s="158">
        <v>1751.41</v>
      </c>
    </row>
    <row r="71" spans="1:8">
      <c r="A71" s="129"/>
      <c r="B71" s="123" t="s">
        <v>297</v>
      </c>
      <c r="C71" s="158">
        <f>'Schedule 3A - 2023'!F71</f>
        <v>920692.5</v>
      </c>
      <c r="D71" s="158">
        <v>0</v>
      </c>
      <c r="E71" s="158"/>
      <c r="F71" s="158">
        <f t="shared" si="4"/>
        <v>920692.5</v>
      </c>
      <c r="G71" s="152">
        <v>12</v>
      </c>
      <c r="H71" s="158">
        <v>4637.6400000000003</v>
      </c>
    </row>
    <row r="72" spans="1:8">
      <c r="A72" s="129"/>
      <c r="B72" s="123" t="s">
        <v>298</v>
      </c>
      <c r="C72" s="158">
        <f>'Schedule 3A - 2023'!F72</f>
        <v>8092849.4799999995</v>
      </c>
      <c r="D72" s="158">
        <v>50000</v>
      </c>
      <c r="E72" s="158"/>
      <c r="F72" s="158">
        <f t="shared" si="4"/>
        <v>8142849.4799999995</v>
      </c>
      <c r="G72" s="152">
        <v>54</v>
      </c>
      <c r="H72" s="158">
        <v>149867.57999999999</v>
      </c>
    </row>
    <row r="73" spans="1:8">
      <c r="A73" s="129"/>
      <c r="B73" s="123" t="s">
        <v>299</v>
      </c>
      <c r="C73" s="158">
        <f>'Schedule 3A - 2023'!F73</f>
        <v>7111245.04</v>
      </c>
      <c r="D73" s="158">
        <v>0</v>
      </c>
      <c r="E73" s="158"/>
      <c r="F73" s="158">
        <f t="shared" si="4"/>
        <v>7111245.04</v>
      </c>
      <c r="G73" s="152">
        <v>12</v>
      </c>
      <c r="H73" s="158">
        <v>38778</v>
      </c>
    </row>
    <row r="74" spans="1:8">
      <c r="A74" s="129"/>
      <c r="B74" s="123" t="s">
        <v>315</v>
      </c>
      <c r="C74" s="159"/>
      <c r="D74" s="159"/>
      <c r="E74" s="159"/>
      <c r="F74" s="159"/>
      <c r="G74" s="153"/>
      <c r="H74" s="159">
        <v>-46018.2</v>
      </c>
    </row>
    <row r="75" spans="1:8" s="127" customFormat="1">
      <c r="A75" s="118" t="s">
        <v>132</v>
      </c>
      <c r="B75" s="118"/>
      <c r="C75" s="160">
        <f>SUBTOTAL(9,C63:C74)</f>
        <v>25840884.25</v>
      </c>
      <c r="D75" s="160">
        <f>SUBTOTAL(9,D63:D74)</f>
        <v>50000</v>
      </c>
      <c r="E75" s="160">
        <f>SUBTOTAL(9,E63:E74)</f>
        <v>0</v>
      </c>
      <c r="F75" s="160">
        <f>SUBTOTAL(9,F63:F74)</f>
        <v>25890884.25</v>
      </c>
      <c r="G75" s="126"/>
      <c r="H75" s="160">
        <f>SUBTOTAL(9,H63:H74)</f>
        <v>258615.19999999995</v>
      </c>
    </row>
    <row r="76" spans="1:8">
      <c r="C76" s="161"/>
      <c r="D76" s="161"/>
      <c r="E76" s="161"/>
      <c r="F76" s="161"/>
      <c r="G76" s="128"/>
      <c r="H76" s="161"/>
    </row>
    <row r="77" spans="1:8">
      <c r="A77" s="118" t="s">
        <v>133</v>
      </c>
      <c r="C77" s="161"/>
      <c r="D77" s="161"/>
      <c r="E77" s="161"/>
      <c r="F77" s="161"/>
      <c r="G77" s="128"/>
      <c r="H77" s="161"/>
    </row>
    <row r="78" spans="1:8">
      <c r="A78" s="129"/>
      <c r="B78" s="123" t="s">
        <v>117</v>
      </c>
      <c r="C78" s="158">
        <f>'Schedule 3A - 2023'!F78</f>
        <v>17787075.199999992</v>
      </c>
      <c r="D78" s="158">
        <v>700000</v>
      </c>
      <c r="E78" s="158"/>
      <c r="F78" s="158">
        <f t="shared" ref="F78:F93" si="5">C78+D78-E78</f>
        <v>18487075.199999992</v>
      </c>
      <c r="G78" s="152">
        <v>40</v>
      </c>
      <c r="H78" s="158">
        <v>433055.03</v>
      </c>
    </row>
    <row r="79" spans="1:8">
      <c r="A79" s="129"/>
      <c r="B79" s="123" t="s">
        <v>118</v>
      </c>
      <c r="C79" s="158">
        <f>'Schedule 3A - 2023'!F79</f>
        <v>44763.01</v>
      </c>
      <c r="D79" s="158">
        <v>0</v>
      </c>
      <c r="E79" s="158"/>
      <c r="F79" s="158">
        <f t="shared" si="5"/>
        <v>44763.01</v>
      </c>
      <c r="G79" s="152">
        <v>50</v>
      </c>
      <c r="H79" s="158">
        <v>895.26</v>
      </c>
    </row>
    <row r="80" spans="1:8">
      <c r="A80" s="129"/>
      <c r="B80" s="123" t="s">
        <v>129</v>
      </c>
      <c r="C80" s="158">
        <f>'Schedule 3A - 2023'!F80</f>
        <v>662900.07999999984</v>
      </c>
      <c r="D80" s="158">
        <v>0</v>
      </c>
      <c r="E80" s="158"/>
      <c r="F80" s="158">
        <f t="shared" si="5"/>
        <v>662900.07999999984</v>
      </c>
      <c r="G80" s="152">
        <v>50</v>
      </c>
      <c r="H80" s="158">
        <v>18940.02</v>
      </c>
    </row>
    <row r="81" spans="1:8">
      <c r="A81" s="129"/>
      <c r="B81" s="123" t="s">
        <v>134</v>
      </c>
      <c r="C81" s="158">
        <f>'Schedule 3A - 2023'!F81</f>
        <v>285794.73</v>
      </c>
      <c r="D81" s="158">
        <v>1926766.14</v>
      </c>
      <c r="E81" s="158"/>
      <c r="F81" s="158">
        <f t="shared" si="5"/>
        <v>2212560.87</v>
      </c>
      <c r="G81" s="152">
        <v>50</v>
      </c>
      <c r="H81" s="158">
        <v>5403.76</v>
      </c>
    </row>
    <row r="82" spans="1:8">
      <c r="A82" s="129"/>
      <c r="B82" s="123" t="s">
        <v>135</v>
      </c>
      <c r="C82" s="158">
        <f>'Schedule 3A - 2023'!F82</f>
        <v>2119495.4099999983</v>
      </c>
      <c r="D82" s="158">
        <v>0</v>
      </c>
      <c r="E82" s="158"/>
      <c r="F82" s="158">
        <f t="shared" si="5"/>
        <v>2119495.4099999983</v>
      </c>
      <c r="G82" s="152">
        <v>40</v>
      </c>
      <c r="H82" s="158">
        <v>52958.03</v>
      </c>
    </row>
    <row r="83" spans="1:8">
      <c r="A83" s="129"/>
      <c r="B83" s="123" t="s">
        <v>136</v>
      </c>
      <c r="C83" s="158">
        <f>'Schedule 3A - 2023'!F83</f>
        <v>385154.92</v>
      </c>
      <c r="D83" s="158">
        <v>0</v>
      </c>
      <c r="E83" s="158"/>
      <c r="F83" s="158">
        <f t="shared" si="5"/>
        <v>385154.92</v>
      </c>
      <c r="G83" s="152">
        <v>40</v>
      </c>
      <c r="H83" s="158">
        <v>9628.8700000000008</v>
      </c>
    </row>
    <row r="84" spans="1:8">
      <c r="A84" s="129"/>
      <c r="B84" s="123" t="s">
        <v>312</v>
      </c>
      <c r="C84" s="158">
        <f>'Schedule 3A - 2023'!F84</f>
        <v>43376.77</v>
      </c>
      <c r="D84" s="158">
        <v>0</v>
      </c>
      <c r="E84" s="158"/>
      <c r="F84" s="158">
        <f t="shared" si="5"/>
        <v>43376.77</v>
      </c>
      <c r="G84" s="152">
        <v>40</v>
      </c>
      <c r="H84" s="158">
        <v>1084.43</v>
      </c>
    </row>
    <row r="85" spans="1:8">
      <c r="A85" s="129"/>
      <c r="B85" s="123" t="s">
        <v>137</v>
      </c>
      <c r="C85" s="158">
        <f>'Schedule 3A - 2023'!F85</f>
        <v>0</v>
      </c>
      <c r="D85" s="158">
        <v>0</v>
      </c>
      <c r="E85" s="158"/>
      <c r="F85" s="158">
        <f t="shared" si="5"/>
        <v>0</v>
      </c>
      <c r="G85" s="152">
        <v>0</v>
      </c>
      <c r="H85" s="158">
        <v>0</v>
      </c>
    </row>
    <row r="86" spans="1:8">
      <c r="A86" s="129"/>
      <c r="B86" s="123" t="s">
        <v>138</v>
      </c>
      <c r="C86" s="158">
        <f>'Schedule 3A - 2023'!F86</f>
        <v>312632.61</v>
      </c>
      <c r="D86" s="158">
        <v>0</v>
      </c>
      <c r="E86" s="158"/>
      <c r="F86" s="158">
        <f t="shared" si="5"/>
        <v>312632.61</v>
      </c>
      <c r="G86" s="152">
        <v>16</v>
      </c>
      <c r="H86" s="158">
        <v>5581.19</v>
      </c>
    </row>
    <row r="87" spans="1:8">
      <c r="A87" s="129"/>
      <c r="B87" s="123" t="s">
        <v>139</v>
      </c>
      <c r="C87" s="158">
        <f>'Schedule 3A - 2023'!F87</f>
        <v>288392.19</v>
      </c>
      <c r="D87" s="158">
        <v>0</v>
      </c>
      <c r="E87" s="158"/>
      <c r="F87" s="158">
        <f t="shared" si="5"/>
        <v>288392.19</v>
      </c>
      <c r="G87" s="152">
        <v>16</v>
      </c>
      <c r="H87" s="158">
        <v>7017.5</v>
      </c>
    </row>
    <row r="88" spans="1:8">
      <c r="A88" s="129"/>
      <c r="B88" s="123" t="s">
        <v>122</v>
      </c>
      <c r="C88" s="158">
        <f>'Schedule 3A - 2023'!F88</f>
        <v>1903440.08</v>
      </c>
      <c r="D88" s="158">
        <v>0</v>
      </c>
      <c r="E88" s="158"/>
      <c r="F88" s="158">
        <f t="shared" si="5"/>
        <v>1903440.08</v>
      </c>
      <c r="G88" s="152">
        <v>40</v>
      </c>
      <c r="H88" s="158">
        <v>45663.79</v>
      </c>
    </row>
    <row r="89" spans="1:8">
      <c r="A89" s="129"/>
      <c r="B89" s="123" t="s">
        <v>123</v>
      </c>
      <c r="C89" s="158">
        <f>'Schedule 3A - 2023'!F89</f>
        <v>64798.340000000004</v>
      </c>
      <c r="D89" s="158">
        <v>0</v>
      </c>
      <c r="E89" s="158"/>
      <c r="F89" s="158">
        <f t="shared" si="5"/>
        <v>64798.340000000004</v>
      </c>
      <c r="G89" s="152">
        <v>55</v>
      </c>
      <c r="H89" s="158">
        <v>1178.1500000000001</v>
      </c>
    </row>
    <row r="90" spans="1:8">
      <c r="A90" s="129"/>
      <c r="B90" s="123" t="s">
        <v>124</v>
      </c>
      <c r="C90" s="158">
        <f>'Schedule 3A - 2023'!F90</f>
        <v>100328.43</v>
      </c>
      <c r="D90" s="158">
        <v>0</v>
      </c>
      <c r="E90" s="158"/>
      <c r="F90" s="158">
        <f t="shared" si="5"/>
        <v>100328.43</v>
      </c>
      <c r="G90" s="152">
        <v>30</v>
      </c>
      <c r="H90" s="158">
        <v>3013.69</v>
      </c>
    </row>
    <row r="91" spans="1:8">
      <c r="A91" s="129"/>
      <c r="B91" s="123" t="s">
        <v>140</v>
      </c>
      <c r="C91" s="158">
        <f>'Schedule 3A - 2023'!F91</f>
        <v>603366.85000000009</v>
      </c>
      <c r="D91" s="158">
        <v>0</v>
      </c>
      <c r="E91" s="158"/>
      <c r="F91" s="158">
        <f t="shared" si="5"/>
        <v>603366.85000000009</v>
      </c>
      <c r="G91" s="152">
        <v>40</v>
      </c>
      <c r="H91" s="158">
        <v>14126.5</v>
      </c>
    </row>
    <row r="92" spans="1:8">
      <c r="A92" s="129"/>
      <c r="B92" s="123" t="s">
        <v>141</v>
      </c>
      <c r="C92" s="158">
        <f>'Schedule 3A - 2023'!F92</f>
        <v>4042479.1899999995</v>
      </c>
      <c r="D92" s="158">
        <v>0</v>
      </c>
      <c r="E92" s="158"/>
      <c r="F92" s="158">
        <f t="shared" si="5"/>
        <v>4042479.1899999995</v>
      </c>
      <c r="G92" s="152">
        <v>35</v>
      </c>
      <c r="H92" s="158">
        <v>111462.58</v>
      </c>
    </row>
    <row r="93" spans="1:8">
      <c r="A93" s="129"/>
      <c r="B93" s="123" t="s">
        <v>142</v>
      </c>
      <c r="C93" s="158">
        <f>'Schedule 3A - 2023'!F93</f>
        <v>36442.910000000003</v>
      </c>
      <c r="D93" s="158">
        <v>0</v>
      </c>
      <c r="E93" s="158"/>
      <c r="F93" s="158">
        <f t="shared" si="5"/>
        <v>36442.910000000003</v>
      </c>
      <c r="G93" s="152">
        <v>30</v>
      </c>
      <c r="H93" s="158">
        <v>293.20999999999998</v>
      </c>
    </row>
    <row r="94" spans="1:8">
      <c r="A94" s="129"/>
      <c r="B94" s="123" t="s">
        <v>315</v>
      </c>
      <c r="C94" s="159"/>
      <c r="D94" s="159"/>
      <c r="E94" s="159"/>
      <c r="F94" s="159"/>
      <c r="G94" s="124"/>
      <c r="H94" s="159">
        <v>49978.92</v>
      </c>
    </row>
    <row r="95" spans="1:8" s="127" customFormat="1" ht="18" customHeight="1">
      <c r="A95" s="118" t="s">
        <v>143</v>
      </c>
      <c r="B95" s="118"/>
      <c r="C95" s="160">
        <f>SUBTOTAL(9,C78:C94)</f>
        <v>28680440.719999995</v>
      </c>
      <c r="D95" s="160">
        <f>SUBTOTAL(9,D78:D94)</f>
        <v>2626766.1399999997</v>
      </c>
      <c r="E95" s="160">
        <f>SUBTOTAL(9,E78:E94)</f>
        <v>0</v>
      </c>
      <c r="F95" s="160">
        <f>SUBTOTAL(9,F78:F94)</f>
        <v>31307206.859999996</v>
      </c>
      <c r="G95" s="126"/>
      <c r="H95" s="160">
        <f>SUBTOTAL(9,H78:H94)</f>
        <v>760280.93</v>
      </c>
    </row>
    <row r="96" spans="1:8">
      <c r="C96" s="162"/>
      <c r="D96" s="162"/>
      <c r="E96" s="162"/>
      <c r="F96" s="162"/>
      <c r="G96" s="130"/>
      <c r="H96" s="162"/>
    </row>
    <row r="97" spans="1:8">
      <c r="A97" s="118" t="s">
        <v>144</v>
      </c>
      <c r="C97" s="161"/>
      <c r="D97" s="161"/>
      <c r="E97" s="161"/>
      <c r="F97" s="161"/>
      <c r="G97" s="128"/>
      <c r="H97" s="161"/>
    </row>
    <row r="98" spans="1:8">
      <c r="A98" s="129"/>
      <c r="B98" s="123" t="s">
        <v>145</v>
      </c>
      <c r="C98" s="158">
        <f>'Schedule 3A - 2023'!F98</f>
        <v>4320.91</v>
      </c>
      <c r="D98" s="158">
        <v>0</v>
      </c>
      <c r="E98" s="158"/>
      <c r="F98" s="158">
        <f t="shared" ref="F98:F110" si="6">C98+D98-E98</f>
        <v>4320.91</v>
      </c>
      <c r="G98" s="152">
        <v>50</v>
      </c>
      <c r="H98" s="158">
        <v>86.42</v>
      </c>
    </row>
    <row r="99" spans="1:8">
      <c r="A99" s="129"/>
      <c r="B99" s="123" t="s">
        <v>146</v>
      </c>
      <c r="C99" s="158">
        <f>'Schedule 3A - 2023'!F99</f>
        <v>6861847.1799999997</v>
      </c>
      <c r="D99" s="158">
        <v>1200000</v>
      </c>
      <c r="E99" s="158"/>
      <c r="F99" s="158">
        <f t="shared" si="6"/>
        <v>8061847.1799999997</v>
      </c>
      <c r="G99" s="152">
        <v>50</v>
      </c>
      <c r="H99" s="158">
        <v>134923.63999999998</v>
      </c>
    </row>
    <row r="100" spans="1:8">
      <c r="A100" s="129"/>
      <c r="B100" s="123" t="s">
        <v>147</v>
      </c>
      <c r="C100" s="158">
        <f>'Schedule 3A - 2023'!F100</f>
        <v>10722763.250000004</v>
      </c>
      <c r="D100" s="158">
        <v>90000</v>
      </c>
      <c r="E100" s="158"/>
      <c r="F100" s="158">
        <f t="shared" si="6"/>
        <v>10812763.250000004</v>
      </c>
      <c r="G100" s="152">
        <v>55</v>
      </c>
      <c r="H100" s="158">
        <v>194959.37</v>
      </c>
    </row>
    <row r="101" spans="1:8">
      <c r="A101" s="129"/>
      <c r="B101" s="123" t="s">
        <v>148</v>
      </c>
      <c r="C101" s="158">
        <f>'Schedule 3A - 2023'!F101</f>
        <v>1959263.0599999998</v>
      </c>
      <c r="D101" s="158">
        <v>25000</v>
      </c>
      <c r="E101" s="158"/>
      <c r="F101" s="158">
        <f t="shared" si="6"/>
        <v>1984263.0599999998</v>
      </c>
      <c r="G101" s="152">
        <v>20</v>
      </c>
      <c r="H101" s="158">
        <v>43341.01</v>
      </c>
    </row>
    <row r="102" spans="1:8">
      <c r="A102" s="129"/>
      <c r="B102" s="123" t="s">
        <v>149</v>
      </c>
      <c r="C102" s="158">
        <f>'Schedule 3A - 2023'!F102</f>
        <v>19296.990000000002</v>
      </c>
      <c r="D102" s="158">
        <v>0</v>
      </c>
      <c r="E102" s="158"/>
      <c r="F102" s="158">
        <f t="shared" si="6"/>
        <v>19296.990000000002</v>
      </c>
      <c r="G102" s="152">
        <v>40</v>
      </c>
      <c r="H102" s="158">
        <v>319.75</v>
      </c>
    </row>
    <row r="103" spans="1:8">
      <c r="A103" s="129"/>
      <c r="B103" s="123" t="s">
        <v>150</v>
      </c>
      <c r="C103" s="158">
        <f>'Schedule 3A - 2023'!F103</f>
        <v>152150.84</v>
      </c>
      <c r="D103" s="158">
        <v>25000</v>
      </c>
      <c r="E103" s="158"/>
      <c r="F103" s="158">
        <f t="shared" si="6"/>
        <v>177150.84</v>
      </c>
      <c r="G103" s="152">
        <v>30</v>
      </c>
      <c r="H103" s="158">
        <v>4038.74</v>
      </c>
    </row>
    <row r="104" spans="1:8">
      <c r="A104" s="129"/>
      <c r="B104" s="123" t="s">
        <v>151</v>
      </c>
      <c r="C104" s="158">
        <f>'Schedule 3A - 2023'!F104</f>
        <v>1630633.4100000004</v>
      </c>
      <c r="D104" s="158">
        <v>730000</v>
      </c>
      <c r="E104" s="158"/>
      <c r="F104" s="158">
        <f t="shared" si="6"/>
        <v>2360633.41</v>
      </c>
      <c r="G104" s="152">
        <v>7</v>
      </c>
      <c r="H104" s="158">
        <v>153396.03</v>
      </c>
    </row>
    <row r="105" spans="1:8">
      <c r="A105" s="129"/>
      <c r="B105" s="123" t="s">
        <v>152</v>
      </c>
      <c r="C105" s="158">
        <f>'Schedule 3A - 2023'!F105</f>
        <v>0</v>
      </c>
      <c r="D105" s="158">
        <v>0</v>
      </c>
      <c r="E105" s="158"/>
      <c r="F105" s="158">
        <f t="shared" si="6"/>
        <v>0</v>
      </c>
      <c r="G105" s="152">
        <v>5</v>
      </c>
      <c r="H105" s="158">
        <v>0</v>
      </c>
    </row>
    <row r="106" spans="1:8">
      <c r="A106" s="129"/>
      <c r="B106" s="123" t="s">
        <v>153</v>
      </c>
      <c r="C106" s="158">
        <f>'Schedule 3A - 2023'!F106</f>
        <v>3214488.5399999977</v>
      </c>
      <c r="D106" s="158">
        <v>880000</v>
      </c>
      <c r="E106" s="158"/>
      <c r="F106" s="158">
        <f t="shared" si="6"/>
        <v>4094488.5399999977</v>
      </c>
      <c r="G106" s="152">
        <v>20</v>
      </c>
      <c r="H106" s="158">
        <v>128592.24</v>
      </c>
    </row>
    <row r="107" spans="1:8">
      <c r="A107" s="129"/>
      <c r="B107" s="123" t="s">
        <v>137</v>
      </c>
      <c r="C107" s="158">
        <f>'Schedule 3A - 2023'!F107</f>
        <v>0</v>
      </c>
      <c r="D107" s="158">
        <v>0</v>
      </c>
      <c r="E107" s="158"/>
      <c r="F107" s="158">
        <f t="shared" si="6"/>
        <v>0</v>
      </c>
      <c r="G107" s="152">
        <v>15</v>
      </c>
      <c r="H107" s="158">
        <v>0</v>
      </c>
    </row>
    <row r="108" spans="1:8">
      <c r="A108" s="129"/>
      <c r="B108" s="123" t="s">
        <v>154</v>
      </c>
      <c r="C108" s="158">
        <f>'Schedule 3A - 2023'!F108</f>
        <v>5762386.6499999976</v>
      </c>
      <c r="D108" s="158">
        <v>260000</v>
      </c>
      <c r="E108" s="158"/>
      <c r="F108" s="158">
        <f t="shared" si="6"/>
        <v>6022386.6499999976</v>
      </c>
      <c r="G108" s="152">
        <v>20</v>
      </c>
      <c r="H108" s="158">
        <v>223191.22999999998</v>
      </c>
    </row>
    <row r="109" spans="1:8">
      <c r="A109" s="129"/>
      <c r="B109" s="123" t="s">
        <v>155</v>
      </c>
      <c r="C109" s="158">
        <f>'Schedule 3A - 2023'!F109</f>
        <v>59031.369999999995</v>
      </c>
      <c r="D109" s="158">
        <v>0</v>
      </c>
      <c r="E109" s="158"/>
      <c r="F109" s="158">
        <f t="shared" si="6"/>
        <v>59031.369999999995</v>
      </c>
      <c r="G109" s="152">
        <v>40</v>
      </c>
      <c r="H109" s="158">
        <v>1132.17</v>
      </c>
    </row>
    <row r="110" spans="1:8">
      <c r="A110" s="129"/>
      <c r="B110" s="123" t="s">
        <v>156</v>
      </c>
      <c r="C110" s="158">
        <f>'Schedule 3A - 2023'!F110</f>
        <v>2962643.3099999996</v>
      </c>
      <c r="D110" s="158">
        <v>0</v>
      </c>
      <c r="E110" s="158"/>
      <c r="F110" s="158">
        <f t="shared" si="6"/>
        <v>2962643.3099999996</v>
      </c>
      <c r="G110" s="152">
        <v>40</v>
      </c>
      <c r="H110" s="158">
        <v>39539.68</v>
      </c>
    </row>
    <row r="111" spans="1:8">
      <c r="A111" s="129"/>
      <c r="B111" s="123" t="s">
        <v>315</v>
      </c>
      <c r="C111" s="159"/>
      <c r="D111" s="159"/>
      <c r="E111" s="159"/>
      <c r="F111" s="159"/>
      <c r="G111" s="153"/>
      <c r="H111" s="159">
        <v>-67343.759999999995</v>
      </c>
    </row>
    <row r="112" spans="1:8" s="127" customFormat="1" ht="18" customHeight="1">
      <c r="A112" s="118" t="s">
        <v>157</v>
      </c>
      <c r="B112" s="118"/>
      <c r="C112" s="160">
        <f>SUBTOTAL(9,C98:C111)</f>
        <v>33348825.509999998</v>
      </c>
      <c r="D112" s="160">
        <f>SUBTOTAL(9,D98:D111)</f>
        <v>3210000</v>
      </c>
      <c r="E112" s="160">
        <f>SUBTOTAL(9,E98:E111)</f>
        <v>0</v>
      </c>
      <c r="F112" s="160">
        <f>SUBTOTAL(9,F98:F111)</f>
        <v>36558825.509999998</v>
      </c>
      <c r="G112" s="126"/>
      <c r="H112" s="160">
        <f>SUBTOTAL(9,H98:H111)</f>
        <v>856176.52</v>
      </c>
    </row>
    <row r="113" spans="1:8">
      <c r="C113" s="162"/>
      <c r="D113" s="162"/>
      <c r="E113" s="162"/>
      <c r="F113" s="162"/>
      <c r="G113" s="132"/>
      <c r="H113" s="162"/>
    </row>
    <row r="114" spans="1:8">
      <c r="A114" s="118" t="s">
        <v>158</v>
      </c>
      <c r="C114" s="161"/>
      <c r="D114" s="161"/>
      <c r="E114" s="161"/>
      <c r="F114" s="161"/>
      <c r="G114" s="128"/>
      <c r="H114" s="161"/>
    </row>
    <row r="115" spans="1:8">
      <c r="A115" s="129"/>
      <c r="B115" s="123" t="s">
        <v>159</v>
      </c>
      <c r="C115" s="158">
        <f>'Schedule 3A - 2023'!F115</f>
        <v>392571.19</v>
      </c>
      <c r="D115" s="158">
        <v>35000</v>
      </c>
      <c r="E115" s="158"/>
      <c r="F115" s="158">
        <f t="shared" ref="F115:F121" si="7">C115+D115-E115</f>
        <v>427571.19</v>
      </c>
      <c r="G115" s="152">
        <v>8</v>
      </c>
      <c r="H115" s="158">
        <v>16868.97</v>
      </c>
    </row>
    <row r="116" spans="1:8">
      <c r="A116" s="129"/>
      <c r="B116" s="123" t="s">
        <v>160</v>
      </c>
      <c r="C116" s="158">
        <f>'Schedule 3A - 2023'!F116</f>
        <v>211681.52</v>
      </c>
      <c r="D116" s="158">
        <v>0</v>
      </c>
      <c r="E116" s="158"/>
      <c r="F116" s="158">
        <f t="shared" si="7"/>
        <v>211681.52</v>
      </c>
      <c r="G116" s="152">
        <v>11</v>
      </c>
      <c r="H116" s="158">
        <v>14833.32</v>
      </c>
    </row>
    <row r="117" spans="1:8">
      <c r="A117" s="129"/>
      <c r="B117" s="123" t="s">
        <v>300</v>
      </c>
      <c r="C117" s="158">
        <f>'Schedule 3A - 2023'!F117</f>
        <v>71771.58</v>
      </c>
      <c r="D117" s="158">
        <v>0</v>
      </c>
      <c r="E117" s="158"/>
      <c r="F117" s="158">
        <f t="shared" si="7"/>
        <v>71771.58</v>
      </c>
      <c r="G117" s="152">
        <v>25</v>
      </c>
      <c r="H117" s="158">
        <v>2928.68</v>
      </c>
    </row>
    <row r="118" spans="1:8">
      <c r="A118" s="129"/>
      <c r="B118" s="123" t="s">
        <v>161</v>
      </c>
      <c r="C118" s="158">
        <f>'Schedule 3A - 2023'!F118</f>
        <v>53710.58</v>
      </c>
      <c r="D118" s="158">
        <v>0</v>
      </c>
      <c r="E118" s="158"/>
      <c r="F118" s="158">
        <f t="shared" si="7"/>
        <v>53710.58</v>
      </c>
      <c r="G118" s="152">
        <v>25</v>
      </c>
      <c r="H118" s="158">
        <v>2552.9899999999998</v>
      </c>
    </row>
    <row r="119" spans="1:8">
      <c r="A119" s="129"/>
      <c r="B119" s="123" t="s">
        <v>162</v>
      </c>
      <c r="C119" s="158">
        <f>'Schedule 3A - 2023'!F119</f>
        <v>3913503.18</v>
      </c>
      <c r="D119" s="158">
        <v>567010</v>
      </c>
      <c r="E119" s="158"/>
      <c r="F119" s="158">
        <f t="shared" si="7"/>
        <v>4480513.18</v>
      </c>
      <c r="G119" s="152">
        <v>9</v>
      </c>
      <c r="H119" s="158">
        <v>336751.65</v>
      </c>
    </row>
    <row r="120" spans="1:8">
      <c r="A120" s="129"/>
      <c r="B120" s="123" t="s">
        <v>163</v>
      </c>
      <c r="C120" s="158">
        <f>'Schedule 3A - 2023'!F120</f>
        <v>1849324.27</v>
      </c>
      <c r="D120" s="158">
        <v>0</v>
      </c>
      <c r="E120" s="158"/>
      <c r="F120" s="158">
        <f t="shared" si="7"/>
        <v>1849324.27</v>
      </c>
      <c r="G120" s="152">
        <v>20</v>
      </c>
      <c r="H120" s="158">
        <v>77867.72</v>
      </c>
    </row>
    <row r="121" spans="1:8">
      <c r="A121" s="129"/>
      <c r="B121" s="123" t="s">
        <v>301</v>
      </c>
      <c r="C121" s="158">
        <f>'Schedule 3A - 2023'!F121</f>
        <v>1003858.15</v>
      </c>
      <c r="D121" s="158">
        <v>0</v>
      </c>
      <c r="E121" s="158"/>
      <c r="F121" s="158">
        <f t="shared" si="7"/>
        <v>1003858.15</v>
      </c>
      <c r="G121" s="154">
        <v>20</v>
      </c>
      <c r="H121" s="158">
        <v>60897.72</v>
      </c>
    </row>
    <row r="122" spans="1:8">
      <c r="A122" s="129"/>
      <c r="B122" s="123" t="s">
        <v>315</v>
      </c>
      <c r="C122" s="159"/>
      <c r="D122" s="159"/>
      <c r="E122" s="159"/>
      <c r="F122" s="159"/>
      <c r="G122" s="155"/>
      <c r="H122" s="159">
        <v>19267.32</v>
      </c>
    </row>
    <row r="123" spans="1:8" s="127" customFormat="1" ht="18" customHeight="1">
      <c r="A123" s="118" t="s">
        <v>164</v>
      </c>
      <c r="B123" s="118"/>
      <c r="C123" s="160">
        <f>SUBTOTAL(9,C115:C122)</f>
        <v>7496420.4700000007</v>
      </c>
      <c r="D123" s="160">
        <f>SUBTOTAL(9,D115:D122)</f>
        <v>602010</v>
      </c>
      <c r="E123" s="160">
        <f>SUBTOTAL(9,E115:E122)</f>
        <v>0</v>
      </c>
      <c r="F123" s="160">
        <f>SUBTOTAL(9,F115:F122)</f>
        <v>8098430.4700000007</v>
      </c>
      <c r="G123" s="125"/>
      <c r="H123" s="160">
        <f>SUBTOTAL(9,H115:H122)</f>
        <v>531968.37</v>
      </c>
    </row>
    <row r="124" spans="1:8">
      <c r="C124" s="162"/>
      <c r="D124" s="162"/>
      <c r="E124" s="162"/>
      <c r="F124" s="162"/>
      <c r="H124" s="162"/>
    </row>
    <row r="125" spans="1:8">
      <c r="A125" s="118" t="s">
        <v>302</v>
      </c>
      <c r="C125" s="161"/>
      <c r="D125" s="161"/>
      <c r="E125" s="161"/>
      <c r="F125" s="161"/>
      <c r="G125" s="128"/>
      <c r="H125" s="161"/>
    </row>
    <row r="126" spans="1:8">
      <c r="A126" s="129"/>
      <c r="B126" s="123" t="s">
        <v>302</v>
      </c>
      <c r="C126" s="159">
        <f>'Schedule 3A - 2023'!F126</f>
        <v>1165687.07</v>
      </c>
      <c r="D126" s="159">
        <v>0</v>
      </c>
      <c r="E126" s="159"/>
      <c r="F126" s="159">
        <f>C126+D126-E126</f>
        <v>1165687.07</v>
      </c>
      <c r="G126" s="153">
        <v>0</v>
      </c>
      <c r="H126" s="159">
        <v>0</v>
      </c>
    </row>
    <row r="127" spans="1:8" s="127" customFormat="1" ht="18.75" customHeight="1">
      <c r="A127" s="118" t="s">
        <v>303</v>
      </c>
      <c r="B127" s="118"/>
      <c r="C127" s="160">
        <f>SUBTOTAL(9,C126)</f>
        <v>1165687.07</v>
      </c>
      <c r="D127" s="160">
        <f>SUBTOTAL(9,D126)</f>
        <v>0</v>
      </c>
      <c r="E127" s="160">
        <f>SUBTOTAL(9,E126)</f>
        <v>0</v>
      </c>
      <c r="F127" s="160">
        <f>SUBTOTAL(9,F126)</f>
        <v>1165687.07</v>
      </c>
      <c r="G127" s="126"/>
      <c r="H127" s="160">
        <f>SUBTOTAL(9,H126)</f>
        <v>0</v>
      </c>
    </row>
    <row r="128" spans="1:8" s="127" customFormat="1" ht="18.75" customHeight="1">
      <c r="A128" s="118"/>
      <c r="B128" s="118"/>
      <c r="C128" s="160"/>
      <c r="D128" s="160"/>
      <c r="E128" s="160"/>
      <c r="F128" s="160"/>
      <c r="G128" s="126"/>
      <c r="H128" s="160"/>
    </row>
    <row r="129" spans="1:8">
      <c r="A129" s="118" t="s">
        <v>304</v>
      </c>
      <c r="C129" s="161"/>
      <c r="D129" s="161"/>
      <c r="E129" s="161"/>
      <c r="F129" s="161"/>
      <c r="G129" s="128"/>
      <c r="H129" s="161"/>
    </row>
    <row r="130" spans="1:8">
      <c r="A130" s="129"/>
      <c r="B130" s="123" t="s">
        <v>104</v>
      </c>
      <c r="C130" s="158">
        <f>'Schedule 3A - 2023'!F130</f>
        <v>6184735</v>
      </c>
      <c r="D130" s="158">
        <v>0</v>
      </c>
      <c r="E130" s="158"/>
      <c r="F130" s="158">
        <f t="shared" ref="F130:F136" si="8">C130+D130-E130</f>
        <v>6184735</v>
      </c>
      <c r="G130" s="152">
        <v>72</v>
      </c>
      <c r="H130" s="158">
        <v>85899.1</v>
      </c>
    </row>
    <row r="131" spans="1:8">
      <c r="A131" s="129"/>
      <c r="B131" s="123" t="s">
        <v>305</v>
      </c>
      <c r="C131" s="158">
        <f>'Schedule 3A - 2023'!F131</f>
        <v>13200669.02</v>
      </c>
      <c r="D131" s="158">
        <v>0</v>
      </c>
      <c r="E131" s="158"/>
      <c r="F131" s="158">
        <f t="shared" si="8"/>
        <v>13200669.02</v>
      </c>
      <c r="G131" s="152">
        <v>60</v>
      </c>
      <c r="H131" s="158">
        <v>200985.73</v>
      </c>
    </row>
    <row r="132" spans="1:8">
      <c r="A132" s="129"/>
      <c r="B132" s="123" t="s">
        <v>306</v>
      </c>
      <c r="C132" s="158">
        <f>'Schedule 3A - 2023'!F132</f>
        <v>20890968.260000002</v>
      </c>
      <c r="D132" s="158">
        <v>0</v>
      </c>
      <c r="E132" s="158"/>
      <c r="F132" s="158">
        <f t="shared" si="8"/>
        <v>20890968.260000002</v>
      </c>
      <c r="G132" s="152">
        <v>40</v>
      </c>
      <c r="H132" s="158">
        <v>522274.21</v>
      </c>
    </row>
    <row r="133" spans="1:8">
      <c r="A133" s="129"/>
      <c r="B133" s="123" t="s">
        <v>294</v>
      </c>
      <c r="C133" s="158">
        <f>'Schedule 3A - 2023'!F133</f>
        <v>1348443.35</v>
      </c>
      <c r="D133" s="158">
        <v>400000</v>
      </c>
      <c r="E133" s="158"/>
      <c r="F133" s="158">
        <f t="shared" si="8"/>
        <v>1748443.35</v>
      </c>
      <c r="G133" s="152">
        <v>2</v>
      </c>
      <c r="H133" s="158">
        <v>400000</v>
      </c>
    </row>
    <row r="134" spans="1:8">
      <c r="A134" s="129"/>
      <c r="B134" s="123" t="s">
        <v>107</v>
      </c>
      <c r="C134" s="158">
        <f>'Schedule 3A - 2023'!F134</f>
        <v>3655939.21</v>
      </c>
      <c r="D134" s="158">
        <v>0</v>
      </c>
      <c r="E134" s="158"/>
      <c r="F134" s="158">
        <f t="shared" si="8"/>
        <v>3655939.21</v>
      </c>
      <c r="G134" s="152">
        <v>45</v>
      </c>
      <c r="H134" s="158">
        <v>81243.09</v>
      </c>
    </row>
    <row r="135" spans="1:8">
      <c r="A135" s="129"/>
      <c r="B135" s="123" t="s">
        <v>108</v>
      </c>
      <c r="C135" s="158">
        <f>'Schedule 3A - 2023'!F135</f>
        <v>2890209.04</v>
      </c>
      <c r="D135" s="158">
        <v>800000</v>
      </c>
      <c r="E135" s="158"/>
      <c r="F135" s="158">
        <f t="shared" si="8"/>
        <v>3690209.04</v>
      </c>
      <c r="G135" s="152">
        <v>30</v>
      </c>
      <c r="H135" s="158">
        <v>96340.3</v>
      </c>
    </row>
    <row r="136" spans="1:8">
      <c r="A136" s="129"/>
      <c r="B136" s="119" t="s">
        <v>307</v>
      </c>
      <c r="C136" s="158">
        <f>'Schedule 3A - 2023'!F136</f>
        <v>779651</v>
      </c>
      <c r="D136" s="158">
        <v>0</v>
      </c>
      <c r="E136" s="158"/>
      <c r="F136" s="158">
        <f t="shared" si="8"/>
        <v>779651</v>
      </c>
      <c r="G136" s="152">
        <v>30</v>
      </c>
      <c r="H136" s="158">
        <v>25988.37</v>
      </c>
    </row>
    <row r="137" spans="1:8">
      <c r="A137" s="129"/>
      <c r="B137" s="123" t="s">
        <v>315</v>
      </c>
      <c r="C137" s="159"/>
      <c r="D137" s="159"/>
      <c r="E137" s="159"/>
      <c r="F137" s="159"/>
      <c r="G137" s="153"/>
      <c r="H137" s="159">
        <v>-13981.32</v>
      </c>
    </row>
    <row r="138" spans="1:8" s="127" customFormat="1" ht="18" customHeight="1">
      <c r="A138" s="118" t="s">
        <v>308</v>
      </c>
      <c r="B138" s="118"/>
      <c r="C138" s="160">
        <f>SUBTOTAL(9,C130:C137)</f>
        <v>48950614.880000003</v>
      </c>
      <c r="D138" s="160">
        <f>SUBTOTAL(9,D130:D137)</f>
        <v>1200000</v>
      </c>
      <c r="E138" s="160">
        <f>SUBTOTAL(9,E130:E137)</f>
        <v>0</v>
      </c>
      <c r="F138" s="160">
        <f>SUBTOTAL(9,F130:F137)</f>
        <v>50150614.880000003</v>
      </c>
      <c r="G138" s="133"/>
      <c r="H138" s="160">
        <f>SUBTOTAL(9,H130:H137)</f>
        <v>1398749.4800000002</v>
      </c>
    </row>
    <row r="139" spans="1:8">
      <c r="C139" s="162"/>
      <c r="D139" s="162"/>
      <c r="E139" s="162"/>
      <c r="F139" s="162"/>
      <c r="H139" s="162"/>
    </row>
    <row r="140" spans="1:8">
      <c r="A140" s="127" t="s">
        <v>376</v>
      </c>
      <c r="C140" s="162"/>
      <c r="D140" s="162"/>
      <c r="E140" s="162"/>
      <c r="F140" s="162"/>
      <c r="H140" s="162"/>
    </row>
    <row r="141" spans="1:8">
      <c r="B141" s="119" t="s">
        <v>376</v>
      </c>
      <c r="C141" s="159">
        <f>'Schedule 3A - 2023'!F141</f>
        <v>1930990.1099999999</v>
      </c>
      <c r="D141" s="159"/>
      <c r="E141" s="159"/>
      <c r="F141" s="159">
        <f>C141+D141-E141</f>
        <v>1930990.1099999999</v>
      </c>
      <c r="G141" s="153"/>
      <c r="H141" s="159">
        <v>225597.92</v>
      </c>
    </row>
    <row r="142" spans="1:8">
      <c r="A142" s="127" t="s">
        <v>377</v>
      </c>
      <c r="C142" s="160">
        <f>SUBTOTAL(9,C141)</f>
        <v>1930990.1099999999</v>
      </c>
      <c r="D142" s="160">
        <f>SUBTOTAL(9,D141)</f>
        <v>0</v>
      </c>
      <c r="E142" s="160">
        <f>SUBTOTAL(9,E141)</f>
        <v>0</v>
      </c>
      <c r="F142" s="160">
        <f>SUBTOTAL(9,F141)</f>
        <v>1930990.1099999999</v>
      </c>
      <c r="G142" s="166"/>
      <c r="H142" s="160">
        <f>SUBTOTAL(9,H141)</f>
        <v>225597.92</v>
      </c>
    </row>
    <row r="143" spans="1:8">
      <c r="C143" s="162"/>
      <c r="D143" s="162"/>
      <c r="E143" s="162"/>
      <c r="F143" s="162"/>
      <c r="H143" s="162"/>
    </row>
    <row r="144" spans="1:8" s="127" customFormat="1" ht="18" customHeight="1">
      <c r="A144" s="118" t="s">
        <v>28</v>
      </c>
      <c r="B144" s="118"/>
      <c r="C144" s="160">
        <f>SUBTOTAL(9,C8:C142)</f>
        <v>731534447.25999963</v>
      </c>
      <c r="D144" s="160">
        <f>SUBTOTAL(9,D8:D142)</f>
        <v>45222072.149999999</v>
      </c>
      <c r="E144" s="160">
        <f>SUBTOTAL(9,E8:E142)</f>
        <v>1568.7</v>
      </c>
      <c r="F144" s="160">
        <f>SUBTOTAL(9,F8:F142)</f>
        <v>776754950.70999968</v>
      </c>
      <c r="G144" s="133"/>
      <c r="H144" s="160">
        <f>SUBTOTAL(9,H8:H142)</f>
        <v>15707053.039999999</v>
      </c>
    </row>
    <row r="145" spans="3:8">
      <c r="C145" s="131"/>
      <c r="D145" s="131"/>
      <c r="E145" s="131"/>
      <c r="F145" s="131"/>
      <c r="H145" s="131"/>
    </row>
    <row r="147" spans="3:8">
      <c r="C147" s="158"/>
      <c r="D147" s="158"/>
      <c r="E147" s="158"/>
      <c r="F147" s="158"/>
      <c r="G147" s="158"/>
      <c r="H147" s="158"/>
    </row>
    <row r="148" spans="3:8">
      <c r="C148" s="158"/>
      <c r="D148" s="158"/>
      <c r="E148" s="158"/>
      <c r="F148" s="158"/>
      <c r="G148" s="158"/>
      <c r="H148" s="158"/>
    </row>
    <row r="149" spans="3:8">
      <c r="C149" s="158"/>
      <c r="D149" s="158"/>
      <c r="E149" s="158"/>
      <c r="F149" s="158"/>
      <c r="G149" s="158"/>
      <c r="H149" s="158"/>
    </row>
    <row r="150" spans="3:8">
      <c r="C150" s="158"/>
      <c r="D150" s="158"/>
      <c r="E150" s="158"/>
      <c r="F150" s="158"/>
      <c r="G150" s="158"/>
      <c r="H150" s="158"/>
    </row>
    <row r="151" spans="3:8">
      <c r="C151" s="158"/>
      <c r="D151" s="158"/>
      <c r="E151" s="158"/>
      <c r="F151" s="158"/>
      <c r="G151" s="158"/>
      <c r="H151" s="158"/>
    </row>
    <row r="152" spans="3:8">
      <c r="C152" s="158"/>
      <c r="D152" s="158"/>
      <c r="E152" s="158"/>
      <c r="F152" s="158"/>
      <c r="G152" s="158"/>
      <c r="H152" s="158"/>
    </row>
    <row r="153" spans="3:8">
      <c r="C153" s="158"/>
      <c r="D153" s="158"/>
      <c r="E153" s="158"/>
      <c r="F153" s="158"/>
      <c r="G153" s="158"/>
      <c r="H153" s="158"/>
    </row>
    <row r="154" spans="3:8">
      <c r="C154" s="158"/>
      <c r="D154" s="158"/>
      <c r="E154" s="158"/>
      <c r="F154" s="158"/>
      <c r="G154" s="158"/>
      <c r="H154" s="158"/>
    </row>
    <row r="155" spans="3:8">
      <c r="C155" s="158"/>
      <c r="D155" s="158"/>
      <c r="E155" s="158"/>
      <c r="F155" s="158"/>
      <c r="G155" s="158"/>
      <c r="H155" s="158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7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2AC8-B0CF-44A0-B3F6-0CB1F51695BE}">
  <sheetPr>
    <tabColor theme="9" tint="0.39997558519241921"/>
  </sheetPr>
  <dimension ref="A1:U98"/>
  <sheetViews>
    <sheetView view="pageBreakPreview" zoomScaleSheetLayoutView="100" workbookViewId="0">
      <pane ySplit="7" topLeftCell="A8" activePane="bottomLeft" state="frozen"/>
      <selection activeCell="C35" sqref="C35"/>
      <selection pane="bottomLeft" activeCell="A12" sqref="A12"/>
    </sheetView>
  </sheetViews>
  <sheetFormatPr defaultColWidth="9.08984375" defaultRowHeight="12.5"/>
  <cols>
    <col min="1" max="1" width="48.453125" style="169" customWidth="1"/>
    <col min="2" max="2" width="13" style="169" bestFit="1" customWidth="1"/>
    <col min="3" max="3" width="12.54296875" style="169" customWidth="1"/>
    <col min="4" max="4" width="11.6328125" style="169" customWidth="1"/>
    <col min="5" max="5" width="12.453125" style="169" customWidth="1"/>
    <col min="6" max="6" width="4.54296875" style="169" customWidth="1"/>
    <col min="7" max="7" width="15" style="169" customWidth="1"/>
    <col min="8" max="8" width="12.6328125" style="169" customWidth="1"/>
    <col min="9" max="9" width="11.36328125" style="169" bestFit="1" customWidth="1"/>
    <col min="14" max="15" width="9.08984375" style="169"/>
    <col min="16" max="16" width="11.36328125" style="169" bestFit="1" customWidth="1"/>
    <col min="17" max="20" width="9.08984375" style="169"/>
    <col min="21" max="21" width="10.36328125" style="169" bestFit="1" customWidth="1"/>
    <col min="22" max="16384" width="9.08984375" style="169"/>
  </cols>
  <sheetData>
    <row r="1" spans="1:9">
      <c r="A1" s="167" t="s">
        <v>378</v>
      </c>
      <c r="B1" s="167"/>
      <c r="C1" s="168"/>
      <c r="D1" s="168"/>
      <c r="E1" s="168"/>
      <c r="F1" s="168"/>
      <c r="G1" s="168"/>
      <c r="H1" s="145" t="s">
        <v>472</v>
      </c>
    </row>
    <row r="2" spans="1:9" ht="15" customHeight="1">
      <c r="A2" s="167" t="s">
        <v>469</v>
      </c>
      <c r="B2" s="167"/>
      <c r="C2" s="168"/>
      <c r="D2" s="168"/>
      <c r="E2" s="168"/>
      <c r="F2" s="168"/>
      <c r="G2" s="168"/>
      <c r="H2" s="147" t="str">
        <f>Index!F2</f>
        <v>August 31, 2023</v>
      </c>
    </row>
    <row r="3" spans="1:9" ht="15.75" customHeight="1" thickBot="1">
      <c r="A3" s="170" t="s">
        <v>338</v>
      </c>
      <c r="B3" s="171"/>
      <c r="C3" s="172"/>
      <c r="D3" s="172"/>
      <c r="E3" s="172"/>
      <c r="F3" s="172"/>
      <c r="G3" s="172"/>
      <c r="H3" s="172"/>
    </row>
    <row r="4" spans="1:9" ht="7.5" customHeight="1" thickBot="1">
      <c r="A4" s="173"/>
      <c r="B4" s="171"/>
      <c r="C4" s="172"/>
      <c r="D4" s="172"/>
      <c r="E4" s="172"/>
      <c r="F4" s="168"/>
      <c r="G4" s="168"/>
      <c r="H4" s="172"/>
    </row>
    <row r="5" spans="1:9" ht="13" thickBot="1">
      <c r="A5" s="173"/>
      <c r="B5" s="203" t="s">
        <v>379</v>
      </c>
      <c r="C5" s="204"/>
      <c r="D5" s="204"/>
      <c r="E5" s="204"/>
      <c r="F5" s="174"/>
      <c r="G5" s="168"/>
      <c r="H5" s="199"/>
    </row>
    <row r="6" spans="1:9">
      <c r="A6" s="173"/>
      <c r="B6" s="175" t="s">
        <v>380</v>
      </c>
      <c r="C6" s="176" t="s">
        <v>412</v>
      </c>
      <c r="D6" s="177"/>
      <c r="E6" s="175" t="s">
        <v>380</v>
      </c>
      <c r="F6" s="178"/>
      <c r="G6" s="205" t="s">
        <v>381</v>
      </c>
      <c r="H6" s="176" t="str">
        <f>C6</f>
        <v>2023 Forecast</v>
      </c>
    </row>
    <row r="7" spans="1:9" ht="25.5" customHeight="1" thickBot="1">
      <c r="A7" s="173"/>
      <c r="B7" s="179">
        <v>2022</v>
      </c>
      <c r="C7" s="180" t="s">
        <v>382</v>
      </c>
      <c r="D7" s="181" t="s">
        <v>383</v>
      </c>
      <c r="E7" s="182">
        <f>B7+1</f>
        <v>2023</v>
      </c>
      <c r="F7" s="182"/>
      <c r="G7" s="206"/>
      <c r="H7" s="181" t="s">
        <v>384</v>
      </c>
    </row>
    <row r="8" spans="1:9">
      <c r="A8" s="183" t="s">
        <v>385</v>
      </c>
    </row>
    <row r="9" spans="1:9">
      <c r="A9" s="184" t="s">
        <v>386</v>
      </c>
      <c r="G9" s="185"/>
    </row>
    <row r="10" spans="1:9">
      <c r="A10" s="169" t="s">
        <v>391</v>
      </c>
      <c r="B10" s="186">
        <v>4521.2649199999996</v>
      </c>
      <c r="C10" s="186"/>
      <c r="D10" s="186"/>
      <c r="E10" s="186">
        <f t="shared" ref="E10:E43" si="0">B10+C10+D10</f>
        <v>4521.2649199999996</v>
      </c>
      <c r="G10" s="185" t="s">
        <v>388</v>
      </c>
      <c r="H10" s="186">
        <f>B10/10</f>
        <v>452.12649199999998</v>
      </c>
      <c r="I10" s="187"/>
    </row>
    <row r="11" spans="1:9">
      <c r="A11" s="169" t="s">
        <v>435</v>
      </c>
      <c r="B11" s="186">
        <v>3.7565999999999997</v>
      </c>
      <c r="C11" s="186"/>
      <c r="D11" s="186"/>
      <c r="E11" s="186">
        <f t="shared" si="0"/>
        <v>3.7565999999999997</v>
      </c>
      <c r="G11" s="185" t="s">
        <v>387</v>
      </c>
      <c r="H11" s="186">
        <v>2.881999999999971E-2</v>
      </c>
      <c r="I11" s="187"/>
    </row>
    <row r="12" spans="1:9">
      <c r="A12" s="169" t="s">
        <v>393</v>
      </c>
      <c r="B12" s="186">
        <v>128.91070999999999</v>
      </c>
      <c r="C12" s="186"/>
      <c r="D12" s="186"/>
      <c r="E12" s="186">
        <f t="shared" si="0"/>
        <v>128.91070999999999</v>
      </c>
      <c r="G12" s="185" t="s">
        <v>387</v>
      </c>
      <c r="H12" s="186">
        <f t="shared" ref="H12:H33" si="1">B12/5</f>
        <v>25.782142</v>
      </c>
      <c r="I12" s="187"/>
    </row>
    <row r="13" spans="1:9">
      <c r="A13" s="169" t="s">
        <v>389</v>
      </c>
      <c r="B13" s="186">
        <v>68.263350000000003</v>
      </c>
      <c r="C13" s="186"/>
      <c r="D13" s="186"/>
      <c r="E13" s="186">
        <f t="shared" si="0"/>
        <v>68.263350000000003</v>
      </c>
      <c r="G13" s="185" t="s">
        <v>387</v>
      </c>
      <c r="H13" s="186">
        <f t="shared" si="1"/>
        <v>13.652670000000001</v>
      </c>
      <c r="I13" s="187"/>
    </row>
    <row r="14" spans="1:9">
      <c r="A14" s="169" t="s">
        <v>436</v>
      </c>
      <c r="B14" s="186">
        <v>78.648449999999997</v>
      </c>
      <c r="C14" s="186"/>
      <c r="D14" s="186"/>
      <c r="E14" s="186">
        <f t="shared" si="0"/>
        <v>78.648449999999997</v>
      </c>
      <c r="G14" s="185" t="s">
        <v>387</v>
      </c>
      <c r="H14" s="186">
        <f t="shared" si="1"/>
        <v>15.72969</v>
      </c>
      <c r="I14" s="187"/>
    </row>
    <row r="15" spans="1:9">
      <c r="A15" s="169" t="s">
        <v>395</v>
      </c>
      <c r="B15" s="186">
        <v>13.408709999999999</v>
      </c>
      <c r="C15" s="186"/>
      <c r="D15" s="186"/>
      <c r="E15" s="186">
        <f t="shared" si="0"/>
        <v>13.408709999999999</v>
      </c>
      <c r="G15" s="185" t="s">
        <v>387</v>
      </c>
      <c r="H15" s="186">
        <f t="shared" si="1"/>
        <v>2.6817419999999998</v>
      </c>
      <c r="I15" s="187"/>
    </row>
    <row r="16" spans="1:9">
      <c r="A16" s="169" t="s">
        <v>437</v>
      </c>
      <c r="B16" s="186">
        <v>75.010990000000007</v>
      </c>
      <c r="C16" s="186"/>
      <c r="D16" s="186"/>
      <c r="E16" s="186">
        <f t="shared" si="0"/>
        <v>75.010990000000007</v>
      </c>
      <c r="G16" s="185" t="s">
        <v>387</v>
      </c>
      <c r="H16" s="186">
        <f t="shared" si="1"/>
        <v>15.002198000000002</v>
      </c>
      <c r="I16" s="187"/>
    </row>
    <row r="17" spans="1:14">
      <c r="A17" s="169" t="s">
        <v>438</v>
      </c>
      <c r="B17" s="186">
        <v>14.51037</v>
      </c>
      <c r="C17" s="186"/>
      <c r="D17" s="186"/>
      <c r="E17" s="186">
        <f t="shared" si="0"/>
        <v>14.51037</v>
      </c>
      <c r="G17" s="185" t="s">
        <v>387</v>
      </c>
      <c r="H17" s="186">
        <f t="shared" si="1"/>
        <v>2.9020739999999998</v>
      </c>
      <c r="I17" s="187"/>
    </row>
    <row r="18" spans="1:14">
      <c r="A18" s="169" t="s">
        <v>392</v>
      </c>
      <c r="B18" s="186">
        <v>667.05370999999991</v>
      </c>
      <c r="C18" s="186"/>
      <c r="D18" s="186"/>
      <c r="E18" s="186">
        <f t="shared" si="0"/>
        <v>667.05370999999991</v>
      </c>
      <c r="G18" s="185" t="s">
        <v>387</v>
      </c>
      <c r="H18" s="186">
        <f t="shared" si="1"/>
        <v>133.41074199999997</v>
      </c>
      <c r="I18" s="187"/>
    </row>
    <row r="19" spans="1:14">
      <c r="A19" s="169" t="s">
        <v>439</v>
      </c>
      <c r="B19" s="186">
        <v>5.8006800000000007</v>
      </c>
      <c r="C19" s="186"/>
      <c r="D19" s="186"/>
      <c r="E19" s="186">
        <f t="shared" si="0"/>
        <v>5.8006800000000007</v>
      </c>
      <c r="G19" s="185" t="s">
        <v>387</v>
      </c>
      <c r="H19" s="186">
        <f t="shared" si="1"/>
        <v>1.1601360000000001</v>
      </c>
      <c r="I19" s="187"/>
    </row>
    <row r="20" spans="1:14">
      <c r="A20" s="169" t="s">
        <v>428</v>
      </c>
      <c r="B20" s="186">
        <v>24.55237</v>
      </c>
      <c r="C20" s="187"/>
      <c r="D20" s="186"/>
      <c r="E20" s="186">
        <f t="shared" si="0"/>
        <v>24.55237</v>
      </c>
      <c r="G20" s="185" t="s">
        <v>387</v>
      </c>
      <c r="H20" s="186">
        <f t="shared" si="1"/>
        <v>4.9104739999999998</v>
      </c>
      <c r="I20" s="187"/>
    </row>
    <row r="21" spans="1:14">
      <c r="A21" s="169" t="s">
        <v>429</v>
      </c>
      <c r="B21" s="186">
        <v>87.526200000000003</v>
      </c>
      <c r="C21" s="187"/>
      <c r="D21" s="186"/>
      <c r="E21" s="186">
        <f t="shared" si="0"/>
        <v>87.526200000000003</v>
      </c>
      <c r="G21" s="185" t="s">
        <v>387</v>
      </c>
      <c r="H21" s="186">
        <f t="shared" si="1"/>
        <v>17.505240000000001</v>
      </c>
      <c r="I21" s="187"/>
    </row>
    <row r="22" spans="1:14">
      <c r="A22" s="169" t="s">
        <v>440</v>
      </c>
      <c r="B22" s="186">
        <v>744.28342000000009</v>
      </c>
      <c r="C22" s="186"/>
      <c r="D22" s="186"/>
      <c r="E22" s="186">
        <f t="shared" si="0"/>
        <v>744.28342000000009</v>
      </c>
      <c r="G22" s="185" t="s">
        <v>387</v>
      </c>
      <c r="H22" s="186">
        <f t="shared" si="1"/>
        <v>148.85668400000003</v>
      </c>
      <c r="I22" s="187"/>
    </row>
    <row r="23" spans="1:14">
      <c r="A23" s="169" t="s">
        <v>441</v>
      </c>
      <c r="B23" s="186">
        <v>16.46069</v>
      </c>
      <c r="C23" s="186"/>
      <c r="D23" s="186"/>
      <c r="E23" s="186">
        <f t="shared" si="0"/>
        <v>16.46069</v>
      </c>
      <c r="G23" s="185" t="s">
        <v>387</v>
      </c>
      <c r="H23" s="186">
        <f t="shared" si="1"/>
        <v>3.292138</v>
      </c>
      <c r="I23" s="187"/>
    </row>
    <row r="24" spans="1:14">
      <c r="A24" s="169" t="s">
        <v>430</v>
      </c>
      <c r="B24" s="186">
        <v>89.50752</v>
      </c>
      <c r="C24" s="186"/>
      <c r="D24" s="186"/>
      <c r="E24" s="186">
        <f t="shared" si="0"/>
        <v>89.50752</v>
      </c>
      <c r="G24" s="185" t="s">
        <v>387</v>
      </c>
      <c r="H24" s="186">
        <f t="shared" si="1"/>
        <v>17.901503999999999</v>
      </c>
      <c r="I24" s="187"/>
    </row>
    <row r="25" spans="1:14">
      <c r="A25" s="169" t="s">
        <v>442</v>
      </c>
      <c r="B25" s="186">
        <v>73.277100000000004</v>
      </c>
      <c r="C25" s="186"/>
      <c r="D25" s="186"/>
      <c r="E25" s="186">
        <f t="shared" si="0"/>
        <v>73.277100000000004</v>
      </c>
      <c r="G25" s="185" t="s">
        <v>387</v>
      </c>
      <c r="H25" s="186">
        <f t="shared" si="1"/>
        <v>14.655420000000001</v>
      </c>
      <c r="I25" s="187"/>
    </row>
    <row r="26" spans="1:14">
      <c r="A26" s="169" t="s">
        <v>443</v>
      </c>
      <c r="B26" s="186">
        <v>52.514710000000001</v>
      </c>
      <c r="C26" s="186"/>
      <c r="D26" s="186"/>
      <c r="E26" s="186">
        <f t="shared" si="0"/>
        <v>52.514710000000001</v>
      </c>
      <c r="G26" s="185" t="s">
        <v>387</v>
      </c>
      <c r="H26" s="186">
        <f t="shared" si="1"/>
        <v>10.502942000000001</v>
      </c>
      <c r="I26" s="187"/>
      <c r="N26" s="187"/>
    </row>
    <row r="27" spans="1:14">
      <c r="A27" s="169" t="s">
        <v>434</v>
      </c>
      <c r="B27" s="186">
        <v>59.194720000000004</v>
      </c>
      <c r="C27" s="186"/>
      <c r="D27" s="186"/>
      <c r="E27" s="186">
        <f t="shared" si="0"/>
        <v>59.194720000000004</v>
      </c>
      <c r="G27" s="185" t="s">
        <v>387</v>
      </c>
      <c r="H27" s="186">
        <f t="shared" si="1"/>
        <v>11.838944000000001</v>
      </c>
      <c r="I27" s="187"/>
      <c r="N27" s="187"/>
    </row>
    <row r="28" spans="1:14">
      <c r="A28" s="169" t="s">
        <v>394</v>
      </c>
      <c r="B28" s="186">
        <v>77.782899999999998</v>
      </c>
      <c r="C28" s="186"/>
      <c r="D28" s="186"/>
      <c r="E28" s="186">
        <f t="shared" si="0"/>
        <v>77.782899999999998</v>
      </c>
      <c r="G28" s="185" t="s">
        <v>387</v>
      </c>
      <c r="H28" s="186">
        <f t="shared" si="1"/>
        <v>15.55658</v>
      </c>
      <c r="I28" s="187"/>
    </row>
    <row r="29" spans="1:14">
      <c r="A29" s="169" t="s">
        <v>444</v>
      </c>
      <c r="B29" s="186">
        <v>325.99815000000001</v>
      </c>
      <c r="C29" s="186">
        <v>70.308399999999992</v>
      </c>
      <c r="D29" s="186"/>
      <c r="E29" s="186">
        <f t="shared" si="0"/>
        <v>396.30655000000002</v>
      </c>
      <c r="G29" s="185" t="s">
        <v>387</v>
      </c>
      <c r="H29" s="186">
        <f t="shared" si="1"/>
        <v>65.199629999999999</v>
      </c>
      <c r="I29" s="187"/>
    </row>
    <row r="30" spans="1:14">
      <c r="A30" s="169" t="s">
        <v>431</v>
      </c>
      <c r="B30" s="186">
        <v>115.23152999999999</v>
      </c>
      <c r="C30" s="186"/>
      <c r="D30" s="186"/>
      <c r="E30" s="186">
        <f t="shared" si="0"/>
        <v>115.23152999999999</v>
      </c>
      <c r="G30" s="185" t="s">
        <v>387</v>
      </c>
      <c r="H30" s="186">
        <f t="shared" si="1"/>
        <v>23.046305999999998</v>
      </c>
      <c r="I30" s="187"/>
    </row>
    <row r="31" spans="1:14">
      <c r="A31" s="169" t="s">
        <v>390</v>
      </c>
      <c r="B31" s="186">
        <v>59.53539</v>
      </c>
      <c r="C31" s="186"/>
      <c r="D31" s="186"/>
      <c r="E31" s="186">
        <f t="shared" si="0"/>
        <v>59.53539</v>
      </c>
      <c r="G31" s="185" t="s">
        <v>387</v>
      </c>
      <c r="H31" s="186">
        <f t="shared" si="1"/>
        <v>11.907078</v>
      </c>
      <c r="I31" s="187"/>
    </row>
    <row r="32" spans="1:14">
      <c r="A32" s="169" t="s">
        <v>432</v>
      </c>
      <c r="B32" s="186">
        <v>196.33029000000002</v>
      </c>
      <c r="C32" s="186"/>
      <c r="D32" s="186"/>
      <c r="E32" s="186">
        <f t="shared" si="0"/>
        <v>196.33029000000002</v>
      </c>
      <c r="G32" s="185" t="s">
        <v>387</v>
      </c>
      <c r="H32" s="186">
        <f t="shared" si="1"/>
        <v>39.266058000000001</v>
      </c>
      <c r="I32" s="187"/>
    </row>
    <row r="33" spans="1:9">
      <c r="A33" s="169" t="s">
        <v>433</v>
      </c>
      <c r="B33" s="186">
        <v>46.831489999999995</v>
      </c>
      <c r="C33" s="186"/>
      <c r="D33" s="186"/>
      <c r="E33" s="186">
        <f t="shared" si="0"/>
        <v>46.831489999999995</v>
      </c>
      <c r="G33" s="185" t="s">
        <v>387</v>
      </c>
      <c r="H33" s="186">
        <f t="shared" si="1"/>
        <v>9.3662979999999987</v>
      </c>
      <c r="I33" s="187"/>
    </row>
    <row r="34" spans="1:9">
      <c r="A34" s="169" t="s">
        <v>445</v>
      </c>
      <c r="B34" s="186">
        <v>-282.62846000000002</v>
      </c>
      <c r="C34" s="186"/>
      <c r="D34" s="186"/>
      <c r="E34" s="186">
        <f t="shared" si="0"/>
        <v>-282.62846000000002</v>
      </c>
      <c r="G34" s="185" t="s">
        <v>387</v>
      </c>
      <c r="H34" s="186">
        <v>-7.20146</v>
      </c>
      <c r="I34" s="187"/>
    </row>
    <row r="35" spans="1:9">
      <c r="A35" s="169" t="s">
        <v>453</v>
      </c>
      <c r="B35" s="186"/>
      <c r="C35" s="186">
        <v>8784.170970000001</v>
      </c>
      <c r="D35" s="186"/>
      <c r="E35" s="186">
        <f t="shared" si="0"/>
        <v>8784.170970000001</v>
      </c>
      <c r="G35" s="185" t="s">
        <v>388</v>
      </c>
      <c r="H35" s="186">
        <v>0</v>
      </c>
      <c r="I35" s="187"/>
    </row>
    <row r="36" spans="1:9">
      <c r="A36" s="169" t="s">
        <v>454</v>
      </c>
      <c r="B36" s="186"/>
      <c r="C36" s="186">
        <v>225</v>
      </c>
      <c r="D36" s="186"/>
      <c r="E36" s="186">
        <f t="shared" si="0"/>
        <v>225</v>
      </c>
      <c r="G36" s="185" t="s">
        <v>387</v>
      </c>
      <c r="H36" s="186">
        <v>0</v>
      </c>
      <c r="I36" s="187"/>
    </row>
    <row r="37" spans="1:9">
      <c r="A37" s="169" t="s">
        <v>455</v>
      </c>
      <c r="B37" s="186"/>
      <c r="C37" s="186">
        <v>200</v>
      </c>
      <c r="D37" s="186"/>
      <c r="E37" s="186">
        <f t="shared" si="0"/>
        <v>200</v>
      </c>
      <c r="G37" s="185" t="s">
        <v>387</v>
      </c>
      <c r="H37" s="186">
        <v>0</v>
      </c>
      <c r="I37" s="187"/>
    </row>
    <row r="38" spans="1:9">
      <c r="A38" s="169" t="s">
        <v>456</v>
      </c>
      <c r="B38" s="186"/>
      <c r="C38" s="186">
        <v>197.67159000000001</v>
      </c>
      <c r="D38" s="186"/>
      <c r="E38" s="186">
        <f t="shared" si="0"/>
        <v>197.67159000000001</v>
      </c>
      <c r="G38" s="185" t="s">
        <v>387</v>
      </c>
      <c r="H38" s="186">
        <v>0</v>
      </c>
      <c r="I38" s="187"/>
    </row>
    <row r="39" spans="1:9">
      <c r="A39" s="169" t="s">
        <v>457</v>
      </c>
      <c r="B39" s="186"/>
      <c r="C39" s="186">
        <v>168.41776000000002</v>
      </c>
      <c r="D39" s="186"/>
      <c r="E39" s="186">
        <f t="shared" si="0"/>
        <v>168.41776000000002</v>
      </c>
      <c r="G39" s="185" t="s">
        <v>387</v>
      </c>
      <c r="H39" s="186">
        <v>0</v>
      </c>
      <c r="I39" s="187"/>
    </row>
    <row r="40" spans="1:9">
      <c r="A40" s="169" t="s">
        <v>458</v>
      </c>
      <c r="B40" s="186"/>
      <c r="C40" s="186">
        <v>120</v>
      </c>
      <c r="D40" s="186"/>
      <c r="E40" s="186">
        <f t="shared" si="0"/>
        <v>120</v>
      </c>
      <c r="G40" s="185" t="s">
        <v>387</v>
      </c>
      <c r="H40" s="186">
        <v>0</v>
      </c>
      <c r="I40" s="187"/>
    </row>
    <row r="41" spans="1:9">
      <c r="A41" s="169" t="s">
        <v>459</v>
      </c>
      <c r="B41" s="186"/>
      <c r="C41" s="186">
        <v>100</v>
      </c>
      <c r="D41" s="186"/>
      <c r="E41" s="186">
        <f t="shared" si="0"/>
        <v>100</v>
      </c>
      <c r="G41" s="185" t="s">
        <v>387</v>
      </c>
      <c r="H41" s="186">
        <v>0</v>
      </c>
      <c r="I41" s="187"/>
    </row>
    <row r="42" spans="1:9">
      <c r="A42" s="169" t="s">
        <v>460</v>
      </c>
      <c r="B42" s="186"/>
      <c r="C42" s="186">
        <v>225</v>
      </c>
      <c r="D42" s="186"/>
      <c r="E42" s="186">
        <f t="shared" si="0"/>
        <v>225</v>
      </c>
      <c r="G42" s="185" t="s">
        <v>387</v>
      </c>
      <c r="H42" s="186">
        <v>0</v>
      </c>
      <c r="I42" s="187"/>
    </row>
    <row r="43" spans="1:9">
      <c r="A43" s="169" t="s">
        <v>461</v>
      </c>
      <c r="B43" s="186"/>
      <c r="C43" s="186">
        <v>319.03999999999996</v>
      </c>
      <c r="D43" s="186"/>
      <c r="E43" s="186">
        <f t="shared" si="0"/>
        <v>319.03999999999996</v>
      </c>
      <c r="G43" s="185" t="s">
        <v>387</v>
      </c>
      <c r="H43" s="186">
        <v>0</v>
      </c>
      <c r="I43" s="187"/>
    </row>
    <row r="44" spans="1:9" ht="8.5" customHeight="1">
      <c r="B44" s="186"/>
      <c r="C44" s="186"/>
      <c r="D44" s="186"/>
      <c r="E44" s="186"/>
      <c r="G44" s="185"/>
      <c r="H44" s="186"/>
      <c r="I44" s="187"/>
    </row>
    <row r="45" spans="1:9">
      <c r="A45" s="183" t="s">
        <v>396</v>
      </c>
      <c r="B45" s="187">
        <f>SUM(B10:B44)</f>
        <v>7263.0265100000006</v>
      </c>
      <c r="C45" s="187">
        <f>SUM(C10:C44)</f>
        <v>10409.60872</v>
      </c>
      <c r="D45" s="187">
        <f>SUM(D10:D44)</f>
        <v>0</v>
      </c>
      <c r="E45" s="187">
        <f>SUM(E10:E44)</f>
        <v>17672.635230000004</v>
      </c>
      <c r="G45" s="185"/>
      <c r="H45" s="187">
        <f>SUM(H10:H44)</f>
        <v>1049.0805419999999</v>
      </c>
      <c r="I45" s="187"/>
    </row>
    <row r="46" spans="1:9">
      <c r="G46" s="185"/>
    </row>
    <row r="47" spans="1:9">
      <c r="A47" s="183" t="s">
        <v>397</v>
      </c>
      <c r="B47" s="187"/>
      <c r="C47" s="187"/>
      <c r="D47" s="187"/>
      <c r="E47" s="187"/>
      <c r="H47" s="187"/>
    </row>
    <row r="48" spans="1:9">
      <c r="A48" s="189" t="s">
        <v>386</v>
      </c>
      <c r="E48" s="187"/>
    </row>
    <row r="49" spans="1:9">
      <c r="A49" s="190" t="s">
        <v>317</v>
      </c>
      <c r="B49" s="187">
        <v>3377.6660699999998</v>
      </c>
      <c r="C49" s="187">
        <v>1271.64067</v>
      </c>
      <c r="D49" s="187"/>
      <c r="E49" s="187">
        <f t="shared" ref="E49:E58" si="2">B49+C49+D49</f>
        <v>4649.30674</v>
      </c>
      <c r="F49" s="187"/>
      <c r="G49" s="185" t="s">
        <v>388</v>
      </c>
      <c r="H49" s="186">
        <f>B49/10</f>
        <v>337.76660699999996</v>
      </c>
      <c r="I49" s="187"/>
    </row>
    <row r="50" spans="1:9">
      <c r="A50" s="190" t="s">
        <v>399</v>
      </c>
      <c r="B50" s="187">
        <v>185.01089000000002</v>
      </c>
      <c r="C50" s="187"/>
      <c r="D50" s="187"/>
      <c r="E50" s="187">
        <f t="shared" si="2"/>
        <v>185.01089000000002</v>
      </c>
      <c r="F50" s="187"/>
      <c r="G50" s="185" t="s">
        <v>400</v>
      </c>
      <c r="H50" s="186">
        <f>B50/45</f>
        <v>4.1113531111111117</v>
      </c>
      <c r="I50" s="187"/>
    </row>
    <row r="51" spans="1:9">
      <c r="A51" s="190" t="s">
        <v>446</v>
      </c>
      <c r="B51" s="187">
        <v>46.630710000000001</v>
      </c>
      <c r="C51" s="187"/>
      <c r="D51" s="187"/>
      <c r="E51" s="187">
        <f t="shared" si="2"/>
        <v>46.630710000000001</v>
      </c>
      <c r="F51" s="187"/>
      <c r="G51" s="185" t="s">
        <v>387</v>
      </c>
      <c r="H51" s="186">
        <v>3.10907</v>
      </c>
      <c r="I51" s="187"/>
    </row>
    <row r="52" spans="1:9">
      <c r="A52" s="190" t="s">
        <v>447</v>
      </c>
      <c r="B52" s="187">
        <v>141.60042999999999</v>
      </c>
      <c r="C52" s="187"/>
      <c r="D52" s="187"/>
      <c r="E52" s="187">
        <f t="shared" si="2"/>
        <v>141.60042999999999</v>
      </c>
      <c r="F52" s="187"/>
      <c r="G52" s="185" t="s">
        <v>387</v>
      </c>
      <c r="H52" s="186">
        <v>16.519950000000001</v>
      </c>
      <c r="I52" s="187"/>
    </row>
    <row r="53" spans="1:9">
      <c r="A53" s="190" t="s">
        <v>448</v>
      </c>
      <c r="B53" s="187">
        <v>260.55056000000002</v>
      </c>
      <c r="C53" s="187"/>
      <c r="D53" s="187"/>
      <c r="E53" s="187">
        <f t="shared" si="2"/>
        <v>260.55056000000002</v>
      </c>
      <c r="F53" s="187"/>
      <c r="G53" s="185" t="s">
        <v>387</v>
      </c>
      <c r="H53" s="186">
        <f>B53/5</f>
        <v>52.110112000000001</v>
      </c>
      <c r="I53" s="187"/>
    </row>
    <row r="54" spans="1:9">
      <c r="A54" s="190" t="s">
        <v>398</v>
      </c>
      <c r="B54" s="187">
        <v>633.98004000000003</v>
      </c>
      <c r="C54" s="187"/>
      <c r="D54" s="187"/>
      <c r="E54" s="187">
        <f t="shared" si="2"/>
        <v>633.98004000000003</v>
      </c>
      <c r="F54" s="187"/>
      <c r="G54" s="185" t="s">
        <v>387</v>
      </c>
      <c r="H54" s="186">
        <f>B54/5</f>
        <v>126.796008</v>
      </c>
      <c r="I54" s="187"/>
    </row>
    <row r="55" spans="1:9">
      <c r="A55" s="190" t="s">
        <v>449</v>
      </c>
      <c r="B55" s="187">
        <v>-2080.08187</v>
      </c>
      <c r="C55" s="187">
        <v>-21.640669999999997</v>
      </c>
      <c r="D55" s="187"/>
      <c r="E55" s="187">
        <f t="shared" si="2"/>
        <v>-2101.7225399999998</v>
      </c>
      <c r="F55" s="187"/>
      <c r="G55" s="185" t="s">
        <v>388</v>
      </c>
      <c r="H55" s="186">
        <f>B55/10</f>
        <v>-208.00818699999999</v>
      </c>
      <c r="I55" s="187"/>
    </row>
    <row r="56" spans="1:9">
      <c r="A56" s="190" t="s">
        <v>450</v>
      </c>
      <c r="B56" s="187">
        <v>-100</v>
      </c>
      <c r="C56" s="187"/>
      <c r="D56" s="187"/>
      <c r="E56" s="187">
        <f t="shared" si="2"/>
        <v>-100</v>
      </c>
      <c r="F56" s="187"/>
      <c r="G56" s="185" t="s">
        <v>387</v>
      </c>
      <c r="H56" s="186">
        <v>-11.616280000000001</v>
      </c>
      <c r="I56" s="187"/>
    </row>
    <row r="57" spans="1:9">
      <c r="A57" s="190" t="s">
        <v>463</v>
      </c>
      <c r="B57" s="187"/>
      <c r="C57" s="187">
        <v>385.63777000000005</v>
      </c>
      <c r="D57" s="187"/>
      <c r="E57" s="187">
        <f t="shared" si="2"/>
        <v>385.63777000000005</v>
      </c>
      <c r="F57" s="187"/>
      <c r="G57" s="185" t="s">
        <v>93</v>
      </c>
      <c r="H57" s="186"/>
      <c r="I57" s="187"/>
    </row>
    <row r="58" spans="1:9">
      <c r="A58" s="190" t="s">
        <v>462</v>
      </c>
      <c r="B58" s="187"/>
      <c r="C58" s="187">
        <v>23.148499999999999</v>
      </c>
      <c r="D58" s="187"/>
      <c r="E58" s="187">
        <f t="shared" si="2"/>
        <v>23.148499999999999</v>
      </c>
      <c r="F58" s="187"/>
      <c r="G58" s="185" t="s">
        <v>93</v>
      </c>
      <c r="H58" s="186"/>
      <c r="I58" s="187"/>
    </row>
    <row r="59" spans="1:9" ht="9" customHeight="1">
      <c r="A59" s="190"/>
      <c r="B59" s="187"/>
      <c r="C59" s="187"/>
      <c r="D59" s="187"/>
      <c r="E59" s="187"/>
      <c r="F59" s="187"/>
      <c r="G59" s="185"/>
      <c r="H59" s="186"/>
      <c r="I59" s="187"/>
    </row>
    <row r="60" spans="1:9">
      <c r="A60" s="183" t="s">
        <v>401</v>
      </c>
      <c r="B60" s="187">
        <f>SUM(B48:B59)</f>
        <v>2465.3568299999997</v>
      </c>
      <c r="C60" s="187">
        <f>SUM(C48:C59)</f>
        <v>1658.7862700000001</v>
      </c>
      <c r="D60" s="187">
        <f>SUM(D48:D59)</f>
        <v>0</v>
      </c>
      <c r="E60" s="187">
        <f>SUM(E48:E59)</f>
        <v>4124.1431000000011</v>
      </c>
      <c r="F60" s="187"/>
      <c r="G60" s="187"/>
      <c r="H60" s="187">
        <f>SUM(H48:H59)</f>
        <v>320.78863311111098</v>
      </c>
      <c r="I60" s="187"/>
    </row>
    <row r="61" spans="1:9">
      <c r="A61" s="190"/>
      <c r="B61" s="187"/>
      <c r="C61" s="187"/>
      <c r="D61" s="187"/>
      <c r="E61" s="187"/>
      <c r="F61" s="187"/>
      <c r="G61" s="185"/>
      <c r="H61" s="187"/>
      <c r="I61" s="187"/>
    </row>
    <row r="62" spans="1:9">
      <c r="A62" s="183" t="s">
        <v>90</v>
      </c>
      <c r="B62" s="187"/>
      <c r="C62" s="187"/>
      <c r="D62" s="187"/>
      <c r="E62" s="187"/>
      <c r="F62" s="187"/>
      <c r="G62" s="187"/>
      <c r="H62" s="187"/>
    </row>
    <row r="63" spans="1:9">
      <c r="A63" s="189" t="s">
        <v>386</v>
      </c>
      <c r="B63" s="187"/>
      <c r="C63" s="187"/>
      <c r="D63" s="187"/>
      <c r="E63" s="187"/>
      <c r="F63" s="187"/>
      <c r="G63" s="187"/>
      <c r="H63" s="187"/>
    </row>
    <row r="64" spans="1:9">
      <c r="A64" s="169" t="s">
        <v>402</v>
      </c>
      <c r="B64" s="187">
        <v>112.27827000000001</v>
      </c>
      <c r="C64" s="187"/>
      <c r="D64" s="187"/>
      <c r="E64" s="187">
        <f>B64+C64+D64</f>
        <v>112.27827000000001</v>
      </c>
      <c r="F64" s="187"/>
      <c r="G64" s="185" t="s">
        <v>452</v>
      </c>
      <c r="H64" s="187">
        <v>6.1354900000000052</v>
      </c>
      <c r="I64" s="187"/>
    </row>
    <row r="65" spans="1:21">
      <c r="A65" s="169" t="s">
        <v>451</v>
      </c>
      <c r="B65" s="187">
        <v>3903.4295200000001</v>
      </c>
      <c r="C65" s="187">
        <v>575.35715000000005</v>
      </c>
      <c r="D65" s="187"/>
      <c r="E65" s="187">
        <f>B65+C65+D65</f>
        <v>4478.7866700000004</v>
      </c>
      <c r="F65" s="187"/>
      <c r="G65" s="185" t="s">
        <v>452</v>
      </c>
      <c r="H65" s="187">
        <f>B65/5</f>
        <v>780.68590400000005</v>
      </c>
      <c r="I65" s="187"/>
    </row>
    <row r="66" spans="1:21">
      <c r="A66" s="169" t="s">
        <v>403</v>
      </c>
      <c r="B66" s="187">
        <f>39986.85/1000</f>
        <v>39.986849999999997</v>
      </c>
      <c r="C66" s="187"/>
      <c r="D66" s="187"/>
      <c r="E66" s="187">
        <f>B66+C66+D66</f>
        <v>39.986849999999997</v>
      </c>
      <c r="F66" s="187"/>
      <c r="G66" s="185" t="s">
        <v>452</v>
      </c>
      <c r="H66" s="187">
        <f>B66/25</f>
        <v>1.5994739999999998</v>
      </c>
      <c r="I66" s="187"/>
    </row>
    <row r="67" spans="1:21">
      <c r="A67" s="169" t="s">
        <v>404</v>
      </c>
      <c r="B67" s="187">
        <f>285867.32/1000</f>
        <v>285.86732000000001</v>
      </c>
      <c r="C67" s="187"/>
      <c r="D67" s="187"/>
      <c r="E67" s="187">
        <f>B67+C67+D67</f>
        <v>285.86732000000001</v>
      </c>
      <c r="F67" s="187"/>
      <c r="G67" s="185" t="s">
        <v>452</v>
      </c>
      <c r="H67" s="187">
        <f>20603.54/1000</f>
        <v>20.603540000000002</v>
      </c>
      <c r="I67" s="187"/>
    </row>
    <row r="68" spans="1:21">
      <c r="A68" s="169" t="s">
        <v>405</v>
      </c>
      <c r="B68" s="187">
        <f>128801.6/1000</f>
        <v>128.80160000000001</v>
      </c>
      <c r="D68" s="187"/>
      <c r="E68" s="187">
        <f>B68+C68+D68</f>
        <v>128.80160000000001</v>
      </c>
      <c r="F68" s="187"/>
      <c r="G68" s="185" t="s">
        <v>452</v>
      </c>
      <c r="H68" s="187">
        <f>10938.3658333333/1000</f>
        <v>10.9383658333333</v>
      </c>
      <c r="I68" s="187"/>
    </row>
    <row r="69" spans="1:21" ht="7" customHeight="1">
      <c r="B69" s="187"/>
      <c r="C69" s="187"/>
      <c r="D69" s="187"/>
      <c r="E69" s="187"/>
      <c r="F69" s="187"/>
      <c r="G69" s="187"/>
      <c r="H69" s="187"/>
      <c r="O69" s="187"/>
    </row>
    <row r="70" spans="1:21">
      <c r="A70" s="183" t="s">
        <v>406</v>
      </c>
      <c r="B70" s="187">
        <f>SUM(B63:B69)</f>
        <v>4470.3635599999998</v>
      </c>
      <c r="C70" s="187">
        <f>SUM(C63:C69)</f>
        <v>575.35715000000005</v>
      </c>
      <c r="D70" s="187">
        <f>SUM(D63:D69)</f>
        <v>0</v>
      </c>
      <c r="E70" s="187">
        <f>SUM(E63:E69)</f>
        <v>5045.7207100000005</v>
      </c>
      <c r="F70" s="187"/>
      <c r="G70" s="187"/>
      <c r="H70" s="187">
        <f>SUM(H63:H69)</f>
        <v>819.96277383333324</v>
      </c>
      <c r="I70" s="187"/>
      <c r="P70" s="187"/>
    </row>
    <row r="71" spans="1:21">
      <c r="B71" s="187"/>
      <c r="C71" s="187"/>
      <c r="D71" s="187"/>
      <c r="E71" s="187"/>
      <c r="F71" s="187"/>
      <c r="G71" s="187"/>
      <c r="H71" s="187"/>
      <c r="P71" s="187"/>
    </row>
    <row r="72" spans="1:21">
      <c r="A72" s="183" t="s">
        <v>407</v>
      </c>
      <c r="B72" s="187"/>
      <c r="C72" s="187"/>
      <c r="D72" s="187"/>
      <c r="E72" s="187"/>
      <c r="F72" s="187"/>
      <c r="G72" s="187"/>
      <c r="H72" s="187"/>
      <c r="P72" s="187"/>
    </row>
    <row r="73" spans="1:21">
      <c r="A73" s="184" t="s">
        <v>408</v>
      </c>
      <c r="B73" s="187">
        <v>254.48933</v>
      </c>
      <c r="C73" s="187"/>
      <c r="D73" s="187"/>
      <c r="E73" s="187">
        <f>SUM(B73:D73)</f>
        <v>254.48933</v>
      </c>
      <c r="F73" s="187"/>
      <c r="G73" s="185" t="s">
        <v>387</v>
      </c>
      <c r="H73" s="191">
        <f>B73/5</f>
        <v>50.897866</v>
      </c>
      <c r="P73" s="187"/>
    </row>
    <row r="74" spans="1:21">
      <c r="A74" s="192"/>
      <c r="B74" s="188"/>
      <c r="C74" s="188"/>
      <c r="D74" s="188"/>
      <c r="E74" s="188"/>
      <c r="F74" s="193"/>
      <c r="G74" s="194"/>
      <c r="H74" s="188"/>
    </row>
    <row r="75" spans="1:21">
      <c r="A75" s="200" t="s">
        <v>409</v>
      </c>
      <c r="B75" s="195">
        <f>SUM(B45,B60,B70,B73)</f>
        <v>14453.23623</v>
      </c>
      <c r="C75" s="195">
        <f>SUM(C45,C60,C70,C73)</f>
        <v>12643.752140000001</v>
      </c>
      <c r="D75" s="195">
        <f>SUM(D45,D60,D70,D73)</f>
        <v>0</v>
      </c>
      <c r="E75" s="195">
        <f>SUM(E45,E60,E70,E73)</f>
        <v>27096.988370000006</v>
      </c>
      <c r="F75" s="193"/>
      <c r="G75" s="194"/>
      <c r="H75" s="195">
        <f>SUM(H45,H60,H70,H73)</f>
        <v>2240.7298149444441</v>
      </c>
      <c r="I75" s="187"/>
      <c r="P75" s="187"/>
      <c r="U75" s="187"/>
    </row>
    <row r="76" spans="1:21">
      <c r="A76" s="173"/>
      <c r="B76" s="196"/>
      <c r="C76" s="196"/>
      <c r="D76" s="196"/>
      <c r="E76" s="196"/>
      <c r="F76" s="193"/>
      <c r="G76" s="194"/>
      <c r="H76" s="193"/>
      <c r="P76" s="187"/>
      <c r="U76" s="187"/>
    </row>
    <row r="77" spans="1:21">
      <c r="A77" s="183" t="s">
        <v>92</v>
      </c>
      <c r="B77" s="187"/>
      <c r="C77" s="187"/>
      <c r="D77" s="187"/>
      <c r="E77" s="187"/>
      <c r="F77" s="187"/>
      <c r="G77" s="187"/>
      <c r="H77" s="187"/>
      <c r="P77" s="187"/>
      <c r="U77" s="187"/>
    </row>
    <row r="78" spans="1:21">
      <c r="A78" s="189" t="s">
        <v>386</v>
      </c>
      <c r="B78" s="187"/>
      <c r="C78" s="187"/>
      <c r="D78" s="187"/>
      <c r="E78" s="187"/>
      <c r="F78" s="187"/>
      <c r="G78" s="187"/>
      <c r="H78" s="187"/>
      <c r="P78" s="187"/>
      <c r="U78" s="187"/>
    </row>
    <row r="79" spans="1:21">
      <c r="A79" s="169" t="s">
        <v>465</v>
      </c>
      <c r="B79" s="187">
        <v>1185.40842</v>
      </c>
      <c r="C79" s="187">
        <v>441.10774999999995</v>
      </c>
      <c r="D79" s="187"/>
      <c r="E79" s="187">
        <f>B79+C79+D79</f>
        <v>1626.5161699999999</v>
      </c>
      <c r="F79" s="187"/>
      <c r="G79" s="185" t="s">
        <v>387</v>
      </c>
      <c r="H79" s="187">
        <v>226.28426000000002</v>
      </c>
      <c r="I79" s="187"/>
      <c r="P79" s="187"/>
      <c r="U79" s="187"/>
    </row>
    <row r="80" spans="1:21">
      <c r="A80" s="169" t="s">
        <v>466</v>
      </c>
      <c r="B80" s="187">
        <v>7386.3325800000002</v>
      </c>
      <c r="C80" s="187"/>
      <c r="D80" s="187"/>
      <c r="E80" s="187">
        <f>B80+C80+D80</f>
        <v>7386.3325800000002</v>
      </c>
      <c r="F80" s="187"/>
      <c r="G80" s="185" t="s">
        <v>388</v>
      </c>
      <c r="H80" s="187">
        <v>492.18804999999998</v>
      </c>
      <c r="I80" s="187"/>
      <c r="P80" s="187"/>
      <c r="U80" s="187"/>
    </row>
    <row r="81" spans="1:21">
      <c r="A81" s="169" t="s">
        <v>464</v>
      </c>
      <c r="B81" s="187"/>
      <c r="C81" s="187">
        <v>5466.1814299999996</v>
      </c>
      <c r="D81" s="187"/>
      <c r="E81" s="187">
        <f>B81+C81+D81</f>
        <v>5466.1814299999996</v>
      </c>
      <c r="F81" s="187"/>
      <c r="G81" s="185" t="s">
        <v>388</v>
      </c>
      <c r="H81" s="187"/>
      <c r="I81" s="187"/>
      <c r="P81" s="187"/>
      <c r="U81" s="187"/>
    </row>
    <row r="82" spans="1:21" ht="8" customHeight="1">
      <c r="B82" s="187"/>
      <c r="C82" s="187"/>
      <c r="D82" s="187"/>
      <c r="E82" s="187"/>
      <c r="F82" s="187"/>
      <c r="G82" s="187"/>
      <c r="H82" s="187"/>
      <c r="P82" s="187"/>
      <c r="U82" s="187"/>
    </row>
    <row r="83" spans="1:21">
      <c r="A83" s="183" t="s">
        <v>467</v>
      </c>
      <c r="B83" s="187">
        <f>SUM(B78:B82)</f>
        <v>8571.741</v>
      </c>
      <c r="C83" s="187">
        <f>SUM(C78:C82)</f>
        <v>5907.2891799999998</v>
      </c>
      <c r="D83" s="187">
        <f>SUM(D78:D82)</f>
        <v>0</v>
      </c>
      <c r="E83" s="187">
        <f>SUM(E78:E82)</f>
        <v>14479.030180000002</v>
      </c>
      <c r="F83" s="187"/>
      <c r="G83" s="187"/>
      <c r="H83" s="187">
        <f>SUM(H78:H82)</f>
        <v>718.47230999999999</v>
      </c>
      <c r="I83" s="187"/>
      <c r="P83" s="187"/>
      <c r="U83" s="187"/>
    </row>
    <row r="84" spans="1:21">
      <c r="A84" s="173"/>
      <c r="B84" s="196"/>
      <c r="C84" s="196"/>
      <c r="D84" s="196"/>
      <c r="E84" s="196"/>
      <c r="F84" s="193"/>
      <c r="G84" s="194"/>
      <c r="H84" s="193"/>
      <c r="P84" s="187"/>
      <c r="U84" s="187"/>
    </row>
    <row r="85" spans="1:21">
      <c r="A85" s="200" t="s">
        <v>468</v>
      </c>
      <c r="B85" s="195">
        <f>B75+B83</f>
        <v>23024.97723</v>
      </c>
      <c r="C85" s="195">
        <f>C75+C83</f>
        <v>18551.04132</v>
      </c>
      <c r="D85" s="195">
        <f>D75+D83</f>
        <v>0</v>
      </c>
      <c r="E85" s="195">
        <f>E75+E83</f>
        <v>41576.018550000008</v>
      </c>
      <c r="F85" s="193"/>
      <c r="G85" s="194"/>
      <c r="H85" s="195">
        <f>H75+H83</f>
        <v>2959.2021249444442</v>
      </c>
      <c r="P85" s="187"/>
      <c r="U85" s="187"/>
    </row>
    <row r="86" spans="1:21">
      <c r="A86" s="173"/>
      <c r="B86" s="196"/>
      <c r="C86" s="196"/>
      <c r="D86" s="196"/>
      <c r="E86" s="196"/>
      <c r="F86" s="193"/>
      <c r="G86" s="194"/>
      <c r="H86" s="193"/>
      <c r="P86" s="187"/>
      <c r="U86" s="187"/>
    </row>
    <row r="87" spans="1:21">
      <c r="A87" s="173" t="s">
        <v>410</v>
      </c>
      <c r="B87" s="196"/>
      <c r="C87" s="196"/>
      <c r="D87" s="196"/>
      <c r="E87" s="196"/>
      <c r="F87" s="193"/>
      <c r="G87" s="194"/>
      <c r="H87" s="193"/>
    </row>
    <row r="88" spans="1:21" ht="12.75" customHeight="1">
      <c r="A88" s="173" t="s">
        <v>411</v>
      </c>
      <c r="B88" s="196"/>
      <c r="C88" s="196"/>
      <c r="D88" s="196"/>
      <c r="E88" s="196"/>
      <c r="F88" s="193"/>
      <c r="G88" s="194"/>
      <c r="H88" s="193"/>
    </row>
    <row r="89" spans="1:21">
      <c r="A89" s="173"/>
    </row>
    <row r="91" spans="1:21">
      <c r="C91" s="187"/>
      <c r="H91" s="187"/>
    </row>
    <row r="92" spans="1:21">
      <c r="C92" s="187"/>
      <c r="D92" s="191"/>
      <c r="H92" s="187"/>
    </row>
    <row r="93" spans="1:21">
      <c r="D93" s="191"/>
    </row>
    <row r="94" spans="1:21">
      <c r="D94" s="191"/>
      <c r="E94" s="191"/>
      <c r="F94" s="191"/>
      <c r="G94" s="191"/>
      <c r="H94" s="191"/>
      <c r="I94" s="197"/>
    </row>
    <row r="97" spans="3:7">
      <c r="C97" s="187"/>
      <c r="D97" s="191"/>
    </row>
    <row r="98" spans="3:7">
      <c r="D98" s="191"/>
      <c r="E98" s="191"/>
      <c r="G98" s="197"/>
    </row>
  </sheetData>
  <mergeCells count="2">
    <mergeCell ref="B5:E5"/>
    <mergeCell ref="G6:G7"/>
  </mergeCells>
  <conditionalFormatting sqref="A49:A59">
    <cfRule type="expression" dxfId="11" priority="4" stopIfTrue="1">
      <formula>AND(MONTH(#REF!)-MONTH(#REF!)=1,YEAR(#REF!)=YEAR(#REF!),#REF!&gt;0)</formula>
    </cfRule>
    <cfRule type="expression" dxfId="10" priority="5" stopIfTrue="1">
      <formula>AND(MONTH(#REF!)-MONTH(#REF!)=0,YEAR(#REF!)=YEAR(#REF!),#REF!&gt;0)</formula>
    </cfRule>
    <cfRule type="expression" dxfId="9" priority="6" stopIfTrue="1">
      <formula>AND(MONTH(#REF!)-MONTH(#REF!)&lt;0,YEAR(#REF!)=YEAR(#REF!),#REF!&gt;0)</formula>
    </cfRule>
  </conditionalFormatting>
  <conditionalFormatting sqref="A61">
    <cfRule type="expression" dxfId="8" priority="19" stopIfTrue="1">
      <formula>AND(MONTH($E61)-MONTH($B$1)=1,YEAR($E61)=YEAR($B$1),$V61&gt;0)</formula>
    </cfRule>
    <cfRule type="expression" dxfId="7" priority="20" stopIfTrue="1">
      <formula>AND(MONTH($E61)-MONTH($B$1)=0,YEAR($E61)=YEAR($B$1),$V61&gt;0)</formula>
    </cfRule>
    <cfRule type="expression" dxfId="6" priority="21" stopIfTrue="1">
      <formula>AND(MONTH($E61)-MONTH($B$1)&lt;0,YEAR($E61)=YEAR($B$1),$V61&gt;0)</formula>
    </cfRule>
  </conditionalFormatting>
  <dataValidations count="1">
    <dataValidation allowBlank="1" showInputMessage="1" showErrorMessage="1" promptTitle="Change" prompt="Please Open the Regulatory Model before making any changes to this file. It is linked." sqref="H2" xr:uid="{7668803E-9E81-4C01-B1EB-EF006C6CEC66}"/>
  </dataValidation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9E4-4224-4688-8991-B5DDAEBF411B}">
  <sheetPr>
    <tabColor theme="9" tint="0.39997558519241921"/>
  </sheetPr>
  <dimension ref="A1:U98"/>
  <sheetViews>
    <sheetView view="pageBreakPreview" zoomScaleSheetLayoutView="100" workbookViewId="0">
      <pane ySplit="7" topLeftCell="A8" activePane="bottomLeft" state="frozen"/>
      <selection activeCell="C35" sqref="C35"/>
      <selection pane="bottomLeft" activeCell="A19" sqref="A19"/>
    </sheetView>
  </sheetViews>
  <sheetFormatPr defaultColWidth="9.08984375" defaultRowHeight="12.5"/>
  <cols>
    <col min="1" max="1" width="44.81640625" style="169" customWidth="1"/>
    <col min="2" max="2" width="13" style="169" bestFit="1" customWidth="1"/>
    <col min="3" max="3" width="12.54296875" style="169" customWidth="1"/>
    <col min="4" max="4" width="11.6328125" style="169" customWidth="1"/>
    <col min="5" max="5" width="12.453125" style="169" customWidth="1"/>
    <col min="6" max="6" width="4.54296875" style="169" customWidth="1"/>
    <col min="7" max="7" width="14.90625" style="169" customWidth="1"/>
    <col min="8" max="8" width="12.6328125" style="169" customWidth="1"/>
    <col min="13" max="13" width="13.6328125" style="169" customWidth="1"/>
    <col min="14" max="15" width="9.08984375" style="169"/>
    <col min="16" max="16" width="11.36328125" style="169" bestFit="1" customWidth="1"/>
    <col min="17" max="20" width="9.08984375" style="169"/>
    <col min="21" max="21" width="10.36328125" style="169" bestFit="1" customWidth="1"/>
    <col min="22" max="16384" width="9.08984375" style="169"/>
  </cols>
  <sheetData>
    <row r="1" spans="1:13">
      <c r="A1" s="167" t="s">
        <v>378</v>
      </c>
      <c r="B1" s="167"/>
      <c r="C1" s="168"/>
      <c r="D1" s="168"/>
      <c r="E1" s="168"/>
      <c r="F1" s="168"/>
      <c r="G1" s="168"/>
      <c r="H1" s="145" t="s">
        <v>473</v>
      </c>
    </row>
    <row r="2" spans="1:13" ht="15" customHeight="1">
      <c r="A2" s="167" t="s">
        <v>488</v>
      </c>
      <c r="B2" s="167"/>
      <c r="C2" s="168"/>
      <c r="D2" s="168"/>
      <c r="E2" s="168"/>
      <c r="F2" s="168"/>
      <c r="G2" s="168"/>
      <c r="H2" s="147" t="str">
        <f>Index!F2</f>
        <v>August 31, 2023</v>
      </c>
    </row>
    <row r="3" spans="1:13" ht="15.75" customHeight="1" thickBot="1">
      <c r="A3" s="170" t="s">
        <v>338</v>
      </c>
      <c r="B3" s="171"/>
      <c r="C3" s="172"/>
      <c r="D3" s="172"/>
      <c r="E3" s="172"/>
      <c r="F3" s="172"/>
      <c r="G3" s="172"/>
      <c r="H3" s="172"/>
    </row>
    <row r="4" spans="1:13" ht="4.5" customHeight="1" thickBot="1">
      <c r="A4" s="173"/>
      <c r="B4" s="171"/>
      <c r="C4" s="172"/>
      <c r="D4" s="172"/>
      <c r="E4" s="172"/>
      <c r="F4" s="168"/>
      <c r="G4" s="168"/>
      <c r="H4" s="172"/>
    </row>
    <row r="5" spans="1:13" ht="13" thickBot="1">
      <c r="A5" s="173"/>
      <c r="B5" s="203" t="s">
        <v>379</v>
      </c>
      <c r="C5" s="204"/>
      <c r="D5" s="204"/>
      <c r="E5" s="204"/>
      <c r="F5" s="174"/>
      <c r="G5" s="168"/>
      <c r="H5" s="199"/>
    </row>
    <row r="6" spans="1:13" ht="18" customHeight="1">
      <c r="A6" s="173"/>
      <c r="B6" s="175" t="s">
        <v>380</v>
      </c>
      <c r="C6" s="176" t="s">
        <v>474</v>
      </c>
      <c r="D6" s="177"/>
      <c r="E6" s="175" t="s">
        <v>380</v>
      </c>
      <c r="F6" s="178"/>
      <c r="G6" s="205" t="s">
        <v>381</v>
      </c>
      <c r="H6" s="176" t="str">
        <f>C6</f>
        <v>2024 Forecast</v>
      </c>
    </row>
    <row r="7" spans="1:13" ht="26.5" customHeight="1" thickBot="1">
      <c r="A7" s="173"/>
      <c r="B7" s="179">
        <v>2023</v>
      </c>
      <c r="C7" s="180" t="s">
        <v>382</v>
      </c>
      <c r="D7" s="181" t="s">
        <v>383</v>
      </c>
      <c r="E7" s="182">
        <f>B7+1</f>
        <v>2024</v>
      </c>
      <c r="F7" s="182"/>
      <c r="G7" s="206"/>
      <c r="H7" s="181" t="s">
        <v>384</v>
      </c>
    </row>
    <row r="8" spans="1:13">
      <c r="A8" s="183" t="s">
        <v>385</v>
      </c>
    </row>
    <row r="9" spans="1:13">
      <c r="A9" s="184" t="s">
        <v>386</v>
      </c>
      <c r="G9" s="185"/>
    </row>
    <row r="10" spans="1:13">
      <c r="A10" s="169" t="s">
        <v>391</v>
      </c>
      <c r="B10" s="186">
        <f>'Schedule 3B - 2023'!E10</f>
        <v>4521.2649199999996</v>
      </c>
      <c r="C10" s="186"/>
      <c r="D10" s="186"/>
      <c r="E10" s="186">
        <f t="shared" ref="E10:E46" si="0">B10+C10+D10</f>
        <v>4521.2649199999996</v>
      </c>
      <c r="G10" s="185" t="s">
        <v>388</v>
      </c>
      <c r="H10" s="186">
        <f>B10/10</f>
        <v>452.12649199999998</v>
      </c>
      <c r="M10" s="187"/>
    </row>
    <row r="11" spans="1:13">
      <c r="A11" s="169" t="s">
        <v>389</v>
      </c>
      <c r="B11" s="186">
        <f>'Schedule 3B - 2023'!E13</f>
        <v>68.263350000000003</v>
      </c>
      <c r="C11" s="186"/>
      <c r="D11" s="186"/>
      <c r="E11" s="186">
        <f t="shared" si="0"/>
        <v>68.263350000000003</v>
      </c>
      <c r="G11" s="185" t="s">
        <v>387</v>
      </c>
      <c r="H11" s="186">
        <v>10.211510000000008</v>
      </c>
      <c r="M11" s="187"/>
    </row>
    <row r="12" spans="1:13">
      <c r="A12" s="169" t="s">
        <v>436</v>
      </c>
      <c r="B12" s="186">
        <f>'Schedule 3B - 2023'!E14</f>
        <v>78.648449999999997</v>
      </c>
      <c r="C12" s="186"/>
      <c r="D12" s="186"/>
      <c r="E12" s="186">
        <f t="shared" si="0"/>
        <v>78.648449999999997</v>
      </c>
      <c r="G12" s="185" t="s">
        <v>387</v>
      </c>
      <c r="H12" s="186">
        <f>B12/5</f>
        <v>15.72969</v>
      </c>
      <c r="M12" s="187"/>
    </row>
    <row r="13" spans="1:13">
      <c r="A13" s="169" t="s">
        <v>395</v>
      </c>
      <c r="B13" s="186">
        <f>'Schedule 3B - 2023'!E15</f>
        <v>13.408709999999999</v>
      </c>
      <c r="C13" s="186"/>
      <c r="D13" s="186"/>
      <c r="E13" s="186">
        <f t="shared" si="0"/>
        <v>13.408709999999999</v>
      </c>
      <c r="G13" s="185" t="s">
        <v>387</v>
      </c>
      <c r="H13" s="186">
        <v>1.3408379999999998</v>
      </c>
      <c r="M13" s="187"/>
    </row>
    <row r="14" spans="1:13">
      <c r="A14" s="169" t="s">
        <v>437</v>
      </c>
      <c r="B14" s="186">
        <f>'Schedule 3B - 2023'!E16</f>
        <v>75.010990000000007</v>
      </c>
      <c r="C14" s="186"/>
      <c r="D14" s="186"/>
      <c r="E14" s="186">
        <f t="shared" si="0"/>
        <v>75.010990000000007</v>
      </c>
      <c r="G14" s="185" t="s">
        <v>387</v>
      </c>
      <c r="H14" s="186">
        <f>B14/5</f>
        <v>15.002198000000002</v>
      </c>
      <c r="M14" s="187"/>
    </row>
    <row r="15" spans="1:13">
      <c r="A15" s="169" t="s">
        <v>438</v>
      </c>
      <c r="B15" s="186">
        <f>'Schedule 3B - 2023'!E17</f>
        <v>14.51037</v>
      </c>
      <c r="C15" s="186"/>
      <c r="D15" s="186"/>
      <c r="E15" s="186">
        <f t="shared" si="0"/>
        <v>14.51037</v>
      </c>
      <c r="G15" s="185" t="s">
        <v>387</v>
      </c>
      <c r="H15" s="186">
        <v>1.4510260000000006</v>
      </c>
      <c r="M15" s="187"/>
    </row>
    <row r="16" spans="1:13">
      <c r="A16" s="169" t="s">
        <v>392</v>
      </c>
      <c r="B16" s="186">
        <f>'Schedule 3B - 2023'!E18</f>
        <v>667.05370999999991</v>
      </c>
      <c r="C16" s="186"/>
      <c r="D16" s="186"/>
      <c r="E16" s="186">
        <f t="shared" si="0"/>
        <v>667.05370999999991</v>
      </c>
      <c r="G16" s="185" t="s">
        <v>387</v>
      </c>
      <c r="H16" s="186">
        <f t="shared" ref="H16:H31" si="1">B16/5</f>
        <v>133.41074199999997</v>
      </c>
      <c r="M16" s="187"/>
    </row>
    <row r="17" spans="1:14">
      <c r="A17" s="169" t="s">
        <v>439</v>
      </c>
      <c r="B17" s="186">
        <f>'Schedule 3B - 2023'!E19</f>
        <v>5.8006800000000007</v>
      </c>
      <c r="C17" s="186"/>
      <c r="D17" s="186"/>
      <c r="E17" s="186">
        <f t="shared" si="0"/>
        <v>5.8006800000000007</v>
      </c>
      <c r="G17" s="185" t="s">
        <v>387</v>
      </c>
      <c r="H17" s="186">
        <f t="shared" si="1"/>
        <v>1.1601360000000001</v>
      </c>
      <c r="M17" s="187"/>
    </row>
    <row r="18" spans="1:14">
      <c r="A18" s="169" t="s">
        <v>428</v>
      </c>
      <c r="B18" s="186">
        <f>'Schedule 3B - 2023'!E20</f>
        <v>24.55237</v>
      </c>
      <c r="C18" s="187"/>
      <c r="D18" s="186"/>
      <c r="E18" s="186">
        <f t="shared" si="0"/>
        <v>24.55237</v>
      </c>
      <c r="G18" s="185" t="s">
        <v>387</v>
      </c>
      <c r="H18" s="186">
        <f t="shared" si="1"/>
        <v>4.9104739999999998</v>
      </c>
      <c r="M18" s="187"/>
    </row>
    <row r="19" spans="1:14">
      <c r="A19" s="169" t="s">
        <v>429</v>
      </c>
      <c r="B19" s="186">
        <f>'Schedule 3B - 2023'!E21</f>
        <v>87.526200000000003</v>
      </c>
      <c r="C19" s="187"/>
      <c r="D19" s="186"/>
      <c r="E19" s="186">
        <f t="shared" si="0"/>
        <v>87.526200000000003</v>
      </c>
      <c r="G19" s="185" t="s">
        <v>387</v>
      </c>
      <c r="H19" s="186">
        <f t="shared" si="1"/>
        <v>17.505240000000001</v>
      </c>
      <c r="M19" s="187"/>
    </row>
    <row r="20" spans="1:14">
      <c r="A20" s="169" t="s">
        <v>440</v>
      </c>
      <c r="B20" s="186">
        <f>'Schedule 3B - 2023'!E22</f>
        <v>744.28342000000009</v>
      </c>
      <c r="C20" s="186"/>
      <c r="D20" s="186"/>
      <c r="E20" s="186">
        <f t="shared" si="0"/>
        <v>744.28342000000009</v>
      </c>
      <c r="G20" s="185" t="s">
        <v>387</v>
      </c>
      <c r="H20" s="186">
        <f t="shared" si="1"/>
        <v>148.85668400000003</v>
      </c>
      <c r="M20" s="187"/>
    </row>
    <row r="21" spans="1:14">
      <c r="A21" s="169" t="s">
        <v>441</v>
      </c>
      <c r="B21" s="186">
        <f>'Schedule 3B - 2023'!E23</f>
        <v>16.46069</v>
      </c>
      <c r="C21" s="186"/>
      <c r="D21" s="186"/>
      <c r="E21" s="186">
        <f t="shared" si="0"/>
        <v>16.46069</v>
      </c>
      <c r="G21" s="185" t="s">
        <v>387</v>
      </c>
      <c r="H21" s="186">
        <f t="shared" si="1"/>
        <v>3.292138</v>
      </c>
      <c r="M21" s="187"/>
    </row>
    <row r="22" spans="1:14">
      <c r="A22" s="169" t="s">
        <v>430</v>
      </c>
      <c r="B22" s="186">
        <f>'Schedule 3B - 2023'!E24</f>
        <v>89.50752</v>
      </c>
      <c r="C22" s="186"/>
      <c r="D22" s="186"/>
      <c r="E22" s="186">
        <f t="shared" si="0"/>
        <v>89.50752</v>
      </c>
      <c r="G22" s="185" t="s">
        <v>387</v>
      </c>
      <c r="H22" s="186">
        <f t="shared" si="1"/>
        <v>17.901503999999999</v>
      </c>
      <c r="M22" s="187"/>
    </row>
    <row r="23" spans="1:14">
      <c r="A23" s="169" t="s">
        <v>442</v>
      </c>
      <c r="B23" s="186">
        <f>'Schedule 3B - 2023'!E25</f>
        <v>73.277100000000004</v>
      </c>
      <c r="C23" s="186"/>
      <c r="D23" s="186"/>
      <c r="E23" s="186">
        <f t="shared" si="0"/>
        <v>73.277100000000004</v>
      </c>
      <c r="G23" s="185" t="s">
        <v>387</v>
      </c>
      <c r="H23" s="186">
        <f t="shared" si="1"/>
        <v>14.655420000000001</v>
      </c>
    </row>
    <row r="24" spans="1:14">
      <c r="A24" s="169" t="s">
        <v>443</v>
      </c>
      <c r="B24" s="186">
        <f>'Schedule 3B - 2023'!E26</f>
        <v>52.514710000000001</v>
      </c>
      <c r="C24" s="186"/>
      <c r="D24" s="186"/>
      <c r="E24" s="186">
        <f t="shared" si="0"/>
        <v>52.514710000000001</v>
      </c>
      <c r="G24" s="185" t="s">
        <v>387</v>
      </c>
      <c r="H24" s="186">
        <f t="shared" si="1"/>
        <v>10.502942000000001</v>
      </c>
      <c r="N24" s="187"/>
    </row>
    <row r="25" spans="1:14">
      <c r="A25" s="169" t="s">
        <v>434</v>
      </c>
      <c r="B25" s="186">
        <f>'Schedule 3B - 2023'!E27</f>
        <v>59.194720000000004</v>
      </c>
      <c r="C25" s="186"/>
      <c r="D25" s="186"/>
      <c r="E25" s="186">
        <f t="shared" si="0"/>
        <v>59.194720000000004</v>
      </c>
      <c r="G25" s="185" t="s">
        <v>387</v>
      </c>
      <c r="H25" s="186">
        <f t="shared" si="1"/>
        <v>11.838944000000001</v>
      </c>
      <c r="N25" s="187"/>
    </row>
    <row r="26" spans="1:14">
      <c r="A26" s="169" t="s">
        <v>394</v>
      </c>
      <c r="B26" s="186">
        <f>'Schedule 3B - 2023'!E28</f>
        <v>77.782899999999998</v>
      </c>
      <c r="C26" s="186"/>
      <c r="D26" s="186"/>
      <c r="E26" s="186">
        <f t="shared" si="0"/>
        <v>77.782899999999998</v>
      </c>
      <c r="G26" s="185" t="s">
        <v>387</v>
      </c>
      <c r="H26" s="186">
        <f t="shared" si="1"/>
        <v>15.55658</v>
      </c>
      <c r="M26" s="187"/>
    </row>
    <row r="27" spans="1:14">
      <c r="A27" s="169" t="s">
        <v>444</v>
      </c>
      <c r="B27" s="186">
        <f>'Schedule 3B - 2023'!E29</f>
        <v>396.30655000000002</v>
      </c>
      <c r="C27" s="186"/>
      <c r="D27" s="186"/>
      <c r="E27" s="186">
        <f t="shared" si="0"/>
        <v>396.30655000000002</v>
      </c>
      <c r="G27" s="185" t="s">
        <v>387</v>
      </c>
      <c r="H27" s="186">
        <f t="shared" si="1"/>
        <v>79.261310000000009</v>
      </c>
    </row>
    <row r="28" spans="1:14">
      <c r="A28" s="169" t="s">
        <v>431</v>
      </c>
      <c r="B28" s="186">
        <f>'Schedule 3B - 2023'!E30</f>
        <v>115.23152999999999</v>
      </c>
      <c r="C28" s="186"/>
      <c r="D28" s="186"/>
      <c r="E28" s="186">
        <f t="shared" si="0"/>
        <v>115.23152999999999</v>
      </c>
      <c r="G28" s="185" t="s">
        <v>387</v>
      </c>
      <c r="H28" s="186">
        <f t="shared" si="1"/>
        <v>23.046305999999998</v>
      </c>
    </row>
    <row r="29" spans="1:14">
      <c r="A29" s="169" t="s">
        <v>390</v>
      </c>
      <c r="B29" s="186">
        <f>'Schedule 3B - 2023'!E31</f>
        <v>59.53539</v>
      </c>
      <c r="C29" s="186"/>
      <c r="D29" s="186"/>
      <c r="E29" s="186">
        <f t="shared" si="0"/>
        <v>59.53539</v>
      </c>
      <c r="G29" s="185" t="s">
        <v>387</v>
      </c>
      <c r="H29" s="186">
        <f t="shared" si="1"/>
        <v>11.907078</v>
      </c>
    </row>
    <row r="30" spans="1:14">
      <c r="A30" s="169" t="s">
        <v>432</v>
      </c>
      <c r="B30" s="186">
        <f>'Schedule 3B - 2023'!E32</f>
        <v>196.33029000000002</v>
      </c>
      <c r="C30" s="186"/>
      <c r="D30" s="186"/>
      <c r="E30" s="186">
        <f t="shared" si="0"/>
        <v>196.33029000000002</v>
      </c>
      <c r="G30" s="185" t="s">
        <v>387</v>
      </c>
      <c r="H30" s="186">
        <f t="shared" si="1"/>
        <v>39.266058000000001</v>
      </c>
    </row>
    <row r="31" spans="1:14">
      <c r="A31" s="169" t="s">
        <v>433</v>
      </c>
      <c r="B31" s="186">
        <f>'Schedule 3B - 2023'!E33</f>
        <v>46.831489999999995</v>
      </c>
      <c r="C31" s="186"/>
      <c r="D31" s="186"/>
      <c r="E31" s="186">
        <f t="shared" si="0"/>
        <v>46.831489999999995</v>
      </c>
      <c r="G31" s="185" t="s">
        <v>387</v>
      </c>
      <c r="H31" s="186">
        <f t="shared" si="1"/>
        <v>9.3662979999999987</v>
      </c>
    </row>
    <row r="32" spans="1:14">
      <c r="A32" s="169" t="s">
        <v>453</v>
      </c>
      <c r="B32" s="186">
        <f>'Schedule 3B - 2023'!E35</f>
        <v>8784.170970000001</v>
      </c>
      <c r="C32" s="186"/>
      <c r="D32" s="186"/>
      <c r="E32" s="186">
        <f t="shared" si="0"/>
        <v>8784.170970000001</v>
      </c>
      <c r="G32" s="185" t="s">
        <v>388</v>
      </c>
      <c r="H32" s="186">
        <f>B32/10</f>
        <v>878.41709700000013</v>
      </c>
    </row>
    <row r="33" spans="1:13">
      <c r="A33" s="169" t="s">
        <v>454</v>
      </c>
      <c r="B33" s="186">
        <f>'Schedule 3B - 2023'!E36</f>
        <v>225</v>
      </c>
      <c r="C33" s="186"/>
      <c r="D33" s="186"/>
      <c r="E33" s="186">
        <f t="shared" si="0"/>
        <v>225</v>
      </c>
      <c r="G33" s="185" t="s">
        <v>387</v>
      </c>
      <c r="H33" s="186">
        <f t="shared" ref="H33:H39" si="2">B33/5</f>
        <v>45</v>
      </c>
    </row>
    <row r="34" spans="1:13">
      <c r="A34" s="169" t="s">
        <v>455</v>
      </c>
      <c r="B34" s="186">
        <f>'Schedule 3B - 2023'!E37</f>
        <v>200</v>
      </c>
      <c r="C34" s="186"/>
      <c r="D34" s="186"/>
      <c r="E34" s="186">
        <f t="shared" si="0"/>
        <v>200</v>
      </c>
      <c r="G34" s="185" t="s">
        <v>387</v>
      </c>
      <c r="H34" s="186">
        <f t="shared" si="2"/>
        <v>40</v>
      </c>
    </row>
    <row r="35" spans="1:13">
      <c r="A35" s="169" t="s">
        <v>456</v>
      </c>
      <c r="B35" s="186">
        <f>'Schedule 3B - 2023'!E38</f>
        <v>197.67159000000001</v>
      </c>
      <c r="C35" s="186"/>
      <c r="D35" s="186"/>
      <c r="E35" s="186">
        <f t="shared" si="0"/>
        <v>197.67159000000001</v>
      </c>
      <c r="G35" s="185" t="s">
        <v>387</v>
      </c>
      <c r="H35" s="186">
        <f t="shared" si="2"/>
        <v>39.534317999999999</v>
      </c>
    </row>
    <row r="36" spans="1:13">
      <c r="A36" s="169" t="s">
        <v>457</v>
      </c>
      <c r="B36" s="186">
        <f>'Schedule 3B - 2023'!E39</f>
        <v>168.41776000000002</v>
      </c>
      <c r="C36" s="186"/>
      <c r="D36" s="186"/>
      <c r="E36" s="186">
        <f t="shared" si="0"/>
        <v>168.41776000000002</v>
      </c>
      <c r="G36" s="185" t="s">
        <v>387</v>
      </c>
      <c r="H36" s="186">
        <f t="shared" si="2"/>
        <v>33.683552000000006</v>
      </c>
    </row>
    <row r="37" spans="1:13">
      <c r="A37" s="169" t="s">
        <v>458</v>
      </c>
      <c r="B37" s="186">
        <f>'Schedule 3B - 2023'!E40</f>
        <v>120</v>
      </c>
      <c r="C37" s="186"/>
      <c r="D37" s="186"/>
      <c r="E37" s="186">
        <f t="shared" si="0"/>
        <v>120</v>
      </c>
      <c r="G37" s="185" t="s">
        <v>387</v>
      </c>
      <c r="H37" s="186">
        <f t="shared" si="2"/>
        <v>24</v>
      </c>
    </row>
    <row r="38" spans="1:13">
      <c r="A38" s="169" t="s">
        <v>459</v>
      </c>
      <c r="B38" s="186">
        <f>'Schedule 3B - 2023'!E41</f>
        <v>100</v>
      </c>
      <c r="C38" s="186"/>
      <c r="D38" s="186"/>
      <c r="E38" s="186">
        <f t="shared" si="0"/>
        <v>100</v>
      </c>
      <c r="G38" s="185" t="s">
        <v>387</v>
      </c>
      <c r="H38" s="186">
        <f t="shared" si="2"/>
        <v>20</v>
      </c>
    </row>
    <row r="39" spans="1:13">
      <c r="A39" s="169" t="s">
        <v>460</v>
      </c>
      <c r="B39" s="186">
        <f>'Schedule 3B - 2023'!E42</f>
        <v>225</v>
      </c>
      <c r="C39" s="186"/>
      <c r="D39" s="186"/>
      <c r="E39" s="186">
        <f t="shared" si="0"/>
        <v>225</v>
      </c>
      <c r="G39" s="185" t="s">
        <v>387</v>
      </c>
      <c r="H39" s="186">
        <f t="shared" si="2"/>
        <v>45</v>
      </c>
    </row>
    <row r="40" spans="1:13">
      <c r="A40" s="169" t="s">
        <v>475</v>
      </c>
      <c r="B40" s="186"/>
      <c r="C40" s="186">
        <v>140</v>
      </c>
      <c r="D40" s="186"/>
      <c r="E40" s="186">
        <f t="shared" si="0"/>
        <v>140</v>
      </c>
      <c r="G40" s="185" t="s">
        <v>387</v>
      </c>
      <c r="H40" s="186"/>
    </row>
    <row r="41" spans="1:13">
      <c r="A41" s="169" t="s">
        <v>476</v>
      </c>
      <c r="B41" s="186"/>
      <c r="C41" s="186">
        <v>250</v>
      </c>
      <c r="D41" s="186"/>
      <c r="E41" s="186">
        <f t="shared" si="0"/>
        <v>250</v>
      </c>
      <c r="G41" s="185" t="s">
        <v>387</v>
      </c>
      <c r="H41" s="186"/>
    </row>
    <row r="42" spans="1:13">
      <c r="A42" s="169" t="s">
        <v>477</v>
      </c>
      <c r="B42" s="186"/>
      <c r="C42" s="186">
        <v>200</v>
      </c>
      <c r="D42" s="186"/>
      <c r="E42" s="186">
        <f t="shared" si="0"/>
        <v>200</v>
      </c>
      <c r="G42" s="185" t="s">
        <v>387</v>
      </c>
      <c r="H42" s="186">
        <f>C42/5</f>
        <v>40</v>
      </c>
    </row>
    <row r="43" spans="1:13">
      <c r="A43" s="169" t="s">
        <v>478</v>
      </c>
      <c r="B43" s="186"/>
      <c r="C43" s="186">
        <v>125</v>
      </c>
      <c r="D43" s="186"/>
      <c r="E43" s="186">
        <f t="shared" si="0"/>
        <v>125</v>
      </c>
      <c r="G43" s="185" t="s">
        <v>387</v>
      </c>
      <c r="H43" s="186"/>
    </row>
    <row r="44" spans="1:13">
      <c r="A44" s="169" t="s">
        <v>479</v>
      </c>
      <c r="B44" s="186"/>
      <c r="C44" s="186">
        <v>100</v>
      </c>
      <c r="D44" s="186"/>
      <c r="E44" s="186">
        <f t="shared" si="0"/>
        <v>100</v>
      </c>
      <c r="G44" s="185" t="s">
        <v>387</v>
      </c>
      <c r="H44" s="186"/>
    </row>
    <row r="45" spans="1:13">
      <c r="A45" s="169" t="s">
        <v>480</v>
      </c>
      <c r="B45" s="186"/>
      <c r="C45" s="186">
        <v>100</v>
      </c>
      <c r="D45" s="186"/>
      <c r="E45" s="186">
        <f t="shared" si="0"/>
        <v>100</v>
      </c>
      <c r="G45" s="185" t="s">
        <v>387</v>
      </c>
      <c r="H45" s="186"/>
    </row>
    <row r="46" spans="1:13">
      <c r="A46" s="169" t="s">
        <v>461</v>
      </c>
      <c r="B46" s="186">
        <f>'Schedule 3B - 2023'!E43</f>
        <v>319.03999999999996</v>
      </c>
      <c r="C46" s="186">
        <v>-10</v>
      </c>
      <c r="D46" s="186"/>
      <c r="E46" s="186">
        <f t="shared" si="0"/>
        <v>309.03999999999996</v>
      </c>
      <c r="G46" s="185" t="s">
        <v>387</v>
      </c>
      <c r="H46" s="186">
        <f>B46/5</f>
        <v>63.807999999999993</v>
      </c>
    </row>
    <row r="47" spans="1:13" ht="7" customHeight="1">
      <c r="B47" s="186"/>
      <c r="C47" s="186"/>
      <c r="D47" s="186"/>
      <c r="E47" s="186"/>
      <c r="G47" s="185"/>
      <c r="H47" s="186"/>
      <c r="M47" s="187"/>
    </row>
    <row r="48" spans="1:13">
      <c r="A48" s="183" t="s">
        <v>396</v>
      </c>
      <c r="B48" s="187">
        <f>SUM(B10:B47)</f>
        <v>17822.596380000003</v>
      </c>
      <c r="C48" s="187">
        <f>SUM(C10:C47)</f>
        <v>905</v>
      </c>
      <c r="D48" s="187">
        <f>SUM(D10:D47)</f>
        <v>0</v>
      </c>
      <c r="E48" s="187">
        <f>SUM(E10:E47)</f>
        <v>18727.596380000003</v>
      </c>
      <c r="G48" s="185"/>
      <c r="H48" s="187">
        <f>SUM(H10:H47)</f>
        <v>2267.7425750000002</v>
      </c>
      <c r="M48" s="187"/>
    </row>
    <row r="49" spans="1:13">
      <c r="G49" s="185"/>
    </row>
    <row r="50" spans="1:13">
      <c r="A50" s="183" t="s">
        <v>397</v>
      </c>
      <c r="B50" s="187"/>
      <c r="C50" s="187"/>
      <c r="D50" s="187"/>
      <c r="E50" s="187"/>
      <c r="H50" s="187"/>
    </row>
    <row r="51" spans="1:13">
      <c r="A51" s="189" t="s">
        <v>386</v>
      </c>
      <c r="E51" s="187"/>
    </row>
    <row r="52" spans="1:13">
      <c r="A52" s="190" t="s">
        <v>317</v>
      </c>
      <c r="B52" s="186">
        <f>'Schedule 3B - 2023'!E49</f>
        <v>4649.30674</v>
      </c>
      <c r="C52" s="187">
        <v>1160</v>
      </c>
      <c r="D52" s="187"/>
      <c r="E52" s="187">
        <f t="shared" ref="E52:E58" si="3">B52+C52+D52</f>
        <v>5809.30674</v>
      </c>
      <c r="F52" s="187"/>
      <c r="G52" s="185" t="s">
        <v>388</v>
      </c>
      <c r="H52" s="186">
        <f>B52/10</f>
        <v>464.93067400000001</v>
      </c>
    </row>
    <row r="53" spans="1:13">
      <c r="A53" s="190" t="s">
        <v>399</v>
      </c>
      <c r="B53" s="186">
        <f>'Schedule 3B - 2023'!E50</f>
        <v>185.01089000000002</v>
      </c>
      <c r="C53" s="187"/>
      <c r="D53" s="187"/>
      <c r="E53" s="187">
        <f t="shared" si="3"/>
        <v>185.01089000000002</v>
      </c>
      <c r="F53" s="187"/>
      <c r="G53" s="185" t="s">
        <v>400</v>
      </c>
      <c r="H53" s="186">
        <f>B53/45</f>
        <v>4.1113531111111117</v>
      </c>
    </row>
    <row r="54" spans="1:13">
      <c r="A54" s="190" t="s">
        <v>398</v>
      </c>
      <c r="B54" s="186">
        <f>'Schedule 3B - 2023'!E54</f>
        <v>633.98004000000003</v>
      </c>
      <c r="C54" s="187"/>
      <c r="D54" s="187"/>
      <c r="E54" s="187">
        <f t="shared" si="3"/>
        <v>633.98004000000003</v>
      </c>
      <c r="F54" s="187"/>
      <c r="G54" s="185" t="s">
        <v>387</v>
      </c>
      <c r="H54" s="186">
        <f>B54/5</f>
        <v>126.796008</v>
      </c>
    </row>
    <row r="55" spans="1:13">
      <c r="A55" s="190" t="s">
        <v>449</v>
      </c>
      <c r="B55" s="186">
        <f>'Schedule 3B - 2023'!E55</f>
        <v>-2101.7225399999998</v>
      </c>
      <c r="C55" s="187"/>
      <c r="D55" s="187"/>
      <c r="E55" s="187">
        <f t="shared" si="3"/>
        <v>-2101.7225399999998</v>
      </c>
      <c r="F55" s="187"/>
      <c r="G55" s="185" t="s">
        <v>388</v>
      </c>
      <c r="H55" s="186">
        <f>B55/10</f>
        <v>-210.17225399999998</v>
      </c>
    </row>
    <row r="56" spans="1:13">
      <c r="A56" s="190" t="s">
        <v>463</v>
      </c>
      <c r="B56" s="186">
        <f>'Schedule 3B - 2023'!E57</f>
        <v>385.63777000000005</v>
      </c>
      <c r="C56" s="187"/>
      <c r="D56" s="187"/>
      <c r="E56" s="187">
        <f t="shared" si="3"/>
        <v>385.63777000000005</v>
      </c>
      <c r="F56" s="187"/>
      <c r="G56" s="185" t="s">
        <v>93</v>
      </c>
      <c r="H56" s="186"/>
    </row>
    <row r="57" spans="1:13">
      <c r="A57" s="190" t="s">
        <v>462</v>
      </c>
      <c r="B57" s="186">
        <f>'Schedule 3B - 2023'!E58</f>
        <v>23.148499999999999</v>
      </c>
      <c r="C57" s="187"/>
      <c r="D57" s="187"/>
      <c r="E57" s="187">
        <f t="shared" si="3"/>
        <v>23.148499999999999</v>
      </c>
      <c r="F57" s="187"/>
      <c r="G57" s="185" t="s">
        <v>93</v>
      </c>
      <c r="H57" s="186"/>
    </row>
    <row r="58" spans="1:13">
      <c r="A58" s="190" t="s">
        <v>481</v>
      </c>
      <c r="B58" s="186"/>
      <c r="C58" s="187">
        <v>250</v>
      </c>
      <c r="D58" s="187"/>
      <c r="E58" s="187">
        <f t="shared" si="3"/>
        <v>250</v>
      </c>
      <c r="F58" s="187"/>
      <c r="G58" s="185" t="s">
        <v>93</v>
      </c>
      <c r="H58" s="186"/>
    </row>
    <row r="59" spans="1:13" ht="6" customHeight="1">
      <c r="A59" s="190"/>
      <c r="B59" s="187"/>
      <c r="C59" s="187"/>
      <c r="D59" s="187"/>
      <c r="E59" s="187"/>
      <c r="F59" s="187"/>
      <c r="G59" s="185"/>
      <c r="H59" s="186"/>
    </row>
    <row r="60" spans="1:13">
      <c r="A60" s="183" t="s">
        <v>401</v>
      </c>
      <c r="B60" s="187">
        <f>SUM(B51:B59)</f>
        <v>3775.3614000000002</v>
      </c>
      <c r="C60" s="187">
        <f>SUM(C51:C59)</f>
        <v>1410</v>
      </c>
      <c r="D60" s="187">
        <f>SUM(D51:D59)</f>
        <v>0</v>
      </c>
      <c r="E60" s="187">
        <f>SUM(E51:E59)</f>
        <v>5185.3614000000007</v>
      </c>
      <c r="F60" s="187"/>
      <c r="G60" s="187"/>
      <c r="H60" s="187">
        <f>SUM(H51:H59)</f>
        <v>385.66578111111119</v>
      </c>
      <c r="M60" s="187"/>
    </row>
    <row r="61" spans="1:13">
      <c r="A61" s="190"/>
      <c r="B61" s="187"/>
      <c r="C61" s="187"/>
      <c r="D61" s="187"/>
      <c r="E61" s="187"/>
      <c r="F61" s="187"/>
      <c r="G61" s="185"/>
      <c r="H61" s="187"/>
    </row>
    <row r="62" spans="1:13">
      <c r="A62" s="183" t="s">
        <v>90</v>
      </c>
      <c r="B62" s="187"/>
      <c r="C62" s="187"/>
      <c r="D62" s="187"/>
      <c r="E62" s="187"/>
      <c r="F62" s="187"/>
      <c r="G62" s="187"/>
      <c r="H62" s="187"/>
    </row>
    <row r="63" spans="1:13">
      <c r="A63" s="189" t="s">
        <v>386</v>
      </c>
      <c r="B63" s="187"/>
      <c r="C63" s="187"/>
      <c r="D63" s="187"/>
      <c r="E63" s="187"/>
      <c r="F63" s="187"/>
      <c r="G63" s="187"/>
      <c r="H63" s="187"/>
    </row>
    <row r="64" spans="1:13">
      <c r="A64" s="169" t="s">
        <v>451</v>
      </c>
      <c r="B64" s="186">
        <f>'Schedule 3B - 2023'!E65</f>
        <v>4478.7866700000004</v>
      </c>
      <c r="C64" s="187"/>
      <c r="D64" s="187"/>
      <c r="E64" s="187">
        <f>B64+C64+D64</f>
        <v>4478.7866700000004</v>
      </c>
      <c r="F64" s="187"/>
      <c r="G64" s="185" t="s">
        <v>452</v>
      </c>
      <c r="H64" s="187">
        <f>B64/5</f>
        <v>895.75733400000013</v>
      </c>
    </row>
    <row r="65" spans="1:21">
      <c r="A65" s="169" t="s">
        <v>403</v>
      </c>
      <c r="B65" s="186">
        <f>'Schedule 3B - 2023'!E66</f>
        <v>39.986849999999997</v>
      </c>
      <c r="C65" s="187"/>
      <c r="D65" s="187"/>
      <c r="E65" s="187">
        <f>B65+C65+D65</f>
        <v>39.986849999999997</v>
      </c>
      <c r="F65" s="187"/>
      <c r="G65" s="185" t="s">
        <v>452</v>
      </c>
      <c r="H65" s="187">
        <f>B65/25</f>
        <v>1.5994739999999998</v>
      </c>
    </row>
    <row r="66" spans="1:21">
      <c r="A66" s="169" t="s">
        <v>404</v>
      </c>
      <c r="B66" s="186">
        <f>'Schedule 3B - 2023'!E67</f>
        <v>285.86732000000001</v>
      </c>
      <c r="C66" s="187"/>
      <c r="D66" s="187"/>
      <c r="E66" s="187">
        <f>B66+C66+D66</f>
        <v>285.86732000000001</v>
      </c>
      <c r="F66" s="187"/>
      <c r="G66" s="185" t="s">
        <v>452</v>
      </c>
      <c r="H66" s="187">
        <f>20603.54/1000-1</f>
        <v>19.603540000000002</v>
      </c>
    </row>
    <row r="67" spans="1:21">
      <c r="A67" s="169" t="s">
        <v>405</v>
      </c>
      <c r="B67" s="186">
        <f>'Schedule 3B - 2023'!E68</f>
        <v>128.80160000000001</v>
      </c>
      <c r="D67" s="187"/>
      <c r="E67" s="187">
        <f>B67+C67+D67</f>
        <v>128.80160000000001</v>
      </c>
      <c r="F67" s="187"/>
      <c r="G67" s="185" t="s">
        <v>452</v>
      </c>
      <c r="H67" s="187">
        <f>10938.3658333333/1000</f>
        <v>10.9383658333333</v>
      </c>
    </row>
    <row r="68" spans="1:21">
      <c r="A68" s="169" t="s">
        <v>482</v>
      </c>
      <c r="B68" s="186"/>
      <c r="C68" s="169">
        <v>413</v>
      </c>
      <c r="D68" s="187"/>
      <c r="E68" s="187">
        <f>B68+C68+D68</f>
        <v>413</v>
      </c>
      <c r="F68" s="187"/>
      <c r="G68" s="185" t="s">
        <v>452</v>
      </c>
      <c r="H68" s="187"/>
    </row>
    <row r="69" spans="1:21" ht="7" customHeight="1">
      <c r="B69" s="187"/>
      <c r="C69" s="187"/>
      <c r="D69" s="187"/>
      <c r="E69" s="187"/>
      <c r="F69" s="187"/>
      <c r="G69" s="187"/>
      <c r="H69" s="187"/>
      <c r="O69" s="187"/>
    </row>
    <row r="70" spans="1:21">
      <c r="A70" s="183" t="s">
        <v>406</v>
      </c>
      <c r="B70" s="187">
        <f>SUM(B63:B69)</f>
        <v>4933.4424400000007</v>
      </c>
      <c r="C70" s="187">
        <f>SUM(C63:C69)</f>
        <v>413</v>
      </c>
      <c r="D70" s="187">
        <f>SUM(D63:D69)</f>
        <v>0</v>
      </c>
      <c r="E70" s="187">
        <f>SUM(E63:E69)</f>
        <v>5346.4424400000007</v>
      </c>
      <c r="F70" s="187"/>
      <c r="G70" s="187"/>
      <c r="H70" s="187">
        <f>SUM(H63:H69)</f>
        <v>927.89871383333332</v>
      </c>
      <c r="M70" s="187"/>
      <c r="P70" s="187"/>
    </row>
    <row r="71" spans="1:21">
      <c r="B71" s="187"/>
      <c r="C71" s="187"/>
      <c r="D71" s="187"/>
      <c r="E71" s="187"/>
      <c r="F71" s="187"/>
      <c r="G71" s="187"/>
      <c r="H71" s="187"/>
      <c r="P71" s="187"/>
    </row>
    <row r="72" spans="1:21">
      <c r="A72" s="183" t="s">
        <v>407</v>
      </c>
      <c r="B72" s="187"/>
      <c r="C72" s="187"/>
      <c r="D72" s="187"/>
      <c r="E72" s="187"/>
      <c r="F72" s="187"/>
      <c r="G72" s="187"/>
      <c r="H72" s="187"/>
      <c r="P72" s="187"/>
    </row>
    <row r="73" spans="1:21">
      <c r="A73" s="184" t="s">
        <v>408</v>
      </c>
      <c r="B73" s="186">
        <f>'Schedule 3B - 2023'!E73</f>
        <v>254.48933</v>
      </c>
      <c r="C73" s="187"/>
      <c r="D73" s="187"/>
      <c r="E73" s="187">
        <f>SUM(B73:D73)</f>
        <v>254.48933</v>
      </c>
      <c r="F73" s="187"/>
      <c r="G73" s="185" t="s">
        <v>387</v>
      </c>
      <c r="H73" s="191">
        <f>B73/5</f>
        <v>50.897866</v>
      </c>
      <c r="P73" s="187"/>
    </row>
    <row r="74" spans="1:21">
      <c r="A74" s="192"/>
      <c r="B74" s="188"/>
      <c r="C74" s="188"/>
      <c r="D74" s="188"/>
      <c r="E74" s="188"/>
      <c r="F74" s="193"/>
      <c r="G74" s="194"/>
      <c r="H74" s="188"/>
    </row>
    <row r="75" spans="1:21">
      <c r="A75" s="200" t="s">
        <v>409</v>
      </c>
      <c r="B75" s="195">
        <f>SUM(B48,B60,B70,B73)</f>
        <v>26785.889550000004</v>
      </c>
      <c r="C75" s="195">
        <f>SUM(C48,C60,C70,C73)</f>
        <v>2728</v>
      </c>
      <c r="D75" s="195">
        <f>SUM(D48,D60,D70,D73)</f>
        <v>0</v>
      </c>
      <c r="E75" s="195">
        <f>SUM(E48,E60,E70,E73)</f>
        <v>29513.889550000004</v>
      </c>
      <c r="F75" s="193"/>
      <c r="G75" s="194"/>
      <c r="H75" s="195">
        <f>SUM(H48,H60,H70,H73)</f>
        <v>3632.2049359444445</v>
      </c>
      <c r="P75" s="187"/>
      <c r="U75" s="187"/>
    </row>
    <row r="76" spans="1:21">
      <c r="A76" s="173"/>
      <c r="B76" s="196"/>
      <c r="C76" s="196"/>
      <c r="D76" s="196"/>
      <c r="E76" s="196"/>
      <c r="F76" s="193"/>
      <c r="G76" s="194"/>
      <c r="H76" s="193"/>
      <c r="P76" s="187"/>
      <c r="U76" s="187"/>
    </row>
    <row r="77" spans="1:21">
      <c r="A77" s="183" t="s">
        <v>92</v>
      </c>
      <c r="B77" s="187"/>
      <c r="C77" s="187"/>
      <c r="D77" s="187"/>
      <c r="E77" s="187"/>
      <c r="F77" s="187"/>
      <c r="G77" s="187"/>
      <c r="H77" s="187"/>
      <c r="P77" s="187"/>
      <c r="U77" s="187"/>
    </row>
    <row r="78" spans="1:21">
      <c r="A78" s="189" t="s">
        <v>386</v>
      </c>
      <c r="B78" s="187"/>
      <c r="C78" s="187"/>
      <c r="D78" s="187"/>
      <c r="E78" s="187"/>
      <c r="F78" s="187"/>
      <c r="G78" s="187"/>
      <c r="H78" s="187"/>
      <c r="P78" s="187"/>
      <c r="U78" s="187"/>
    </row>
    <row r="79" spans="1:21">
      <c r="A79" s="169" t="s">
        <v>465</v>
      </c>
      <c r="B79" s="186">
        <f>'Schedule 3B - 2023'!E79</f>
        <v>1626.5161699999999</v>
      </c>
      <c r="C79" s="201">
        <v>380</v>
      </c>
      <c r="D79" s="187"/>
      <c r="E79" s="187">
        <f>B79+C79+D79</f>
        <v>2006.5161699999999</v>
      </c>
      <c r="F79" s="187"/>
      <c r="G79" s="185" t="s">
        <v>387</v>
      </c>
      <c r="H79" s="187">
        <v>279.07940000000002</v>
      </c>
      <c r="P79" s="187"/>
      <c r="U79" s="187"/>
    </row>
    <row r="80" spans="1:21">
      <c r="A80" s="169" t="s">
        <v>466</v>
      </c>
      <c r="B80" s="186">
        <f>'Schedule 3B - 2023'!E80</f>
        <v>7386.3325800000002</v>
      </c>
      <c r="C80" s="187"/>
      <c r="D80" s="187"/>
      <c r="E80" s="187">
        <f>B80+C80+D80</f>
        <v>7386.3325800000002</v>
      </c>
      <c r="F80" s="187"/>
      <c r="G80" s="185" t="s">
        <v>388</v>
      </c>
      <c r="H80" s="187">
        <f>1001.60347-H81</f>
        <v>454.9853270000001</v>
      </c>
      <c r="P80" s="187"/>
      <c r="U80" s="187"/>
    </row>
    <row r="81" spans="1:21">
      <c r="A81" s="169" t="s">
        <v>464</v>
      </c>
      <c r="B81" s="186">
        <f>'Schedule 3B - 2023'!E81</f>
        <v>5466.1814299999996</v>
      </c>
      <c r="C81" s="187"/>
      <c r="D81" s="187"/>
      <c r="E81" s="187">
        <f>B81+C81+D81</f>
        <v>5466.1814299999996</v>
      </c>
      <c r="F81" s="187"/>
      <c r="G81" s="185" t="s">
        <v>388</v>
      </c>
      <c r="H81" s="187">
        <f>B81/10</f>
        <v>546.61814299999992</v>
      </c>
      <c r="P81" s="187"/>
      <c r="U81" s="187"/>
    </row>
    <row r="82" spans="1:21" ht="8.5" customHeight="1">
      <c r="B82" s="187"/>
      <c r="C82" s="187"/>
      <c r="D82" s="187"/>
      <c r="E82" s="187"/>
      <c r="F82" s="187"/>
      <c r="G82" s="187"/>
      <c r="H82" s="187"/>
      <c r="P82" s="187"/>
      <c r="U82" s="187"/>
    </row>
    <row r="83" spans="1:21">
      <c r="A83" s="183" t="s">
        <v>467</v>
      </c>
      <c r="B83" s="187">
        <f>SUM(B78:B82)</f>
        <v>14479.030180000002</v>
      </c>
      <c r="C83" s="187">
        <f>SUM(C78:C82)</f>
        <v>380</v>
      </c>
      <c r="D83" s="187">
        <f>SUM(D78:D82)</f>
        <v>0</v>
      </c>
      <c r="E83" s="187">
        <f>SUM(E78:E82)</f>
        <v>14859.030180000002</v>
      </c>
      <c r="F83" s="187"/>
      <c r="G83" s="187"/>
      <c r="H83" s="187">
        <f>SUM(H78:H82)</f>
        <v>1280.6828700000001</v>
      </c>
      <c r="P83" s="187"/>
      <c r="U83" s="187"/>
    </row>
    <row r="84" spans="1:21">
      <c r="A84" s="173"/>
      <c r="B84" s="196"/>
      <c r="C84" s="196"/>
      <c r="D84" s="196"/>
      <c r="E84" s="196"/>
      <c r="F84" s="193"/>
      <c r="G84" s="194"/>
      <c r="H84" s="193"/>
      <c r="P84" s="187"/>
      <c r="U84" s="187"/>
    </row>
    <row r="85" spans="1:21">
      <c r="A85" s="200" t="s">
        <v>468</v>
      </c>
      <c r="B85" s="195">
        <f>B75+B83</f>
        <v>41264.919730000009</v>
      </c>
      <c r="C85" s="195">
        <f>C75+C83</f>
        <v>3108</v>
      </c>
      <c r="D85" s="195">
        <f>D75+D83</f>
        <v>0</v>
      </c>
      <c r="E85" s="195">
        <f>E75+E83</f>
        <v>44372.919730000009</v>
      </c>
      <c r="F85" s="193"/>
      <c r="G85" s="194"/>
      <c r="H85" s="195">
        <f>H75+H83</f>
        <v>4912.8878059444451</v>
      </c>
      <c r="P85" s="187"/>
      <c r="U85" s="187"/>
    </row>
    <row r="86" spans="1:21">
      <c r="A86" s="173"/>
      <c r="B86" s="196"/>
      <c r="C86" s="196"/>
      <c r="D86" s="196"/>
      <c r="E86" s="196"/>
      <c r="F86" s="193"/>
      <c r="G86" s="194"/>
      <c r="H86" s="193"/>
      <c r="P86" s="187"/>
      <c r="U86" s="187"/>
    </row>
    <row r="87" spans="1:21">
      <c r="A87" s="173" t="s">
        <v>410</v>
      </c>
      <c r="B87" s="196"/>
      <c r="C87" s="196"/>
      <c r="D87" s="196"/>
      <c r="E87" s="196"/>
      <c r="F87" s="193"/>
      <c r="G87" s="194"/>
      <c r="H87" s="193"/>
    </row>
    <row r="88" spans="1:21" ht="12.75" customHeight="1">
      <c r="A88" s="173" t="s">
        <v>411</v>
      </c>
      <c r="B88" s="196"/>
      <c r="C88" s="196"/>
      <c r="D88" s="196"/>
      <c r="E88" s="196"/>
      <c r="F88" s="193"/>
      <c r="G88" s="194"/>
      <c r="H88" s="193"/>
    </row>
    <row r="89" spans="1:21">
      <c r="A89" s="173"/>
    </row>
    <row r="91" spans="1:21">
      <c r="C91" s="187"/>
      <c r="H91" s="187"/>
    </row>
    <row r="92" spans="1:21">
      <c r="C92" s="187"/>
      <c r="D92" s="191"/>
      <c r="H92" s="187"/>
    </row>
    <row r="93" spans="1:21">
      <c r="D93" s="191"/>
    </row>
    <row r="94" spans="1:21">
      <c r="D94" s="191"/>
      <c r="E94" s="191"/>
      <c r="F94" s="191"/>
      <c r="G94" s="191"/>
      <c r="H94" s="191"/>
    </row>
    <row r="97" spans="3:7">
      <c r="C97" s="187"/>
      <c r="D97" s="191"/>
    </row>
    <row r="98" spans="3:7">
      <c r="D98" s="191"/>
      <c r="E98" s="191"/>
      <c r="G98" s="197"/>
    </row>
  </sheetData>
  <mergeCells count="2">
    <mergeCell ref="B5:E5"/>
    <mergeCell ref="G6:G7"/>
  </mergeCells>
  <conditionalFormatting sqref="A52:A59">
    <cfRule type="expression" dxfId="5" priority="1" stopIfTrue="1">
      <formula>AND(MONTH(#REF!)-MONTH(#REF!)=1,YEAR(#REF!)=YEAR(#REF!),#REF!&gt;0)</formula>
    </cfRule>
    <cfRule type="expression" dxfId="4" priority="2" stopIfTrue="1">
      <formula>AND(MONTH(#REF!)-MONTH(#REF!)=0,YEAR(#REF!)=YEAR(#REF!),#REF!&gt;0)</formula>
    </cfRule>
    <cfRule type="expression" dxfId="3" priority="3" stopIfTrue="1">
      <formula>AND(MONTH(#REF!)-MONTH(#REF!)&lt;0,YEAR(#REF!)=YEAR(#REF!),#REF!&gt;0)</formula>
    </cfRule>
  </conditionalFormatting>
  <conditionalFormatting sqref="A61">
    <cfRule type="expression" dxfId="2" priority="4" stopIfTrue="1">
      <formula>AND(MONTH($E61)-MONTH($B$1)=1,YEAR($E61)=YEAR($B$1),$V61&gt;0)</formula>
    </cfRule>
    <cfRule type="expression" dxfId="1" priority="5" stopIfTrue="1">
      <formula>AND(MONTH($E61)-MONTH($B$1)=0,YEAR($E61)=YEAR($B$1),$V61&gt;0)</formula>
    </cfRule>
    <cfRule type="expression" dxfId="0" priority="6" stopIfTrue="1">
      <formula>AND(MONTH($E61)-MONTH($B$1)&lt;0,YEAR($E61)=YEAR($B$1),$V61&gt;0)</formula>
    </cfRule>
  </conditionalFormatting>
  <dataValidations count="1">
    <dataValidation allowBlank="1" showInputMessage="1" showErrorMessage="1" promptTitle="Change" prompt="Please Open the Regulatory Model before making any changes to this file. It is linked." sqref="H2" xr:uid="{4300904B-24B8-4358-810F-7949BD61F5D2}"/>
  </dataValidation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Props1.xml><?xml version="1.0" encoding="utf-8"?>
<ds:datastoreItem xmlns:ds="http://schemas.openxmlformats.org/officeDocument/2006/customXml" ds:itemID="{331B41FE-36D3-48E9-936F-32828DD209A9}"/>
</file>

<file path=customXml/itemProps2.xml><?xml version="1.0" encoding="utf-8"?>
<ds:datastoreItem xmlns:ds="http://schemas.openxmlformats.org/officeDocument/2006/customXml" ds:itemID="{AF8D6DFF-2060-49F6-8E26-E5DB3B85CFF5}"/>
</file>

<file path=customXml/itemProps3.xml><?xml version="1.0" encoding="utf-8"?>
<ds:datastoreItem xmlns:ds="http://schemas.openxmlformats.org/officeDocument/2006/customXml" ds:itemID="{B48A4C1A-214D-43F3-9920-2E2568A56C8A}"/>
</file>

<file path=customXml/itemProps4.xml><?xml version="1.0" encoding="utf-8"?>
<ds:datastoreItem xmlns:ds="http://schemas.openxmlformats.org/officeDocument/2006/customXml" ds:itemID="{CE966F3D-A423-428F-93FA-323DED1E8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24</vt:i4>
      </vt:variant>
    </vt:vector>
  </HeadingPairs>
  <TitlesOfParts>
    <vt:vector size="42" baseType="lpstr">
      <vt:lpstr>Index</vt:lpstr>
      <vt:lpstr>Schedule 1</vt:lpstr>
      <vt:lpstr>Schedule 2</vt:lpstr>
      <vt:lpstr>Schedule 2A</vt:lpstr>
      <vt:lpstr>Schedule 3</vt:lpstr>
      <vt:lpstr>Schedule 3A - 2023</vt:lpstr>
      <vt:lpstr>Schedule 3A - 2024</vt:lpstr>
      <vt:lpstr>Schedule 3B - 2023</vt:lpstr>
      <vt:lpstr>Schedule 3B - 2024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  <vt:lpstr>Index!Print_Area</vt:lpstr>
      <vt:lpstr>'Schedule 1'!Print_Area</vt:lpstr>
      <vt:lpstr>'Schedule 10'!Print_Area</vt:lpstr>
      <vt:lpstr>'Schedule 10A'!Print_Area</vt:lpstr>
      <vt:lpstr>'Schedule 11'!Print_Area</vt:lpstr>
      <vt:lpstr>'Schedule 2'!Print_Area</vt:lpstr>
      <vt:lpstr>'Schedule 2A'!Print_Area</vt:lpstr>
      <vt:lpstr>'Schedule 3'!Print_Area</vt:lpstr>
      <vt:lpstr>'Schedule 3A - 2023'!Print_Area</vt:lpstr>
      <vt:lpstr>'Schedule 3A - 2024'!Print_Area</vt:lpstr>
      <vt:lpstr>'Schedule 3B - 2023'!Print_Area</vt:lpstr>
      <vt:lpstr>'Schedule 3B - 2024'!Print_Area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  <vt:lpstr>'Schedule 3'!Print_Titles</vt:lpstr>
      <vt:lpstr>'Schedule 3A - 2023'!Print_Titles</vt:lpstr>
      <vt:lpstr>'Schedule 3A - 2024'!Print_Titles</vt:lpstr>
      <vt:lpstr>'Schedule 3B - 2023'!Print_Titles</vt:lpstr>
      <vt:lpstr>'Schedule 3B - 2024'!Print_Titles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2023-08-28T15:06:01Z</dcterms:created>
  <dcterms:modified xsi:type="dcterms:W3CDTF">2023-08-28T15:06:40Z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