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updateLinks="never" codeName="ThisWorkbook" defaultThemeVersion="124226"/>
  <xr:revisionPtr revIDLastSave="0" documentId="13_ncr:20001_{4871286C-786B-41F0-B204-ADE5FDA052F8}" xr6:coauthVersionLast="45" xr6:coauthVersionMax="45" xr10:uidLastSave="{00000000-0000-0000-0000-000000000000}"/>
  <bookViews>
    <workbookView xWindow="-108" yWindow="-108" windowWidth="23256" windowHeight="12576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" sheetId="42" r:id="rId6"/>
    <sheet name="Schedule 4" sheetId="29" r:id="rId7"/>
    <sheet name="Schedule 5" sheetId="18" r:id="rId8"/>
    <sheet name="Schedule 6" sheetId="19" r:id="rId9"/>
    <sheet name="Schedule 7" sheetId="20" r:id="rId10"/>
    <sheet name="Schedule 8" sheetId="23" r:id="rId11"/>
    <sheet name="Schedule 9" sheetId="25" r:id="rId12"/>
    <sheet name="Schedule 10" sheetId="27" r:id="rId13"/>
    <sheet name="Schedule 10A" sheetId="38" r:id="rId14"/>
    <sheet name="Schedule 11" sheetId="36" r:id="rId15"/>
  </sheets>
  <definedNames>
    <definedName name="_xlnm.Print_Area" localSheetId="0">Index!$B$1:$J$31</definedName>
    <definedName name="_xlnm.Print_Area" localSheetId="1">'Schedule 1'!$A$1:$N$52</definedName>
    <definedName name="_xlnm.Print_Area" localSheetId="12">'Schedule 10'!$A$1:$N$36</definedName>
    <definedName name="_xlnm.Print_Area" localSheetId="13">'Schedule 10A'!$A$1:$N$23</definedName>
    <definedName name="_xlnm.Print_Area" localSheetId="14">'Schedule 11'!$A$1:$N$50</definedName>
    <definedName name="_xlnm.Print_Area" localSheetId="2">'Schedule 2'!$A$1:$N$22</definedName>
    <definedName name="_xlnm.Print_Area" localSheetId="3">'Schedule 2A'!$A$1:$N$30</definedName>
    <definedName name="_xlnm.Print_Area" localSheetId="4">'Schedule 3'!$A$1:$N$96</definedName>
    <definedName name="_xlnm.Print_Area" localSheetId="5">'Schedule 3A'!$A$1:$I$137</definedName>
    <definedName name="_xlnm.Print_Area" localSheetId="6">'Schedule 4'!$A$1:$R$60</definedName>
    <definedName name="_xlnm.Print_Area" localSheetId="7">'Schedule 5'!$A$1:$N$29</definedName>
    <definedName name="_xlnm.Print_Area" localSheetId="8">'Schedule 6'!$A$1:$N$35</definedName>
    <definedName name="_xlnm.Print_Area" localSheetId="9">'Schedule 7'!$A$1:$N$30</definedName>
    <definedName name="_xlnm.Print_Area" localSheetId="10">'Schedule 8'!$A$1:$N$24</definedName>
    <definedName name="_xlnm.Print_Area" localSheetId="11">'Schedule 9'!$A$1:$K$63</definedName>
    <definedName name="_xlnm.Print_Titles" localSheetId="1">'Schedule 1'!$1:$7</definedName>
    <definedName name="_xlnm.Print_Titles" localSheetId="5">'Schedule 3A'!$1:$6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" i="42" l="1"/>
  <c r="E131" i="42"/>
  <c r="E130" i="42"/>
  <c r="E129" i="42"/>
  <c r="E128" i="42"/>
  <c r="E127" i="42"/>
  <c r="E126" i="42"/>
  <c r="E122" i="42"/>
  <c r="E117" i="42"/>
  <c r="E116" i="42"/>
  <c r="E115" i="42"/>
  <c r="E114" i="42"/>
  <c r="E113" i="42"/>
  <c r="E112" i="42"/>
  <c r="E111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69" i="42"/>
  <c r="E68" i="42"/>
  <c r="E67" i="42"/>
  <c r="E66" i="42"/>
  <c r="E65" i="42"/>
  <c r="E64" i="42"/>
  <c r="E63" i="42"/>
  <c r="E62" i="42"/>
  <c r="E61" i="42"/>
  <c r="E60" i="42"/>
  <c r="E59" i="42"/>
  <c r="E54" i="42"/>
  <c r="E53" i="42"/>
  <c r="E52" i="42"/>
  <c r="E51" i="42"/>
  <c r="E50" i="42"/>
  <c r="E49" i="42"/>
  <c r="E48" i="42"/>
  <c r="E47" i="42"/>
  <c r="E43" i="42"/>
  <c r="E38" i="42"/>
  <c r="E37" i="42"/>
  <c r="E36" i="42"/>
  <c r="E35" i="42"/>
  <c r="E34" i="42"/>
  <c r="E33" i="42"/>
  <c r="E32" i="42"/>
  <c r="E31" i="42"/>
  <c r="E26" i="42"/>
  <c r="E25" i="42"/>
  <c r="E24" i="42"/>
  <c r="E23" i="42"/>
  <c r="E22" i="42"/>
  <c r="E21" i="42"/>
  <c r="E20" i="42"/>
  <c r="E19" i="42"/>
  <c r="E18" i="42"/>
  <c r="E13" i="42"/>
  <c r="E12" i="42"/>
  <c r="E11" i="42"/>
  <c r="E10" i="42"/>
  <c r="E9" i="42"/>
  <c r="E8" i="42"/>
  <c r="I7" i="25" l="1"/>
  <c r="D12" i="31" l="1"/>
  <c r="I132" i="42"/>
  <c r="I130" i="42"/>
  <c r="H129" i="42"/>
  <c r="I128" i="42"/>
  <c r="I114" i="42"/>
  <c r="I101" i="42"/>
  <c r="I89" i="42"/>
  <c r="I87" i="42"/>
  <c r="I85" i="42"/>
  <c r="I81" i="42"/>
  <c r="I80" i="42"/>
  <c r="I79" i="42"/>
  <c r="I78" i="42"/>
  <c r="I76" i="42"/>
  <c r="I75" i="42"/>
  <c r="I69" i="42"/>
  <c r="I67" i="42"/>
  <c r="I66" i="42"/>
  <c r="I64" i="42"/>
  <c r="I62" i="42"/>
  <c r="I60" i="42"/>
  <c r="I53" i="42"/>
  <c r="G44" i="42"/>
  <c r="I43" i="42"/>
  <c r="I44" i="42" s="1"/>
  <c r="I36" i="42"/>
  <c r="I31" i="42"/>
  <c r="I26" i="42"/>
  <c r="I24" i="42"/>
  <c r="I19" i="42"/>
  <c r="I13" i="42"/>
  <c r="I12" i="42"/>
  <c r="I11" i="42"/>
  <c r="I10" i="42"/>
  <c r="I9" i="42"/>
  <c r="I2" i="42"/>
  <c r="I126" i="42" l="1"/>
  <c r="I94" i="42"/>
  <c r="D44" i="42"/>
  <c r="G15" i="42"/>
  <c r="I8" i="42"/>
  <c r="G123" i="42"/>
  <c r="I122" i="42"/>
  <c r="I123" i="42" s="1"/>
  <c r="J19" i="23" l="1"/>
  <c r="J7" i="36"/>
  <c r="N7" i="38"/>
  <c r="M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27" i="31"/>
  <c r="J24" i="13" l="1"/>
  <c r="J16" i="14" s="1"/>
  <c r="A11" i="38" l="1"/>
  <c r="A12" i="38" s="1"/>
  <c r="A13" i="38" s="1"/>
  <c r="A16" i="38" s="1"/>
  <c r="I15" i="42" l="1"/>
  <c r="K58" i="29" l="1"/>
  <c r="K60" i="29" s="1"/>
  <c r="N57" i="13" l="1"/>
  <c r="N42" i="36" l="1"/>
  <c r="N20" i="36"/>
  <c r="G79" i="13" l="1"/>
  <c r="G77" i="13" l="1"/>
  <c r="G54" i="13"/>
  <c r="G59" i="13"/>
  <c r="G64" i="13" l="1"/>
  <c r="G22" i="14" l="1"/>
  <c r="G92" i="13" l="1"/>
  <c r="N16" i="19" l="1"/>
  <c r="G16" i="19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s="1"/>
  <c r="A32" i="14" s="1"/>
  <c r="A35" i="14" s="1"/>
  <c r="A39" i="14" s="1"/>
  <c r="A40" i="14" s="1"/>
  <c r="A41" i="14" s="1"/>
  <c r="A42" i="14" s="1"/>
  <c r="A43" i="14" s="1"/>
  <c r="N32" i="13" l="1"/>
  <c r="G13" i="13" l="1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A30" i="13" s="1"/>
  <c r="A31" i="13" s="1"/>
  <c r="A32" i="13" s="1"/>
  <c r="A34" i="13" s="1"/>
  <c r="A36" i="13" s="1"/>
  <c r="A39" i="13" s="1"/>
  <c r="A40" i="13" s="1"/>
  <c r="A41" i="13" s="1"/>
  <c r="G74" i="13"/>
  <c r="G69" i="13"/>
  <c r="N2" i="38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N31" i="27"/>
  <c r="N17" i="18"/>
  <c r="N10" i="11" s="1"/>
  <c r="N17" i="27"/>
  <c r="N20" i="23"/>
  <c r="C40" i="36"/>
  <c r="G48" i="36"/>
  <c r="G31" i="27"/>
  <c r="G21" i="18"/>
  <c r="D26" i="31"/>
  <c r="N7" i="36"/>
  <c r="M7" i="36"/>
  <c r="K7" i="36"/>
  <c r="I7" i="36"/>
  <c r="G7" i="36"/>
  <c r="N7" i="27"/>
  <c r="M7" i="27"/>
  <c r="K7" i="27"/>
  <c r="I7" i="27"/>
  <c r="G7" i="27"/>
  <c r="E7" i="25"/>
  <c r="K7" i="25"/>
  <c r="G7" i="25"/>
  <c r="N7" i="23"/>
  <c r="M7" i="23"/>
  <c r="K7" i="23"/>
  <c r="I7" i="23"/>
  <c r="G7" i="23"/>
  <c r="M19" i="23"/>
  <c r="K19" i="23"/>
  <c r="N7" i="20"/>
  <c r="M7" i="20"/>
  <c r="K7" i="20"/>
  <c r="I7" i="20"/>
  <c r="G7" i="20"/>
  <c r="N7" i="19"/>
  <c r="M7" i="19"/>
  <c r="K7" i="19"/>
  <c r="I7" i="19"/>
  <c r="G7" i="19"/>
  <c r="N7" i="18"/>
  <c r="M7" i="18"/>
  <c r="K7" i="18"/>
  <c r="I7" i="18"/>
  <c r="G7" i="18"/>
  <c r="N7" i="13"/>
  <c r="M7" i="13"/>
  <c r="K7" i="13"/>
  <c r="I7" i="13"/>
  <c r="G7" i="13"/>
  <c r="N7" i="12"/>
  <c r="M7" i="12"/>
  <c r="K7" i="12"/>
  <c r="I7" i="12"/>
  <c r="G7" i="12"/>
  <c r="N7" i="11"/>
  <c r="M7" i="11"/>
  <c r="K7" i="11"/>
  <c r="I7" i="11"/>
  <c r="G7" i="11"/>
  <c r="N19" i="23"/>
  <c r="N2" i="36"/>
  <c r="N2" i="27"/>
  <c r="K2" i="25"/>
  <c r="N2" i="23"/>
  <c r="N2" i="20"/>
  <c r="N2" i="19"/>
  <c r="N2" i="18"/>
  <c r="Q2" i="29"/>
  <c r="N2" i="13"/>
  <c r="N2" i="12"/>
  <c r="N2" i="11"/>
  <c r="N2" i="14"/>
  <c r="I19" i="23"/>
  <c r="C33" i="36"/>
  <c r="C34" i="36"/>
  <c r="C35" i="36"/>
  <c r="C36" i="36"/>
  <c r="C37" i="36"/>
  <c r="C38" i="36"/>
  <c r="C39" i="36"/>
  <c r="G19" i="18"/>
  <c r="G19" i="23"/>
  <c r="G12" i="23"/>
  <c r="G20" i="23"/>
  <c r="G41" i="14"/>
  <c r="G43" i="14" s="1"/>
  <c r="L59" i="14"/>
  <c r="A21" i="19"/>
  <c r="A23" i="19" s="1"/>
  <c r="A24" i="19" s="1"/>
  <c r="A25" i="19" s="1"/>
  <c r="A26" i="19" s="1"/>
  <c r="A28" i="19" s="1"/>
  <c r="A29" i="19" s="1"/>
  <c r="A30" i="19" s="1"/>
  <c r="A32" i="19" s="1"/>
  <c r="A45" i="14"/>
  <c r="B26" i="31"/>
  <c r="B29" i="31" s="1"/>
  <c r="D24" i="31"/>
  <c r="D22" i="31"/>
  <c r="A23" i="20"/>
  <c r="A24" i="20" s="1"/>
  <c r="A25" i="20" s="1"/>
  <c r="A55" i="25"/>
  <c r="A56" i="25" s="1"/>
  <c r="A58" i="25" s="1"/>
  <c r="A60" i="25" s="1"/>
  <c r="A62" i="25" s="1"/>
  <c r="D6" i="31"/>
  <c r="D8" i="31"/>
  <c r="D9" i="31"/>
  <c r="D11" i="31"/>
  <c r="D16" i="31"/>
  <c r="D18" i="31"/>
  <c r="D20" i="31"/>
  <c r="D29" i="31"/>
  <c r="G47" i="14" l="1"/>
  <c r="G10" i="14"/>
  <c r="G14" i="19"/>
  <c r="G18" i="18" s="1"/>
  <c r="A42" i="13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26" i="36"/>
  <c r="A27" i="36" s="1"/>
  <c r="A28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N32" i="27"/>
  <c r="A47" i="14"/>
  <c r="A49" i="14" s="1"/>
  <c r="N24" i="13"/>
  <c r="N16" i="14" s="1"/>
  <c r="L41" i="14"/>
  <c r="N19" i="18"/>
  <c r="N18" i="23"/>
  <c r="N21" i="18"/>
  <c r="N19" i="27"/>
  <c r="N33" i="27"/>
  <c r="N12" i="23"/>
  <c r="A48" i="36" l="1"/>
  <c r="A50" i="36" s="1"/>
  <c r="N20" i="18"/>
  <c r="C44" i="42" l="1"/>
  <c r="E44" i="42"/>
  <c r="N41" i="14" l="1"/>
  <c r="N17" i="14" l="1"/>
  <c r="G15" i="14" l="1"/>
  <c r="G24" i="13"/>
  <c r="G16" i="14" l="1"/>
  <c r="G20" i="18" l="1"/>
  <c r="G19" i="13"/>
  <c r="G13" i="14" l="1"/>
  <c r="K20" i="23" l="1"/>
  <c r="M20" i="23" l="1"/>
  <c r="I20" i="23" l="1"/>
  <c r="I24" i="13" l="1"/>
  <c r="I16" i="14" s="1"/>
  <c r="K24" i="13" l="1"/>
  <c r="K16" i="14" s="1"/>
  <c r="M24" i="13" l="1"/>
  <c r="M16" i="14" s="1"/>
  <c r="N40" i="36" l="1"/>
  <c r="N39" i="36" l="1"/>
  <c r="N38" i="36" l="1"/>
  <c r="N34" i="36" l="1"/>
  <c r="N12" i="36" l="1"/>
  <c r="N36" i="36" l="1"/>
  <c r="N11" i="36"/>
  <c r="N16" i="36" l="1"/>
  <c r="N14" i="36" l="1"/>
  <c r="N17" i="36" l="1"/>
  <c r="N18" i="36" l="1"/>
  <c r="G42" i="13" l="1"/>
  <c r="G47" i="13"/>
  <c r="G78" i="13" l="1"/>
  <c r="G80" i="13" s="1"/>
  <c r="G84" i="13" s="1"/>
  <c r="G21" i="14" l="1"/>
  <c r="G23" i="14" s="1"/>
  <c r="A71" i="13" l="1"/>
  <c r="A72" i="13" s="1"/>
  <c r="A73" i="13" s="1"/>
  <c r="A74" i="13" s="1"/>
  <c r="A76" i="13" s="1"/>
  <c r="A77" i="13" s="1"/>
  <c r="A78" i="13" s="1"/>
  <c r="A79" i="13" s="1"/>
  <c r="A80" i="13" s="1"/>
  <c r="A82" i="13" s="1"/>
  <c r="A84" i="13" s="1"/>
  <c r="A86" i="13" s="1"/>
  <c r="A88" i="13" s="1"/>
  <c r="A89" i="13" s="1"/>
  <c r="A90" i="13" s="1"/>
  <c r="A91" i="13" s="1"/>
  <c r="A92" i="13" s="1"/>
  <c r="A94" i="13" s="1"/>
  <c r="I32" i="27" l="1"/>
  <c r="I17" i="18"/>
  <c r="I10" i="11" s="1"/>
  <c r="I18" i="23" l="1"/>
  <c r="I17" i="27"/>
  <c r="I19" i="27" l="1"/>
  <c r="I33" i="27"/>
  <c r="J41" i="13" l="1"/>
  <c r="J46" i="13"/>
  <c r="I47" i="13" l="1"/>
  <c r="I42" i="13"/>
  <c r="N15" i="36" l="1"/>
  <c r="J32" i="27" l="1"/>
  <c r="J17" i="18"/>
  <c r="J10" i="11" s="1"/>
  <c r="J17" i="27" l="1"/>
  <c r="J18" i="23"/>
  <c r="K18" i="23"/>
  <c r="K17" i="27"/>
  <c r="J19" i="27" l="1"/>
  <c r="J33" i="27"/>
  <c r="K33" i="27"/>
  <c r="K19" i="27"/>
  <c r="I54" i="13" l="1"/>
  <c r="J51" i="13" s="1"/>
  <c r="I64" i="13" l="1"/>
  <c r="J61" i="13" s="1"/>
  <c r="I74" i="13" l="1"/>
  <c r="J71" i="13" s="1"/>
  <c r="J74" i="13" l="1"/>
  <c r="K71" i="13" l="1"/>
  <c r="K74" i="13" s="1"/>
  <c r="M71" i="13" l="1"/>
  <c r="N71" i="13"/>
  <c r="N74" i="13" s="1"/>
  <c r="I59" i="13"/>
  <c r="J56" i="13" s="1"/>
  <c r="J59" i="13" l="1"/>
  <c r="K56" i="13" l="1"/>
  <c r="K59" i="13" s="1"/>
  <c r="M56" i="13" l="1"/>
  <c r="M59" i="13" s="1"/>
  <c r="N56" i="13"/>
  <c r="N59" i="13" s="1"/>
  <c r="I16" i="18" l="1"/>
  <c r="I9" i="11" l="1"/>
  <c r="I13" i="11" s="1"/>
  <c r="I15" i="11" s="1"/>
  <c r="M74" i="13" l="1"/>
  <c r="J26" i="36" l="1"/>
  <c r="K27" i="36" l="1"/>
  <c r="N13" i="36"/>
  <c r="I26" i="36" l="1"/>
  <c r="J27" i="36" s="1"/>
  <c r="J28" i="36" l="1"/>
  <c r="I48" i="36"/>
  <c r="G29" i="29" l="1"/>
  <c r="K17" i="18" l="1"/>
  <c r="K10" i="11" s="1"/>
  <c r="K32" i="27"/>
  <c r="J24" i="12" l="1"/>
  <c r="J28" i="12" s="1"/>
  <c r="J12" i="23" l="1"/>
  <c r="J31" i="27" l="1"/>
  <c r="J19" i="18"/>
  <c r="J16" i="19" l="1"/>
  <c r="J20" i="18" l="1"/>
  <c r="N21" i="36" l="1"/>
  <c r="N26" i="36" s="1"/>
  <c r="N43" i="36" l="1"/>
  <c r="N37" i="36" l="1"/>
  <c r="J48" i="36" l="1"/>
  <c r="J50" i="36" l="1"/>
  <c r="O29" i="29" s="1"/>
  <c r="I13" i="23" l="1"/>
  <c r="I30" i="19" l="1"/>
  <c r="I17" i="23"/>
  <c r="I21" i="23" s="1"/>
  <c r="J13" i="23" l="1"/>
  <c r="J26" i="19"/>
  <c r="J30" i="19" l="1"/>
  <c r="J17" i="23"/>
  <c r="J21" i="23" s="1"/>
  <c r="N13" i="38" l="1"/>
  <c r="M18" i="23" l="1"/>
  <c r="M17" i="27"/>
  <c r="M19" i="27" l="1"/>
  <c r="M33" i="27"/>
  <c r="I41" i="14" l="1"/>
  <c r="I43" i="14" l="1"/>
  <c r="I47" i="14" l="1"/>
  <c r="J45" i="14"/>
  <c r="I116" i="42" l="1"/>
  <c r="I131" i="42" l="1"/>
  <c r="I129" i="42" l="1"/>
  <c r="G134" i="42"/>
  <c r="G71" i="42" l="1"/>
  <c r="N15" i="14" l="1"/>
  <c r="N34" i="13"/>
  <c r="I21" i="42" l="1"/>
  <c r="I35" i="42"/>
  <c r="I34" i="42" l="1"/>
  <c r="I20" i="42" l="1"/>
  <c r="I25" i="42" l="1"/>
  <c r="I38" i="42"/>
  <c r="I32" i="42" l="1"/>
  <c r="N22" i="14" l="1"/>
  <c r="I97" i="42" l="1"/>
  <c r="I84" i="42"/>
  <c r="I104" i="42"/>
  <c r="G91" i="42" l="1"/>
  <c r="G56" i="42"/>
  <c r="G119" i="42"/>
  <c r="I37" i="42"/>
  <c r="G40" i="42"/>
  <c r="I102" i="42"/>
  <c r="G108" i="42" l="1"/>
  <c r="I18" i="42" l="1"/>
  <c r="G28" i="42"/>
  <c r="G136" i="42" s="1"/>
  <c r="N43" i="14" l="1"/>
  <c r="N47" i="14" l="1"/>
  <c r="N79" i="13" l="1"/>
  <c r="N14" i="19" s="1"/>
  <c r="N18" i="18" l="1"/>
  <c r="I77" i="13" l="1"/>
  <c r="I79" i="13" l="1"/>
  <c r="I14" i="19" l="1"/>
  <c r="I18" i="18" s="1"/>
  <c r="I92" i="13" l="1"/>
  <c r="I78" i="13"/>
  <c r="I80" i="13" s="1"/>
  <c r="I69" i="13"/>
  <c r="J66" i="13" s="1"/>
  <c r="J89" i="13" l="1"/>
  <c r="I21" i="14"/>
  <c r="J77" i="13"/>
  <c r="J69" i="13" l="1"/>
  <c r="K66" i="13" l="1"/>
  <c r="K69" i="13" l="1"/>
  <c r="M66" i="13" l="1"/>
  <c r="M69" i="13" s="1"/>
  <c r="N66" i="13"/>
  <c r="N69" i="13" s="1"/>
  <c r="I28" i="36" l="1"/>
  <c r="I50" i="36" l="1"/>
  <c r="O20" i="29" s="1"/>
  <c r="G20" i="29"/>
  <c r="I24" i="12" l="1"/>
  <c r="I28" i="12" s="1"/>
  <c r="N35" i="36" l="1"/>
  <c r="M32" i="27" l="1"/>
  <c r="M17" i="18"/>
  <c r="M10" i="11" l="1"/>
  <c r="J22" i="38" l="1"/>
  <c r="J12" i="38" s="1"/>
  <c r="J11" i="38" s="1"/>
  <c r="N22" i="38" l="1"/>
  <c r="N12" i="38" s="1"/>
  <c r="N11" i="38" s="1"/>
  <c r="I22" i="38" l="1"/>
  <c r="I12" i="38" s="1"/>
  <c r="I11" i="38" s="1"/>
  <c r="M22" i="38" l="1"/>
  <c r="M12" i="38" s="1"/>
  <c r="M11" i="38" s="1"/>
  <c r="E23" i="25" l="1"/>
  <c r="E31" i="25"/>
  <c r="E48" i="25"/>
  <c r="E35" i="25"/>
  <c r="E13" i="25"/>
  <c r="E17" i="25"/>
  <c r="E33" i="25"/>
  <c r="E19" i="25"/>
  <c r="E27" i="25"/>
  <c r="E40" i="25"/>
  <c r="E34" i="25"/>
  <c r="E42" i="25" s="1"/>
  <c r="E50" i="25" s="1"/>
  <c r="E11" i="25"/>
  <c r="E43" i="25" l="1"/>
  <c r="E36" i="25"/>
  <c r="E51" i="25" l="1"/>
  <c r="E44" i="25"/>
  <c r="E52" i="25" l="1"/>
  <c r="E58" i="25"/>
  <c r="E62" i="25" s="1"/>
  <c r="G40" i="25" l="1"/>
  <c r="G48" i="25"/>
  <c r="G27" i="25"/>
  <c r="G35" i="25"/>
  <c r="G43" i="25" s="1"/>
  <c r="G51" i="25" s="1"/>
  <c r="G23" i="25"/>
  <c r="G31" i="25"/>
  <c r="M12" i="23" l="1"/>
  <c r="K12" i="23"/>
  <c r="M16" i="19"/>
  <c r="M20" i="18" s="1"/>
  <c r="K16" i="19" l="1"/>
  <c r="K20" i="18" s="1"/>
  <c r="K19" i="18"/>
  <c r="K31" i="27"/>
  <c r="M31" i="27"/>
  <c r="M19" i="18"/>
  <c r="J41" i="14" l="1"/>
  <c r="K26" i="36" l="1"/>
  <c r="M27" i="36" l="1"/>
  <c r="K28" i="36"/>
  <c r="N27" i="36"/>
  <c r="N28" i="36" l="1"/>
  <c r="G38" i="29"/>
  <c r="G56" i="29" l="1"/>
  <c r="D123" i="42" l="1"/>
  <c r="D15" i="42" l="1"/>
  <c r="I127" i="42" l="1"/>
  <c r="I98" i="42"/>
  <c r="I103" i="42"/>
  <c r="I50" i="42"/>
  <c r="I83" i="42"/>
  <c r="I86" i="42"/>
  <c r="I117" i="42"/>
  <c r="I112" i="42"/>
  <c r="I65" i="42"/>
  <c r="I61" i="42"/>
  <c r="I54" i="42"/>
  <c r="I51" i="42"/>
  <c r="I48" i="42"/>
  <c r="I88" i="42"/>
  <c r="I82" i="42"/>
  <c r="I134" i="42" l="1"/>
  <c r="E123" i="42" l="1"/>
  <c r="C123" i="42"/>
  <c r="C15" i="42" l="1"/>
  <c r="I15" i="14"/>
  <c r="E15" i="42" l="1"/>
  <c r="I84" i="13"/>
  <c r="I22" i="14"/>
  <c r="I23" i="14" s="1"/>
  <c r="I59" i="42" l="1"/>
  <c r="J54" i="13" l="1"/>
  <c r="K51" i="13" l="1"/>
  <c r="K54" i="13" s="1"/>
  <c r="M51" i="13" l="1"/>
  <c r="M54" i="13" s="1"/>
  <c r="N51" i="13"/>
  <c r="N54" i="13" s="1"/>
  <c r="I105" i="42" l="1"/>
  <c r="I113" i="42" l="1"/>
  <c r="I95" i="42" l="1"/>
  <c r="D71" i="42" l="1"/>
  <c r="C71" i="42" l="1"/>
  <c r="I68" i="42" l="1"/>
  <c r="E71" i="42"/>
  <c r="I71" i="42" l="1"/>
  <c r="I106" i="42" l="1"/>
  <c r="D134" i="42"/>
  <c r="E134" i="42" l="1"/>
  <c r="C134" i="42"/>
  <c r="J32" i="13" l="1"/>
  <c r="J17" i="14" s="1"/>
  <c r="I77" i="42" l="1"/>
  <c r="D119" i="42" l="1"/>
  <c r="I99" i="42"/>
  <c r="I115" i="42" l="1"/>
  <c r="I100" i="42"/>
  <c r="C119" i="42" l="1"/>
  <c r="C91" i="42"/>
  <c r="E119" i="42" l="1"/>
  <c r="I111" i="42"/>
  <c r="I119" i="42" l="1"/>
  <c r="I22" i="42" l="1"/>
  <c r="I23" i="42" l="1"/>
  <c r="I28" i="42" s="1"/>
  <c r="I33" i="42" l="1"/>
  <c r="I40" i="42" s="1"/>
  <c r="K32" i="13"/>
  <c r="K17" i="14" s="1"/>
  <c r="I49" i="42"/>
  <c r="I47" i="42" l="1"/>
  <c r="K41" i="14" l="1"/>
  <c r="M41" i="14" l="1"/>
  <c r="M32" i="13"/>
  <c r="M17" i="14" s="1"/>
  <c r="D91" i="42" l="1"/>
  <c r="J22" i="14"/>
  <c r="J34" i="13" l="1"/>
  <c r="J15" i="14"/>
  <c r="I74" i="42"/>
  <c r="E91" i="42"/>
  <c r="D56" i="42"/>
  <c r="K22" i="14"/>
  <c r="D108" i="42" l="1"/>
  <c r="C28" i="42"/>
  <c r="K15" i="14"/>
  <c r="K34" i="13"/>
  <c r="C40" i="42"/>
  <c r="I91" i="42"/>
  <c r="M22" i="14"/>
  <c r="M15" i="14" l="1"/>
  <c r="M34" i="13"/>
  <c r="C56" i="42"/>
  <c r="C108" i="42"/>
  <c r="C136" i="42" l="1"/>
  <c r="I52" i="42"/>
  <c r="E56" i="42"/>
  <c r="E28" i="42"/>
  <c r="D28" i="42"/>
  <c r="I96" i="42"/>
  <c r="E108" i="42"/>
  <c r="E40" i="42" l="1"/>
  <c r="D40" i="42"/>
  <c r="D136" i="42" s="1"/>
  <c r="I108" i="42"/>
  <c r="I56" i="42"/>
  <c r="E136" i="42" l="1"/>
  <c r="I136" i="42"/>
  <c r="J21" i="18" l="1"/>
  <c r="K21" i="18"/>
  <c r="M21" i="18"/>
  <c r="J43" i="14"/>
  <c r="K45" i="14" l="1"/>
  <c r="J47" i="14"/>
  <c r="K43" i="14"/>
  <c r="M43" i="14" l="1"/>
  <c r="M45" i="14"/>
  <c r="K47" i="14"/>
  <c r="M47" i="14" l="1"/>
  <c r="J64" i="13" l="1"/>
  <c r="J92" i="13"/>
  <c r="K89" i="13" l="1"/>
  <c r="K61" i="13"/>
  <c r="K64" i="13" s="1"/>
  <c r="K92" i="13" l="1"/>
  <c r="N61" i="13"/>
  <c r="N64" i="13" s="1"/>
  <c r="M61" i="13"/>
  <c r="M64" i="13" s="1"/>
  <c r="M89" i="13"/>
  <c r="N89" i="13"/>
  <c r="N92" i="13" l="1"/>
  <c r="M92" i="13"/>
  <c r="M79" i="13" l="1"/>
  <c r="M14" i="19" s="1"/>
  <c r="K79" i="13"/>
  <c r="K14" i="19" s="1"/>
  <c r="J79" i="13"/>
  <c r="J14" i="19" s="1"/>
  <c r="M18" i="18" l="1"/>
  <c r="J18" i="18"/>
  <c r="J47" i="13"/>
  <c r="K46" i="13"/>
  <c r="K18" i="18"/>
  <c r="J42" i="13" l="1"/>
  <c r="J78" i="13" s="1"/>
  <c r="J80" i="13" s="1"/>
  <c r="K41" i="13"/>
  <c r="K77" i="13" s="1"/>
  <c r="N46" i="13"/>
  <c r="N47" i="13" s="1"/>
  <c r="M46" i="13"/>
  <c r="K47" i="13"/>
  <c r="M47" i="13" l="1"/>
  <c r="N41" i="13"/>
  <c r="K42" i="13"/>
  <c r="K78" i="13" s="1"/>
  <c r="K80" i="13" s="1"/>
  <c r="M41" i="13"/>
  <c r="M77" i="13" s="1"/>
  <c r="J21" i="14"/>
  <c r="J23" i="14" s="1"/>
  <c r="J84" i="13"/>
  <c r="K84" i="13" l="1"/>
  <c r="K21" i="14"/>
  <c r="K23" i="14" s="1"/>
  <c r="N77" i="13"/>
  <c r="N42" i="13"/>
  <c r="N78" i="13" s="1"/>
  <c r="M42" i="13"/>
  <c r="M78" i="13" s="1"/>
  <c r="M80" i="13" s="1"/>
  <c r="M21" i="14" l="1"/>
  <c r="M23" i="14" s="1"/>
  <c r="M84" i="13"/>
  <c r="N80" i="13"/>
  <c r="N21" i="14" l="1"/>
  <c r="N23" i="14" s="1"/>
  <c r="N84" i="13"/>
  <c r="N9" i="38" l="1"/>
  <c r="K22" i="38" l="1"/>
  <c r="K12" i="38" s="1"/>
  <c r="K11" i="38" s="1"/>
  <c r="M26" i="36" l="1"/>
  <c r="M28" i="36" s="1"/>
  <c r="G47" i="29" l="1"/>
  <c r="K48" i="36" l="1"/>
  <c r="K50" i="36" s="1"/>
  <c r="O38" i="29" s="1"/>
  <c r="N33" i="36"/>
  <c r="N48" i="36" s="1"/>
  <c r="M48" i="36"/>
  <c r="M50" i="36" s="1"/>
  <c r="O47" i="29" s="1"/>
  <c r="N50" i="36" l="1"/>
  <c r="O56" i="29" l="1"/>
  <c r="J16" i="18" l="1"/>
  <c r="J19" i="19"/>
  <c r="J21" i="19" s="1"/>
  <c r="J32" i="19" s="1"/>
  <c r="J12" i="20" s="1"/>
  <c r="J25" i="18" l="1"/>
  <c r="J9" i="11"/>
  <c r="J13" i="11" s="1"/>
  <c r="J15" i="11" s="1"/>
  <c r="K19" i="19" l="1"/>
  <c r="K16" i="18"/>
  <c r="K13" i="12" l="1"/>
  <c r="K17" i="12" s="1"/>
  <c r="K25" i="18"/>
  <c r="K9" i="11"/>
  <c r="K13" i="11" s="1"/>
  <c r="K15" i="11" s="1"/>
  <c r="K21" i="19" l="1"/>
  <c r="K24" i="12" l="1"/>
  <c r="K28" i="12" s="1"/>
  <c r="K30" i="12" s="1"/>
  <c r="K19" i="11" s="1"/>
  <c r="K21" i="11" l="1"/>
  <c r="K32" i="14" s="1"/>
  <c r="M24" i="12" l="1"/>
  <c r="M28" i="12" s="1"/>
  <c r="K19" i="25" l="1"/>
  <c r="K17" i="25"/>
  <c r="K27" i="25"/>
  <c r="K31" i="25"/>
  <c r="K35" i="25"/>
  <c r="K40" i="25"/>
  <c r="K23" i="25"/>
  <c r="K48" i="25"/>
  <c r="K33" i="25"/>
  <c r="K43" i="25" l="1"/>
  <c r="K11" i="25" l="1"/>
  <c r="K34" i="25"/>
  <c r="K13" i="25"/>
  <c r="K51" i="25"/>
  <c r="I23" i="25" l="1"/>
  <c r="I31" i="25"/>
  <c r="I48" i="25"/>
  <c r="I19" i="25"/>
  <c r="I27" i="25"/>
  <c r="I40" i="25"/>
  <c r="I33" i="25"/>
  <c r="I17" i="25"/>
  <c r="K42" i="25"/>
  <c r="K36" i="25"/>
  <c r="I34" i="25"/>
  <c r="I42" i="25" s="1"/>
  <c r="I50" i="25" s="1"/>
  <c r="I11" i="25"/>
  <c r="I35" i="25"/>
  <c r="I13" i="25"/>
  <c r="I36" i="25" l="1"/>
  <c r="I43" i="25"/>
  <c r="K50" i="25"/>
  <c r="K52" i="25" s="1"/>
  <c r="K44" i="25"/>
  <c r="I51" i="25" l="1"/>
  <c r="I52" i="25" s="1"/>
  <c r="I44" i="25"/>
  <c r="H33" i="25" l="1"/>
  <c r="G33" i="25"/>
  <c r="H11" i="25"/>
  <c r="H34" i="25"/>
  <c r="H42" i="25" s="1"/>
  <c r="H50" i="25" s="1"/>
  <c r="H31" i="25"/>
  <c r="H27" i="25"/>
  <c r="H17" i="25"/>
  <c r="H48" i="25"/>
  <c r="G11" i="25" l="1"/>
  <c r="G13" i="25"/>
  <c r="G34" i="25"/>
  <c r="G17" i="25"/>
  <c r="G19" i="25"/>
  <c r="G36" i="25" l="1"/>
  <c r="G42" i="25"/>
  <c r="G50" i="25" l="1"/>
  <c r="G52" i="25" s="1"/>
  <c r="G44" i="25"/>
  <c r="N16" i="18" l="1"/>
  <c r="N19" i="19"/>
  <c r="N9" i="11" l="1"/>
  <c r="N13" i="11" s="1"/>
  <c r="N15" i="11" s="1"/>
  <c r="N25" i="18"/>
  <c r="N24" i="12" l="1"/>
  <c r="N28" i="12" s="1"/>
  <c r="N21" i="19"/>
  <c r="N13" i="12" l="1"/>
  <c r="N17" i="12" s="1"/>
  <c r="N30" i="12" s="1"/>
  <c r="N19" i="11" s="1"/>
  <c r="N21" i="11" l="1"/>
  <c r="N32" i="14" s="1"/>
  <c r="Q56" i="29" l="1"/>
  <c r="O60" i="29"/>
  <c r="Q58" i="29" l="1"/>
  <c r="Q60" i="29" s="1"/>
  <c r="N13" i="18" l="1"/>
  <c r="N9" i="23" l="1"/>
  <c r="N27" i="18"/>
  <c r="N26" i="27" l="1"/>
  <c r="K58" i="25" l="1"/>
  <c r="K62" i="25" s="1"/>
  <c r="G26" i="27" l="1"/>
  <c r="G22" i="38" l="1"/>
  <c r="G12" i="38" s="1"/>
  <c r="G11" i="38" s="1"/>
  <c r="G15" i="27" l="1"/>
  <c r="N15" i="27" l="1"/>
  <c r="N22" i="27" l="1"/>
  <c r="N35" i="27" s="1"/>
  <c r="N28" i="27"/>
  <c r="I15" i="27" l="1"/>
  <c r="I22" i="27" s="1"/>
  <c r="J15" i="27" l="1"/>
  <c r="J22" i="27" s="1"/>
  <c r="J35" i="27" s="1"/>
  <c r="I26" i="27" l="1"/>
  <c r="I28" i="27" s="1"/>
  <c r="K15" i="27" l="1"/>
  <c r="K22" i="27" s="1"/>
  <c r="K35" i="27" s="1"/>
  <c r="M15" i="27" l="1"/>
  <c r="M22" i="27" s="1"/>
  <c r="M35" i="27" s="1"/>
  <c r="M26" i="27" l="1"/>
  <c r="M28" i="27" s="1"/>
  <c r="J26" i="27" l="1"/>
  <c r="J28" i="27" s="1"/>
  <c r="K26" i="27" l="1"/>
  <c r="K28" i="27" s="1"/>
  <c r="H40" i="25" l="1"/>
  <c r="H23" i="25"/>
  <c r="H19" i="25"/>
  <c r="H13" i="25" l="1"/>
  <c r="H35" i="25"/>
  <c r="H43" i="25" l="1"/>
  <c r="H36" i="25"/>
  <c r="H51" i="25" l="1"/>
  <c r="H44" i="25"/>
  <c r="H52" i="25" l="1"/>
  <c r="H58" i="25"/>
  <c r="H62" i="25" s="1"/>
  <c r="G58" i="25" l="1"/>
  <c r="G62" i="25" s="1"/>
  <c r="I58" i="25" l="1"/>
  <c r="I62" i="25" s="1"/>
  <c r="N13" i="23" l="1"/>
  <c r="N14" i="23" s="1"/>
  <c r="N26" i="19"/>
  <c r="N30" i="19" l="1"/>
  <c r="N32" i="19" s="1"/>
  <c r="N17" i="23"/>
  <c r="N21" i="23" s="1"/>
  <c r="N23" i="23" s="1"/>
  <c r="N12" i="20" l="1"/>
  <c r="I12" i="23" l="1"/>
  <c r="I26" i="19"/>
  <c r="I16" i="19" l="1"/>
  <c r="I19" i="13"/>
  <c r="J16" i="13" l="1"/>
  <c r="J19" i="13" s="1"/>
  <c r="I13" i="14"/>
  <c r="I20" i="18"/>
  <c r="J13" i="14" l="1"/>
  <c r="J18" i="14" s="1"/>
  <c r="K16" i="13"/>
  <c r="K19" i="13" s="1"/>
  <c r="N16" i="13" l="1"/>
  <c r="N19" i="13" s="1"/>
  <c r="N13" i="14" s="1"/>
  <c r="K13" i="14"/>
  <c r="K18" i="14" s="1"/>
  <c r="M16" i="13"/>
  <c r="M19" i="13" s="1"/>
  <c r="M13" i="14" s="1"/>
  <c r="M18" i="14" s="1"/>
  <c r="N18" i="14" l="1"/>
  <c r="I31" i="27" l="1"/>
  <c r="I35" i="27" s="1"/>
  <c r="I19" i="18"/>
  <c r="I21" i="18" l="1"/>
  <c r="I25" i="18" s="1"/>
  <c r="I19" i="19"/>
  <c r="I21" i="19" s="1"/>
  <c r="I32" i="19" s="1"/>
  <c r="I12" i="20" s="1"/>
  <c r="I14" i="20" s="1"/>
  <c r="I32" i="13" l="1"/>
  <c r="I17" i="14" l="1"/>
  <c r="I18" i="14" s="1"/>
  <c r="I34" i="13"/>
  <c r="I13" i="13"/>
  <c r="I36" i="13" l="1"/>
  <c r="I86" i="13" s="1"/>
  <c r="J10" i="13"/>
  <c r="J13" i="13" s="1"/>
  <c r="I10" i="14"/>
  <c r="I26" i="14" s="1"/>
  <c r="J27" i="14" s="1"/>
  <c r="K10" i="13" l="1"/>
  <c r="K13" i="13" s="1"/>
  <c r="J10" i="14"/>
  <c r="J26" i="14" s="1"/>
  <c r="J36" i="13"/>
  <c r="J86" i="13" s="1"/>
  <c r="I94" i="13"/>
  <c r="J29" i="14" l="1"/>
  <c r="J94" i="13"/>
  <c r="K27" i="14"/>
  <c r="M10" i="13"/>
  <c r="K10" i="14"/>
  <c r="K26" i="14" s="1"/>
  <c r="M27" i="14" s="1"/>
  <c r="N10" i="13"/>
  <c r="N13" i="13" s="1"/>
  <c r="K36" i="13"/>
  <c r="K86" i="13" s="1"/>
  <c r="K29" i="14" l="1"/>
  <c r="K35" i="14" s="1"/>
  <c r="K49" i="14" s="1"/>
  <c r="M42" i="29" s="1"/>
  <c r="N36" i="13"/>
  <c r="N86" i="13" s="1"/>
  <c r="N10" i="14"/>
  <c r="K94" i="13"/>
  <c r="K9" i="18" l="1"/>
  <c r="N26" i="14"/>
  <c r="N94" i="13"/>
  <c r="N29" i="14" l="1"/>
  <c r="N35" i="14" l="1"/>
  <c r="N49" i="14" s="1"/>
  <c r="M60" i="29" l="1"/>
  <c r="N9" i="18"/>
  <c r="N11" i="18" s="1"/>
  <c r="I29" i="14"/>
  <c r="I19" i="20" l="1"/>
  <c r="J9" i="20" l="1"/>
  <c r="I24" i="20"/>
  <c r="I25" i="20" s="1"/>
  <c r="J14" i="20" l="1"/>
  <c r="J19" i="20" l="1"/>
  <c r="K9" i="20" l="1"/>
  <c r="J24" i="20"/>
  <c r="J25" i="20" s="1"/>
  <c r="G31" i="29" s="1"/>
  <c r="G33" i="29" l="1"/>
  <c r="I29" i="29"/>
  <c r="I31" i="29"/>
  <c r="I33" i="29" l="1"/>
  <c r="N14" i="20" l="1"/>
  <c r="N19" i="20" s="1"/>
  <c r="N24" i="20" s="1"/>
  <c r="N25" i="20" s="1"/>
  <c r="I13" i="12"/>
  <c r="I17" i="12" s="1"/>
  <c r="I30" i="12" s="1"/>
  <c r="I19" i="11" s="1"/>
  <c r="I58" i="29" l="1"/>
  <c r="G60" i="29"/>
  <c r="I56" i="29"/>
  <c r="I60" i="29" s="1"/>
  <c r="I21" i="11"/>
  <c r="I32" i="14" s="1"/>
  <c r="I35" i="14" s="1"/>
  <c r="I49" i="14" s="1"/>
  <c r="I9" i="18" l="1"/>
  <c r="M24" i="29"/>
  <c r="I22" i="29" l="1"/>
  <c r="M22" i="29" s="1"/>
  <c r="I20" i="29"/>
  <c r="G24" i="29"/>
  <c r="M20" i="29" l="1"/>
  <c r="Q20" i="29" s="1"/>
  <c r="I24" i="29"/>
  <c r="O24" i="29" l="1"/>
  <c r="Q22" i="29" l="1"/>
  <c r="Q24" i="29" s="1"/>
  <c r="I13" i="18" s="1"/>
  <c r="I9" i="23" l="1"/>
  <c r="I14" i="23" s="1"/>
  <c r="I23" i="23" s="1"/>
  <c r="I11" i="18"/>
  <c r="I27" i="18"/>
  <c r="M16" i="18" l="1"/>
  <c r="M19" i="19"/>
  <c r="M21" i="19" s="1"/>
  <c r="M13" i="12" l="1"/>
  <c r="M17" i="12" s="1"/>
  <c r="M30" i="12" s="1"/>
  <c r="M19" i="11" s="1"/>
  <c r="M9" i="11"/>
  <c r="M13" i="11" s="1"/>
  <c r="M15" i="11" s="1"/>
  <c r="M25" i="18"/>
  <c r="M21" i="11" l="1"/>
  <c r="M32" i="14" s="1"/>
  <c r="J13" i="12" l="1"/>
  <c r="J17" i="12" s="1"/>
  <c r="J30" i="12" s="1"/>
  <c r="J19" i="11" s="1"/>
  <c r="J21" i="11" l="1"/>
  <c r="J32" i="14" s="1"/>
  <c r="J35" i="14" s="1"/>
  <c r="J49" i="14" s="1"/>
  <c r="M33" i="29" l="1"/>
  <c r="J9" i="18"/>
  <c r="M31" i="29" l="1"/>
  <c r="M29" i="29"/>
  <c r="Q29" i="29" s="1"/>
  <c r="Q31" i="29" l="1"/>
  <c r="Q33" i="29" s="1"/>
  <c r="J13" i="18" l="1"/>
  <c r="J9" i="23" l="1"/>
  <c r="J14" i="23" s="1"/>
  <c r="J23" i="23" s="1"/>
  <c r="J27" i="18"/>
  <c r="J11" i="18"/>
  <c r="K26" i="19" l="1"/>
  <c r="K13" i="23"/>
  <c r="K30" i="19" l="1"/>
  <c r="K32" i="19" s="1"/>
  <c r="K17" i="23"/>
  <c r="K21" i="23" s="1"/>
  <c r="K12" i="20" l="1"/>
  <c r="K14" i="20" s="1"/>
  <c r="K19" i="20" l="1"/>
  <c r="K24" i="20" s="1"/>
  <c r="K25" i="20" s="1"/>
  <c r="G40" i="29" s="1"/>
  <c r="M9" i="20" l="1"/>
  <c r="I38" i="29"/>
  <c r="G42" i="29"/>
  <c r="I40" i="29"/>
  <c r="M40" i="29" s="1"/>
  <c r="I42" i="29" l="1"/>
  <c r="M38" i="29"/>
  <c r="Q38" i="29" s="1"/>
  <c r="Q40" i="29" l="1"/>
  <c r="Q42" i="29" s="1"/>
  <c r="K13" i="18" l="1"/>
  <c r="K9" i="23" l="1"/>
  <c r="K14" i="23" s="1"/>
  <c r="K23" i="23" s="1"/>
  <c r="K11" i="18"/>
  <c r="K27" i="18"/>
  <c r="M13" i="13" l="1"/>
  <c r="M36" i="13" l="1"/>
  <c r="M86" i="13" s="1"/>
  <c r="M10" i="14"/>
  <c r="M26" i="14" s="1"/>
  <c r="M29" i="14" s="1"/>
  <c r="M35" i="14" s="1"/>
  <c r="M49" i="14" s="1"/>
  <c r="M51" i="29" l="1"/>
  <c r="M9" i="18"/>
  <c r="M94" i="13"/>
  <c r="M13" i="23" l="1"/>
  <c r="M26" i="19"/>
  <c r="M17" i="23" l="1"/>
  <c r="M21" i="23" s="1"/>
  <c r="M30" i="19"/>
  <c r="M32" i="19" s="1"/>
  <c r="M12" i="20" l="1"/>
  <c r="M14" i="20" s="1"/>
  <c r="M19" i="20" l="1"/>
  <c r="M24" i="20" s="1"/>
  <c r="M25" i="20" s="1"/>
  <c r="G49" i="29" s="1"/>
  <c r="I47" i="29" l="1"/>
  <c r="M47" i="29" s="1"/>
  <c r="Q47" i="29" s="1"/>
  <c r="I49" i="29"/>
  <c r="M49" i="29" s="1"/>
  <c r="Q49" i="29" s="1"/>
  <c r="G51" i="29"/>
  <c r="O51" i="29" l="1"/>
  <c r="I51" i="29"/>
  <c r="Q51" i="29"/>
  <c r="M13" i="18" s="1"/>
  <c r="M27" i="18" l="1"/>
  <c r="M9" i="23"/>
  <c r="M14" i="23" s="1"/>
  <c r="M23" i="23" s="1"/>
  <c r="M11" i="18"/>
  <c r="G26" i="36" l="1"/>
  <c r="G28" i="36" l="1"/>
  <c r="G11" i="29" l="1"/>
  <c r="G50" i="36"/>
  <c r="O11" i="29" s="1"/>
  <c r="G17" i="18" l="1"/>
  <c r="G10" i="11" s="1"/>
  <c r="G32" i="27"/>
  <c r="G18" i="23" l="1"/>
  <c r="G17" i="27"/>
  <c r="G19" i="27" l="1"/>
  <c r="G33" i="27"/>
  <c r="G28" i="27" l="1"/>
  <c r="G22" i="27"/>
  <c r="G35" i="27" s="1"/>
  <c r="G32" i="13" l="1"/>
  <c r="G34" i="13" l="1"/>
  <c r="G36" i="13" s="1"/>
  <c r="G86" i="13" s="1"/>
  <c r="G94" i="13" s="1"/>
  <c r="G17" i="14"/>
  <c r="G18" i="14" l="1"/>
  <c r="G24" i="12"/>
  <c r="G28" i="12" s="1"/>
  <c r="G26" i="14" l="1"/>
  <c r="G16" i="18"/>
  <c r="G19" i="19"/>
  <c r="G21" i="19" s="1"/>
  <c r="G13" i="12"/>
  <c r="G17" i="12" s="1"/>
  <c r="G30" i="12" s="1"/>
  <c r="G19" i="11" s="1"/>
  <c r="G29" i="14" l="1"/>
  <c r="G9" i="11"/>
  <c r="G13" i="11" s="1"/>
  <c r="G15" i="11" s="1"/>
  <c r="G21" i="11" s="1"/>
  <c r="G32" i="14" s="1"/>
  <c r="G25" i="18"/>
  <c r="G35" i="14" l="1"/>
  <c r="G49" i="14" s="1"/>
  <c r="G9" i="18"/>
  <c r="M15" i="29"/>
  <c r="G26" i="19" l="1"/>
  <c r="G13" i="23"/>
  <c r="G17" i="23" l="1"/>
  <c r="G21" i="23" s="1"/>
  <c r="G30" i="19"/>
  <c r="G32" i="19" s="1"/>
  <c r="G12" i="20" l="1"/>
  <c r="G14" i="20" l="1"/>
  <c r="G19" i="20" s="1"/>
  <c r="G24" i="20" s="1"/>
  <c r="G25" i="20" s="1"/>
  <c r="I11" i="29"/>
  <c r="G15" i="29"/>
  <c r="I13" i="29"/>
  <c r="M13" i="29" s="1"/>
  <c r="I15" i="29" l="1"/>
  <c r="M11" i="29"/>
  <c r="Q11" i="29" s="1"/>
  <c r="O15" i="29" l="1"/>
  <c r="Q13" i="29"/>
  <c r="Q15" i="29" s="1"/>
  <c r="G13" i="18" s="1"/>
  <c r="G27" i="18" l="1"/>
  <c r="G9" i="23"/>
  <c r="G14" i="23" s="1"/>
  <c r="G23" i="23" s="1"/>
  <c r="G11" i="18"/>
</calcChain>
</file>

<file path=xl/sharedStrings.xml><?xml version="1.0" encoding="utf-8"?>
<sst xmlns="http://schemas.openxmlformats.org/spreadsheetml/2006/main" count="684" uniqueCount="389">
  <si>
    <t>Yukon Energy Corporation</t>
  </si>
  <si>
    <t>Schedule Index</t>
  </si>
  <si>
    <t>2A</t>
  </si>
  <si>
    <t>3A</t>
  </si>
  <si>
    <t>Cost of Capital Calculation</t>
  </si>
  <si>
    <t>10A</t>
  </si>
  <si>
    <t>Schedule 1</t>
  </si>
  <si>
    <t>Computation of Rate Base</t>
  </si>
  <si>
    <t>($000s)</t>
  </si>
  <si>
    <t>Forecast</t>
  </si>
  <si>
    <t>Line No.</t>
  </si>
  <si>
    <t>Description</t>
  </si>
  <si>
    <t>Cross Ref.</t>
  </si>
  <si>
    <t>2018 GRA
Compliance</t>
  </si>
  <si>
    <t>Actual 2018</t>
  </si>
  <si>
    <t>Existing 2020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</si>
  <si>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</si>
  <si>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</si>
  <si>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</si>
  <si>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</si>
  <si>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</si>
  <si>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</si>
  <si>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</si>
  <si>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</si>
  <si>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</si>
  <si>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</si>
  <si>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</si>
  <si>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</si>
  <si>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S.3 L.16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</si>
  <si>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</si>
  <si>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</si>
  <si>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</si>
  <si>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</si>
  <si>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</si>
  <si>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</si>
  <si>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</si>
  <si>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Mid-year regulatory deferral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</si>
  <si>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</si>
  <si>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</si>
  <si>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</si>
  <si>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</si>
  <si>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</si>
  <si>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</si>
  <si>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</si>
  <si>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</si>
  <si>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</si>
  <si>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</si>
  <si>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</si>
  <si>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</si>
  <si>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</si>
  <si>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</si>
  <si>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</si>
  <si>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</si>
  <si>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</si>
  <si>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</si>
  <si>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</si>
  <si>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</si>
  <si>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</si>
  <si>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</si>
  <si>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S.1 L.19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</si>
  <si>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</si>
  <si>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</si>
  <si>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</si>
  <si>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</si>
  <si>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</si>
  <si>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</si>
  <si>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</si>
  <si>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</si>
  <si>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blended rate (2009 GRA)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</si>
  <si>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</si>
  <si>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</si>
  <si>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</si>
  <si>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</si>
  <si>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</si>
  <si>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</si>
  <si>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</si>
  <si>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</si>
  <si>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</si>
  <si>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</si>
  <si>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</si>
  <si>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</si>
  <si>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</si>
  <si>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</si>
  <si>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</si>
  <si>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</si>
  <si>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</si>
  <si>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</si>
  <si>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</si>
  <si>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</si>
  <si>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Fire Insurance Reserve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</si>
  <si>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</si>
  <si>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</si>
  <si>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</si>
  <si>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</si>
  <si>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</si>
  <si>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</si>
  <si>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</si>
  <si>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</si>
  <si>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</si>
  <si>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</si>
  <si>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</si>
  <si>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</si>
  <si>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Vegetation Management</t>
  </si>
  <si>
    <t>Intangibles</t>
  </si>
  <si>
    <t>Hearing Reserve</t>
  </si>
  <si>
    <t>S.1 L.9</t>
  </si>
  <si>
    <t>S.6 L.6</t>
  </si>
  <si>
    <t>Schedule 3A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</si>
  <si>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</si>
  <si>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</si>
  <si>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</si>
  <si>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</si>
  <si>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</si>
  <si>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</si>
  <si>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</si>
  <si>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</si>
  <si>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</si>
  <si>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</si>
  <si>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</si>
  <si>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</si>
  <si>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</si>
  <si>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</si>
  <si>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</si>
  <si>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</si>
  <si>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</si>
  <si>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</si>
  <si>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</si>
  <si>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</si>
  <si>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</si>
  <si>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</si>
  <si>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</si>
  <si>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</si>
  <si>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</si>
  <si>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</si>
  <si>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</si>
  <si>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</si>
  <si>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</si>
  <si>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</si>
  <si>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</si>
  <si>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</si>
  <si>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</si>
  <si>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</si>
  <si>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</si>
  <si>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</si>
  <si>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</si>
  <si>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</si>
  <si>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</si>
  <si>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</si>
  <si>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</si>
  <si>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</si>
  <si>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</si>
  <si>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</si>
  <si>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</si>
  <si>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</si>
  <si>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</si>
  <si>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</si>
  <si>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</si>
  <si>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</si>
  <si>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</si>
  <si>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</si>
  <si>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</si>
  <si>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</si>
  <si>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</si>
  <si>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</si>
  <si>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</si>
  <si>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</si>
  <si>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</si>
  <si>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</si>
  <si>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</si>
  <si>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</si>
  <si>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</si>
  <si>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</si>
  <si>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</si>
  <si>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</si>
  <si>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</si>
  <si>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</si>
  <si>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</si>
  <si>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Cost at 2020 Year End</t>
  </si>
  <si>
    <t>Mid Year Balance</t>
  </si>
  <si>
    <t>Ratio</t>
  </si>
  <si>
    <t>Mid Year Rate Base</t>
  </si>
  <si>
    <t>Mid Year Cost Rate</t>
  </si>
  <si>
    <t>Return</t>
  </si>
  <si>
    <t>2018 GRA Compliance</t>
  </si>
  <si>
    <t>Long-Term debt</t>
  </si>
  <si>
    <t>S.11 L.18</t>
  </si>
  <si>
    <t>Common Stock</t>
  </si>
  <si>
    <t>S.7 L. 8</t>
  </si>
  <si>
    <t>S.5 L.3</t>
  </si>
  <si>
    <t>2018 Actual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</si>
  <si>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</si>
  <si>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</si>
  <si>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</si>
  <si>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</si>
  <si>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</si>
  <si>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</si>
  <si>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</si>
  <si>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</si>
  <si>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</si>
  <si>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</si>
  <si>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</si>
  <si>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</si>
  <si>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</si>
  <si>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</si>
  <si>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</si>
  <si>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</si>
  <si>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</si>
  <si>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</si>
  <si>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</si>
  <si>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</si>
  <si>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</si>
  <si>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</si>
  <si>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</si>
  <si>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</si>
  <si>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</si>
  <si>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</si>
  <si>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</si>
  <si>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</si>
  <si>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</si>
  <si>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</si>
  <si>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</si>
  <si>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</si>
  <si>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</si>
  <si>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</si>
  <si>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</si>
  <si>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</si>
  <si>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</si>
  <si>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</si>
  <si>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</si>
  <si>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</si>
  <si>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</si>
  <si>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</si>
  <si>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</si>
  <si>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</si>
  <si>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</si>
  <si>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</si>
  <si>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</si>
  <si>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</si>
  <si>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</si>
  <si>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</si>
  <si>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</si>
  <si>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</si>
  <si>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</si>
  <si>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</si>
  <si>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</si>
  <si>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</si>
  <si>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</si>
  <si>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</si>
  <si>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</si>
  <si>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</si>
  <si>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</si>
  <si>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</si>
  <si>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</si>
  <si>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</si>
  <si>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</si>
  <si>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</si>
  <si>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L.13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</si>
  <si>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</si>
  <si>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</si>
  <si>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</si>
  <si>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</si>
  <si>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</si>
  <si>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</si>
  <si>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</si>
  <si>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</si>
  <si>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</si>
  <si>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</si>
  <si>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</si>
  <si>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</si>
  <si>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</si>
  <si>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</si>
  <si>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</si>
  <si>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</si>
  <si>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</si>
  <si>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</si>
  <si>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</si>
  <si>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Post-GRA Reconcil Req'd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</si>
  <si>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</si>
  <si>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</si>
  <si>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</si>
  <si>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</si>
  <si>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</si>
  <si>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</si>
  <si>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</si>
  <si>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</si>
  <si>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</si>
  <si>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</si>
  <si>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</si>
  <si>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</si>
  <si>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</si>
  <si>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</si>
  <si>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</si>
  <si>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</si>
  <si>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</si>
  <si>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</si>
  <si>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Operating and Maintenance Expense Reported in Tab 3 excludes fuel and purchase power, but also includes the following: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</si>
  <si>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</si>
  <si>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</si>
  <si>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</si>
  <si>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</si>
  <si>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</si>
  <si>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</si>
  <si>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</si>
  <si>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</si>
  <si>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</si>
  <si>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</si>
  <si>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</si>
  <si>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</si>
  <si>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General Purpose Long-Term Debt Balance</t>
  </si>
  <si>
    <t>YDC Mayo B Flexible Term Debt</t>
  </si>
  <si>
    <t>TD Bank Swap (2.69%)</t>
  </si>
  <si>
    <t>Minto Decommissioning Reserve</t>
  </si>
  <si>
    <t>YDC $5.5M Debt (2.40%)</t>
  </si>
  <si>
    <t>YDC $21.0M Debt (2.21%)</t>
  </si>
  <si>
    <t>YDC $12.1M Debt (2.10%)</t>
  </si>
  <si>
    <t>TD Bank Swap (3.665%)</t>
  </si>
  <si>
    <t>Mid Year</t>
  </si>
  <si>
    <t>Interest Costs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</si>
  <si>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</si>
  <si>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</si>
  <si>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</si>
  <si>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</si>
  <si>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</si>
  <si>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</si>
  <si>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</si>
  <si>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</si>
  <si>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</si>
  <si>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</si>
  <si>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</si>
  <si>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</si>
  <si>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</si>
  <si>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</si>
  <si>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</si>
  <si>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</si>
  <si>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</si>
  <si>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</si>
  <si>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</si>
  <si>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</si>
  <si>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</si>
  <si>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</si>
  <si>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</si>
  <si>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</si>
  <si>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</si>
  <si>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</si>
  <si>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</si>
  <si>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Existing Depreciation Rate (Years)</t>
  </si>
  <si>
    <t>Proposed Depreciation Rate (Years)</t>
  </si>
  <si>
    <t>New 2018 Debt-2018 True Up (2.15%)</t>
  </si>
  <si>
    <t>S.3 L.4</t>
  </si>
  <si>
    <t>S.3 L.59</t>
  </si>
  <si>
    <t>S.3 L.60</t>
  </si>
  <si>
    <t>S.1 L.8</t>
  </si>
  <si>
    <t>S.3 L.62</t>
  </si>
  <si>
    <t>S.1 L.24</t>
  </si>
  <si>
    <t>TD Bank Swap (2.899%)</t>
  </si>
  <si>
    <t>YDC $2.9M Debt (2.899%)</t>
  </si>
  <si>
    <t>Schedule 4</t>
  </si>
  <si>
    <t>YDC $92.5M Debt (2.40%/2.83%)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</si>
  <si>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</si>
  <si>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</si>
  <si>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</si>
  <si>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</si>
  <si>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</si>
  <si>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</si>
  <si>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Actual 2019</t>
  </si>
  <si>
    <t>Existing 2021</t>
  </si>
  <si>
    <t>Proposed 2021</t>
  </si>
  <si>
    <t>Calculation of Depreciation Expense for 2021</t>
  </si>
  <si>
    <t>2021 Additions</t>
  </si>
  <si>
    <t>Cost at 2021 Year End</t>
  </si>
  <si>
    <t>2021 Existing Forecast Depreciation</t>
  </si>
  <si>
    <t>2021 Proposed Forecast Depreciation</t>
  </si>
  <si>
    <t>Forecast 2020</t>
  </si>
  <si>
    <t>2019 Actual</t>
  </si>
  <si>
    <t>Common Dividends (note 1)</t>
  </si>
  <si>
    <t>New 2020 Debt-2019 True Up (2.19%)</t>
  </si>
  <si>
    <t>New 2020 Debt-2020 True Up (2.19%)</t>
  </si>
  <si>
    <t>New 2021 Debt-2021 True Up (2.19%)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</si>
  <si>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</si>
  <si>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</si>
  <si>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</si>
  <si>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</si>
  <si>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</si>
  <si>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Total Net PP&amp;E, Deferred Costs and Intangible Assets</t>
  </si>
  <si>
    <t>November 2020</t>
  </si>
  <si>
    <t>Deferred study costs and Intangible assets (note 2)</t>
  </si>
  <si>
    <t>Less: Studies and Intangible Assets in Progress</t>
  </si>
  <si>
    <t>Note 2: Planning and Study costs, Relicencing, Dam Safety costs, Vegetation Management and Intangible Assets. Net of contributions.</t>
  </si>
  <si>
    <t>Less: Working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</si>
</sst>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23" x14ac:knownFonts="1">
    <font>
      <sz val="10"/>
      <name val="Arial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6" fillId="0" borderId="0" xfId="0" applyFo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Alignment="1">
      <alignment horizontal="left"/>
    </xf>
    <xf numFmtId="173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/>
    <xf numFmtId="169" fontId="3" fillId="0" borderId="0" xfId="1" applyFont="1" applyFill="1"/>
    <xf numFmtId="169" fontId="3" fillId="0" borderId="0" xfId="1" applyFont="1" applyFill="1" applyBorder="1"/>
    <xf numFmtId="169" fontId="3" fillId="0" borderId="0" xfId="0" applyNumberFormat="1" applyFont="1" applyFill="1"/>
    <xf numFmtId="169" fontId="3" fillId="0" borderId="1" xfId="1" applyFont="1" applyFill="1" applyBorder="1"/>
    <xf numFmtId="169" fontId="3" fillId="0" borderId="4" xfId="1" applyFont="1" applyFill="1" applyBorder="1"/>
    <xf numFmtId="3" fontId="3" fillId="0" borderId="0" xfId="0" applyNumberFormat="1" applyFont="1" applyFill="1"/>
    <xf numFmtId="167" fontId="3" fillId="0" borderId="0" xfId="0" applyNumberFormat="1" applyFont="1" applyFill="1"/>
    <xf numFmtId="169" fontId="3" fillId="0" borderId="3" xfId="1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67" fontId="3" fillId="0" borderId="0" xfId="1" applyNumberFormat="1" applyFont="1" applyFill="1"/>
    <xf numFmtId="167" fontId="3" fillId="0" borderId="0" xfId="1" applyNumberFormat="1" applyFont="1" applyFill="1" applyBorder="1"/>
    <xf numFmtId="0" fontId="9" fillId="0" borderId="0" xfId="0" applyFont="1" applyFill="1"/>
    <xf numFmtId="167" fontId="3" fillId="0" borderId="3" xfId="1" applyNumberFormat="1" applyFont="1" applyFill="1" applyBorder="1"/>
    <xf numFmtId="0" fontId="6" fillId="0" borderId="0" xfId="0" applyFont="1" applyFill="1" applyAlignment="1">
      <alignment horizontal="center"/>
    </xf>
    <xf numFmtId="169" fontId="6" fillId="0" borderId="0" xfId="0" applyNumberFormat="1" applyFont="1" applyFill="1"/>
    <xf numFmtId="169" fontId="3" fillId="0" borderId="0" xfId="0" applyNumberFormat="1" applyFont="1" applyFill="1" applyBorder="1"/>
    <xf numFmtId="10" fontId="3" fillId="0" borderId="1" xfId="0" applyNumberFormat="1" applyFont="1" applyFill="1" applyBorder="1"/>
    <xf numFmtId="10" fontId="3" fillId="0" borderId="0" xfId="0" applyNumberFormat="1" applyFont="1" applyFill="1" applyBorder="1"/>
    <xf numFmtId="169" fontId="3" fillId="0" borderId="3" xfId="0" applyNumberFormat="1" applyFont="1" applyFill="1" applyBorder="1"/>
    <xf numFmtId="10" fontId="3" fillId="0" borderId="0" xfId="0" applyNumberFormat="1" applyFont="1" applyFill="1"/>
    <xf numFmtId="0" fontId="10" fillId="0" borderId="0" xfId="0" applyFont="1" applyFill="1"/>
    <xf numFmtId="1" fontId="3" fillId="0" borderId="0" xfId="0" applyNumberFormat="1" applyFont="1" applyFill="1"/>
    <xf numFmtId="3" fontId="3" fillId="0" borderId="0" xfId="0" applyNumberFormat="1" applyFont="1" applyFill="1" applyBorder="1"/>
    <xf numFmtId="37" fontId="3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3" fontId="3" fillId="0" borderId="0" xfId="1" applyNumberFormat="1" applyFont="1" applyFill="1"/>
    <xf numFmtId="3" fontId="3" fillId="0" borderId="0" xfId="1" applyNumberFormat="1" applyFont="1" applyFill="1" applyBorder="1"/>
    <xf numFmtId="3" fontId="3" fillId="0" borderId="0" xfId="0" applyNumberFormat="1" applyFont="1" applyFill="1" applyAlignment="1">
      <alignment horizontal="right"/>
    </xf>
    <xf numFmtId="0" fontId="11" fillId="0" borderId="0" xfId="0" applyFont="1" applyFill="1"/>
    <xf numFmtId="3" fontId="3" fillId="0" borderId="0" xfId="0" applyNumberFormat="1" applyFont="1" applyFill="1" applyAlignment="1">
      <alignment horizontal="center"/>
    </xf>
    <xf numFmtId="3" fontId="6" fillId="0" borderId="1" xfId="0" applyNumberFormat="1" applyFont="1" applyFill="1" applyBorder="1" applyAlignment="1">
      <alignment horizontal="center" wrapText="1"/>
    </xf>
    <xf numFmtId="171" fontId="3" fillId="0" borderId="0" xfId="0" applyNumberFormat="1" applyFont="1" applyFill="1"/>
    <xf numFmtId="3" fontId="3" fillId="0" borderId="1" xfId="0" applyNumberFormat="1" applyFont="1" applyFill="1" applyBorder="1"/>
    <xf numFmtId="3" fontId="11" fillId="0" borderId="0" xfId="0" applyNumberFormat="1" applyFont="1" applyFill="1"/>
    <xf numFmtId="3" fontId="3" fillId="0" borderId="3" xfId="0" applyNumberFormat="1" applyFont="1" applyFill="1" applyBorder="1"/>
    <xf numFmtId="10" fontId="3" fillId="0" borderId="3" xfId="0" applyNumberFormat="1" applyFont="1" applyFill="1" applyBorder="1"/>
    <xf numFmtId="3" fontId="3" fillId="0" borderId="1" xfId="1" applyNumberFormat="1" applyFont="1" applyFill="1" applyBorder="1"/>
    <xf numFmtId="3" fontId="3" fillId="0" borderId="3" xfId="1" applyNumberFormat="1" applyFont="1" applyFill="1" applyBorder="1"/>
    <xf numFmtId="3" fontId="4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left"/>
    </xf>
    <xf numFmtId="173" fontId="3" fillId="0" borderId="0" xfId="0" applyNumberFormat="1" applyFont="1" applyFill="1" applyAlignment="1"/>
    <xf numFmtId="170" fontId="3" fillId="0" borderId="0" xfId="0" applyNumberFormat="1" applyFont="1" applyFill="1"/>
    <xf numFmtId="170" fontId="3" fillId="0" borderId="1" xfId="0" applyNumberFormat="1" applyFont="1" applyFill="1" applyBorder="1"/>
    <xf numFmtId="170" fontId="3" fillId="0" borderId="3" xfId="0" applyNumberFormat="1" applyFont="1" applyFill="1" applyBorder="1"/>
    <xf numFmtId="170" fontId="3" fillId="0" borderId="0" xfId="0" applyNumberFormat="1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top"/>
    </xf>
    <xf numFmtId="1" fontId="3" fillId="0" borderId="0" xfId="0" applyNumberFormat="1" applyFont="1" applyFill="1" applyBorder="1"/>
    <xf numFmtId="0" fontId="12" fillId="0" borderId="0" xfId="0" applyFont="1" applyFill="1"/>
    <xf numFmtId="0" fontId="3" fillId="0" borderId="0" xfId="0" applyFont="1" applyFill="1" applyAlignment="1">
      <alignment horizontal="right" vertical="center"/>
    </xf>
    <xf numFmtId="169" fontId="3" fillId="0" borderId="0" xfId="1" applyFont="1" applyFill="1" applyBorder="1" applyAlignment="1">
      <alignment horizontal="center" vertical="center"/>
    </xf>
    <xf numFmtId="38" fontId="3" fillId="0" borderId="0" xfId="0" applyNumberFormat="1" applyFont="1" applyFill="1"/>
    <xf numFmtId="38" fontId="3" fillId="0" borderId="0" xfId="0" applyNumberFormat="1" applyFont="1" applyFill="1" applyBorder="1"/>
    <xf numFmtId="168" fontId="3" fillId="0" borderId="0" xfId="0" applyNumberFormat="1" applyFont="1" applyFill="1"/>
    <xf numFmtId="168" fontId="3" fillId="0" borderId="0" xfId="0" applyNumberFormat="1" applyFont="1" applyFill="1" applyBorder="1"/>
    <xf numFmtId="0" fontId="4" fillId="0" borderId="0" xfId="0" applyFont="1" applyAlignment="1">
      <alignment horizontal="left"/>
    </xf>
    <xf numFmtId="0" fontId="3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" fontId="3" fillId="0" borderId="0" xfId="0" applyNumberFormat="1" applyFont="1" applyBorder="1"/>
    <xf numFmtId="169" fontId="2" fillId="0" borderId="0" xfId="4" applyNumberFormat="1" applyFont="1" applyFill="1" applyBorder="1"/>
    <xf numFmtId="169" fontId="3" fillId="0" borderId="0" xfId="4" applyNumberFormat="1" applyFont="1" applyFill="1" applyBorder="1"/>
    <xf numFmtId="0" fontId="3" fillId="0" borderId="0" xfId="0" applyFont="1" applyFill="1" applyAlignment="1">
      <alignment wrapText="1"/>
    </xf>
    <xf numFmtId="169" fontId="3" fillId="0" borderId="0" xfId="3" applyNumberFormat="1" applyFont="1" applyFill="1" applyBorder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6" fillId="0" borderId="0" xfId="5" applyFont="1" applyFill="1"/>
    <xf numFmtId="0" fontId="3" fillId="0" borderId="0" xfId="0" applyFont="1" applyFill="1" applyAlignment="1">
      <alignment horizontal="left" indent="1"/>
    </xf>
    <xf numFmtId="0" fontId="3" fillId="0" borderId="0" xfId="5" applyFont="1" applyFill="1" applyAlignment="1">
      <alignment horizontal="left" indent="1"/>
    </xf>
    <xf numFmtId="172" fontId="3" fillId="0" borderId="0" xfId="0" applyNumberFormat="1" applyFont="1" applyFill="1"/>
    <xf numFmtId="174" fontId="3" fillId="0" borderId="0" xfId="0" applyNumberFormat="1" applyFont="1" applyFill="1"/>
    <xf numFmtId="2" fontId="3" fillId="0" borderId="0" xfId="0" applyNumberFormat="1" applyFont="1" applyFill="1"/>
    <xf numFmtId="0" fontId="15" fillId="0" borderId="0" xfId="5" applyFont="1" applyFill="1" applyBorder="1"/>
    <xf numFmtId="3" fontId="3" fillId="0" borderId="0" xfId="5" applyNumberFormat="1" applyFont="1" applyFill="1"/>
    <xf numFmtId="0" fontId="3" fillId="0" borderId="0" xfId="0" applyFont="1" applyFill="1" applyAlignment="1">
      <alignment horizontal="left"/>
    </xf>
    <xf numFmtId="3" fontId="3" fillId="0" borderId="2" xfId="0" applyNumberFormat="1" applyFont="1" applyFill="1" applyBorder="1"/>
    <xf numFmtId="0" fontId="16" fillId="0" borderId="0" xfId="0" applyFont="1" applyFill="1"/>
    <xf numFmtId="3" fontId="11" fillId="0" borderId="0" xfId="0" applyNumberFormat="1" applyFont="1" applyFill="1" applyBorder="1"/>
    <xf numFmtId="3" fontId="6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3" fontId="10" fillId="0" borderId="0" xfId="0" applyNumberFormat="1" applyFont="1" applyFill="1" applyBorder="1"/>
    <xf numFmtId="1" fontId="10" fillId="0" borderId="0" xfId="0" applyNumberFormat="1" applyFont="1" applyFill="1" applyBorder="1"/>
    <xf numFmtId="37" fontId="10" fillId="0" borderId="0" xfId="0" applyNumberFormat="1" applyFont="1" applyFill="1" applyBorder="1"/>
    <xf numFmtId="3" fontId="3" fillId="0" borderId="0" xfId="0" applyNumberFormat="1" applyFont="1" applyFill="1" applyAlignment="1">
      <alignment vertical="top" wrapText="1"/>
    </xf>
    <xf numFmtId="164" fontId="3" fillId="0" borderId="0" xfId="0" applyNumberFormat="1" applyFont="1" applyFill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3" fontId="17" fillId="0" borderId="0" xfId="0" applyNumberFormat="1" applyFont="1" applyFill="1"/>
    <xf numFmtId="0" fontId="2" fillId="0" borderId="0" xfId="0" applyFont="1" applyFill="1" applyAlignment="1"/>
    <xf numFmtId="10" fontId="3" fillId="0" borderId="0" xfId="2" applyNumberFormat="1" applyFont="1"/>
    <xf numFmtId="10" fontId="3" fillId="0" borderId="0" xfId="2" applyNumberFormat="1" applyFont="1" applyFill="1"/>
    <xf numFmtId="169" fontId="3" fillId="0" borderId="0" xfId="1" applyFont="1" applyFill="1" applyAlignment="1">
      <alignment vertical="center"/>
    </xf>
    <xf numFmtId="169" fontId="3" fillId="0" borderId="0" xfId="1" applyFont="1" applyFill="1" applyAlignment="1">
      <alignment horizontal="center" vertical="center"/>
    </xf>
    <xf numFmtId="3" fontId="3" fillId="0" borderId="4" xfId="1" applyNumberFormat="1" applyFont="1" applyFill="1" applyBorder="1"/>
    <xf numFmtId="174" fontId="3" fillId="0" borderId="0" xfId="5" applyNumberFormat="1" applyFont="1" applyFill="1"/>
    <xf numFmtId="3" fontId="3" fillId="0" borderId="4" xfId="0" applyNumberFormat="1" applyFont="1" applyFill="1" applyBorder="1"/>
    <xf numFmtId="37" fontId="10" fillId="0" borderId="1" xfId="0" applyNumberFormat="1" applyFont="1" applyFill="1" applyBorder="1"/>
    <xf numFmtId="0" fontId="4" fillId="0" borderId="0" xfId="5" applyFont="1" applyFill="1" applyAlignment="1">
      <alignment horizontal="left"/>
    </xf>
    <xf numFmtId="0" fontId="3" fillId="0" borderId="0" xfId="5" applyFont="1" applyFill="1"/>
    <xf numFmtId="0" fontId="3" fillId="0" borderId="0" xfId="5" applyFont="1" applyFill="1" applyAlignment="1">
      <alignment horizontal="center"/>
    </xf>
    <xf numFmtId="0" fontId="4" fillId="0" borderId="0" xfId="5" applyFont="1" applyFill="1" applyAlignment="1">
      <alignment horizontal="center"/>
    </xf>
    <xf numFmtId="0" fontId="3" fillId="0" borderId="0" xfId="5" applyFont="1" applyFill="1" applyBorder="1"/>
    <xf numFmtId="0" fontId="3" fillId="0" borderId="0" xfId="5" applyFont="1" applyFill="1" applyAlignment="1">
      <alignment horizontal="right"/>
    </xf>
    <xf numFmtId="0" fontId="6" fillId="0" borderId="0" xfId="5" applyFont="1" applyFill="1" applyAlignment="1">
      <alignment horizontal="left"/>
    </xf>
    <xf numFmtId="0" fontId="6" fillId="0" borderId="0" xfId="5" applyFont="1" applyFill="1" applyAlignment="1">
      <alignment horizontal="center"/>
    </xf>
    <xf numFmtId="0" fontId="6" fillId="0" borderId="0" xfId="5" applyFont="1" applyFill="1" applyBorder="1" applyAlignment="1">
      <alignment horizontal="center"/>
    </xf>
    <xf numFmtId="173" fontId="3" fillId="0" borderId="0" xfId="5" applyNumberFormat="1" applyFont="1" applyFill="1" applyAlignment="1">
      <alignment horizontal="right"/>
    </xf>
    <xf numFmtId="0" fontId="6" fillId="0" borderId="1" xfId="5" applyFont="1" applyFill="1" applyBorder="1" applyAlignment="1">
      <alignment horizontal="center" wrapText="1"/>
    </xf>
    <xf numFmtId="0" fontId="6" fillId="0" borderId="0" xfId="5" applyFont="1" applyFill="1" applyAlignment="1">
      <alignment horizontal="center" wrapText="1"/>
    </xf>
    <xf numFmtId="0" fontId="3" fillId="0" borderId="0" xfId="5" applyFont="1" applyFill="1" applyAlignment="1"/>
    <xf numFmtId="3" fontId="3" fillId="0" borderId="4" xfId="5" applyNumberFormat="1" applyFont="1" applyFill="1" applyBorder="1"/>
    <xf numFmtId="3" fontId="3" fillId="0" borderId="0" xfId="5" applyNumberFormat="1" applyFont="1" applyFill="1" applyBorder="1"/>
    <xf numFmtId="0" fontId="10" fillId="0" borderId="0" xfId="5" applyFont="1" applyFill="1"/>
    <xf numFmtId="0" fontId="10" fillId="0" borderId="0" xfId="5" applyFont="1" applyFill="1" applyAlignment="1">
      <alignment horizontal="center"/>
    </xf>
    <xf numFmtId="3" fontId="10" fillId="0" borderId="0" xfId="5" applyNumberFormat="1" applyFont="1" applyFill="1" applyBorder="1"/>
    <xf numFmtId="0" fontId="3" fillId="0" borderId="0" xfId="5" applyFont="1" applyFill="1" applyAlignment="1">
      <alignment vertical="top"/>
    </xf>
    <xf numFmtId="0" fontId="3" fillId="0" borderId="0" xfId="5" applyFont="1" applyFill="1" applyAlignment="1">
      <alignment horizontal="left" vertical="top" wrapText="1"/>
    </xf>
    <xf numFmtId="1" fontId="3" fillId="0" borderId="0" xfId="5" applyNumberFormat="1" applyFont="1" applyFill="1"/>
    <xf numFmtId="3" fontId="3" fillId="0" borderId="0" xfId="5" applyNumberFormat="1" applyFont="1" applyFill="1" applyAlignment="1">
      <alignment vertical="top" wrapText="1"/>
    </xf>
    <xf numFmtId="164" fontId="3" fillId="0" borderId="0" xfId="5" applyNumberFormat="1" applyFont="1" applyFill="1"/>
    <xf numFmtId="38" fontId="3" fillId="0" borderId="0" xfId="5" applyNumberFormat="1" applyFont="1" applyFill="1"/>
    <xf numFmtId="0" fontId="3" fillId="4" borderId="0" xfId="0" applyFont="1" applyFill="1" applyAlignment="1">
      <alignment horizontal="center"/>
    </xf>
    <xf numFmtId="0" fontId="19" fillId="5" borderId="0" xfId="6" applyFont="1" applyFill="1" applyBorder="1" applyAlignment="1">
      <alignment horizontal="left"/>
    </xf>
    <xf numFmtId="0" fontId="20" fillId="5" borderId="0" xfId="6" applyFont="1" applyFill="1" applyBorder="1"/>
    <xf numFmtId="165" fontId="20" fillId="5" borderId="0" xfId="6" applyNumberFormat="1" applyFont="1" applyFill="1" applyBorder="1"/>
    <xf numFmtId="2" fontId="20" fillId="5" borderId="0" xfId="6" applyNumberFormat="1" applyFont="1" applyFill="1" applyBorder="1"/>
    <xf numFmtId="0" fontId="21" fillId="5" borderId="0" xfId="6" applyFont="1" applyFill="1" applyBorder="1" applyAlignment="1">
      <alignment horizontal="right"/>
    </xf>
    <xf numFmtId="0" fontId="21" fillId="5" borderId="0" xfId="6" applyFont="1" applyFill="1" applyBorder="1" applyAlignment="1">
      <alignment horizontal="left"/>
    </xf>
    <xf numFmtId="10" fontId="21" fillId="5" borderId="1" xfId="2" applyNumberFormat="1" applyFont="1" applyFill="1" applyBorder="1" applyAlignment="1">
      <alignment horizontal="center"/>
    </xf>
    <xf numFmtId="3" fontId="19" fillId="5" borderId="0" xfId="7" applyNumberFormat="1" applyFont="1" applyFill="1" applyBorder="1" applyAlignment="1">
      <alignment horizontal="right"/>
    </xf>
    <xf numFmtId="10" fontId="19" fillId="5" borderId="0" xfId="2" applyNumberFormat="1" applyFont="1" applyFill="1" applyBorder="1" applyAlignment="1">
      <alignment horizontal="center"/>
    </xf>
    <xf numFmtId="0" fontId="22" fillId="5" borderId="0" xfId="6" applyFont="1" applyFill="1" applyBorder="1"/>
    <xf numFmtId="10" fontId="20" fillId="5" borderId="0" xfId="2" applyNumberFormat="1" applyFont="1" applyFill="1" applyBorder="1" applyAlignment="1">
      <alignment horizontal="center"/>
    </xf>
    <xf numFmtId="175" fontId="21" fillId="5" borderId="0" xfId="6" applyNumberFormat="1" applyFont="1" applyFill="1" applyBorder="1" applyAlignment="1">
      <alignment horizontal="right"/>
    </xf>
    <xf numFmtId="10" fontId="20" fillId="5" borderId="0" xfId="2" applyNumberFormat="1" applyFont="1" applyFill="1" applyBorder="1"/>
    <xf numFmtId="0" fontId="20" fillId="5" borderId="0" xfId="6" applyFont="1" applyFill="1"/>
    <xf numFmtId="3" fontId="20" fillId="5" borderId="0" xfId="6" applyNumberFormat="1" applyFont="1" applyFill="1" applyAlignment="1">
      <alignment horizontal="right"/>
    </xf>
    <xf numFmtId="10" fontId="20" fillId="5" borderId="0" xfId="2" applyNumberFormat="1" applyFont="1" applyFill="1"/>
    <xf numFmtId="2" fontId="19" fillId="5" borderId="0" xfId="6" applyNumberFormat="1" applyFont="1" applyFill="1" applyBorder="1" applyAlignment="1">
      <alignment horizontal="center"/>
    </xf>
    <xf numFmtId="2" fontId="20" fillId="5" borderId="0" xfId="6" applyNumberFormat="1" applyFont="1" applyFill="1"/>
    <xf numFmtId="165" fontId="20" fillId="5" borderId="0" xfId="6" applyNumberFormat="1" applyFont="1" applyFill="1"/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4"/>
    </xf>
    <xf numFmtId="0" fontId="3" fillId="0" borderId="0" xfId="0" applyFont="1" applyFill="1" applyAlignment="1">
      <alignment horizontal="left" indent="5"/>
    </xf>
    <xf numFmtId="0" fontId="3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5" borderId="0" xfId="6" applyFont="1" applyFill="1"/>
    <xf numFmtId="0" fontId="3" fillId="5" borderId="0" xfId="5" applyFont="1" applyFill="1"/>
    <xf numFmtId="0" fontId="6" fillId="5" borderId="0" xfId="6" applyFont="1" applyFill="1" applyBorder="1" applyAlignment="1">
      <alignment horizontal="center"/>
    </xf>
    <xf numFmtId="165" fontId="6" fillId="5" borderId="0" xfId="6" applyNumberFormat="1" applyFont="1" applyFill="1" applyBorder="1" applyAlignment="1">
      <alignment horizontal="center" wrapText="1"/>
    </xf>
    <xf numFmtId="165" fontId="6" fillId="5" borderId="0" xfId="6" applyNumberFormat="1" applyFont="1" applyFill="1" applyAlignment="1">
      <alignment horizontal="center" wrapText="1"/>
    </xf>
    <xf numFmtId="0" fontId="4" fillId="5" borderId="0" xfId="5" applyFont="1" applyFill="1" applyAlignment="1">
      <alignment horizontal="left"/>
    </xf>
    <xf numFmtId="0" fontId="3" fillId="5" borderId="0" xfId="5" applyFont="1" applyFill="1" applyAlignment="1">
      <alignment horizontal="right"/>
    </xf>
    <xf numFmtId="0" fontId="6" fillId="5" borderId="0" xfId="5" applyFont="1" applyFill="1" applyAlignment="1">
      <alignment horizontal="left"/>
    </xf>
    <xf numFmtId="173" fontId="3" fillId="5" borderId="0" xfId="5" applyNumberFormat="1" applyFont="1" applyFill="1" applyAlignment="1">
      <alignment horizontal="right"/>
    </xf>
    <xf numFmtId="0" fontId="6" fillId="5" borderId="0" xfId="6" applyFont="1" applyFill="1" applyBorder="1" applyAlignment="1">
      <alignment horizontal="center" wrapText="1"/>
    </xf>
    <xf numFmtId="0" fontId="6" fillId="5" borderId="5" xfId="6" applyFont="1" applyFill="1" applyBorder="1" applyAlignment="1">
      <alignment horizontal="center" wrapText="1"/>
    </xf>
    <xf numFmtId="2" fontId="6" fillId="5" borderId="0" xfId="6" applyNumberFormat="1" applyFont="1" applyFill="1" applyAlignment="1">
      <alignment horizontal="center" wrapText="1"/>
    </xf>
    <xf numFmtId="0" fontId="6" fillId="5" borderId="0" xfId="6" applyFont="1" applyFill="1" applyAlignment="1">
      <alignment wrapText="1"/>
    </xf>
    <xf numFmtId="1" fontId="19" fillId="5" borderId="0" xfId="7" applyNumberFormat="1" applyFont="1" applyFill="1" applyBorder="1" applyAlignment="1">
      <alignment horizontal="right"/>
    </xf>
    <xf numFmtId="1" fontId="21" fillId="5" borderId="0" xfId="2" applyNumberFormat="1" applyFont="1" applyFill="1" applyBorder="1" applyAlignment="1">
      <alignment horizontal="right"/>
    </xf>
    <xf numFmtId="1" fontId="21" fillId="5" borderId="1" xfId="2" applyNumberFormat="1" applyFont="1" applyFill="1" applyBorder="1" applyAlignment="1">
      <alignment horizontal="right"/>
    </xf>
    <xf numFmtId="1" fontId="19" fillId="5" borderId="0" xfId="2" applyNumberFormat="1" applyFont="1" applyFill="1" applyBorder="1" applyAlignment="1">
      <alignment horizontal="right"/>
    </xf>
    <xf numFmtId="1" fontId="20" fillId="5" borderId="0" xfId="2" applyNumberFormat="1" applyFont="1" applyFill="1" applyBorder="1" applyAlignment="1">
      <alignment horizontal="right"/>
    </xf>
    <xf numFmtId="1" fontId="20" fillId="5" borderId="0" xfId="2" applyNumberFormat="1" applyFont="1" applyFill="1" applyAlignment="1">
      <alignment horizontal="right"/>
    </xf>
    <xf numFmtId="1" fontId="21" fillId="5" borderId="0" xfId="6" applyNumberFormat="1" applyFont="1" applyFill="1" applyBorder="1" applyAlignment="1">
      <alignment horizontal="right"/>
    </xf>
    <xf numFmtId="1" fontId="21" fillId="5" borderId="1" xfId="6" applyNumberFormat="1" applyFont="1" applyFill="1" applyBorder="1" applyAlignment="1">
      <alignment horizontal="right"/>
    </xf>
    <xf numFmtId="1" fontId="20" fillId="5" borderId="0" xfId="6" applyNumberFormat="1" applyFont="1" applyFill="1" applyAlignment="1">
      <alignment horizontal="right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Alignment="1">
      <alignment horizontal="left" indent="1"/>
    </xf>
    <xf numFmtId="3" fontId="3" fillId="0" borderId="0" xfId="5" applyNumberFormat="1" applyFont="1" applyFill="1"/>
    <xf numFmtId="37" fontId="3" fillId="0" borderId="0" xfId="0" applyNumberFormat="1" applyFont="1" applyFill="1"/>
    <xf numFmtId="0" fontId="6" fillId="0" borderId="0" xfId="0" applyFont="1" applyFill="1" applyBorder="1" applyAlignment="1">
      <alignment horizontal="left" wrapText="1"/>
    </xf>
    <xf numFmtId="3" fontId="3" fillId="0" borderId="0" xfId="0" applyNumberFormat="1" applyFont="1"/>
    <xf numFmtId="176" fontId="21" fillId="5" borderId="0" xfId="7" applyNumberFormat="1" applyFont="1" applyFill="1" applyBorder="1" applyAlignment="1">
      <alignment horizontal="right"/>
    </xf>
    <xf numFmtId="176" fontId="21" fillId="5" borderId="1" xfId="7" applyNumberFormat="1" applyFont="1" applyFill="1" applyBorder="1" applyAlignment="1">
      <alignment horizontal="right"/>
    </xf>
    <xf numFmtId="176" fontId="19" fillId="5" borderId="0" xfId="7" applyNumberFormat="1" applyFont="1" applyFill="1" applyBorder="1" applyAlignment="1">
      <alignment horizontal="right"/>
    </xf>
    <xf numFmtId="176" fontId="20" fillId="5" borderId="0" xfId="7" applyNumberFormat="1" applyFont="1" applyFill="1" applyBorder="1" applyAlignment="1">
      <alignment horizontal="right"/>
    </xf>
    <xf numFmtId="176" fontId="20" fillId="5" borderId="0" xfId="6" applyNumberFormat="1" applyFont="1" applyFill="1" applyBorder="1" applyAlignment="1">
      <alignment horizontal="right"/>
    </xf>
    <xf numFmtId="176" fontId="20" fillId="5" borderId="0" xfId="6" applyNumberFormat="1" applyFont="1" applyFill="1" applyAlignment="1">
      <alignment horizontal="right"/>
    </xf>
    <xf numFmtId="0" fontId="6" fillId="0" borderId="0" xfId="0" applyFont="1" applyFill="1" applyBorder="1" applyAlignment="1"/>
    <xf numFmtId="0" fontId="6" fillId="0" borderId="0" xfId="5" applyFont="1" applyFill="1" applyBorder="1" applyAlignment="1"/>
    <xf numFmtId="0" fontId="3" fillId="0" borderId="0" xfId="0" applyFont="1" applyFill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</cellXfs>
  <cellStyles count="10">
    <cellStyle name="Accent2" xfId="4" builtinId="33"/>
    <cellStyle name="Accent4" xfId="3" builtinId="41"/>
    <cellStyle name="Comma" xfId="1" builtinId="3"/>
    <cellStyle name="Comma 2" xfId="7" xr:uid="{00000000-0005-0000-0000-000004000000}"/>
    <cellStyle name="Comma 2 2" xfId="8" xr:uid="{00000000-0005-0000-0000-000005000000}"/>
    <cellStyle name="Comma 2 2 2" xfId="9" xr:uid="{00000000-0005-0000-0000-000006000000}"/>
    <cellStyle name="Normal" xfId="0" builtinId="0"/>
    <cellStyle name="Normal 2" xfId="5" xr:uid="{00000000-0005-0000-0000-000008000000}"/>
    <cellStyle name="Normal 3" xfId="6" xr:uid="{00000000-0005-0000-0000-000009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29"/>
  <sheetViews>
    <sheetView showGridLines="0" tabSelected="1" view="pageBreakPreview" zoomScale="115" zoomScaleNormal="100" zoomScaleSheetLayoutView="115" workbookViewId="0">
      <selection activeCell="E12" sqref="E12"/>
    </sheetView>
  </sheetViews>
  <sheetFormatPr defaultColWidth="9.109375" defaultRowHeight="13.2" x14ac:dyDescent="0.25"/>
  <cols>
    <col min="1" max="1" width="6.6640625" style="1" customWidth="1"/>
    <col min="2" max="2" width="9.109375" style="4"/>
    <col min="3" max="3" width="2.6640625" style="1" customWidth="1"/>
    <col min="4" max="4" width="22.109375" style="1" customWidth="1"/>
    <col min="5" max="10" width="9.109375" style="1"/>
    <col min="11" max="11" width="6.5546875" style="1" customWidth="1"/>
    <col min="12" max="12" width="8.5546875" style="1" customWidth="1"/>
    <col min="13" max="16384" width="9.109375" style="1"/>
  </cols>
  <sheetData>
    <row r="1" spans="2:16" ht="15" x14ac:dyDescent="0.25">
      <c r="D1" s="5"/>
      <c r="F1" s="6" t="s">
        <v>0</v>
      </c>
    </row>
    <row r="2" spans="2:16" x14ac:dyDescent="0.25">
      <c r="D2" s="5"/>
      <c r="E2" s="2"/>
      <c r="F2" s="7" t="s">
        <v>384</v>
      </c>
      <c r="G2" s="2"/>
    </row>
    <row r="3" spans="2:16" x14ac:dyDescent="0.25">
      <c r="D3" s="5"/>
      <c r="F3" s="8"/>
    </row>
    <row r="4" spans="2:16" ht="17.399999999999999" x14ac:dyDescent="0.3">
      <c r="F4" s="9" t="s">
        <v>1</v>
      </c>
    </row>
    <row r="6" spans="2:16" x14ac:dyDescent="0.25">
      <c r="B6" s="4">
        <v>1</v>
      </c>
      <c r="D6" s="1" t="str">
        <f>'Schedule 1'!A2</f>
        <v>Computation of Rate Base</v>
      </c>
    </row>
    <row r="8" spans="2:16" x14ac:dyDescent="0.25">
      <c r="B8" s="4">
        <v>2</v>
      </c>
      <c r="D8" s="1" t="str">
        <f>'Schedule 2'!A2</f>
        <v>Computation of Allowance for Working Capital</v>
      </c>
    </row>
    <row r="9" spans="2:16" x14ac:dyDescent="0.25">
      <c r="B9" s="4" t="s">
        <v>2</v>
      </c>
      <c r="D9" s="1" t="str">
        <f>'Schedule 2A'!A2</f>
        <v>Effect of GST on Working Capital</v>
      </c>
    </row>
    <row r="11" spans="2:16" x14ac:dyDescent="0.25">
      <c r="B11" s="4">
        <v>3</v>
      </c>
      <c r="D11" s="1" t="str">
        <f>'Schedule 3'!A2</f>
        <v>Continuity Schedule of Property, Plant and Equipment, Deferred Costs and Intangible Assets</v>
      </c>
    </row>
    <row r="12" spans="2:16" x14ac:dyDescent="0.25">
      <c r="B12" s="4" t="s">
        <v>3</v>
      </c>
      <c r="D12" s="2" t="str">
        <f>'Schedule 3A'!A2</f>
        <v>Calculation of Depreciation Expense for 2021</v>
      </c>
      <c r="E12" s="2"/>
      <c r="F12" s="2"/>
      <c r="G12" s="2"/>
      <c r="H12" s="2"/>
      <c r="K12" s="11"/>
      <c r="L12" s="11"/>
      <c r="M12" s="11"/>
      <c r="N12" s="11"/>
      <c r="O12" s="11"/>
      <c r="P12" s="11"/>
    </row>
    <row r="13" spans="2:16" x14ac:dyDescent="0.25">
      <c r="B13" s="10"/>
      <c r="C13" s="2"/>
      <c r="D13" s="2"/>
      <c r="E13" s="2"/>
      <c r="F13" s="2"/>
      <c r="G13" s="2"/>
      <c r="H13" s="2"/>
      <c r="K13" s="11"/>
      <c r="L13" s="11"/>
      <c r="M13" s="11"/>
      <c r="N13" s="11"/>
      <c r="O13" s="11"/>
      <c r="P13" s="11"/>
    </row>
    <row r="14" spans="2:16" x14ac:dyDescent="0.25">
      <c r="B14" s="10">
        <v>4</v>
      </c>
      <c r="C14" s="2"/>
      <c r="D14" s="2" t="s">
        <v>4</v>
      </c>
      <c r="E14" s="2"/>
      <c r="F14" s="2"/>
      <c r="G14" s="2"/>
      <c r="H14" s="2"/>
      <c r="I14" s="2"/>
      <c r="J14" s="2"/>
      <c r="K14" s="11"/>
      <c r="L14" s="11"/>
      <c r="M14" s="11"/>
      <c r="N14" s="11"/>
      <c r="O14" s="11"/>
      <c r="P14" s="11"/>
    </row>
    <row r="15" spans="2:16" x14ac:dyDescent="0.25">
      <c r="B15" s="10"/>
      <c r="C15" s="2"/>
      <c r="D15" s="2"/>
      <c r="E15" s="2"/>
      <c r="F15" s="2"/>
      <c r="G15" s="2"/>
      <c r="H15" s="2"/>
      <c r="K15" s="11"/>
    </row>
    <row r="16" spans="2:16" x14ac:dyDescent="0.25">
      <c r="B16" s="4">
        <v>5</v>
      </c>
      <c r="D16" s="1" t="str">
        <f>'Schedule 5'!A2</f>
        <v>Utility Revenue Requirement</v>
      </c>
    </row>
    <row r="18" spans="2:4" x14ac:dyDescent="0.25">
      <c r="B18" s="4">
        <v>6</v>
      </c>
      <c r="D18" s="1" t="str">
        <f>'Schedule 6'!A2</f>
        <v>Statement of Earnings</v>
      </c>
    </row>
    <row r="20" spans="2:4" x14ac:dyDescent="0.25">
      <c r="B20" s="4">
        <v>7</v>
      </c>
      <c r="D20" s="1" t="str">
        <f>'Schedule 7'!A2</f>
        <v>Statement of Retained Earnings</v>
      </c>
    </row>
    <row r="22" spans="2:4" x14ac:dyDescent="0.25">
      <c r="B22" s="4">
        <v>8</v>
      </c>
      <c r="D22" s="1" t="str">
        <f>'Schedule 8'!A2</f>
        <v>Reconciliation of Utility Income to Net Earnings</v>
      </c>
    </row>
    <row r="24" spans="2:4" x14ac:dyDescent="0.25">
      <c r="B24" s="4">
        <v>9</v>
      </c>
      <c r="D24" s="1" t="str">
        <f>'Schedule 9'!A2</f>
        <v>Summary of Customers, Energy Sales and Revenues</v>
      </c>
    </row>
    <row r="26" spans="2:4" x14ac:dyDescent="0.25">
      <c r="B26" s="4">
        <f>B24+1</f>
        <v>10</v>
      </c>
      <c r="D26" s="1" t="str">
        <f>'Schedule 10'!A2</f>
        <v>Summary of Operating and Maintenance Expenses</v>
      </c>
    </row>
    <row r="27" spans="2:4" x14ac:dyDescent="0.25">
      <c r="B27" s="4" t="s">
        <v>5</v>
      </c>
      <c r="D27" s="2" t="str">
        <f>'Schedule 10A'!A2</f>
        <v>Summary of Labour Costs</v>
      </c>
    </row>
    <row r="29" spans="2:4" x14ac:dyDescent="0.25">
      <c r="B29" s="4">
        <f>B26+1</f>
        <v>11</v>
      </c>
      <c r="D29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35"/>
  <sheetViews>
    <sheetView view="pageBreakPreview" zoomScaleSheetLayoutView="100" workbookViewId="0"/>
  </sheetViews>
  <sheetFormatPr defaultColWidth="9.109375" defaultRowHeight="13.2" x14ac:dyDescent="0.25"/>
  <cols>
    <col min="1" max="1" width="5.33203125" style="2" customWidth="1"/>
    <col min="2" max="2" width="1.88671875" style="1" customWidth="1"/>
    <col min="3" max="3" width="31.88671875" style="1" customWidth="1"/>
    <col min="4" max="4" width="1.88671875" style="1" customWidth="1"/>
    <col min="5" max="5" width="9.109375" style="13"/>
    <col min="6" max="6" width="1.88671875" style="1" customWidth="1"/>
    <col min="7" max="7" width="11.77734375" style="1" customWidth="1"/>
    <col min="8" max="8" width="1.88671875" style="1" customWidth="1"/>
    <col min="9" max="9" width="11.33203125" style="1" customWidth="1"/>
    <col min="10" max="11" width="11.33203125" style="2" customWidth="1"/>
    <col min="12" max="12" width="1.44140625" style="14" customWidth="1"/>
    <col min="13" max="13" width="11.33203125" style="2" customWidth="1"/>
    <col min="14" max="15" width="11.33203125" style="1" customWidth="1"/>
    <col min="16" max="16384" width="9.109375" style="1"/>
  </cols>
  <sheetData>
    <row r="1" spans="1:15" ht="15" x14ac:dyDescent="0.25">
      <c r="A1" s="80" t="s">
        <v>0</v>
      </c>
      <c r="N1" s="4" t="s">
        <v>234</v>
      </c>
    </row>
    <row r="2" spans="1:15" x14ac:dyDescent="0.25">
      <c r="A2" s="82" t="s">
        <v>235</v>
      </c>
      <c r="N2" s="16" t="str">
        <f>Index!F2</f>
        <v>November 2020</v>
      </c>
    </row>
    <row r="3" spans="1:15" x14ac:dyDescent="0.25">
      <c r="A3" s="82" t="s">
        <v>8</v>
      </c>
    </row>
    <row r="4" spans="1:15" x14ac:dyDescent="0.25">
      <c r="N4" s="81"/>
      <c r="O4" s="81"/>
    </row>
    <row r="5" spans="1:15" x14ac:dyDescent="0.25">
      <c r="N5" s="81"/>
      <c r="O5" s="81"/>
    </row>
    <row r="6" spans="1:15" s="5" customFormat="1" x14ac:dyDescent="0.25">
      <c r="A6" s="13"/>
      <c r="E6" s="13"/>
      <c r="G6" s="17"/>
      <c r="I6" s="17"/>
      <c r="J6" s="17"/>
      <c r="K6" s="211"/>
      <c r="L6" s="13"/>
      <c r="M6" s="214" t="s">
        <v>9</v>
      </c>
      <c r="N6" s="214"/>
    </row>
    <row r="7" spans="1:15" s="83" customFormat="1" ht="39.6" x14ac:dyDescent="0.25">
      <c r="A7" s="18" t="s">
        <v>10</v>
      </c>
      <c r="C7" s="84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19"/>
      <c r="M7" s="18" t="str">
        <f>'Schedule 1'!M7</f>
        <v>Existing 2021</v>
      </c>
      <c r="N7" s="18" t="str">
        <f>'Schedule 1'!N7</f>
        <v>Proposed 2021</v>
      </c>
      <c r="O7" s="85"/>
    </row>
    <row r="8" spans="1:15" x14ac:dyDescent="0.25">
      <c r="G8" s="2"/>
      <c r="I8" s="2"/>
      <c r="N8" s="2"/>
      <c r="O8" s="81"/>
    </row>
    <row r="9" spans="1:15" x14ac:dyDescent="0.25">
      <c r="A9" s="2">
        <v>1</v>
      </c>
      <c r="C9" s="1" t="s">
        <v>75</v>
      </c>
      <c r="G9" s="22">
        <v>60775.078650498472</v>
      </c>
      <c r="I9" s="22">
        <v>61365.597197907286</v>
      </c>
      <c r="J9" s="22">
        <f>I19</f>
        <v>67653.097567364763</v>
      </c>
      <c r="K9" s="22">
        <f>J19</f>
        <v>65605.556590572727</v>
      </c>
      <c r="L9" s="23"/>
      <c r="M9" s="22">
        <f>K19</f>
        <v>66982.551400487049</v>
      </c>
      <c r="N9" s="22">
        <v>69152.538230487058</v>
      </c>
      <c r="O9" s="81"/>
    </row>
    <row r="10" spans="1:15" x14ac:dyDescent="0.25">
      <c r="G10" s="2"/>
      <c r="I10" s="2"/>
      <c r="N10" s="2"/>
      <c r="O10" s="81"/>
    </row>
    <row r="11" spans="1:15" x14ac:dyDescent="0.25">
      <c r="C11" s="1" t="s">
        <v>27</v>
      </c>
      <c r="G11" s="2"/>
      <c r="I11" s="2"/>
      <c r="N11" s="2"/>
      <c r="O11" s="81"/>
    </row>
    <row r="12" spans="1:15" x14ac:dyDescent="0.25">
      <c r="A12" s="2">
        <v>2</v>
      </c>
      <c r="C12" s="1" t="s">
        <v>230</v>
      </c>
      <c r="E12" s="13" t="s">
        <v>236</v>
      </c>
      <c r="G12" s="23">
        <f>'Schedule 6'!G32</f>
        <v>9142.4222428966623</v>
      </c>
      <c r="I12" s="23">
        <f>'Schedule 6'!I32</f>
        <v>5939.3593694574784</v>
      </c>
      <c r="J12" s="23">
        <f>'Schedule 6'!J32</f>
        <v>2682.7590232079692</v>
      </c>
      <c r="K12" s="23">
        <f>'Schedule 6'!K32</f>
        <v>523.9948099143221</v>
      </c>
      <c r="L12" s="23"/>
      <c r="M12" s="23">
        <f>'Schedule 6'!M32</f>
        <v>4454.3436972035042</v>
      </c>
      <c r="N12" s="23">
        <f>'Schedule 6'!N32</f>
        <v>11668.807406743894</v>
      </c>
      <c r="O12" s="86"/>
    </row>
    <row r="13" spans="1:15" x14ac:dyDescent="0.25">
      <c r="A13" s="2">
        <v>3</v>
      </c>
      <c r="C13" s="1" t="s">
        <v>237</v>
      </c>
      <c r="G13" s="25">
        <v>1659.5409999999999</v>
      </c>
      <c r="I13" s="25">
        <v>348.14100000000002</v>
      </c>
      <c r="J13" s="25">
        <v>-1859.3</v>
      </c>
      <c r="K13" s="25">
        <v>853</v>
      </c>
      <c r="L13" s="25"/>
      <c r="M13" s="25">
        <v>0</v>
      </c>
      <c r="N13" s="25">
        <v>0</v>
      </c>
      <c r="O13" s="86"/>
    </row>
    <row r="14" spans="1:15" x14ac:dyDescent="0.25">
      <c r="A14" s="2">
        <v>4</v>
      </c>
      <c r="C14" s="1" t="s">
        <v>238</v>
      </c>
      <c r="G14" s="22">
        <f>SUM(G12:G13,G9)</f>
        <v>71577.04189339513</v>
      </c>
      <c r="I14" s="22">
        <f>SUM(I12:I13,I9)</f>
        <v>67653.097567364763</v>
      </c>
      <c r="J14" s="22">
        <f>SUM(J12:J13,J9)</f>
        <v>68476.556590572727</v>
      </c>
      <c r="K14" s="22">
        <f>SUM(K12:K13,K9)</f>
        <v>66982.551400487049</v>
      </c>
      <c r="L14" s="23"/>
      <c r="M14" s="22">
        <f>SUM(M12:M13,M9)</f>
        <v>71436.895097690547</v>
      </c>
      <c r="N14" s="22">
        <f>SUM(N12:N13,N9)</f>
        <v>80821.345637230959</v>
      </c>
      <c r="O14" s="81"/>
    </row>
    <row r="15" spans="1:15" x14ac:dyDescent="0.25">
      <c r="G15" s="2"/>
      <c r="I15" s="2"/>
      <c r="N15" s="2"/>
      <c r="O15" s="81"/>
    </row>
    <row r="16" spans="1:15" x14ac:dyDescent="0.25">
      <c r="C16" s="1" t="s">
        <v>239</v>
      </c>
      <c r="G16" s="2"/>
      <c r="I16" s="2"/>
      <c r="N16" s="2"/>
      <c r="O16" s="81"/>
    </row>
    <row r="17" spans="1:15" x14ac:dyDescent="0.25">
      <c r="A17" s="2">
        <v>5</v>
      </c>
      <c r="C17" s="2" t="s">
        <v>374</v>
      </c>
      <c r="G17" s="25">
        <v>10413.969177296662</v>
      </c>
      <c r="I17" s="25">
        <v>0</v>
      </c>
      <c r="J17" s="25">
        <v>2871</v>
      </c>
      <c r="K17" s="25">
        <v>0</v>
      </c>
      <c r="L17" s="87"/>
      <c r="M17" s="25">
        <v>0</v>
      </c>
      <c r="N17" s="25">
        <v>3623.4178290226555</v>
      </c>
      <c r="O17" s="81"/>
    </row>
    <row r="18" spans="1:15" x14ac:dyDescent="0.25">
      <c r="G18" s="2"/>
      <c r="I18" s="2"/>
      <c r="N18" s="2"/>
      <c r="O18" s="81"/>
    </row>
    <row r="19" spans="1:15" ht="13.8" thickBot="1" x14ac:dyDescent="0.3">
      <c r="A19" s="2">
        <v>6</v>
      </c>
      <c r="C19" s="1" t="s">
        <v>78</v>
      </c>
      <c r="G19" s="36">
        <f>SUM(G14-G17)</f>
        <v>61163.072716098468</v>
      </c>
      <c r="I19" s="36">
        <f>SUM(I14-I17)</f>
        <v>67653.097567364763</v>
      </c>
      <c r="J19" s="36">
        <f>SUM(J14-J17)</f>
        <v>65605.556590572727</v>
      </c>
      <c r="K19" s="36">
        <f>SUM(K14-K17)</f>
        <v>66982.551400487049</v>
      </c>
      <c r="L19" s="34"/>
      <c r="M19" s="36">
        <f>SUM(M14-M17)</f>
        <v>71436.895097690547</v>
      </c>
      <c r="N19" s="36">
        <f>SUM(N14-N17)</f>
        <v>77197.927808208304</v>
      </c>
      <c r="O19" s="81"/>
    </row>
    <row r="20" spans="1:15" x14ac:dyDescent="0.25">
      <c r="G20" s="2"/>
      <c r="I20" s="2"/>
      <c r="N20" s="2"/>
      <c r="O20" s="81"/>
    </row>
    <row r="21" spans="1:15" x14ac:dyDescent="0.25">
      <c r="G21" s="2"/>
      <c r="I21" s="2"/>
      <c r="N21" s="2"/>
      <c r="O21" s="81"/>
    </row>
    <row r="22" spans="1:15" x14ac:dyDescent="0.25">
      <c r="B22" s="2"/>
      <c r="C22" s="21" t="s">
        <v>240</v>
      </c>
      <c r="G22" s="2"/>
      <c r="I22" s="2"/>
      <c r="N22" s="2"/>
    </row>
    <row r="23" spans="1:15" x14ac:dyDescent="0.25">
      <c r="A23" s="2">
        <f>A19+1</f>
        <v>7</v>
      </c>
      <c r="B23" s="2"/>
      <c r="C23" s="2" t="s">
        <v>241</v>
      </c>
      <c r="G23" s="22">
        <v>54036.480050760001</v>
      </c>
      <c r="I23" s="22">
        <v>53600</v>
      </c>
      <c r="J23" s="22">
        <v>53600</v>
      </c>
      <c r="K23" s="22">
        <v>57998.073578713011</v>
      </c>
      <c r="L23" s="23"/>
      <c r="M23" s="22">
        <v>61923.866134576267</v>
      </c>
      <c r="N23" s="22">
        <v>57998.073578713011</v>
      </c>
    </row>
    <row r="24" spans="1:15" x14ac:dyDescent="0.25">
      <c r="A24" s="2">
        <f>A23+1</f>
        <v>8</v>
      </c>
      <c r="B24" s="2"/>
      <c r="C24" s="2" t="s">
        <v>242</v>
      </c>
      <c r="G24" s="23">
        <f>G19</f>
        <v>61163.072716098468</v>
      </c>
      <c r="I24" s="23">
        <f>I19</f>
        <v>67653.097567364763</v>
      </c>
      <c r="J24" s="23">
        <f>J19</f>
        <v>65605.556590572727</v>
      </c>
      <c r="K24" s="23">
        <f>K19</f>
        <v>66982.551400487049</v>
      </c>
      <c r="L24" s="88"/>
      <c r="M24" s="23">
        <f>M19</f>
        <v>71436.895097690547</v>
      </c>
      <c r="N24" s="23">
        <f>N19</f>
        <v>77197.927808208304</v>
      </c>
    </row>
    <row r="25" spans="1:15" x14ac:dyDescent="0.25">
      <c r="A25" s="2">
        <f>A24+1</f>
        <v>9</v>
      </c>
      <c r="B25" s="2"/>
      <c r="C25" s="2" t="s">
        <v>34</v>
      </c>
      <c r="G25" s="26">
        <f>SUM(G23:G24)</f>
        <v>115199.55276685847</v>
      </c>
      <c r="I25" s="26">
        <f>SUM(I23:I24)</f>
        <v>121253.09756736476</v>
      </c>
      <c r="J25" s="26">
        <f>SUM(J23:J24)</f>
        <v>119205.55659057273</v>
      </c>
      <c r="K25" s="26">
        <f>SUM(K23:K24)</f>
        <v>124980.62497920006</v>
      </c>
      <c r="L25" s="23"/>
      <c r="M25" s="26">
        <f>SUM(M23:M24)</f>
        <v>133360.76123226681</v>
      </c>
      <c r="N25" s="26">
        <f>SUM(N23:N24)</f>
        <v>135196.00138692133</v>
      </c>
    </row>
    <row r="28" spans="1:15" x14ac:dyDescent="0.25">
      <c r="C28" s="1" t="s">
        <v>243</v>
      </c>
    </row>
    <row r="29" spans="1:15" x14ac:dyDescent="0.25">
      <c r="C29" s="2" t="s">
        <v>244</v>
      </c>
      <c r="D29" s="2"/>
      <c r="F29" s="2"/>
      <c r="G29" s="2"/>
      <c r="H29" s="2"/>
    </row>
    <row r="34" spans="11:14" x14ac:dyDescent="0.25">
      <c r="K34" s="27"/>
      <c r="N34" s="204"/>
    </row>
    <row r="35" spans="11:14" x14ac:dyDescent="0.25">
      <c r="K35" s="204"/>
      <c r="N35" s="204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N24"/>
  <sheetViews>
    <sheetView view="pageBreakPreview" zoomScale="115" zoomScaleSheetLayoutView="115" workbookViewId="0"/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32" style="2" customWidth="1"/>
    <col min="4" max="4" width="1.88671875" style="2" customWidth="1"/>
    <col min="5" max="5" width="9.109375" style="13"/>
    <col min="6" max="6" width="1.88671875" style="2" customWidth="1"/>
    <col min="7" max="7" width="12.109375" style="2" customWidth="1"/>
    <col min="8" max="8" width="1.88671875" style="2" customWidth="1"/>
    <col min="9" max="11" width="11.33203125" style="2" customWidth="1"/>
    <col min="12" max="12" width="1.44140625" style="14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N1" s="10" t="s">
        <v>245</v>
      </c>
    </row>
    <row r="2" spans="1:14" x14ac:dyDescent="0.25">
      <c r="A2" s="15" t="s">
        <v>246</v>
      </c>
      <c r="N2" s="16" t="str">
        <f>Index!F2</f>
        <v>November 2020</v>
      </c>
    </row>
    <row r="3" spans="1:14" x14ac:dyDescent="0.25">
      <c r="A3" s="15" t="s">
        <v>8</v>
      </c>
    </row>
    <row r="6" spans="1:14" s="13" customForma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2">
        <v>1</v>
      </c>
      <c r="C9" s="2" t="s">
        <v>247</v>
      </c>
      <c r="E9" s="13" t="s">
        <v>188</v>
      </c>
      <c r="G9" s="22">
        <f>'Schedule 5'!G13</f>
        <v>13850.170129720804</v>
      </c>
      <c r="I9" s="22">
        <f>'Schedule 5'!I13</f>
        <v>12109.88743064049</v>
      </c>
      <c r="J9" s="22">
        <f>'Schedule 5'!J13</f>
        <v>9479.9659322852167</v>
      </c>
      <c r="K9" s="22">
        <f>'Schedule 5'!K13</f>
        <v>10162.922348164957</v>
      </c>
      <c r="L9" s="88"/>
      <c r="M9" s="22">
        <f>'Schedule 5'!M13</f>
        <v>9447.9881337195056</v>
      </c>
      <c r="N9" s="22">
        <f>'Schedule 5'!N13</f>
        <v>16682.440445747707</v>
      </c>
    </row>
    <row r="10" spans="1:14" x14ac:dyDescent="0.25">
      <c r="G10" s="22"/>
      <c r="I10" s="22"/>
      <c r="J10" s="22"/>
      <c r="K10" s="22"/>
      <c r="L10" s="23"/>
      <c r="M10" s="22"/>
      <c r="N10" s="22"/>
    </row>
    <row r="11" spans="1:14" x14ac:dyDescent="0.25">
      <c r="C11" s="2" t="s">
        <v>27</v>
      </c>
      <c r="G11" s="22"/>
      <c r="I11" s="22"/>
      <c r="J11" s="22"/>
      <c r="K11" s="22"/>
      <c r="L11" s="23"/>
      <c r="M11" s="22"/>
      <c r="N11" s="22"/>
    </row>
    <row r="12" spans="1:14" x14ac:dyDescent="0.25">
      <c r="A12" s="2">
        <v>2</v>
      </c>
      <c r="C12" s="89" t="s">
        <v>248</v>
      </c>
      <c r="E12" s="13" t="s">
        <v>249</v>
      </c>
      <c r="G12" s="22">
        <f>'Schedule 6'!G24</f>
        <v>542.43396758909967</v>
      </c>
      <c r="I12" s="22">
        <f>'Schedule 6'!I24</f>
        <v>539.36683000000005</v>
      </c>
      <c r="J12" s="22">
        <f>'Schedule 6'!J24</f>
        <v>647.59286999999995</v>
      </c>
      <c r="K12" s="22">
        <f>'Schedule 6'!K24</f>
        <v>831.33603812237061</v>
      </c>
      <c r="L12" s="23"/>
      <c r="M12" s="22">
        <f>'Schedule 6'!M24</f>
        <v>1268.6339991018481</v>
      </c>
      <c r="N12" s="22">
        <f>'Schedule 6'!N24</f>
        <v>1268.6339991018481</v>
      </c>
    </row>
    <row r="13" spans="1:14" x14ac:dyDescent="0.25">
      <c r="A13" s="2">
        <v>3</v>
      </c>
      <c r="C13" s="2" t="s">
        <v>250</v>
      </c>
      <c r="E13" s="13" t="s">
        <v>251</v>
      </c>
      <c r="G13" s="25">
        <f>'Schedule 6'!G25</f>
        <v>-514.86460431913849</v>
      </c>
      <c r="I13" s="25">
        <f>'Schedule 6'!I25</f>
        <v>-823.86082787073587</v>
      </c>
      <c r="J13" s="25">
        <f>'Schedule 6'!J25</f>
        <v>-951.11582225682628</v>
      </c>
      <c r="K13" s="25">
        <f>'Schedule 6'!K25</f>
        <v>-508.29039976803006</v>
      </c>
      <c r="L13" s="25"/>
      <c r="M13" s="25">
        <f>'Schedule 6'!M25</f>
        <v>-307.46232539561032</v>
      </c>
      <c r="N13" s="25">
        <f>'Schedule 6'!N25</f>
        <v>-327.29422835283464</v>
      </c>
    </row>
    <row r="14" spans="1:14" x14ac:dyDescent="0.25">
      <c r="G14" s="25">
        <f>SUM(G9:G13)</f>
        <v>13877.739492990766</v>
      </c>
      <c r="I14" s="25">
        <f>SUM(I9:I13)</f>
        <v>11825.393432769755</v>
      </c>
      <c r="J14" s="25">
        <f>SUM(J9:J13)</f>
        <v>9176.4429800283906</v>
      </c>
      <c r="K14" s="25">
        <f>SUM(K9:K13)</f>
        <v>10485.967986519297</v>
      </c>
      <c r="L14" s="23"/>
      <c r="M14" s="25">
        <f>SUM(M9:M13)</f>
        <v>10409.159807425744</v>
      </c>
      <c r="N14" s="25">
        <f>SUM(N9:N13)</f>
        <v>17623.780216496718</v>
      </c>
    </row>
    <row r="16" spans="1:14" x14ac:dyDescent="0.25">
      <c r="C16" s="2" t="s">
        <v>239</v>
      </c>
    </row>
    <row r="17" spans="1:14" x14ac:dyDescent="0.25">
      <c r="A17" s="2">
        <v>4</v>
      </c>
      <c r="C17" s="2" t="s">
        <v>252</v>
      </c>
      <c r="E17" s="13" t="s">
        <v>253</v>
      </c>
      <c r="G17" s="22">
        <f>'Schedule 6'!G29</f>
        <v>4431.4970682795647</v>
      </c>
      <c r="I17" s="22">
        <f>'Schedule 6'!I29</f>
        <v>5582.8928131961011</v>
      </c>
      <c r="J17" s="22">
        <f>'Schedule 6'!J29</f>
        <v>6123.5730626342392</v>
      </c>
      <c r="K17" s="22">
        <f>'Schedule 6'!K29</f>
        <v>9663.2897505523488</v>
      </c>
      <c r="L17" s="23"/>
      <c r="M17" s="22">
        <f>'Schedule 6'!M29</f>
        <v>5631.1705239365629</v>
      </c>
      <c r="N17" s="22">
        <f>'Schedule 6'!N29</f>
        <v>5631.1705239365629</v>
      </c>
    </row>
    <row r="18" spans="1:14" x14ac:dyDescent="0.25">
      <c r="A18" s="2">
        <v>5</v>
      </c>
      <c r="C18" s="2" t="s">
        <v>206</v>
      </c>
      <c r="E18" s="13" t="s">
        <v>254</v>
      </c>
      <c r="G18" s="22">
        <f>-'Schedule 5'!G23</f>
        <v>99.999999999999957</v>
      </c>
      <c r="I18" s="22">
        <f>-'Schedule 5'!I23</f>
        <v>99.349270000000004</v>
      </c>
      <c r="J18" s="22">
        <f>-'Schedule 5'!J23</f>
        <v>166.39563000000001</v>
      </c>
      <c r="K18" s="22">
        <f>-'Schedule 5'!K23</f>
        <v>94.999999999999901</v>
      </c>
      <c r="L18" s="23"/>
      <c r="M18" s="22">
        <f>-'Schedule 5'!M23</f>
        <v>120.00024999999994</v>
      </c>
      <c r="N18" s="22">
        <f>-'Schedule 5'!N23</f>
        <v>120.00024999999994</v>
      </c>
    </row>
    <row r="19" spans="1:14" x14ac:dyDescent="0.25">
      <c r="A19" s="2">
        <v>6</v>
      </c>
      <c r="C19" s="2" t="s">
        <v>255</v>
      </c>
      <c r="E19" s="13" t="s">
        <v>256</v>
      </c>
      <c r="G19" s="90">
        <f>-'Schedule 5'!G24</f>
        <v>0</v>
      </c>
      <c r="I19" s="90">
        <f>-'Schedule 5'!I24</f>
        <v>0</v>
      </c>
      <c r="J19" s="90">
        <f>-'Schedule 5'!J24</f>
        <v>0</v>
      </c>
      <c r="K19" s="90">
        <f>-'Schedule 5'!K24</f>
        <v>0</v>
      </c>
      <c r="L19" s="90">
        <v>0</v>
      </c>
      <c r="M19" s="90">
        <f>-'Schedule 5'!M24</f>
        <v>0</v>
      </c>
      <c r="N19" s="90">
        <f>-'Schedule 5'!N24</f>
        <v>0</v>
      </c>
    </row>
    <row r="20" spans="1:14" x14ac:dyDescent="0.25">
      <c r="A20" s="2">
        <v>7</v>
      </c>
      <c r="C20" s="2" t="s">
        <v>205</v>
      </c>
      <c r="E20" s="13" t="s">
        <v>257</v>
      </c>
      <c r="G20" s="25">
        <f>-'Schedule 5'!G22</f>
        <v>203.80146299999998</v>
      </c>
      <c r="I20" s="25">
        <f>-'Schedule 5'!I22</f>
        <v>203.80146299999998</v>
      </c>
      <c r="J20" s="25">
        <f>-'Schedule 5'!J22</f>
        <v>203.80146299999998</v>
      </c>
      <c r="K20" s="25">
        <f>-'Schedule 5'!K22</f>
        <v>203.80146299999998</v>
      </c>
      <c r="L20" s="23"/>
      <c r="M20" s="25">
        <f>-'Schedule 5'!M22</f>
        <v>203.80146299999998</v>
      </c>
      <c r="N20" s="25">
        <f>-'Schedule 5'!N22</f>
        <v>203.80146299999998</v>
      </c>
    </row>
    <row r="21" spans="1:14" x14ac:dyDescent="0.25">
      <c r="G21" s="25">
        <f>SUM(G17:G20)</f>
        <v>4735.2985312795645</v>
      </c>
      <c r="I21" s="25">
        <f>SUM(I17:I20)</f>
        <v>5886.0435461961006</v>
      </c>
      <c r="J21" s="25">
        <f>SUM(J17:J20)</f>
        <v>6493.770155634239</v>
      </c>
      <c r="K21" s="25">
        <f>SUM(K17:K20)</f>
        <v>9962.0912135523486</v>
      </c>
      <c r="L21" s="23"/>
      <c r="M21" s="25">
        <f>SUM(M17:M20)</f>
        <v>5954.9722369365627</v>
      </c>
      <c r="N21" s="25">
        <f>SUM(N17:N20)</f>
        <v>5954.9722369365627</v>
      </c>
    </row>
    <row r="22" spans="1:14" x14ac:dyDescent="0.25">
      <c r="G22" s="72"/>
      <c r="I22" s="72"/>
      <c r="J22" s="72"/>
      <c r="K22" s="72"/>
      <c r="L22" s="72"/>
      <c r="M22" s="72"/>
      <c r="N22" s="72"/>
    </row>
    <row r="23" spans="1:14" x14ac:dyDescent="0.25">
      <c r="A23" s="2">
        <v>8</v>
      </c>
      <c r="C23" s="2" t="s">
        <v>230</v>
      </c>
      <c r="E23" s="13" t="s">
        <v>236</v>
      </c>
      <c r="G23" s="22">
        <f>G14-G21</f>
        <v>9142.4409617112015</v>
      </c>
      <c r="I23" s="22">
        <f>I14-I21</f>
        <v>5939.3498865736547</v>
      </c>
      <c r="J23" s="22">
        <f>J14-J21</f>
        <v>2682.6728243941516</v>
      </c>
      <c r="K23" s="22">
        <f>K14-K21</f>
        <v>523.87677296694892</v>
      </c>
      <c r="L23" s="23"/>
      <c r="M23" s="22">
        <f>M14-M21</f>
        <v>4454.1875704891809</v>
      </c>
      <c r="N23" s="22">
        <f>N14-N21</f>
        <v>11668.807979560155</v>
      </c>
    </row>
    <row r="24" spans="1:14" x14ac:dyDescent="0.25">
      <c r="G24" s="22"/>
      <c r="I24" s="22"/>
      <c r="J24" s="22"/>
      <c r="K24" s="22"/>
      <c r="L24" s="23"/>
      <c r="M24" s="22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pageSetUpPr fitToPage="1"/>
  </sheetPr>
  <dimension ref="A1:O92"/>
  <sheetViews>
    <sheetView view="pageBreakPreview" zoomScaleSheetLayoutView="100" workbookViewId="0">
      <pane ySplit="7" topLeftCell="A8" activePane="bottomLeft" state="frozen"/>
      <selection pane="bottomLeft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27.44140625" style="2" customWidth="1"/>
    <col min="4" max="4" width="1.88671875" style="2" customWidth="1"/>
    <col min="5" max="5" width="12.109375" style="2" customWidth="1"/>
    <col min="6" max="6" width="1.88671875" style="2" customWidth="1"/>
    <col min="7" max="9" width="11.33203125" style="2" customWidth="1"/>
    <col min="10" max="10" width="1.5546875" style="14" customWidth="1"/>
    <col min="11" max="11" width="11.33203125" style="2" customWidth="1"/>
    <col min="12" max="16384" width="9.109375" style="2"/>
  </cols>
  <sheetData>
    <row r="1" spans="1:13" ht="15" x14ac:dyDescent="0.25">
      <c r="A1" s="12" t="s">
        <v>0</v>
      </c>
      <c r="K1" s="10" t="s">
        <v>258</v>
      </c>
    </row>
    <row r="2" spans="1:13" x14ac:dyDescent="0.25">
      <c r="A2" s="15" t="s">
        <v>259</v>
      </c>
      <c r="K2" s="16" t="str">
        <f>Index!F2</f>
        <v>November 2020</v>
      </c>
    </row>
    <row r="3" spans="1:13" x14ac:dyDescent="0.25">
      <c r="A3" s="15" t="s">
        <v>8</v>
      </c>
    </row>
    <row r="4" spans="1:13" x14ac:dyDescent="0.25">
      <c r="C4" s="91"/>
    </row>
    <row r="5" spans="1:13" x14ac:dyDescent="0.25">
      <c r="C5" s="52"/>
    </row>
    <row r="6" spans="1:13" s="13" customFormat="1" x14ac:dyDescent="0.25">
      <c r="C6" s="92"/>
      <c r="E6" s="17"/>
      <c r="G6" s="17"/>
      <c r="H6" s="17"/>
      <c r="I6" s="17"/>
      <c r="J6" s="17"/>
    </row>
    <row r="7" spans="1:13" s="19" customFormat="1" ht="26.4" x14ac:dyDescent="0.25">
      <c r="A7" s="18" t="s">
        <v>10</v>
      </c>
      <c r="C7" s="18" t="s">
        <v>11</v>
      </c>
      <c r="E7" s="18" t="str">
        <f>'Schedule 1'!G7</f>
        <v>2018 GRA
Compliance</v>
      </c>
      <c r="G7" s="18" t="str">
        <f>'Schedule 1'!I7</f>
        <v>Actual 2018</v>
      </c>
      <c r="H7" s="18" t="str">
        <f>'Schedule 1'!J7</f>
        <v>Actual 2019</v>
      </c>
      <c r="I7" s="18" t="str">
        <f>'Schedule 1'!K7</f>
        <v>Forecast 2020</v>
      </c>
      <c r="J7" s="20"/>
      <c r="K7" s="18" t="str">
        <f>'Schedule 1'!N7</f>
        <v>Proposed 2021</v>
      </c>
    </row>
    <row r="8" spans="1:13" x14ac:dyDescent="0.25">
      <c r="A8" s="2">
        <v>1</v>
      </c>
      <c r="C8" s="21" t="s">
        <v>260</v>
      </c>
      <c r="M8" s="93"/>
    </row>
    <row r="9" spans="1:13" x14ac:dyDescent="0.25">
      <c r="A9" s="2">
        <v>2</v>
      </c>
      <c r="C9" s="94" t="s">
        <v>261</v>
      </c>
      <c r="E9" s="27">
        <v>1635.4831134093349</v>
      </c>
      <c r="G9" s="27">
        <v>1689.1354166666667</v>
      </c>
      <c r="H9" s="27">
        <v>1730.3204444444445</v>
      </c>
      <c r="I9" s="27">
        <v>1755.8856150000001</v>
      </c>
      <c r="J9" s="27"/>
      <c r="K9" s="27">
        <v>1779.7967268777782</v>
      </c>
      <c r="M9" s="95"/>
    </row>
    <row r="10" spans="1:13" x14ac:dyDescent="0.25">
      <c r="A10" s="2">
        <v>3</v>
      </c>
      <c r="C10" s="94" t="s">
        <v>262</v>
      </c>
      <c r="E10" s="27">
        <v>13718.756359540899</v>
      </c>
      <c r="G10" s="27">
        <v>15625.65309</v>
      </c>
      <c r="H10" s="27">
        <v>15384.37</v>
      </c>
      <c r="I10" s="27">
        <v>16729.719988945362</v>
      </c>
      <c r="J10" s="27"/>
      <c r="K10" s="27">
        <v>16209.745867303323</v>
      </c>
      <c r="M10" s="95"/>
    </row>
    <row r="11" spans="1:13" x14ac:dyDescent="0.25">
      <c r="A11" s="2">
        <v>4</v>
      </c>
      <c r="C11" s="94" t="s">
        <v>263</v>
      </c>
      <c r="E11" s="96">
        <f>E10/E9</f>
        <v>8.3881981092074511</v>
      </c>
      <c r="G11" s="96">
        <f>G10/G9</f>
        <v>9.2506811092953125</v>
      </c>
      <c r="H11" s="96">
        <f>H10/H9</f>
        <v>8.8910525500607331</v>
      </c>
      <c r="I11" s="96">
        <f>I10/I9</f>
        <v>9.5277960284134799</v>
      </c>
      <c r="J11" s="96"/>
      <c r="K11" s="96">
        <f>K10/K9</f>
        <v>9.1076388794912511</v>
      </c>
      <c r="M11" s="95"/>
    </row>
    <row r="12" spans="1:13" x14ac:dyDescent="0.25">
      <c r="A12" s="2">
        <v>5</v>
      </c>
      <c r="C12" s="94" t="s">
        <v>264</v>
      </c>
      <c r="D12" s="52"/>
      <c r="E12" s="27">
        <v>2016.4486459742025</v>
      </c>
      <c r="F12" s="52"/>
      <c r="G12" s="27">
        <v>2261.9300099999996</v>
      </c>
      <c r="H12" s="27">
        <v>2262.4463700000006</v>
      </c>
      <c r="I12" s="27">
        <v>2413.2055025728914</v>
      </c>
      <c r="J12" s="27"/>
      <c r="K12" s="27">
        <v>2384.1188693170443</v>
      </c>
      <c r="M12" s="95"/>
    </row>
    <row r="13" spans="1:13" x14ac:dyDescent="0.25">
      <c r="A13" s="2">
        <v>6</v>
      </c>
      <c r="C13" s="94" t="s">
        <v>265</v>
      </c>
      <c r="D13" s="91"/>
      <c r="E13" s="96">
        <f>E12/E10*100</f>
        <v>14.698479899541589</v>
      </c>
      <c r="F13" s="91"/>
      <c r="G13" s="96">
        <f>G12/G10*100</f>
        <v>14.475747010200646</v>
      </c>
      <c r="H13" s="96">
        <f>H12/H10*100</f>
        <v>14.706135967868692</v>
      </c>
      <c r="I13" s="96">
        <f>I12/I10*100</f>
        <v>14.424661645069287</v>
      </c>
      <c r="J13" s="96"/>
      <c r="K13" s="96">
        <f>K12/K10*100</f>
        <v>14.707934898140817</v>
      </c>
      <c r="M13" s="95"/>
    </row>
    <row r="14" spans="1:13" x14ac:dyDescent="0.25">
      <c r="A14" s="2">
        <v>7</v>
      </c>
      <c r="C14" s="21" t="s">
        <v>266</v>
      </c>
      <c r="E14" s="27"/>
      <c r="G14" s="27"/>
      <c r="H14" s="27"/>
      <c r="I14" s="27"/>
      <c r="J14" s="2"/>
      <c r="K14" s="27"/>
      <c r="M14" s="93"/>
    </row>
    <row r="15" spans="1:13" x14ac:dyDescent="0.25">
      <c r="A15" s="2">
        <v>8</v>
      </c>
      <c r="C15" s="94" t="s">
        <v>261</v>
      </c>
      <c r="E15" s="27">
        <v>489.12268518518516</v>
      </c>
      <c r="G15" s="27">
        <v>506</v>
      </c>
      <c r="H15" s="27">
        <v>517.13888888888891</v>
      </c>
      <c r="I15" s="27">
        <v>516.37734736111111</v>
      </c>
      <c r="J15" s="27"/>
      <c r="K15" s="27">
        <v>513.53938439814817</v>
      </c>
      <c r="M15" s="95"/>
    </row>
    <row r="16" spans="1:13" x14ac:dyDescent="0.25">
      <c r="A16" s="2">
        <v>9</v>
      </c>
      <c r="C16" s="94" t="s">
        <v>262</v>
      </c>
      <c r="E16" s="27">
        <v>25436.270312173448</v>
      </c>
      <c r="G16" s="27">
        <v>27170.822899999999</v>
      </c>
      <c r="H16" s="27">
        <v>29148.333999999999</v>
      </c>
      <c r="I16" s="27">
        <v>32249.774759311502</v>
      </c>
      <c r="J16" s="27"/>
      <c r="K16" s="27">
        <v>32322.926762187584</v>
      </c>
      <c r="M16" s="95"/>
    </row>
    <row r="17" spans="1:13" x14ac:dyDescent="0.25">
      <c r="A17" s="2">
        <v>10</v>
      </c>
      <c r="C17" s="94" t="s">
        <v>263</v>
      </c>
      <c r="E17" s="96">
        <f>E16/E15</f>
        <v>52.00386545666575</v>
      </c>
      <c r="G17" s="96">
        <f>G16/G15</f>
        <v>53.697278458498019</v>
      </c>
      <c r="H17" s="96">
        <f>H16/H15</f>
        <v>56.364614277273454</v>
      </c>
      <c r="I17" s="96">
        <f>I16/I15</f>
        <v>62.453891372501879</v>
      </c>
      <c r="J17" s="96"/>
      <c r="K17" s="96">
        <f>K16/K15</f>
        <v>62.941475852079051</v>
      </c>
      <c r="M17" s="95"/>
    </row>
    <row r="18" spans="1:13" x14ac:dyDescent="0.25">
      <c r="A18" s="2">
        <v>11</v>
      </c>
      <c r="C18" s="94" t="s">
        <v>264</v>
      </c>
      <c r="E18" s="27">
        <v>4054.4476339490839</v>
      </c>
      <c r="G18" s="27">
        <v>4490.1586199999992</v>
      </c>
      <c r="H18" s="27">
        <v>4833.266340000001</v>
      </c>
      <c r="I18" s="27">
        <v>5350.8017566907201</v>
      </c>
      <c r="J18" s="27"/>
      <c r="K18" s="27">
        <v>5388.0779262706401</v>
      </c>
      <c r="M18" s="95"/>
    </row>
    <row r="19" spans="1:13" x14ac:dyDescent="0.25">
      <c r="A19" s="2">
        <v>12</v>
      </c>
      <c r="C19" s="94" t="s">
        <v>265</v>
      </c>
      <c r="E19" s="96">
        <f>E18/E16*100</f>
        <v>15.939631023690925</v>
      </c>
      <c r="G19" s="96">
        <f>G18/G16*100</f>
        <v>16.525662975043716</v>
      </c>
      <c r="H19" s="96">
        <f>H18/H16*100</f>
        <v>16.581621234338819</v>
      </c>
      <c r="I19" s="96">
        <f>I18/I16*100</f>
        <v>16.591749234297456</v>
      </c>
      <c r="J19" s="96"/>
      <c r="K19" s="96">
        <f>K18/K16*100</f>
        <v>16.669523666321545</v>
      </c>
      <c r="M19" s="95"/>
    </row>
    <row r="20" spans="1:13" x14ac:dyDescent="0.25">
      <c r="A20" s="2">
        <v>13</v>
      </c>
      <c r="C20" s="21" t="s">
        <v>267</v>
      </c>
      <c r="E20" s="27"/>
      <c r="G20" s="27"/>
      <c r="H20" s="27"/>
      <c r="I20" s="27"/>
      <c r="J20" s="2"/>
      <c r="K20" s="27"/>
      <c r="M20" s="93"/>
    </row>
    <row r="21" spans="1:13" x14ac:dyDescent="0.25">
      <c r="A21" s="2">
        <v>14</v>
      </c>
      <c r="C21" s="94" t="s">
        <v>262</v>
      </c>
      <c r="E21" s="27">
        <v>32192.510670058487</v>
      </c>
      <c r="G21" s="27">
        <v>36909.889659999993</v>
      </c>
      <c r="H21" s="27">
        <v>27286.06719999999</v>
      </c>
      <c r="I21" s="27">
        <v>64856.373884166685</v>
      </c>
      <c r="J21" s="27"/>
      <c r="K21" s="27">
        <v>102903.86099999998</v>
      </c>
      <c r="M21" s="95"/>
    </row>
    <row r="22" spans="1:13" x14ac:dyDescent="0.25">
      <c r="A22" s="2">
        <v>15</v>
      </c>
      <c r="C22" s="94" t="s">
        <v>264</v>
      </c>
      <c r="E22" s="27">
        <v>3951.5815796545494</v>
      </c>
      <c r="G22" s="27">
        <v>4377.7479400000002</v>
      </c>
      <c r="H22" s="27">
        <v>3672.8377635519992</v>
      </c>
      <c r="I22" s="27">
        <v>7259.6428043321366</v>
      </c>
      <c r="J22" s="27"/>
      <c r="K22" s="27">
        <v>11535.495389324258</v>
      </c>
      <c r="M22" s="95"/>
    </row>
    <row r="23" spans="1:13" x14ac:dyDescent="0.25">
      <c r="A23" s="2">
        <v>16</v>
      </c>
      <c r="C23" s="94" t="s">
        <v>265</v>
      </c>
      <c r="E23" s="96">
        <f>E22/E21*100</f>
        <v>12.274847464226593</v>
      </c>
      <c r="G23" s="96">
        <f>G22/G21*100</f>
        <v>11.860636757048493</v>
      </c>
      <c r="H23" s="96">
        <f>H22/H21*100</f>
        <v>13.460487862288929</v>
      </c>
      <c r="I23" s="96">
        <f>I22/I21*100</f>
        <v>11.19341457062931</v>
      </c>
      <c r="J23" s="96"/>
      <c r="K23" s="96">
        <f>K22/K21*100</f>
        <v>11.2099733452414</v>
      </c>
      <c r="M23" s="95"/>
    </row>
    <row r="24" spans="1:13" x14ac:dyDescent="0.25">
      <c r="A24" s="2">
        <v>17</v>
      </c>
      <c r="C24" s="21" t="s">
        <v>268</v>
      </c>
      <c r="E24" s="27"/>
      <c r="G24" s="27"/>
      <c r="H24" s="27"/>
      <c r="I24" s="27"/>
      <c r="J24" s="2"/>
      <c r="K24" s="27"/>
      <c r="M24" s="93"/>
    </row>
    <row r="25" spans="1:13" x14ac:dyDescent="0.25">
      <c r="A25" s="2">
        <v>18</v>
      </c>
      <c r="C25" s="94" t="s">
        <v>262</v>
      </c>
      <c r="E25" s="27">
        <v>213.636</v>
      </c>
      <c r="G25" s="27">
        <v>223.86439000000001</v>
      </c>
      <c r="H25" s="27">
        <v>167.79</v>
      </c>
      <c r="I25" s="27">
        <v>167.64</v>
      </c>
      <c r="J25" s="27"/>
      <c r="K25" s="27">
        <v>167.64</v>
      </c>
      <c r="M25" s="95"/>
    </row>
    <row r="26" spans="1:13" x14ac:dyDescent="0.25">
      <c r="A26" s="2">
        <v>19</v>
      </c>
      <c r="C26" s="94" t="s">
        <v>264</v>
      </c>
      <c r="D26" s="35"/>
      <c r="E26" s="27">
        <v>55.56324295455358</v>
      </c>
      <c r="F26" s="35"/>
      <c r="G26" s="27">
        <v>87.487780000000015</v>
      </c>
      <c r="H26" s="27">
        <v>81.862750000000005</v>
      </c>
      <c r="I26" s="27">
        <v>81.852720000000005</v>
      </c>
      <c r="J26" s="27"/>
      <c r="K26" s="27">
        <v>81.841440000000006</v>
      </c>
      <c r="M26" s="95"/>
    </row>
    <row r="27" spans="1:13" x14ac:dyDescent="0.25">
      <c r="A27" s="2">
        <v>20</v>
      </c>
      <c r="C27" s="94" t="s">
        <v>265</v>
      </c>
      <c r="E27" s="96">
        <f>E26/E25*100</f>
        <v>26.008370758932752</v>
      </c>
      <c r="G27" s="96">
        <f>G26/G25*100</f>
        <v>39.080704170949211</v>
      </c>
      <c r="H27" s="96">
        <f>H26/H25*100</f>
        <v>48.788813397699506</v>
      </c>
      <c r="I27" s="96">
        <f>I26/I25*100</f>
        <v>48.826485325697931</v>
      </c>
      <c r="J27" s="96"/>
      <c r="K27" s="96">
        <f>K26/K25*100</f>
        <v>48.819756621331436</v>
      </c>
      <c r="M27" s="95"/>
    </row>
    <row r="28" spans="1:13" x14ac:dyDescent="0.25">
      <c r="A28" s="2">
        <v>21</v>
      </c>
      <c r="C28" s="21" t="s">
        <v>269</v>
      </c>
      <c r="E28" s="27"/>
      <c r="G28" s="27"/>
      <c r="H28" s="27"/>
      <c r="I28" s="27"/>
      <c r="J28" s="2"/>
      <c r="K28" s="27"/>
      <c r="M28" s="93"/>
    </row>
    <row r="29" spans="1:13" x14ac:dyDescent="0.25">
      <c r="A29" s="2">
        <v>22</v>
      </c>
      <c r="C29" s="94" t="s">
        <v>262</v>
      </c>
      <c r="E29" s="27">
        <v>11.724</v>
      </c>
      <c r="G29" s="27">
        <v>11.24933</v>
      </c>
      <c r="H29" s="27">
        <v>10.071999999999999</v>
      </c>
      <c r="I29" s="27">
        <v>9.5640000000000001</v>
      </c>
      <c r="J29" s="27"/>
      <c r="K29" s="27">
        <v>9.8040000000000003</v>
      </c>
      <c r="M29" s="95"/>
    </row>
    <row r="30" spans="1:13" x14ac:dyDescent="0.25">
      <c r="A30" s="2">
        <v>23</v>
      </c>
      <c r="C30" s="94" t="s">
        <v>264</v>
      </c>
      <c r="E30" s="27">
        <v>2.632959421354049</v>
      </c>
      <c r="G30" s="27">
        <v>3.2859400000000005</v>
      </c>
      <c r="H30" s="27">
        <v>2.6859899999999999</v>
      </c>
      <c r="I30" s="27">
        <v>2.6885400000000002</v>
      </c>
      <c r="J30" s="27"/>
      <c r="K30" s="27">
        <v>2.6050800000000001</v>
      </c>
      <c r="M30" s="95"/>
    </row>
    <row r="31" spans="1:13" x14ac:dyDescent="0.25">
      <c r="A31" s="2">
        <v>24</v>
      </c>
      <c r="C31" s="94" t="s">
        <v>265</v>
      </c>
      <c r="E31" s="96">
        <f>E30/E29*100</f>
        <v>22.457859274599532</v>
      </c>
      <c r="G31" s="96">
        <f>G30/G29*100</f>
        <v>29.210095179001776</v>
      </c>
      <c r="H31" s="96">
        <f>H30/H29*100</f>
        <v>26.667891183478954</v>
      </c>
      <c r="I31" s="96">
        <f>I30/I29*100</f>
        <v>28.111041405269766</v>
      </c>
      <c r="J31" s="96"/>
      <c r="K31" s="96">
        <f>K30/K29*100</f>
        <v>26.57160342717258</v>
      </c>
      <c r="M31" s="95"/>
    </row>
    <row r="32" spans="1:13" x14ac:dyDescent="0.25">
      <c r="A32" s="2">
        <v>25</v>
      </c>
      <c r="C32" s="21" t="s">
        <v>270</v>
      </c>
      <c r="E32" s="27"/>
      <c r="G32" s="27"/>
      <c r="H32" s="27"/>
      <c r="I32" s="27"/>
      <c r="J32" s="2"/>
      <c r="K32" s="27"/>
      <c r="M32" s="99"/>
    </row>
    <row r="33" spans="1:13" x14ac:dyDescent="0.25">
      <c r="A33" s="2">
        <v>26</v>
      </c>
      <c r="C33" s="94" t="s">
        <v>261</v>
      </c>
      <c r="E33" s="100">
        <f t="shared" ref="E33:G33" si="0">E9+E15</f>
        <v>2124.6057985945199</v>
      </c>
      <c r="G33" s="201">
        <f t="shared" si="0"/>
        <v>2195.135416666667</v>
      </c>
      <c r="H33" s="201">
        <f t="shared" ref="H33:I33" si="1">H9+H15</f>
        <v>2247.4593333333332</v>
      </c>
      <c r="I33" s="201">
        <f t="shared" si="1"/>
        <v>2272.262962361111</v>
      </c>
      <c r="J33" s="27"/>
      <c r="K33" s="201">
        <f t="shared" ref="K33" si="2">K9+K15</f>
        <v>2293.3361112759262</v>
      </c>
      <c r="M33" s="95"/>
    </row>
    <row r="34" spans="1:13" x14ac:dyDescent="0.25">
      <c r="A34" s="2">
        <v>27</v>
      </c>
      <c r="C34" s="94" t="s">
        <v>262</v>
      </c>
      <c r="E34" s="100">
        <f t="shared" ref="E34:G34" si="3">E10+E16+E21+E25+E29</f>
        <v>71572.897341772841</v>
      </c>
      <c r="G34" s="201">
        <f t="shared" si="3"/>
        <v>79941.479370000001</v>
      </c>
      <c r="H34" s="201">
        <f t="shared" ref="H34:I34" si="4">H10+H16+H21+H25+H29</f>
        <v>71996.633199999982</v>
      </c>
      <c r="I34" s="201">
        <f t="shared" si="4"/>
        <v>114013.07263242354</v>
      </c>
      <c r="J34" s="27"/>
      <c r="K34" s="201">
        <f t="shared" ref="K34" si="5">K10+K16+K21+K25+K29</f>
        <v>151613.9776294909</v>
      </c>
      <c r="M34" s="95"/>
    </row>
    <row r="35" spans="1:13" x14ac:dyDescent="0.25">
      <c r="A35" s="2">
        <v>28</v>
      </c>
      <c r="C35" s="94" t="s">
        <v>264</v>
      </c>
      <c r="E35" s="100">
        <f t="shared" ref="E35" si="6">E12+E18+E22+E26+E30</f>
        <v>10080.674061953745</v>
      </c>
      <c r="G35" s="201">
        <f t="shared" ref="G35" si="7">G12+G18+G22+G26+G30</f>
        <v>11220.610289999999</v>
      </c>
      <c r="H35" s="201">
        <f t="shared" ref="H35:I35" si="8">H12+H18+H22+H26+H30</f>
        <v>10853.099213552001</v>
      </c>
      <c r="I35" s="201">
        <f t="shared" si="8"/>
        <v>15108.191323595749</v>
      </c>
      <c r="J35" s="27"/>
      <c r="K35" s="201">
        <f t="shared" ref="K35" si="9">K12+K18+K22+K26+K30</f>
        <v>19392.138704911944</v>
      </c>
      <c r="M35" s="95"/>
    </row>
    <row r="36" spans="1:13" x14ac:dyDescent="0.25">
      <c r="A36" s="2">
        <v>29</v>
      </c>
      <c r="C36" s="94" t="s">
        <v>265</v>
      </c>
      <c r="E36" s="122">
        <f t="shared" ref="E36" si="10">SUM(E35/E34)*100</f>
        <v>14.084485100298233</v>
      </c>
      <c r="G36" s="122">
        <f t="shared" ref="G36" si="11">SUM(G35/G34)*100</f>
        <v>14.036030329219562</v>
      </c>
      <c r="H36" s="122">
        <f t="shared" ref="H36:I36" si="12">SUM(H35/H34)*100</f>
        <v>15.074453805920474</v>
      </c>
      <c r="I36" s="122">
        <f t="shared" si="12"/>
        <v>13.251279853060652</v>
      </c>
      <c r="J36" s="97"/>
      <c r="K36" s="122">
        <f t="shared" ref="K36" si="13">SUM(K35/K34)*100</f>
        <v>12.79046893176419</v>
      </c>
      <c r="M36" s="95"/>
    </row>
    <row r="37" spans="1:13" x14ac:dyDescent="0.25">
      <c r="A37" s="2">
        <v>30</v>
      </c>
      <c r="C37" s="21" t="s">
        <v>271</v>
      </c>
      <c r="E37" s="27"/>
      <c r="G37" s="27"/>
      <c r="H37" s="27"/>
      <c r="I37" s="27"/>
      <c r="J37" s="2"/>
      <c r="K37" s="27"/>
      <c r="M37" s="93"/>
    </row>
    <row r="38" spans="1:13" x14ac:dyDescent="0.25">
      <c r="A38" s="2">
        <v>31</v>
      </c>
      <c r="C38" s="94" t="s">
        <v>262</v>
      </c>
      <c r="E38" s="27">
        <v>314700</v>
      </c>
      <c r="G38" s="27">
        <v>332270.26475999999</v>
      </c>
      <c r="H38" s="27">
        <v>331494.72499999998</v>
      </c>
      <c r="I38" s="27">
        <v>351774.54976409348</v>
      </c>
      <c r="J38" s="27"/>
      <c r="K38" s="27">
        <v>343537</v>
      </c>
      <c r="M38" s="95"/>
    </row>
    <row r="39" spans="1:13" x14ac:dyDescent="0.25">
      <c r="A39" s="2">
        <v>32</v>
      </c>
      <c r="C39" s="94" t="s">
        <v>264</v>
      </c>
      <c r="E39" s="27">
        <v>26113.806</v>
      </c>
      <c r="G39" s="27">
        <v>27571.786660000009</v>
      </c>
      <c r="H39" s="27">
        <v>27507.078784739999</v>
      </c>
      <c r="I39" s="27">
        <v>29190.252139424469</v>
      </c>
      <c r="J39" s="27"/>
      <c r="K39" s="27">
        <v>28506.700260000001</v>
      </c>
      <c r="M39" s="95"/>
    </row>
    <row r="40" spans="1:13" x14ac:dyDescent="0.25">
      <c r="A40" s="2">
        <v>33</v>
      </c>
      <c r="C40" s="94" t="s">
        <v>265</v>
      </c>
      <c r="E40" s="96">
        <f>E39/E38*100</f>
        <v>8.298</v>
      </c>
      <c r="G40" s="96">
        <f>G39/G38*100</f>
        <v>8.2980000271511543</v>
      </c>
      <c r="H40" s="96">
        <f>H39/H38*100</f>
        <v>8.2978933630814176</v>
      </c>
      <c r="I40" s="96">
        <f>I39/I38*100</f>
        <v>8.2979999999999965</v>
      </c>
      <c r="J40" s="96"/>
      <c r="K40" s="96">
        <f>K39/K38*100</f>
        <v>8.298</v>
      </c>
      <c r="M40" s="95"/>
    </row>
    <row r="41" spans="1:13" x14ac:dyDescent="0.25">
      <c r="A41" s="2">
        <v>34</v>
      </c>
      <c r="C41" s="21" t="s">
        <v>272</v>
      </c>
      <c r="E41" s="27"/>
      <c r="G41" s="27"/>
      <c r="H41" s="27"/>
      <c r="I41" s="27"/>
      <c r="J41" s="2"/>
      <c r="K41" s="27"/>
      <c r="M41" s="99"/>
    </row>
    <row r="42" spans="1:13" x14ac:dyDescent="0.25">
      <c r="A42" s="2">
        <v>35</v>
      </c>
      <c r="C42" s="94" t="s">
        <v>262</v>
      </c>
      <c r="E42" s="100">
        <f t="shared" ref="E42:G43" si="14">E34+E38</f>
        <v>386272.89734177286</v>
      </c>
      <c r="G42" s="201">
        <f t="shared" si="14"/>
        <v>412211.74413000001</v>
      </c>
      <c r="H42" s="201">
        <f t="shared" ref="H42:I42" si="15">H34+H38</f>
        <v>403491.35819999996</v>
      </c>
      <c r="I42" s="201">
        <f t="shared" si="15"/>
        <v>465787.62239651702</v>
      </c>
      <c r="J42" s="201"/>
      <c r="K42" s="201">
        <f t="shared" ref="K42:K43" si="16">K34+K38</f>
        <v>495150.9776294909</v>
      </c>
      <c r="M42" s="95"/>
    </row>
    <row r="43" spans="1:13" x14ac:dyDescent="0.25">
      <c r="A43" s="2">
        <v>36</v>
      </c>
      <c r="C43" s="94" t="s">
        <v>264</v>
      </c>
      <c r="E43" s="100">
        <f t="shared" si="14"/>
        <v>36194.480061953742</v>
      </c>
      <c r="G43" s="201">
        <f t="shared" ref="G43" si="17">G35+G39</f>
        <v>38792.396950000009</v>
      </c>
      <c r="H43" s="201">
        <f t="shared" ref="H43:I43" si="18">H35+H39</f>
        <v>38360.177998291998</v>
      </c>
      <c r="I43" s="201">
        <f t="shared" si="18"/>
        <v>44298.443463020216</v>
      </c>
      <c r="J43" s="201"/>
      <c r="K43" s="201">
        <f t="shared" si="16"/>
        <v>47898.838964911949</v>
      </c>
      <c r="M43" s="95"/>
    </row>
    <row r="44" spans="1:13" x14ac:dyDescent="0.25">
      <c r="A44" s="2">
        <v>37</v>
      </c>
      <c r="C44" s="94" t="s">
        <v>265</v>
      </c>
      <c r="E44" s="97">
        <f t="shared" ref="E44:G44" si="19">E43/E42*100</f>
        <v>9.3701836994090204</v>
      </c>
      <c r="G44" s="97">
        <f t="shared" si="19"/>
        <v>9.4107937249274443</v>
      </c>
      <c r="H44" s="97">
        <f t="shared" ref="H44:I44" si="20">H43/H42*100</f>
        <v>9.5070630928551072</v>
      </c>
      <c r="I44" s="97">
        <f t="shared" si="20"/>
        <v>9.5104380908837705</v>
      </c>
      <c r="J44" s="97"/>
      <c r="K44" s="97">
        <f t="shared" ref="K44" si="21">K43/K42*100</f>
        <v>9.67358263013538</v>
      </c>
      <c r="M44" s="95"/>
    </row>
    <row r="45" spans="1:13" x14ac:dyDescent="0.25">
      <c r="A45" s="2">
        <v>38</v>
      </c>
      <c r="C45" s="21" t="s">
        <v>273</v>
      </c>
      <c r="E45" s="27"/>
      <c r="G45" s="27"/>
      <c r="H45" s="27"/>
      <c r="I45" s="27"/>
      <c r="J45" s="27"/>
      <c r="K45" s="27"/>
      <c r="M45" s="93"/>
    </row>
    <row r="46" spans="1:13" x14ac:dyDescent="0.25">
      <c r="A46" s="2">
        <v>39</v>
      </c>
      <c r="C46" s="94" t="s">
        <v>262</v>
      </c>
      <c r="E46" s="27">
        <v>2059.48</v>
      </c>
      <c r="G46" s="27">
        <v>257.95499999999998</v>
      </c>
      <c r="H46" s="27">
        <v>0.48</v>
      </c>
      <c r="I46" s="27">
        <v>0</v>
      </c>
      <c r="J46" s="27"/>
      <c r="K46" s="27">
        <v>0</v>
      </c>
      <c r="M46" s="95"/>
    </row>
    <row r="47" spans="1:13" x14ac:dyDescent="0.25">
      <c r="A47" s="2">
        <v>40</v>
      </c>
      <c r="C47" s="94" t="s">
        <v>264</v>
      </c>
      <c r="E47" s="27">
        <v>115.33088000000001</v>
      </c>
      <c r="G47" s="27">
        <v>19.622690000000002</v>
      </c>
      <c r="H47" s="27">
        <v>3.6480000000000005E-2</v>
      </c>
      <c r="I47" s="27">
        <v>0</v>
      </c>
      <c r="J47" s="27"/>
      <c r="K47" s="27">
        <v>0</v>
      </c>
      <c r="M47" s="95"/>
    </row>
    <row r="48" spans="1:13" x14ac:dyDescent="0.25">
      <c r="A48" s="2">
        <v>41</v>
      </c>
      <c r="C48" s="94" t="s">
        <v>265</v>
      </c>
      <c r="E48" s="97">
        <f t="shared" ref="E48:G48" si="22">E47/E46*100</f>
        <v>5.6000000000000005</v>
      </c>
      <c r="G48" s="97">
        <f t="shared" si="22"/>
        <v>7.6070206043689801</v>
      </c>
      <c r="H48" s="97">
        <f>IFERROR(H47/H46*100,0)</f>
        <v>7.6000000000000014</v>
      </c>
      <c r="I48" s="97">
        <f>IFERROR(I47/I46*100,0)</f>
        <v>0</v>
      </c>
      <c r="J48" s="96"/>
      <c r="K48" s="97">
        <f>IFERROR(K47/K46*100,0)</f>
        <v>0</v>
      </c>
      <c r="M48" s="95"/>
    </row>
    <row r="49" spans="1:14" x14ac:dyDescent="0.25">
      <c r="A49" s="2">
        <v>42</v>
      </c>
      <c r="C49" s="21" t="s">
        <v>274</v>
      </c>
      <c r="E49" s="27"/>
      <c r="G49" s="27"/>
      <c r="H49" s="27"/>
      <c r="I49" s="27"/>
      <c r="J49" s="2"/>
      <c r="K49" s="27"/>
      <c r="M49" s="93"/>
    </row>
    <row r="50" spans="1:14" x14ac:dyDescent="0.25">
      <c r="A50" s="2">
        <v>43</v>
      </c>
      <c r="C50" s="94" t="s">
        <v>262</v>
      </c>
      <c r="E50" s="27">
        <f t="shared" ref="E50:G50" si="23">E42+E46</f>
        <v>388332.37734177284</v>
      </c>
      <c r="G50" s="27">
        <f t="shared" si="23"/>
        <v>412469.69913000002</v>
      </c>
      <c r="H50" s="27">
        <f t="shared" ref="H50:I51" si="24">H42+H46</f>
        <v>403491.83819999994</v>
      </c>
      <c r="I50" s="27">
        <f t="shared" si="24"/>
        <v>465787.62239651702</v>
      </c>
      <c r="J50" s="27"/>
      <c r="K50" s="27">
        <f t="shared" ref="K50" si="25">K42+K46</f>
        <v>495150.9776294909</v>
      </c>
      <c r="M50" s="95"/>
    </row>
    <row r="51" spans="1:14" x14ac:dyDescent="0.25">
      <c r="A51" s="2">
        <v>44</v>
      </c>
      <c r="C51" s="94" t="s">
        <v>264</v>
      </c>
      <c r="E51" s="27">
        <f t="shared" ref="E51:G51" si="26">E43+E47</f>
        <v>36309.810941953743</v>
      </c>
      <c r="G51" s="27">
        <f t="shared" si="26"/>
        <v>38812.019640000006</v>
      </c>
      <c r="H51" s="27">
        <f t="shared" si="24"/>
        <v>38360.214478292</v>
      </c>
      <c r="I51" s="27">
        <f t="shared" si="24"/>
        <v>44298.443463020216</v>
      </c>
      <c r="J51" s="27"/>
      <c r="K51" s="27">
        <f t="shared" ref="K51" si="27">K43+K47</f>
        <v>47898.838964911949</v>
      </c>
      <c r="M51" s="95"/>
    </row>
    <row r="52" spans="1:14" x14ac:dyDescent="0.25">
      <c r="A52" s="2">
        <v>45</v>
      </c>
      <c r="C52" s="94" t="s">
        <v>265</v>
      </c>
      <c r="E52" s="97">
        <f t="shared" ref="E52:G52" si="28">E51/E50*100</f>
        <v>9.3501889259152193</v>
      </c>
      <c r="G52" s="97">
        <f t="shared" si="28"/>
        <v>9.4096656607416485</v>
      </c>
      <c r="H52" s="97">
        <f t="shared" ref="H52:I52" si="29">H51/H50*100</f>
        <v>9.5070608241839789</v>
      </c>
      <c r="I52" s="97">
        <f t="shared" si="29"/>
        <v>9.5104380908837705</v>
      </c>
      <c r="J52" s="97"/>
      <c r="K52" s="97">
        <f t="shared" ref="K52" si="30">K51/K50*100</f>
        <v>9.67358263013538</v>
      </c>
      <c r="M52" s="95"/>
    </row>
    <row r="53" spans="1:14" x14ac:dyDescent="0.25">
      <c r="E53" s="27"/>
      <c r="G53" s="27"/>
      <c r="H53" s="27"/>
      <c r="I53" s="27"/>
      <c r="J53" s="98"/>
      <c r="K53" s="27"/>
    </row>
    <row r="54" spans="1:14" x14ac:dyDescent="0.25">
      <c r="A54" s="2">
        <v>46</v>
      </c>
      <c r="C54" s="101" t="s">
        <v>275</v>
      </c>
      <c r="E54" s="27">
        <v>13230.791882056994</v>
      </c>
      <c r="G54" s="27">
        <v>13328.94691037172</v>
      </c>
      <c r="H54" s="27">
        <v>13842.354589999999</v>
      </c>
      <c r="I54" s="27">
        <v>15289.315925823339</v>
      </c>
      <c r="J54" s="27"/>
      <c r="K54" s="27">
        <v>15896.893167655031</v>
      </c>
    </row>
    <row r="55" spans="1:14" x14ac:dyDescent="0.25">
      <c r="A55" s="2">
        <f>A54+1</f>
        <v>47</v>
      </c>
      <c r="C55" s="101" t="s">
        <v>276</v>
      </c>
      <c r="E55" s="27"/>
      <c r="G55" s="27"/>
      <c r="H55" s="27"/>
      <c r="I55" s="27"/>
      <c r="J55" s="27"/>
      <c r="K55" s="27"/>
    </row>
    <row r="56" spans="1:14" x14ac:dyDescent="0.25">
      <c r="A56" s="2">
        <f>A55+1</f>
        <v>48</v>
      </c>
      <c r="C56" s="101" t="s">
        <v>277</v>
      </c>
      <c r="E56" s="27"/>
      <c r="G56" s="27"/>
      <c r="H56" s="27"/>
      <c r="I56" s="27">
        <v>0</v>
      </c>
      <c r="J56" s="27"/>
      <c r="K56" s="27">
        <v>10970.991342045756</v>
      </c>
    </row>
    <row r="57" spans="1:14" x14ac:dyDescent="0.25">
      <c r="E57" s="27"/>
      <c r="G57" s="27"/>
      <c r="H57" s="27"/>
      <c r="I57" s="27"/>
      <c r="J57" s="27"/>
      <c r="K57" s="27"/>
    </row>
    <row r="58" spans="1:14" ht="13.8" thickBot="1" x14ac:dyDescent="0.3">
      <c r="A58" s="2">
        <f>A56+1</f>
        <v>49</v>
      </c>
      <c r="C58" s="101" t="s">
        <v>278</v>
      </c>
      <c r="E58" s="102">
        <f t="shared" ref="E58:G58" si="31">E54+E51+E56</f>
        <v>49540.602824010741</v>
      </c>
      <c r="G58" s="102">
        <f t="shared" si="31"/>
        <v>52140.966550371726</v>
      </c>
      <c r="H58" s="102">
        <f>H54+H51+H56</f>
        <v>52202.569068291996</v>
      </c>
      <c r="I58" s="102">
        <f>I54+I51+I56</f>
        <v>59587.759388843551</v>
      </c>
      <c r="J58" s="102"/>
      <c r="K58" s="102">
        <f t="shared" ref="K58" si="32">K54+K51+K56</f>
        <v>74766.723474612736</v>
      </c>
      <c r="M58" s="27"/>
      <c r="N58" s="27"/>
    </row>
    <row r="59" spans="1:14" x14ac:dyDescent="0.25">
      <c r="C59" s="101"/>
      <c r="E59" s="27"/>
      <c r="G59" s="27"/>
      <c r="H59" s="27"/>
      <c r="I59" s="27"/>
      <c r="J59" s="27"/>
      <c r="K59" s="27"/>
    </row>
    <row r="60" spans="1:14" x14ac:dyDescent="0.25">
      <c r="A60" s="2">
        <f>A58+1</f>
        <v>50</v>
      </c>
      <c r="C60" s="101" t="s">
        <v>279</v>
      </c>
      <c r="E60" s="27">
        <v>253</v>
      </c>
      <c r="G60" s="27">
        <v>-81.788540000000012</v>
      </c>
      <c r="H60" s="27">
        <v>-900.64013999999986</v>
      </c>
      <c r="I60" s="27">
        <v>359.15622999999999</v>
      </c>
      <c r="J60" s="27"/>
      <c r="K60" s="27">
        <v>368.7</v>
      </c>
    </row>
    <row r="61" spans="1:14" x14ac:dyDescent="0.25">
      <c r="C61" s="101"/>
      <c r="E61" s="27"/>
      <c r="G61" s="27"/>
      <c r="H61" s="27"/>
      <c r="I61" s="27"/>
      <c r="J61" s="27"/>
      <c r="K61" s="27"/>
    </row>
    <row r="62" spans="1:14" x14ac:dyDescent="0.25">
      <c r="A62" s="2">
        <f>A60+1</f>
        <v>51</v>
      </c>
      <c r="C62" s="101" t="s">
        <v>280</v>
      </c>
      <c r="E62" s="27">
        <f t="shared" ref="E62" si="33">E58+E60</f>
        <v>49793.602824010741</v>
      </c>
      <c r="G62" s="27">
        <f t="shared" ref="G62" si="34">G58+G60</f>
        <v>52059.178010371725</v>
      </c>
      <c r="H62" s="27">
        <f t="shared" ref="H62:I62" si="35">H58+H60</f>
        <v>51301.928928291993</v>
      </c>
      <c r="I62" s="27">
        <f t="shared" si="35"/>
        <v>59946.915618843552</v>
      </c>
      <c r="J62" s="27"/>
      <c r="K62" s="27">
        <f t="shared" ref="K62" si="36">K58+K60</f>
        <v>75135.423474612733</v>
      </c>
      <c r="L62" s="27"/>
    </row>
    <row r="63" spans="1:14" x14ac:dyDescent="0.25">
      <c r="C63" s="101"/>
      <c r="E63" s="27"/>
      <c r="G63" s="27"/>
      <c r="H63" s="27"/>
      <c r="I63" s="27"/>
      <c r="J63" s="46"/>
    </row>
    <row r="64" spans="1:14" ht="14.4" x14ac:dyDescent="0.25">
      <c r="B64" s="103"/>
      <c r="C64" s="101"/>
      <c r="E64" s="27"/>
      <c r="G64" s="27"/>
      <c r="H64" s="27"/>
      <c r="I64" s="27"/>
      <c r="J64" s="46"/>
    </row>
    <row r="65" spans="3:11" x14ac:dyDescent="0.25">
      <c r="C65" s="89"/>
      <c r="D65" s="89"/>
      <c r="E65" s="89"/>
      <c r="F65" s="89"/>
      <c r="G65" s="89"/>
      <c r="H65" s="89"/>
      <c r="I65" s="89"/>
      <c r="J65" s="89"/>
    </row>
    <row r="66" spans="3:11" x14ac:dyDescent="0.25">
      <c r="C66" s="101"/>
      <c r="E66" s="27"/>
      <c r="G66" s="27"/>
      <c r="H66" s="27"/>
      <c r="I66" s="27"/>
      <c r="J66" s="46"/>
    </row>
    <row r="67" spans="3:11" x14ac:dyDescent="0.25">
      <c r="C67" s="101"/>
      <c r="E67" s="27"/>
      <c r="G67" s="27"/>
      <c r="H67" s="27"/>
      <c r="I67" s="27"/>
      <c r="J67" s="46"/>
    </row>
    <row r="68" spans="3:11" x14ac:dyDescent="0.25">
      <c r="C68" s="101"/>
      <c r="E68" s="27"/>
      <c r="G68" s="27"/>
      <c r="H68" s="27"/>
      <c r="I68" s="27"/>
      <c r="J68" s="27"/>
      <c r="K68" s="27"/>
    </row>
    <row r="69" spans="3:11" x14ac:dyDescent="0.25">
      <c r="C69" s="101"/>
      <c r="E69" s="27"/>
      <c r="G69" s="27"/>
      <c r="H69" s="27"/>
      <c r="I69" s="27"/>
      <c r="J69" s="27"/>
      <c r="K69" s="27"/>
    </row>
    <row r="70" spans="3:11" x14ac:dyDescent="0.25">
      <c r="C70" s="101"/>
      <c r="E70" s="27"/>
      <c r="G70" s="27"/>
      <c r="H70" s="27"/>
      <c r="I70" s="27"/>
      <c r="J70" s="46"/>
    </row>
    <row r="71" spans="3:11" x14ac:dyDescent="0.25">
      <c r="C71" s="101"/>
      <c r="E71" s="27"/>
      <c r="G71" s="27"/>
      <c r="H71" s="27"/>
      <c r="I71" s="27"/>
      <c r="J71" s="27"/>
      <c r="K71" s="27"/>
    </row>
    <row r="72" spans="3:11" x14ac:dyDescent="0.25">
      <c r="C72" s="101"/>
      <c r="E72" s="57"/>
      <c r="G72" s="57"/>
      <c r="H72" s="57"/>
      <c r="I72" s="57"/>
      <c r="J72" s="104"/>
    </row>
    <row r="73" spans="3:11" x14ac:dyDescent="0.25">
      <c r="C73" s="101"/>
      <c r="E73" s="57"/>
      <c r="G73" s="57"/>
      <c r="H73" s="57"/>
      <c r="I73" s="57"/>
      <c r="J73" s="104"/>
    </row>
    <row r="74" spans="3:11" x14ac:dyDescent="0.25">
      <c r="C74" s="101"/>
      <c r="E74" s="57"/>
      <c r="G74" s="57"/>
      <c r="H74" s="57"/>
      <c r="I74" s="57"/>
      <c r="J74" s="104"/>
    </row>
    <row r="75" spans="3:11" x14ac:dyDescent="0.25">
      <c r="C75" s="101"/>
      <c r="E75" s="57"/>
      <c r="G75" s="57"/>
      <c r="H75" s="57"/>
      <c r="I75" s="57"/>
      <c r="J75" s="104"/>
    </row>
    <row r="76" spans="3:11" x14ac:dyDescent="0.25">
      <c r="C76" s="101"/>
      <c r="E76" s="57"/>
      <c r="G76" s="57"/>
      <c r="H76" s="57"/>
      <c r="I76" s="57"/>
      <c r="J76" s="104"/>
    </row>
    <row r="77" spans="3:11" x14ac:dyDescent="0.25">
      <c r="C77" s="101"/>
      <c r="E77" s="57"/>
      <c r="G77" s="57"/>
      <c r="H77" s="57"/>
      <c r="I77" s="57"/>
      <c r="J77" s="104"/>
    </row>
    <row r="78" spans="3:11" x14ac:dyDescent="0.25">
      <c r="C78" s="101"/>
      <c r="E78" s="57"/>
      <c r="G78" s="57"/>
      <c r="H78" s="57"/>
      <c r="I78" s="57"/>
      <c r="J78" s="104"/>
    </row>
    <row r="79" spans="3:11" x14ac:dyDescent="0.25">
      <c r="C79" s="101"/>
      <c r="E79" s="57"/>
      <c r="G79" s="57"/>
      <c r="H79" s="57"/>
      <c r="I79" s="57"/>
      <c r="J79" s="104"/>
    </row>
    <row r="80" spans="3:11" x14ac:dyDescent="0.25">
      <c r="C80" s="101"/>
      <c r="E80" s="57"/>
      <c r="G80" s="57"/>
      <c r="H80" s="57"/>
      <c r="I80" s="57"/>
      <c r="J80" s="104"/>
    </row>
    <row r="81" spans="2:15" x14ac:dyDescent="0.25">
      <c r="C81" s="101"/>
      <c r="E81" s="57"/>
      <c r="G81" s="57"/>
      <c r="H81" s="57"/>
      <c r="I81" s="57"/>
      <c r="J81" s="104"/>
    </row>
    <row r="82" spans="2:15" x14ac:dyDescent="0.25">
      <c r="C82" s="101"/>
      <c r="E82" s="57"/>
      <c r="G82" s="57"/>
      <c r="H82" s="57"/>
      <c r="I82" s="57"/>
      <c r="J82" s="104"/>
    </row>
    <row r="83" spans="2:15" x14ac:dyDescent="0.25">
      <c r="C83" s="101"/>
      <c r="E83" s="57"/>
      <c r="G83" s="57"/>
      <c r="H83" s="57"/>
      <c r="I83" s="57"/>
      <c r="J83" s="104"/>
    </row>
    <row r="84" spans="2:15" x14ac:dyDescent="0.25">
      <c r="C84" s="101"/>
      <c r="E84" s="57"/>
      <c r="G84" s="57"/>
      <c r="H84" s="57"/>
      <c r="I84" s="57"/>
      <c r="J84" s="104"/>
    </row>
    <row r="85" spans="2:15" x14ac:dyDescent="0.25">
      <c r="C85" s="101"/>
      <c r="E85" s="104"/>
      <c r="G85" s="104"/>
      <c r="H85" s="104"/>
      <c r="I85" s="104"/>
      <c r="J85" s="104"/>
      <c r="K85" s="14"/>
      <c r="L85" s="14"/>
      <c r="M85" s="14"/>
      <c r="N85" s="14"/>
      <c r="O85" s="14"/>
    </row>
    <row r="86" spans="2:15" x14ac:dyDescent="0.25">
      <c r="C86" s="101"/>
      <c r="E86" s="104"/>
      <c r="G86" s="104"/>
      <c r="H86" s="104"/>
      <c r="I86" s="104"/>
      <c r="J86" s="104"/>
      <c r="K86" s="14"/>
      <c r="L86" s="14"/>
      <c r="M86" s="14"/>
      <c r="N86" s="14"/>
      <c r="O86" s="14"/>
    </row>
    <row r="87" spans="2:15" x14ac:dyDescent="0.25">
      <c r="B87" s="21"/>
      <c r="C87" s="101"/>
      <c r="E87" s="105"/>
      <c r="G87" s="105"/>
      <c r="H87" s="105"/>
      <c r="I87" s="105"/>
      <c r="J87" s="105"/>
      <c r="K87" s="14"/>
      <c r="L87" s="14"/>
      <c r="M87" s="14"/>
      <c r="N87" s="14"/>
      <c r="O87" s="14"/>
    </row>
    <row r="88" spans="2:15" x14ac:dyDescent="0.25">
      <c r="C88" s="101"/>
      <c r="E88" s="46"/>
      <c r="G88" s="46"/>
      <c r="H88" s="46"/>
      <c r="I88" s="46"/>
      <c r="J88" s="46"/>
      <c r="K88" s="14"/>
      <c r="L88" s="14"/>
      <c r="M88" s="14"/>
      <c r="N88" s="14"/>
      <c r="O88" s="14"/>
    </row>
    <row r="89" spans="2:15" x14ac:dyDescent="0.25">
      <c r="E89" s="46"/>
      <c r="G89" s="46"/>
      <c r="H89" s="46"/>
      <c r="I89" s="46"/>
      <c r="J89" s="46"/>
      <c r="K89" s="14"/>
      <c r="L89" s="14"/>
      <c r="M89" s="14"/>
      <c r="N89" s="14"/>
      <c r="O89" s="14"/>
    </row>
    <row r="90" spans="2:15" x14ac:dyDescent="0.25">
      <c r="C90" s="101"/>
      <c r="E90" s="46"/>
      <c r="G90" s="46"/>
      <c r="H90" s="46"/>
      <c r="I90" s="46"/>
      <c r="J90" s="46"/>
      <c r="K90" s="14"/>
      <c r="L90" s="14"/>
      <c r="M90" s="14"/>
      <c r="N90" s="14"/>
      <c r="O90" s="14"/>
    </row>
    <row r="91" spans="2:15" x14ac:dyDescent="0.25">
      <c r="C91" s="101"/>
      <c r="E91" s="46"/>
      <c r="G91" s="46"/>
      <c r="H91" s="46"/>
      <c r="I91" s="46"/>
      <c r="J91" s="46"/>
      <c r="K91" s="14"/>
      <c r="L91" s="14"/>
      <c r="M91" s="14"/>
      <c r="N91" s="14"/>
      <c r="O91" s="14"/>
    </row>
    <row r="92" spans="2:15" x14ac:dyDescent="0.25">
      <c r="E92" s="14"/>
      <c r="G92" s="14"/>
      <c r="H92" s="14"/>
      <c r="I92" s="14"/>
      <c r="K92" s="14"/>
      <c r="L92" s="14"/>
      <c r="M92" s="14"/>
      <c r="N92" s="14"/>
      <c r="O92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2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>
    <pageSetUpPr fitToPage="1"/>
  </sheetPr>
  <dimension ref="A1:N50"/>
  <sheetViews>
    <sheetView showGridLines="0" view="pageBreakPreview" zoomScaleSheetLayoutView="100" workbookViewId="0">
      <pane xSplit="3" topLeftCell="D1" activePane="topRight" state="frozen"/>
      <selection pane="topRight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27.44140625" style="2" customWidth="1"/>
    <col min="4" max="4" width="1.88671875" style="2" customWidth="1"/>
    <col min="5" max="5" width="9.109375" style="13"/>
    <col min="6" max="6" width="1.88671875" style="2" customWidth="1"/>
    <col min="7" max="7" width="12.109375" style="2" customWidth="1"/>
    <col min="8" max="8" width="1.88671875" style="2" customWidth="1"/>
    <col min="9" max="11" width="11.33203125" style="2" customWidth="1"/>
    <col min="12" max="12" width="1.6640625" style="14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G1" s="106"/>
      <c r="I1" s="106"/>
      <c r="N1" s="10" t="s">
        <v>281</v>
      </c>
    </row>
    <row r="2" spans="1:14" x14ac:dyDescent="0.25">
      <c r="A2" s="15" t="s">
        <v>282</v>
      </c>
      <c r="G2" s="37"/>
      <c r="I2" s="37"/>
      <c r="N2" s="16" t="str">
        <f>Index!F2</f>
        <v>November 2020</v>
      </c>
    </row>
    <row r="3" spans="1:14" x14ac:dyDescent="0.25">
      <c r="A3" s="15" t="s">
        <v>8</v>
      </c>
      <c r="G3" s="37"/>
      <c r="I3" s="37"/>
      <c r="J3" s="14"/>
      <c r="K3" s="14"/>
      <c r="M3" s="14"/>
    </row>
    <row r="6" spans="1:14" s="13" customFormat="1" ht="13.5" customHeigh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2">
        <v>1</v>
      </c>
      <c r="C9" s="21" t="s">
        <v>283</v>
      </c>
    </row>
    <row r="10" spans="1:14" x14ac:dyDescent="0.25">
      <c r="A10" s="2">
        <v>2</v>
      </c>
      <c r="C10" s="107" t="s">
        <v>284</v>
      </c>
      <c r="G10" s="27">
        <v>5929.7446340374845</v>
      </c>
      <c r="I10" s="27">
        <v>7754.8343999999997</v>
      </c>
      <c r="J10" s="27">
        <v>8401.9000300000007</v>
      </c>
      <c r="K10" s="27">
        <v>9871.2197977595788</v>
      </c>
      <c r="L10" s="27"/>
      <c r="M10" s="27">
        <v>10908.648717775075</v>
      </c>
      <c r="N10" s="27">
        <v>10908.648717775075</v>
      </c>
    </row>
    <row r="11" spans="1:14" x14ac:dyDescent="0.25">
      <c r="A11" s="2">
        <v>3</v>
      </c>
      <c r="C11" s="107" t="s">
        <v>285</v>
      </c>
      <c r="G11" s="27">
        <v>3444.5274438309857</v>
      </c>
      <c r="I11" s="27">
        <v>2834.80141</v>
      </c>
      <c r="J11" s="27">
        <v>2766.7068899999999</v>
      </c>
      <c r="K11" s="27">
        <v>3215.3178958174776</v>
      </c>
      <c r="L11" s="27"/>
      <c r="M11" s="27">
        <v>3187.3176600529396</v>
      </c>
      <c r="N11" s="27">
        <v>3187.3176600529396</v>
      </c>
    </row>
    <row r="12" spans="1:14" x14ac:dyDescent="0.25">
      <c r="A12" s="2">
        <v>4</v>
      </c>
      <c r="C12" s="107" t="s">
        <v>286</v>
      </c>
      <c r="G12" s="27">
        <v>1614.9398830970731</v>
      </c>
      <c r="I12" s="27">
        <v>1746.1177400000001</v>
      </c>
      <c r="J12" s="27">
        <v>1921.1755600000001</v>
      </c>
      <c r="K12" s="27">
        <v>1695.0813669228905</v>
      </c>
      <c r="L12" s="27"/>
      <c r="M12" s="27">
        <v>1769.5479131767311</v>
      </c>
      <c r="N12" s="27">
        <v>1769.5479131767311</v>
      </c>
    </row>
    <row r="13" spans="1:14" x14ac:dyDescent="0.25">
      <c r="A13" s="2">
        <v>5</v>
      </c>
      <c r="C13" s="107" t="s">
        <v>287</v>
      </c>
      <c r="G13" s="27">
        <v>8917.062041097266</v>
      </c>
      <c r="I13" s="27">
        <v>8965.5916899999993</v>
      </c>
      <c r="J13" s="27">
        <v>9200.8367600000001</v>
      </c>
      <c r="K13" s="27">
        <v>9603.4646299074775</v>
      </c>
      <c r="L13" s="27"/>
      <c r="M13" s="27">
        <v>10556.586295498733</v>
      </c>
      <c r="N13" s="27">
        <v>10556.586295498733</v>
      </c>
    </row>
    <row r="14" spans="1:14" x14ac:dyDescent="0.25">
      <c r="A14" s="2">
        <v>6</v>
      </c>
      <c r="C14" s="107" t="s">
        <v>288</v>
      </c>
      <c r="G14" s="27">
        <v>1031.4720000000002</v>
      </c>
      <c r="I14" s="27">
        <v>1045.8883766666665</v>
      </c>
      <c r="J14" s="27">
        <v>1116.6159299999999</v>
      </c>
      <c r="K14" s="27">
        <v>1299.4091266666667</v>
      </c>
      <c r="L14" s="27"/>
      <c r="M14" s="27">
        <v>1423.1366550000002</v>
      </c>
      <c r="N14" s="27">
        <v>1423.1366550000002</v>
      </c>
    </row>
    <row r="15" spans="1:14" x14ac:dyDescent="0.25">
      <c r="A15" s="2">
        <v>7</v>
      </c>
      <c r="C15" s="107" t="s">
        <v>289</v>
      </c>
      <c r="G15" s="123">
        <f>SUM(G10:G14)</f>
        <v>20937.746002062813</v>
      </c>
      <c r="I15" s="123">
        <f>SUM(I10:I14)</f>
        <v>22347.233616666665</v>
      </c>
      <c r="J15" s="123">
        <f>SUM(J10:J14)</f>
        <v>23407.23517</v>
      </c>
      <c r="K15" s="123">
        <f>SUM(K10:K14)</f>
        <v>25684.49281707409</v>
      </c>
      <c r="L15" s="27"/>
      <c r="M15" s="123">
        <f>SUM(M10:M14)</f>
        <v>27845.237241503484</v>
      </c>
      <c r="N15" s="123">
        <f>SUM(N10:N14)</f>
        <v>27845.237241503484</v>
      </c>
    </row>
    <row r="16" spans="1:14" x14ac:dyDescent="0.25">
      <c r="C16" s="107"/>
      <c r="G16" s="14"/>
      <c r="I16" s="14"/>
      <c r="J16" s="14"/>
      <c r="K16" s="14"/>
      <c r="M16" s="14"/>
      <c r="N16" s="14"/>
    </row>
    <row r="17" spans="1:14" x14ac:dyDescent="0.25">
      <c r="A17" s="2">
        <v>8</v>
      </c>
      <c r="C17" s="107" t="s">
        <v>206</v>
      </c>
      <c r="G17" s="47">
        <f>-'Schedule 5'!G23</f>
        <v>99.999999999999957</v>
      </c>
      <c r="I17" s="47">
        <f>-'Schedule 5'!I23</f>
        <v>99.349270000000004</v>
      </c>
      <c r="J17" s="47">
        <f>-'Schedule 5'!J23</f>
        <v>166.39563000000001</v>
      </c>
      <c r="K17" s="47">
        <f>-'Schedule 5'!K23</f>
        <v>94.999999999999901</v>
      </c>
      <c r="L17" s="47"/>
      <c r="M17" s="47">
        <f>-'Schedule 5'!M23</f>
        <v>120.00024999999994</v>
      </c>
      <c r="N17" s="47">
        <f>-'Schedule 5'!N23</f>
        <v>120.00024999999994</v>
      </c>
    </row>
    <row r="18" spans="1:14" x14ac:dyDescent="0.25">
      <c r="C18" s="107"/>
      <c r="G18" s="14"/>
      <c r="I18" s="14"/>
      <c r="J18" s="14"/>
      <c r="K18" s="14"/>
      <c r="M18" s="14"/>
      <c r="N18" s="14"/>
    </row>
    <row r="19" spans="1:14" x14ac:dyDescent="0.25">
      <c r="A19" s="2">
        <v>9</v>
      </c>
      <c r="C19" s="107" t="s">
        <v>289</v>
      </c>
      <c r="G19" s="123">
        <f>SUM(G17:G17)</f>
        <v>99.999999999999957</v>
      </c>
      <c r="I19" s="123">
        <f>SUM(I17:I17)</f>
        <v>99.349270000000004</v>
      </c>
      <c r="J19" s="123">
        <f>SUM(J17:J17)</f>
        <v>166.39563000000001</v>
      </c>
      <c r="K19" s="123">
        <f>SUM(K17:K17)</f>
        <v>94.999999999999901</v>
      </c>
      <c r="L19" s="46"/>
      <c r="M19" s="123">
        <f t="shared" ref="M19" si="0">SUM(M17:M17)</f>
        <v>120.00024999999994</v>
      </c>
      <c r="N19" s="123">
        <f t="shared" ref="N19" si="1">SUM(N17:N17)</f>
        <v>120.00024999999994</v>
      </c>
    </row>
    <row r="20" spans="1:14" x14ac:dyDescent="0.25">
      <c r="C20" s="107"/>
      <c r="G20" s="14"/>
      <c r="I20" s="14"/>
      <c r="J20" s="14"/>
      <c r="K20" s="14"/>
      <c r="M20" s="14"/>
      <c r="N20" s="14"/>
    </row>
    <row r="21" spans="1:14" x14ac:dyDescent="0.25">
      <c r="A21" s="2">
        <v>10</v>
      </c>
      <c r="C21" s="107" t="s">
        <v>290</v>
      </c>
      <c r="G21" s="14"/>
      <c r="I21" s="14"/>
      <c r="J21" s="14"/>
      <c r="K21" s="14"/>
      <c r="M21" s="14"/>
      <c r="N21" s="14"/>
    </row>
    <row r="22" spans="1:14" ht="13.8" thickBot="1" x14ac:dyDescent="0.3">
      <c r="A22" s="2">
        <v>11</v>
      </c>
      <c r="C22" s="107" t="s">
        <v>291</v>
      </c>
      <c r="G22" s="58">
        <f>SUM(G15+G19)</f>
        <v>21037.746002062813</v>
      </c>
      <c r="I22" s="58">
        <f>SUM(I15+I19)</f>
        <v>22446.582886666663</v>
      </c>
      <c r="J22" s="58">
        <f>SUM(J15+J19)</f>
        <v>23573.630799999999</v>
      </c>
      <c r="K22" s="58">
        <f>SUM(K15+K19)</f>
        <v>25779.49281707409</v>
      </c>
      <c r="L22" s="46"/>
      <c r="M22" s="58">
        <f t="shared" ref="M22" si="2">SUM(M15+M19)</f>
        <v>27965.237491503485</v>
      </c>
      <c r="N22" s="58">
        <f t="shared" ref="N22" si="3">SUM(N15+N19)</f>
        <v>27965.237491503485</v>
      </c>
    </row>
    <row r="23" spans="1:14" x14ac:dyDescent="0.25">
      <c r="G23" s="14"/>
      <c r="I23" s="14"/>
      <c r="J23" s="14"/>
      <c r="K23" s="14"/>
      <c r="M23" s="14"/>
      <c r="N23" s="14"/>
    </row>
    <row r="24" spans="1:14" x14ac:dyDescent="0.25">
      <c r="A24" s="2">
        <v>12</v>
      </c>
      <c r="C24" s="2" t="s">
        <v>292</v>
      </c>
      <c r="G24" s="47">
        <v>2637.9343046544213</v>
      </c>
      <c r="I24" s="47">
        <v>5295.0177397474072</v>
      </c>
      <c r="J24" s="47">
        <v>6153.0471211929571</v>
      </c>
      <c r="K24" s="47">
        <v>11813.598762517529</v>
      </c>
      <c r="L24" s="47"/>
      <c r="M24" s="47">
        <v>12786.549912779788</v>
      </c>
      <c r="N24" s="47">
        <v>15530.378953964335</v>
      </c>
    </row>
    <row r="25" spans="1:14" x14ac:dyDescent="0.25">
      <c r="A25" s="2">
        <v>13</v>
      </c>
      <c r="C25" s="2" t="s">
        <v>293</v>
      </c>
      <c r="G25" s="47">
        <v>39.175874811781597</v>
      </c>
      <c r="I25" s="47">
        <v>52.846820000000001</v>
      </c>
      <c r="J25" s="47">
        <v>57.46367</v>
      </c>
      <c r="K25" s="47">
        <v>60.142972022943795</v>
      </c>
      <c r="L25" s="47"/>
      <c r="M25" s="47">
        <v>366.90852253027526</v>
      </c>
      <c r="N25" s="47">
        <v>366.90852253027526</v>
      </c>
    </row>
    <row r="26" spans="1:14" x14ac:dyDescent="0.25">
      <c r="A26" s="2">
        <v>14</v>
      </c>
      <c r="C26" s="2" t="s">
        <v>289</v>
      </c>
      <c r="G26" s="123">
        <f>SUM(G24:G25)</f>
        <v>2677.1101794662031</v>
      </c>
      <c r="I26" s="123">
        <f>SUM(I24:I25)</f>
        <v>5347.8645597474069</v>
      </c>
      <c r="J26" s="123">
        <f>SUM(J24:J25)</f>
        <v>6210.5107911929572</v>
      </c>
      <c r="K26" s="123">
        <f>SUM(K24:K25)</f>
        <v>11873.741734540474</v>
      </c>
      <c r="L26" s="46"/>
      <c r="M26" s="123">
        <f t="shared" ref="M26" si="4">SUM(M24:M25)</f>
        <v>13153.458435310064</v>
      </c>
      <c r="N26" s="123">
        <f t="shared" ref="N26" si="5">SUM(N24:N25)</f>
        <v>15897.28747649461</v>
      </c>
    </row>
    <row r="27" spans="1:14" x14ac:dyDescent="0.25">
      <c r="G27" s="14"/>
      <c r="I27" s="14"/>
      <c r="J27" s="14"/>
      <c r="K27" s="14"/>
      <c r="M27" s="14"/>
      <c r="N27" s="14"/>
    </row>
    <row r="28" spans="1:14" ht="13.8" thickBot="1" x14ac:dyDescent="0.3">
      <c r="A28" s="2">
        <v>15</v>
      </c>
      <c r="C28" s="2" t="s">
        <v>294</v>
      </c>
      <c r="E28" s="13" t="s">
        <v>198</v>
      </c>
      <c r="G28" s="58">
        <f>SUM(G15+G19+G26)</f>
        <v>23714.856181529016</v>
      </c>
      <c r="I28" s="58">
        <f>SUM(I15+I19+I26)</f>
        <v>27794.447446414069</v>
      </c>
      <c r="J28" s="58">
        <f>SUM(J15+J19+J26)</f>
        <v>29784.141591192958</v>
      </c>
      <c r="K28" s="58">
        <f>SUM(K15+K19+K26)</f>
        <v>37653.234551614565</v>
      </c>
      <c r="L28" s="46"/>
      <c r="M28" s="58">
        <f t="shared" ref="M28" si="6">SUM(M15+M19+M26)</f>
        <v>41118.695926813547</v>
      </c>
      <c r="N28" s="58">
        <f t="shared" ref="N28" si="7">SUM(N15+N19+N26)</f>
        <v>43862.524967998092</v>
      </c>
    </row>
    <row r="29" spans="1:14" x14ac:dyDescent="0.25">
      <c r="G29" s="46"/>
      <c r="I29" s="46"/>
      <c r="J29" s="46"/>
      <c r="K29" s="46"/>
      <c r="L29" s="46"/>
      <c r="M29" s="46"/>
      <c r="N29" s="46"/>
    </row>
    <row r="30" spans="1:14" s="44" customFormat="1" x14ac:dyDescent="0.25">
      <c r="C30" s="73" t="s">
        <v>295</v>
      </c>
      <c r="E30" s="48"/>
      <c r="G30" s="108"/>
      <c r="I30" s="108"/>
      <c r="J30" s="108"/>
      <c r="K30" s="108"/>
      <c r="L30" s="108"/>
      <c r="M30" s="108"/>
      <c r="N30" s="108"/>
    </row>
    <row r="31" spans="1:14" s="44" customFormat="1" x14ac:dyDescent="0.25">
      <c r="A31" s="44">
        <v>16</v>
      </c>
      <c r="C31" s="44" t="s">
        <v>90</v>
      </c>
      <c r="E31" s="48"/>
      <c r="G31" s="108">
        <f>'Schedule 6'!G15</f>
        <v>478.93700000000001</v>
      </c>
      <c r="I31" s="108">
        <f>'Schedule 6'!I15</f>
        <v>478.93700000000001</v>
      </c>
      <c r="J31" s="108">
        <f>'Schedule 6'!J15</f>
        <v>478.93700000000001</v>
      </c>
      <c r="K31" s="108">
        <f>'Schedule 6'!K15</f>
        <v>478.93700000000001</v>
      </c>
      <c r="L31" s="108"/>
      <c r="M31" s="108">
        <f>'Schedule 6'!M15</f>
        <v>478.93700000000001</v>
      </c>
      <c r="N31" s="108">
        <f>'Schedule 6'!N15</f>
        <v>835.46500000000003</v>
      </c>
    </row>
    <row r="32" spans="1:14" s="44" customFormat="1" x14ac:dyDescent="0.25">
      <c r="A32" s="44">
        <v>17</v>
      </c>
      <c r="C32" s="44" t="s">
        <v>296</v>
      </c>
      <c r="E32" s="48"/>
      <c r="G32" s="109">
        <f>'Schedule 6'!G13</f>
        <v>708.13965357545919</v>
      </c>
      <c r="I32" s="109">
        <f>'Schedule 6'!I13</f>
        <v>670.86845243333323</v>
      </c>
      <c r="J32" s="109">
        <f>'Schedule 6'!J13</f>
        <v>672.54982999999982</v>
      </c>
      <c r="K32" s="109">
        <f>'Schedule 6'!K13</f>
        <v>739.45727411666655</v>
      </c>
      <c r="L32" s="109"/>
      <c r="M32" s="109">
        <f>'Schedule 6'!M13</f>
        <v>749.75450131960019</v>
      </c>
      <c r="N32" s="109">
        <f>'Schedule 6'!N13</f>
        <v>749.75450131960019</v>
      </c>
    </row>
    <row r="33" spans="1:14" s="44" customFormat="1" x14ac:dyDescent="0.25">
      <c r="A33" s="44">
        <v>18</v>
      </c>
      <c r="C33" s="44" t="s">
        <v>297</v>
      </c>
      <c r="E33" s="48"/>
      <c r="G33" s="124">
        <f>-G17</f>
        <v>-99.999999999999957</v>
      </c>
      <c r="I33" s="124">
        <f>-I17</f>
        <v>-99.349270000000004</v>
      </c>
      <c r="J33" s="124">
        <f>-J17</f>
        <v>-166.39563000000001</v>
      </c>
      <c r="K33" s="124">
        <f>-K17</f>
        <v>-94.999999999999901</v>
      </c>
      <c r="L33" s="110"/>
      <c r="M33" s="124">
        <f t="shared" ref="M33" si="8">-M17</f>
        <v>-120.00024999999994</v>
      </c>
      <c r="N33" s="124">
        <f t="shared" ref="N33" si="9">-N17</f>
        <v>-120.00024999999994</v>
      </c>
    </row>
    <row r="34" spans="1:14" s="44" customFormat="1" x14ac:dyDescent="0.25">
      <c r="E34" s="48"/>
      <c r="G34" s="108"/>
      <c r="I34" s="108"/>
      <c r="J34" s="108"/>
      <c r="K34" s="108"/>
      <c r="L34" s="108"/>
      <c r="M34" s="108"/>
      <c r="N34" s="108"/>
    </row>
    <row r="35" spans="1:14" s="44" customFormat="1" x14ac:dyDescent="0.25">
      <c r="A35" s="44">
        <v>19</v>
      </c>
      <c r="C35" s="44" t="s">
        <v>298</v>
      </c>
      <c r="E35" s="48"/>
      <c r="G35" s="108">
        <f>G22+G33+G32+G31</f>
        <v>22124.822655638272</v>
      </c>
      <c r="I35" s="108">
        <f>I22+I33+I32+I31</f>
        <v>23497.039069099999</v>
      </c>
      <c r="J35" s="108">
        <f>J22+J33+J32+J31</f>
        <v>24558.722000000002</v>
      </c>
      <c r="K35" s="108">
        <f>K22+K33+K32+K31</f>
        <v>26902.887091190758</v>
      </c>
      <c r="L35" s="108"/>
      <c r="M35" s="108">
        <f t="shared" ref="M35" si="10">M22+M33+M32+M31</f>
        <v>29073.928742823085</v>
      </c>
      <c r="N35" s="108">
        <f t="shared" ref="N35" si="11">N22+N33+N32+N31</f>
        <v>29430.456742823084</v>
      </c>
    </row>
    <row r="36" spans="1:14" x14ac:dyDescent="0.25">
      <c r="G36" s="46"/>
      <c r="I36" s="46"/>
      <c r="J36" s="46"/>
      <c r="K36" s="46"/>
      <c r="L36" s="46"/>
      <c r="M36" s="46"/>
    </row>
    <row r="37" spans="1:14" x14ac:dyDescent="0.25">
      <c r="G37" s="46"/>
      <c r="I37" s="46"/>
      <c r="J37" s="46"/>
      <c r="K37" s="46"/>
      <c r="L37" s="46"/>
      <c r="M37" s="46"/>
    </row>
    <row r="38" spans="1:14" ht="18.75" customHeight="1" x14ac:dyDescent="0.25">
      <c r="A38" s="71"/>
      <c r="C38" s="174"/>
      <c r="D38" s="174"/>
      <c r="E38" s="174"/>
      <c r="F38" s="174"/>
      <c r="G38" s="174"/>
      <c r="H38" s="174"/>
      <c r="I38" s="174"/>
      <c r="J38" s="199"/>
      <c r="K38" s="174"/>
      <c r="L38" s="174"/>
      <c r="M38" s="174"/>
    </row>
    <row r="39" spans="1:14" ht="18.75" customHeight="1" x14ac:dyDescent="0.25">
      <c r="A39" s="71"/>
      <c r="C39" s="174"/>
      <c r="D39" s="174"/>
      <c r="E39" s="174"/>
      <c r="F39" s="174"/>
      <c r="G39" s="174"/>
      <c r="H39" s="174"/>
      <c r="I39" s="174"/>
      <c r="J39" s="199"/>
      <c r="K39" s="174"/>
      <c r="L39" s="174"/>
      <c r="M39" s="174"/>
    </row>
    <row r="40" spans="1:14" ht="18.75" customHeight="1" x14ac:dyDescent="0.25">
      <c r="A40" s="71"/>
      <c r="C40" s="174"/>
      <c r="D40" s="174"/>
      <c r="E40" s="174"/>
      <c r="F40" s="174"/>
      <c r="G40" s="174"/>
      <c r="H40" s="174"/>
      <c r="I40" s="174"/>
      <c r="J40" s="199"/>
      <c r="K40" s="174"/>
      <c r="L40" s="174"/>
      <c r="M40" s="174"/>
    </row>
    <row r="41" spans="1:14" x14ac:dyDescent="0.25">
      <c r="G41" s="45"/>
      <c r="I41" s="45"/>
      <c r="J41" s="45"/>
      <c r="K41" s="45"/>
      <c r="L41" s="45"/>
      <c r="M41" s="45"/>
    </row>
    <row r="44" spans="1:14" x14ac:dyDescent="0.25">
      <c r="G44" s="111"/>
      <c r="I44" s="111"/>
      <c r="J44" s="111"/>
      <c r="K44" s="111"/>
      <c r="L44" s="111"/>
      <c r="M44" s="111"/>
    </row>
    <row r="46" spans="1:14" x14ac:dyDescent="0.25">
      <c r="G46" s="112"/>
      <c r="I46" s="112"/>
      <c r="J46" s="112"/>
      <c r="K46" s="112"/>
      <c r="L46" s="112"/>
      <c r="M46" s="112"/>
    </row>
    <row r="48" spans="1:14" x14ac:dyDescent="0.25">
      <c r="G48" s="76"/>
      <c r="I48" s="76"/>
      <c r="J48" s="76"/>
      <c r="K48" s="76"/>
      <c r="L48" s="76"/>
      <c r="M48" s="76"/>
    </row>
    <row r="50" spans="7:13" x14ac:dyDescent="0.25">
      <c r="G50" s="112"/>
      <c r="I50" s="112"/>
      <c r="J50" s="112"/>
      <c r="K50" s="112"/>
      <c r="L50" s="112"/>
      <c r="M50" s="112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4"/>
  <sheetViews>
    <sheetView showGridLines="0" view="pageBreakPreview" zoomScaleSheetLayoutView="100" workbookViewId="0"/>
  </sheetViews>
  <sheetFormatPr defaultColWidth="9.109375" defaultRowHeight="13.2" x14ac:dyDescent="0.25"/>
  <cols>
    <col min="1" max="1" width="5.33203125" style="126" customWidth="1"/>
    <col min="2" max="2" width="1.88671875" style="126" customWidth="1"/>
    <col min="3" max="3" width="22.5546875" style="126" customWidth="1"/>
    <col min="4" max="4" width="1.88671875" style="126" customWidth="1"/>
    <col min="5" max="5" width="14.6640625" style="127" bestFit="1" customWidth="1"/>
    <col min="6" max="6" width="1.88671875" style="126" customWidth="1"/>
    <col min="7" max="7" width="11.88671875" style="126" customWidth="1"/>
    <col min="8" max="8" width="1.88671875" style="126" customWidth="1"/>
    <col min="9" max="11" width="11.33203125" style="126" customWidth="1"/>
    <col min="12" max="12" width="1.6640625" style="129" customWidth="1"/>
    <col min="13" max="14" width="11.33203125" style="126" customWidth="1"/>
    <col min="15" max="16384" width="9.109375" style="126"/>
  </cols>
  <sheetData>
    <row r="1" spans="1:14" ht="15" x14ac:dyDescent="0.25">
      <c r="A1" s="125" t="s">
        <v>0</v>
      </c>
      <c r="G1" s="128"/>
      <c r="I1" s="128"/>
      <c r="N1" s="130" t="s">
        <v>299</v>
      </c>
    </row>
    <row r="2" spans="1:14" x14ac:dyDescent="0.25">
      <c r="A2" s="131" t="s">
        <v>300</v>
      </c>
      <c r="G2" s="132"/>
      <c r="I2" s="132"/>
      <c r="N2" s="134" t="str">
        <f>Index!F2</f>
        <v>November 2020</v>
      </c>
    </row>
    <row r="3" spans="1:14" x14ac:dyDescent="0.25">
      <c r="A3" s="131" t="s">
        <v>8</v>
      </c>
      <c r="G3" s="132"/>
      <c r="I3" s="132"/>
      <c r="J3" s="129"/>
      <c r="K3" s="129"/>
      <c r="M3" s="129"/>
    </row>
    <row r="6" spans="1:14" s="127" customFormat="1" ht="13.5" customHeight="1" x14ac:dyDescent="0.25">
      <c r="G6" s="133"/>
      <c r="I6" s="133"/>
      <c r="J6" s="17"/>
      <c r="K6" s="212"/>
      <c r="M6" s="215" t="s">
        <v>9</v>
      </c>
      <c r="N6" s="215"/>
    </row>
    <row r="7" spans="1:14" s="136" customFormat="1" ht="39.6" x14ac:dyDescent="0.25">
      <c r="A7" s="135" t="s">
        <v>10</v>
      </c>
      <c r="C7" s="135" t="s">
        <v>11</v>
      </c>
      <c r="E7" s="135" t="s">
        <v>12</v>
      </c>
      <c r="G7" s="135" t="s">
        <v>13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19"/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126">
        <v>1</v>
      </c>
      <c r="C9" s="93" t="s">
        <v>358</v>
      </c>
      <c r="E9" s="127" t="s">
        <v>359</v>
      </c>
      <c r="G9" s="122">
        <v>93.7</v>
      </c>
      <c r="H9" s="122"/>
      <c r="I9" s="122">
        <v>94.910788461538459</v>
      </c>
      <c r="J9" s="122">
        <v>98.437129807692301</v>
      </c>
      <c r="K9" s="122">
        <v>97.861221153846145</v>
      </c>
      <c r="L9" s="122"/>
      <c r="M9" s="122">
        <v>103.6</v>
      </c>
      <c r="N9" s="122">
        <f>M9</f>
        <v>103.6</v>
      </c>
    </row>
    <row r="11" spans="1:14" x14ac:dyDescent="0.25">
      <c r="A11" s="126">
        <f>A9+1</f>
        <v>2</v>
      </c>
      <c r="C11" s="93" t="s">
        <v>360</v>
      </c>
      <c r="E11" s="126"/>
      <c r="G11" s="100">
        <f>SUM(G12:G13)</f>
        <v>14393.812670000003</v>
      </c>
      <c r="H11" s="100"/>
      <c r="I11" s="100">
        <f>SUM(I12:I13)</f>
        <v>14173.021509999999</v>
      </c>
      <c r="J11" s="201">
        <f>SUM(J12:J13)</f>
        <v>14131.348170000001</v>
      </c>
      <c r="K11" s="201">
        <f>SUM(K12:K13)</f>
        <v>15420.332155714468</v>
      </c>
      <c r="L11" s="201"/>
      <c r="M11" s="201">
        <f t="shared" ref="M11:N11" si="0">SUM(M12:M13)</f>
        <v>16148.144499773744</v>
      </c>
      <c r="N11" s="201">
        <f t="shared" si="0"/>
        <v>16148.144499773744</v>
      </c>
    </row>
    <row r="12" spans="1:14" x14ac:dyDescent="0.25">
      <c r="A12" s="126">
        <f>A11+1</f>
        <v>3</v>
      </c>
      <c r="C12" s="200" t="s">
        <v>362</v>
      </c>
      <c r="E12" s="127" t="s">
        <v>361</v>
      </c>
      <c r="G12" s="100">
        <f>G22</f>
        <v>11932.360083596141</v>
      </c>
      <c r="H12" s="100"/>
      <c r="I12" s="201">
        <f>I22</f>
        <v>12082.927319999999</v>
      </c>
      <c r="J12" s="201">
        <f>J22</f>
        <v>11863.48876</v>
      </c>
      <c r="K12" s="201">
        <f>K22</f>
        <v>12726.801012407421</v>
      </c>
      <c r="L12" s="201"/>
      <c r="M12" s="201">
        <f>M22</f>
        <v>13310.010586503478</v>
      </c>
      <c r="N12" s="201">
        <f>N22</f>
        <v>13310.010586503478</v>
      </c>
    </row>
    <row r="13" spans="1:14" x14ac:dyDescent="0.25">
      <c r="A13" s="126">
        <f>A12+1</f>
        <v>4</v>
      </c>
      <c r="C13" s="200" t="s">
        <v>363</v>
      </c>
      <c r="G13" s="100">
        <v>2461.4525864038624</v>
      </c>
      <c r="H13" s="100"/>
      <c r="I13" s="100">
        <v>2090.0941899999998</v>
      </c>
      <c r="J13" s="201">
        <v>2267.85941</v>
      </c>
      <c r="K13" s="201">
        <v>2693.5311433070478</v>
      </c>
      <c r="L13" s="201"/>
      <c r="M13" s="201">
        <v>2838.1339132702647</v>
      </c>
      <c r="N13" s="201">
        <f>M13</f>
        <v>2838.1339132702647</v>
      </c>
    </row>
    <row r="14" spans="1:14" x14ac:dyDescent="0.25">
      <c r="G14" s="100"/>
      <c r="H14" s="100"/>
      <c r="I14" s="100"/>
      <c r="J14" s="201"/>
      <c r="K14" s="201"/>
      <c r="L14" s="201"/>
      <c r="M14" s="201"/>
      <c r="N14" s="201"/>
    </row>
    <row r="15" spans="1:14" x14ac:dyDescent="0.25">
      <c r="C15" s="93" t="s">
        <v>301</v>
      </c>
    </row>
    <row r="16" spans="1:14" x14ac:dyDescent="0.25">
      <c r="A16" s="126">
        <f>A13+1</f>
        <v>5</v>
      </c>
      <c r="C16" s="137" t="s">
        <v>284</v>
      </c>
      <c r="G16" s="100">
        <v>4131.0146340374831</v>
      </c>
      <c r="I16" s="100">
        <v>4455.2550799999999</v>
      </c>
      <c r="J16" s="201">
        <v>4466.9889300000004</v>
      </c>
      <c r="K16" s="201">
        <v>4995.2561197595742</v>
      </c>
      <c r="L16" s="201"/>
      <c r="M16" s="201">
        <v>4930.7547177750757</v>
      </c>
      <c r="N16" s="201">
        <v>4930.7547177750757</v>
      </c>
    </row>
    <row r="17" spans="1:14" x14ac:dyDescent="0.25">
      <c r="A17" s="126">
        <f>A16+1</f>
        <v>6</v>
      </c>
      <c r="C17" s="137" t="s">
        <v>302</v>
      </c>
      <c r="G17" s="100">
        <v>634.50561872690173</v>
      </c>
      <c r="I17" s="100">
        <v>526.16285500000004</v>
      </c>
      <c r="J17" s="201">
        <v>544.58051999999998</v>
      </c>
      <c r="K17" s="201">
        <v>658.64913910257803</v>
      </c>
      <c r="L17" s="201"/>
      <c r="M17" s="201">
        <v>673.57369925565206</v>
      </c>
      <c r="N17" s="201">
        <v>673.57369925565206</v>
      </c>
    </row>
    <row r="18" spans="1:14" x14ac:dyDescent="0.25">
      <c r="A18" s="126">
        <f t="shared" ref="A18:A20" si="1">A17+1</f>
        <v>7</v>
      </c>
      <c r="C18" s="137" t="s">
        <v>303</v>
      </c>
      <c r="G18" s="100">
        <v>855.74282510408364</v>
      </c>
      <c r="I18" s="100">
        <v>801.37227499999995</v>
      </c>
      <c r="J18" s="201">
        <v>625.16917000000001</v>
      </c>
      <c r="K18" s="201">
        <v>617.47675671489742</v>
      </c>
      <c r="L18" s="201"/>
      <c r="M18" s="201">
        <v>628.59396079728754</v>
      </c>
      <c r="N18" s="201">
        <v>628.59396079728754</v>
      </c>
    </row>
    <row r="19" spans="1:14" x14ac:dyDescent="0.25">
      <c r="A19" s="126">
        <f t="shared" si="1"/>
        <v>8</v>
      </c>
      <c r="C19" s="137" t="s">
        <v>286</v>
      </c>
      <c r="G19" s="100">
        <v>395.47867129707276</v>
      </c>
      <c r="I19" s="100">
        <v>350.69530000000003</v>
      </c>
      <c r="J19" s="201">
        <v>391.39323999999999</v>
      </c>
      <c r="K19" s="201">
        <v>342.60136692289285</v>
      </c>
      <c r="L19" s="201"/>
      <c r="M19" s="201">
        <v>378.44091317673133</v>
      </c>
      <c r="N19" s="201">
        <v>378.44091317673133</v>
      </c>
    </row>
    <row r="20" spans="1:14" x14ac:dyDescent="0.25">
      <c r="A20" s="126">
        <f t="shared" si="1"/>
        <v>9</v>
      </c>
      <c r="C20" s="137" t="s">
        <v>304</v>
      </c>
      <c r="G20" s="100">
        <v>5915.6183344305982</v>
      </c>
      <c r="I20" s="100">
        <v>5949.4418099999994</v>
      </c>
      <c r="J20" s="201">
        <v>5835.3568999999998</v>
      </c>
      <c r="K20" s="201">
        <v>6112.8176299074767</v>
      </c>
      <c r="L20" s="201"/>
      <c r="M20" s="201">
        <v>6698.6472954987321</v>
      </c>
      <c r="N20" s="201">
        <v>6698.6472954987321</v>
      </c>
    </row>
    <row r="21" spans="1:14" x14ac:dyDescent="0.25">
      <c r="C21" s="137"/>
      <c r="G21" s="100"/>
      <c r="I21" s="100"/>
      <c r="J21" s="201"/>
      <c r="K21" s="201"/>
      <c r="L21" s="201"/>
      <c r="M21" s="201"/>
      <c r="N21" s="201"/>
    </row>
    <row r="22" spans="1:14" x14ac:dyDescent="0.25">
      <c r="A22" s="126">
        <f>A20+1</f>
        <v>10</v>
      </c>
      <c r="C22" s="137" t="s">
        <v>305</v>
      </c>
      <c r="G22" s="138">
        <f>SUM(G16:G20)</f>
        <v>11932.360083596141</v>
      </c>
      <c r="I22" s="138">
        <f>SUM(I16:I20)</f>
        <v>12082.927319999999</v>
      </c>
      <c r="J22" s="138">
        <f>SUM(J16:J20)</f>
        <v>11863.48876</v>
      </c>
      <c r="K22" s="138">
        <f>SUM(K16:K20)</f>
        <v>12726.801012407421</v>
      </c>
      <c r="L22" s="201"/>
      <c r="M22" s="138">
        <f>SUM(M16:M20)</f>
        <v>13310.010586503478</v>
      </c>
      <c r="N22" s="138">
        <f>SUM(N16:N20)</f>
        <v>13310.010586503478</v>
      </c>
    </row>
    <row r="23" spans="1:14" x14ac:dyDescent="0.25">
      <c r="C23" s="137"/>
      <c r="G23" s="129"/>
      <c r="I23" s="129"/>
      <c r="J23" s="129"/>
      <c r="K23" s="129"/>
      <c r="M23" s="129"/>
      <c r="N23" s="129"/>
    </row>
    <row r="24" spans="1:14" x14ac:dyDescent="0.25">
      <c r="G24" s="139"/>
      <c r="I24" s="139"/>
      <c r="J24" s="139"/>
      <c r="K24" s="139"/>
      <c r="L24" s="139"/>
      <c r="M24" s="139"/>
    </row>
    <row r="25" spans="1:14" s="140" customFormat="1" x14ac:dyDescent="0.25">
      <c r="E25" s="141"/>
      <c r="G25" s="142"/>
      <c r="I25" s="142"/>
      <c r="J25" s="142"/>
      <c r="K25" s="142"/>
      <c r="L25" s="142"/>
      <c r="M25" s="142"/>
      <c r="N25" s="142"/>
    </row>
    <row r="26" spans="1:14" s="140" customFormat="1" x14ac:dyDescent="0.25">
      <c r="E26" s="141"/>
      <c r="G26" s="142"/>
      <c r="I26" s="142"/>
      <c r="J26" s="142"/>
      <c r="K26" s="142"/>
      <c r="L26" s="142"/>
      <c r="M26" s="142"/>
      <c r="N26" s="142"/>
    </row>
    <row r="27" spans="1:14" s="140" customFormat="1" x14ac:dyDescent="0.25">
      <c r="E27" s="141"/>
      <c r="G27" s="142"/>
      <c r="I27" s="142"/>
      <c r="J27" s="142"/>
      <c r="K27" s="142"/>
      <c r="L27" s="142"/>
      <c r="M27" s="142"/>
      <c r="N27" s="142"/>
    </row>
    <row r="28" spans="1:14" s="140" customFormat="1" x14ac:dyDescent="0.25">
      <c r="E28" s="141"/>
      <c r="G28" s="142"/>
      <c r="I28" s="142"/>
      <c r="J28" s="142"/>
      <c r="K28" s="142"/>
      <c r="L28" s="142"/>
      <c r="M28" s="142"/>
      <c r="N28" s="142"/>
    </row>
    <row r="29" spans="1:14" s="140" customFormat="1" x14ac:dyDescent="0.25">
      <c r="E29" s="141"/>
      <c r="G29" s="142"/>
      <c r="I29" s="142"/>
      <c r="J29" s="142"/>
      <c r="K29" s="142"/>
      <c r="L29" s="142"/>
      <c r="M29" s="142"/>
      <c r="N29" s="142"/>
    </row>
    <row r="30" spans="1:14" ht="18.75" customHeight="1" x14ac:dyDescent="0.25">
      <c r="A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4" ht="18.75" customHeight="1" x14ac:dyDescent="0.25">
      <c r="A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4" ht="18.75" customHeight="1" x14ac:dyDescent="0.25">
      <c r="A32" s="143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ht="18.75" customHeight="1" x14ac:dyDescent="0.25">
      <c r="A33" s="143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ht="18.75" customHeight="1" x14ac:dyDescent="0.25">
      <c r="A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1:13" x14ac:dyDescent="0.25">
      <c r="G35" s="145"/>
      <c r="I35" s="145"/>
      <c r="J35" s="145"/>
      <c r="K35" s="145"/>
      <c r="L35" s="145"/>
      <c r="M35" s="145"/>
    </row>
    <row r="38" spans="1:13" x14ac:dyDescent="0.25">
      <c r="G38" s="146"/>
      <c r="I38" s="146"/>
      <c r="J38" s="146"/>
      <c r="K38" s="146"/>
      <c r="L38" s="146"/>
      <c r="M38" s="146"/>
    </row>
    <row r="40" spans="1:13" x14ac:dyDescent="0.25">
      <c r="G40" s="147"/>
      <c r="I40" s="147"/>
      <c r="J40" s="147"/>
      <c r="K40" s="147"/>
      <c r="L40" s="147"/>
      <c r="M40" s="147"/>
    </row>
    <row r="42" spans="1:13" x14ac:dyDescent="0.25">
      <c r="G42" s="148"/>
      <c r="I42" s="148"/>
      <c r="J42" s="148"/>
      <c r="K42" s="148"/>
      <c r="L42" s="148"/>
      <c r="M42" s="148"/>
    </row>
    <row r="44" spans="1:13" x14ac:dyDescent="0.25">
      <c r="G44" s="147"/>
      <c r="I44" s="147"/>
      <c r="J44" s="147"/>
      <c r="K44" s="147"/>
      <c r="L44" s="147"/>
      <c r="M44" s="147"/>
    </row>
  </sheetData>
  <mergeCells count="1">
    <mergeCell ref="M6:N6"/>
  </mergeCells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N51"/>
  <sheetViews>
    <sheetView view="pageBreakPreview" zoomScaleSheetLayoutView="100" workbookViewId="0">
      <pane ySplit="7" topLeftCell="A35" activePane="bottomLeft" state="frozen"/>
      <selection pane="bottomLeft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27.44140625" style="1" customWidth="1"/>
    <col min="4" max="4" width="1.88671875" style="1" customWidth="1"/>
    <col min="5" max="5" width="9.109375" style="13" customWidth="1"/>
    <col min="6" max="6" width="1.88671875" style="1" customWidth="1"/>
    <col min="7" max="7" width="12.21875" style="1" customWidth="1"/>
    <col min="8" max="8" width="1.88671875" style="1" customWidth="1"/>
    <col min="9" max="9" width="11.33203125" style="1" customWidth="1"/>
    <col min="10" max="11" width="11.33203125" style="2" customWidth="1"/>
    <col min="12" max="12" width="2" style="2" customWidth="1"/>
    <col min="13" max="13" width="11.33203125" style="2" customWidth="1"/>
    <col min="14" max="14" width="11.33203125" style="1" customWidth="1"/>
    <col min="15" max="16384" width="9.109375" style="1"/>
  </cols>
  <sheetData>
    <row r="1" spans="1:14" ht="15" x14ac:dyDescent="0.25">
      <c r="A1" s="80" t="s">
        <v>0</v>
      </c>
      <c r="N1" s="4" t="s">
        <v>306</v>
      </c>
    </row>
    <row r="2" spans="1:14" x14ac:dyDescent="0.25">
      <c r="A2" s="82" t="s">
        <v>307</v>
      </c>
      <c r="N2" s="16" t="str">
        <f>Index!F2</f>
        <v>November 2020</v>
      </c>
    </row>
    <row r="3" spans="1:14" x14ac:dyDescent="0.25">
      <c r="A3" s="82" t="s">
        <v>8</v>
      </c>
    </row>
    <row r="6" spans="1:14" s="5" customFormat="1" x14ac:dyDescent="0.25">
      <c r="A6" s="13"/>
      <c r="B6" s="13"/>
      <c r="E6" s="13"/>
      <c r="G6" s="17"/>
      <c r="I6" s="17"/>
      <c r="J6" s="17"/>
      <c r="K6" s="211"/>
      <c r="L6" s="13"/>
      <c r="M6" s="214" t="s">
        <v>9</v>
      </c>
      <c r="N6" s="214"/>
    </row>
    <row r="7" spans="1:14" s="83" customFormat="1" ht="26.4" x14ac:dyDescent="0.25">
      <c r="A7" s="18" t="s">
        <v>10</v>
      </c>
      <c r="B7" s="19"/>
      <c r="C7" s="84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19"/>
      <c r="M7" s="18" t="str">
        <f>'Schedule 1'!M7</f>
        <v>Existing 2021</v>
      </c>
      <c r="N7" s="18" t="str">
        <f>'Schedule 1'!N7</f>
        <v>Proposed 2021</v>
      </c>
    </row>
    <row r="8" spans="1:14" x14ac:dyDescent="0.25">
      <c r="N8" s="2"/>
    </row>
    <row r="9" spans="1:14" ht="12.75" customHeight="1" x14ac:dyDescent="0.25">
      <c r="C9" s="21" t="s">
        <v>308</v>
      </c>
      <c r="D9" s="2"/>
      <c r="F9" s="2"/>
      <c r="G9" s="2"/>
      <c r="H9" s="2"/>
      <c r="I9" s="2"/>
      <c r="N9" s="2"/>
    </row>
    <row r="10" spans="1:14" ht="12.75" customHeight="1" x14ac:dyDescent="0.25">
      <c r="C10" s="94"/>
      <c r="D10" s="2"/>
      <c r="F10" s="2"/>
      <c r="G10" s="27"/>
      <c r="H10" s="2"/>
      <c r="I10" s="27"/>
      <c r="J10" s="27"/>
      <c r="K10" s="27"/>
      <c r="L10" s="27"/>
      <c r="M10" s="27"/>
      <c r="N10" s="27"/>
    </row>
    <row r="11" spans="1:14" ht="12.75" customHeight="1" x14ac:dyDescent="0.25">
      <c r="A11" s="2">
        <v>1</v>
      </c>
      <c r="C11" s="107" t="s">
        <v>309</v>
      </c>
      <c r="D11" s="2"/>
      <c r="F11" s="2"/>
      <c r="G11" s="27">
        <v>19541.53872</v>
      </c>
      <c r="H11" s="2"/>
      <c r="I11" s="27">
        <v>19541.53872</v>
      </c>
      <c r="J11" s="27">
        <v>19204.615719999998</v>
      </c>
      <c r="K11" s="27">
        <v>18867.692719999999</v>
      </c>
      <c r="L11" s="27"/>
      <c r="M11" s="27">
        <v>18530.76972</v>
      </c>
      <c r="N11" s="27">
        <f>M11</f>
        <v>18530.76972</v>
      </c>
    </row>
    <row r="12" spans="1:14" ht="12.75" customHeight="1" x14ac:dyDescent="0.25">
      <c r="A12" s="2">
        <f t="shared" ref="A12:A24" si="0">A11+1</f>
        <v>2</v>
      </c>
      <c r="C12" s="107" t="s">
        <v>310</v>
      </c>
      <c r="D12" s="2"/>
      <c r="F12" s="2"/>
      <c r="G12" s="27">
        <v>8990.5404440194852</v>
      </c>
      <c r="H12" s="2"/>
      <c r="I12" s="27">
        <v>8990.5404440194852</v>
      </c>
      <c r="J12" s="27">
        <v>8622.9924937597134</v>
      </c>
      <c r="K12" s="27">
        <v>8245.4346892088706</v>
      </c>
      <c r="L12" s="27"/>
      <c r="M12" s="27">
        <v>7857.594420540514</v>
      </c>
      <c r="N12" s="27">
        <f t="shared" ref="N12:N21" si="1">M12</f>
        <v>7857.594420540514</v>
      </c>
    </row>
    <row r="13" spans="1:14" ht="12.75" customHeight="1" x14ac:dyDescent="0.25">
      <c r="A13" s="2">
        <f t="shared" si="0"/>
        <v>3</v>
      </c>
      <c r="C13" s="107" t="s">
        <v>311</v>
      </c>
      <c r="D13" s="2"/>
      <c r="F13" s="2"/>
      <c r="G13" s="27">
        <v>2683.7642940935402</v>
      </c>
      <c r="H13" s="2"/>
      <c r="I13" s="27">
        <v>2710.324632129264</v>
      </c>
      <c r="J13" s="27">
        <v>2769.1674098724379</v>
      </c>
      <c r="K13" s="27">
        <v>2799.9341222097423</v>
      </c>
      <c r="L13" s="27"/>
      <c r="M13" s="27">
        <v>2815.6821380665024</v>
      </c>
      <c r="N13" s="27">
        <f t="shared" si="1"/>
        <v>2815.6821380665024</v>
      </c>
    </row>
    <row r="14" spans="1:14" ht="12.75" customHeight="1" x14ac:dyDescent="0.25">
      <c r="A14" s="2">
        <f t="shared" si="0"/>
        <v>4</v>
      </c>
      <c r="C14" s="107" t="s">
        <v>312</v>
      </c>
      <c r="D14" s="2"/>
      <c r="F14" s="2"/>
      <c r="G14" s="27">
        <v>5505</v>
      </c>
      <c r="H14" s="2"/>
      <c r="I14" s="27">
        <v>5505</v>
      </c>
      <c r="J14" s="27">
        <v>5505</v>
      </c>
      <c r="K14" s="27">
        <v>5505</v>
      </c>
      <c r="L14" s="27"/>
      <c r="M14" s="27">
        <v>5505</v>
      </c>
      <c r="N14" s="27">
        <f t="shared" si="1"/>
        <v>5505</v>
      </c>
    </row>
    <row r="15" spans="1:14" ht="12.75" customHeight="1" x14ac:dyDescent="0.25">
      <c r="A15" s="2">
        <f t="shared" si="0"/>
        <v>5</v>
      </c>
      <c r="C15" s="107" t="s">
        <v>357</v>
      </c>
      <c r="D15" s="2"/>
      <c r="F15" s="2"/>
      <c r="G15" s="27">
        <v>77723.273279999994</v>
      </c>
      <c r="H15" s="2"/>
      <c r="I15" s="27">
        <v>77723.273279999994</v>
      </c>
      <c r="J15" s="27">
        <v>74039.473280000006</v>
      </c>
      <c r="K15" s="27">
        <v>70355.673280000003</v>
      </c>
      <c r="L15" s="27"/>
      <c r="M15" s="27">
        <v>66671.87328</v>
      </c>
      <c r="N15" s="27">
        <f t="shared" si="1"/>
        <v>66671.87328</v>
      </c>
    </row>
    <row r="16" spans="1:14" ht="12.75" customHeight="1" x14ac:dyDescent="0.25">
      <c r="A16" s="2">
        <f t="shared" si="0"/>
        <v>6</v>
      </c>
      <c r="C16" s="107" t="s">
        <v>313</v>
      </c>
      <c r="D16" s="2"/>
      <c r="F16" s="2"/>
      <c r="G16" s="27">
        <v>18466.275519999999</v>
      </c>
      <c r="H16" s="2"/>
      <c r="I16" s="27">
        <v>18466.275519999999</v>
      </c>
      <c r="J16" s="27">
        <v>17626.899359999999</v>
      </c>
      <c r="K16" s="27">
        <v>16787.5232</v>
      </c>
      <c r="L16" s="27"/>
      <c r="M16" s="27">
        <v>15948.14704</v>
      </c>
      <c r="N16" s="27">
        <f t="shared" si="1"/>
        <v>15948.14704</v>
      </c>
    </row>
    <row r="17" spans="1:14" ht="12.75" customHeight="1" x14ac:dyDescent="0.25">
      <c r="A17" s="2">
        <f t="shared" si="0"/>
        <v>7</v>
      </c>
      <c r="C17" s="2" t="s">
        <v>314</v>
      </c>
      <c r="D17" s="2"/>
      <c r="F17" s="2"/>
      <c r="G17" s="27">
        <v>12136</v>
      </c>
      <c r="H17" s="2"/>
      <c r="I17" s="27">
        <v>12136</v>
      </c>
      <c r="J17" s="27">
        <v>12136</v>
      </c>
      <c r="K17" s="27">
        <v>12136</v>
      </c>
      <c r="L17" s="27"/>
      <c r="M17" s="27">
        <v>12136</v>
      </c>
      <c r="N17" s="27">
        <f t="shared" si="1"/>
        <v>12136</v>
      </c>
    </row>
    <row r="18" spans="1:14" ht="12.75" customHeight="1" x14ac:dyDescent="0.25">
      <c r="A18" s="2">
        <f t="shared" si="0"/>
        <v>8</v>
      </c>
      <c r="C18" s="107" t="s">
        <v>315</v>
      </c>
      <c r="D18" s="2"/>
      <c r="F18" s="2"/>
      <c r="G18" s="27">
        <v>21940.489223909401</v>
      </c>
      <c r="H18" s="2"/>
      <c r="I18" s="27">
        <v>23406.446</v>
      </c>
      <c r="J18" s="27">
        <v>22811.412</v>
      </c>
      <c r="K18" s="27">
        <v>22194.201000000001</v>
      </c>
      <c r="L18" s="27"/>
      <c r="M18" s="27">
        <v>21553.985000000001</v>
      </c>
      <c r="N18" s="27">
        <f t="shared" si="1"/>
        <v>21553.985000000001</v>
      </c>
    </row>
    <row r="19" spans="1:14" ht="12.75" customHeight="1" x14ac:dyDescent="0.25">
      <c r="A19" s="2">
        <f t="shared" si="0"/>
        <v>9</v>
      </c>
      <c r="C19" s="107" t="s">
        <v>347</v>
      </c>
      <c r="D19" s="2"/>
      <c r="F19" s="2"/>
      <c r="G19" s="27">
        <v>5775.9572671775377</v>
      </c>
      <c r="H19" s="2"/>
      <c r="I19" s="27">
        <v>0</v>
      </c>
      <c r="J19" s="27">
        <v>0</v>
      </c>
      <c r="K19" s="27">
        <v>0</v>
      </c>
      <c r="L19" s="27"/>
      <c r="M19" s="27">
        <v>0</v>
      </c>
      <c r="N19" s="27">
        <v>0</v>
      </c>
    </row>
    <row r="20" spans="1:14" ht="12.75" customHeight="1" x14ac:dyDescent="0.25">
      <c r="A20" s="2">
        <f t="shared" si="0"/>
        <v>10</v>
      </c>
      <c r="C20" s="107" t="s">
        <v>354</v>
      </c>
      <c r="D20" s="2"/>
      <c r="F20" s="2"/>
      <c r="G20" s="27">
        <v>0</v>
      </c>
      <c r="H20" s="2"/>
      <c r="I20" s="27">
        <v>0</v>
      </c>
      <c r="J20" s="27">
        <v>6687.7120000000004</v>
      </c>
      <c r="K20" s="27">
        <v>6498.3729999999996</v>
      </c>
      <c r="L20" s="27"/>
      <c r="M20" s="27">
        <v>6303.4709999999995</v>
      </c>
      <c r="N20" s="27">
        <f t="shared" si="1"/>
        <v>6303.4709999999995</v>
      </c>
    </row>
    <row r="21" spans="1:14" ht="12.75" customHeight="1" x14ac:dyDescent="0.25">
      <c r="A21" s="2">
        <f t="shared" si="0"/>
        <v>11</v>
      </c>
      <c r="C21" s="107" t="s">
        <v>355</v>
      </c>
      <c r="D21" s="2"/>
      <c r="F21" s="2"/>
      <c r="G21" s="27">
        <v>0</v>
      </c>
      <c r="H21" s="2"/>
      <c r="I21" s="27">
        <v>0</v>
      </c>
      <c r="J21" s="27">
        <v>2871</v>
      </c>
      <c r="K21" s="27">
        <v>2871</v>
      </c>
      <c r="L21" s="27"/>
      <c r="M21" s="27">
        <v>2871</v>
      </c>
      <c r="N21" s="27">
        <f t="shared" si="1"/>
        <v>2871</v>
      </c>
    </row>
    <row r="22" spans="1:14" ht="12.75" customHeight="1" x14ac:dyDescent="0.25">
      <c r="A22" s="2">
        <f t="shared" si="0"/>
        <v>12</v>
      </c>
      <c r="C22" s="107" t="s">
        <v>375</v>
      </c>
      <c r="D22" s="2"/>
      <c r="F22" s="2"/>
      <c r="G22" s="27">
        <v>0</v>
      </c>
      <c r="H22" s="2"/>
      <c r="I22" s="27">
        <v>0</v>
      </c>
      <c r="J22" s="27">
        <v>0</v>
      </c>
      <c r="K22" s="27">
        <v>8759.7450000000008</v>
      </c>
      <c r="L22" s="27"/>
      <c r="M22" s="27">
        <v>8759.7450000000008</v>
      </c>
      <c r="N22" s="27">
        <v>8759.7450000000008</v>
      </c>
    </row>
    <row r="23" spans="1:14" ht="12.75" customHeight="1" x14ac:dyDescent="0.25">
      <c r="A23" s="2">
        <f t="shared" si="0"/>
        <v>13</v>
      </c>
      <c r="C23" s="107" t="s">
        <v>376</v>
      </c>
      <c r="D23" s="2"/>
      <c r="F23" s="2"/>
      <c r="G23" s="27">
        <v>0</v>
      </c>
      <c r="H23" s="2"/>
      <c r="I23" s="27">
        <v>0</v>
      </c>
      <c r="J23" s="27">
        <v>0</v>
      </c>
      <c r="K23" s="46">
        <v>12450.360457381496</v>
      </c>
      <c r="L23" s="27"/>
      <c r="M23" s="27">
        <v>12450.360457381496</v>
      </c>
      <c r="N23" s="27">
        <v>12450.360457381496</v>
      </c>
    </row>
    <row r="24" spans="1:14" ht="12.75" customHeight="1" x14ac:dyDescent="0.25">
      <c r="A24" s="2">
        <f t="shared" si="0"/>
        <v>14</v>
      </c>
      <c r="C24" s="107" t="s">
        <v>377</v>
      </c>
      <c r="D24" s="2"/>
      <c r="F24" s="2"/>
      <c r="G24" s="27">
        <v>0</v>
      </c>
      <c r="H24" s="2"/>
      <c r="I24" s="27">
        <v>0</v>
      </c>
      <c r="J24" s="27">
        <v>0</v>
      </c>
      <c r="K24" s="27">
        <v>0</v>
      </c>
      <c r="L24" s="27"/>
      <c r="M24" s="27">
        <v>18637.513792411744</v>
      </c>
      <c r="N24" s="27">
        <v>18135.393779393489</v>
      </c>
    </row>
    <row r="25" spans="1:14" x14ac:dyDescent="0.25">
      <c r="C25" s="107"/>
      <c r="D25" s="2"/>
      <c r="F25" s="2"/>
      <c r="G25" s="27"/>
      <c r="H25" s="2"/>
      <c r="I25" s="27"/>
      <c r="J25" s="27"/>
      <c r="K25" s="27"/>
      <c r="L25" s="45"/>
      <c r="M25" s="27"/>
      <c r="N25" s="27"/>
    </row>
    <row r="26" spans="1:14" ht="12.75" customHeight="1" x14ac:dyDescent="0.25">
      <c r="A26" s="2">
        <f>A24+1</f>
        <v>15</v>
      </c>
      <c r="C26" s="1" t="s">
        <v>32</v>
      </c>
      <c r="D26" s="2"/>
      <c r="F26" s="2"/>
      <c r="G26" s="46">
        <f>SUM(G11:G25)</f>
        <v>172762.83874919993</v>
      </c>
      <c r="H26" s="2"/>
      <c r="I26" s="46">
        <f>SUM(I11:I25)</f>
        <v>168479.39859614873</v>
      </c>
      <c r="J26" s="46">
        <f>SUM(J11:J25)</f>
        <v>172274.27226363216</v>
      </c>
      <c r="K26" s="46">
        <f>SUM(K11:K25)</f>
        <v>187470.93746880011</v>
      </c>
      <c r="L26" s="46"/>
      <c r="M26" s="46">
        <f>SUM(M11:M25)</f>
        <v>200041.14184840024</v>
      </c>
      <c r="N26" s="46">
        <f>SUM(N11:N25)</f>
        <v>199539.02183538198</v>
      </c>
    </row>
    <row r="27" spans="1:14" ht="12.75" customHeight="1" x14ac:dyDescent="0.25">
      <c r="A27" s="2">
        <f>A26+1</f>
        <v>16</v>
      </c>
      <c r="C27" s="1" t="s">
        <v>33</v>
      </c>
      <c r="D27" s="2"/>
      <c r="F27" s="2"/>
      <c r="G27" s="56">
        <v>172180.84765079993</v>
      </c>
      <c r="H27" s="2"/>
      <c r="I27" s="56">
        <v>150243.65963941094</v>
      </c>
      <c r="J27" s="56">
        <f>I26</f>
        <v>168479.39859614873</v>
      </c>
      <c r="K27" s="56">
        <f>J26</f>
        <v>172274.27226363216</v>
      </c>
      <c r="L27" s="56"/>
      <c r="M27" s="56">
        <f>K26</f>
        <v>187470.93746880011</v>
      </c>
      <c r="N27" s="56">
        <f>K26</f>
        <v>187470.93746880011</v>
      </c>
    </row>
    <row r="28" spans="1:14" x14ac:dyDescent="0.25">
      <c r="A28" s="2">
        <f>A27+1</f>
        <v>17</v>
      </c>
      <c r="C28" s="2" t="s">
        <v>316</v>
      </c>
      <c r="D28" s="2"/>
      <c r="F28" s="2"/>
      <c r="G28" s="46">
        <f>(G27+G26)/2</f>
        <v>172471.84319999994</v>
      </c>
      <c r="H28" s="2"/>
      <c r="I28" s="46">
        <f>(I27+I26)/2</f>
        <v>159361.52911777984</v>
      </c>
      <c r="J28" s="46">
        <f>(J27+J26)/2</f>
        <v>170376.83542989043</v>
      </c>
      <c r="K28" s="46">
        <f>(K27+K26)/2</f>
        <v>179872.60486621613</v>
      </c>
      <c r="L28" s="46"/>
      <c r="M28" s="46">
        <f t="shared" ref="M28" si="2">(M27+M26)/2</f>
        <v>193756.03965860017</v>
      </c>
      <c r="N28" s="46">
        <f t="shared" ref="N28" si="3">(N27+N26)/2</f>
        <v>193504.97965209105</v>
      </c>
    </row>
    <row r="29" spans="1:14" x14ac:dyDescent="0.25">
      <c r="C29" s="2"/>
      <c r="D29" s="2"/>
      <c r="F29" s="2"/>
      <c r="G29" s="2"/>
      <c r="H29" s="2"/>
      <c r="I29" s="2"/>
      <c r="N29" s="2"/>
    </row>
    <row r="30" spans="1:14" x14ac:dyDescent="0.25">
      <c r="C30" s="113"/>
      <c r="D30" s="113"/>
      <c r="E30" s="114"/>
      <c r="F30" s="113"/>
      <c r="G30" s="115"/>
      <c r="H30" s="113"/>
      <c r="I30" s="115"/>
      <c r="J30" s="115"/>
      <c r="K30" s="115"/>
      <c r="L30" s="115"/>
      <c r="M30" s="115"/>
      <c r="N30" s="115"/>
    </row>
    <row r="31" spans="1:14" s="2" customFormat="1" x14ac:dyDescent="0.25">
      <c r="C31" s="21" t="s">
        <v>317</v>
      </c>
    </row>
    <row r="32" spans="1:14" x14ac:dyDescent="0.25">
      <c r="G32" s="2"/>
      <c r="H32" s="2"/>
      <c r="I32" s="2"/>
      <c r="N32" s="2"/>
    </row>
    <row r="33" spans="1:14" x14ac:dyDescent="0.25">
      <c r="A33" s="2">
        <f>A28+1</f>
        <v>18</v>
      </c>
      <c r="C33" s="107" t="str">
        <f t="shared" ref="C33:C40" si="4">C11</f>
        <v>YDC Mayo B Flexible Term Debt</v>
      </c>
      <c r="D33" s="2"/>
      <c r="F33" s="2"/>
      <c r="G33" s="46">
        <v>333.94520784752348</v>
      </c>
      <c r="H33" s="2"/>
      <c r="I33" s="46">
        <v>770.7778852271698</v>
      </c>
      <c r="J33" s="46">
        <v>689.74463256398622</v>
      </c>
      <c r="K33" s="46">
        <v>1048.572003024</v>
      </c>
      <c r="L33" s="46"/>
      <c r="M33" s="46">
        <v>1030.1760034019999</v>
      </c>
      <c r="N33" s="27">
        <f t="shared" ref="N33:N43" si="5">M33</f>
        <v>1030.1760034019999</v>
      </c>
    </row>
    <row r="34" spans="1:14" x14ac:dyDescent="0.25">
      <c r="A34" s="2">
        <f t="shared" ref="A34:A46" si="6">A33+1</f>
        <v>19</v>
      </c>
      <c r="C34" s="107" t="str">
        <f t="shared" si="4"/>
        <v>TD Bank Swap (2.69%)</v>
      </c>
      <c r="D34" s="2"/>
      <c r="F34" s="2"/>
      <c r="G34" s="46">
        <v>247.08043000000004</v>
      </c>
      <c r="H34" s="2"/>
      <c r="I34" s="46">
        <v>247.08043000000004</v>
      </c>
      <c r="J34" s="46">
        <v>237.33596</v>
      </c>
      <c r="K34" s="46">
        <v>227.32611</v>
      </c>
      <c r="L34" s="46"/>
      <c r="M34" s="46">
        <v>217.04362</v>
      </c>
      <c r="N34" s="27">
        <f t="shared" si="5"/>
        <v>217.04362</v>
      </c>
    </row>
    <row r="35" spans="1:14" x14ac:dyDescent="0.25">
      <c r="A35" s="2">
        <f t="shared" si="6"/>
        <v>20</v>
      </c>
      <c r="C35" s="107" t="str">
        <f t="shared" si="4"/>
        <v>Minto Decommissioning Reserve</v>
      </c>
      <c r="D35" s="2"/>
      <c r="F35" s="2"/>
      <c r="G35" s="46">
        <v>23.936469555744466</v>
      </c>
      <c r="H35" s="2"/>
      <c r="I35" s="46">
        <v>45.358062129264233</v>
      </c>
      <c r="J35" s="46">
        <v>58.842777743173762</v>
      </c>
      <c r="K35" s="46">
        <v>30.766712337304373</v>
      </c>
      <c r="L35" s="46"/>
      <c r="M35" s="46">
        <v>15.748015856760089</v>
      </c>
      <c r="N35" s="27">
        <f t="shared" si="5"/>
        <v>15.748015856760089</v>
      </c>
    </row>
    <row r="36" spans="1:14" x14ac:dyDescent="0.25">
      <c r="A36" s="2">
        <f t="shared" si="6"/>
        <v>21</v>
      </c>
      <c r="C36" s="107" t="str">
        <f t="shared" si="4"/>
        <v>YDC $5.5M Debt (2.40%)</v>
      </c>
      <c r="D36" s="2"/>
      <c r="F36" s="2"/>
      <c r="G36" s="46">
        <v>132.12</v>
      </c>
      <c r="H36" s="2"/>
      <c r="I36" s="46">
        <v>132.12</v>
      </c>
      <c r="J36" s="46">
        <v>132.12</v>
      </c>
      <c r="K36" s="46">
        <v>132.12</v>
      </c>
      <c r="L36" s="46"/>
      <c r="M36" s="46">
        <v>132.12</v>
      </c>
      <c r="N36" s="27">
        <f t="shared" si="5"/>
        <v>132.12</v>
      </c>
    </row>
    <row r="37" spans="1:14" s="2" customFormat="1" x14ac:dyDescent="0.25">
      <c r="A37" s="2">
        <f t="shared" si="6"/>
        <v>22</v>
      </c>
      <c r="C37" s="107" t="str">
        <f t="shared" si="4"/>
        <v>YDC $92.5M Debt (2.40%/2.83%)</v>
      </c>
      <c r="E37" s="13"/>
      <c r="G37" s="46">
        <v>1953.7697587200005</v>
      </c>
      <c r="I37" s="46">
        <v>1953.7697587200005</v>
      </c>
      <c r="J37" s="46">
        <v>1865.35855872</v>
      </c>
      <c r="K37" s="46">
        <v>1984.2578839040002</v>
      </c>
      <c r="L37" s="46"/>
      <c r="M37" s="46">
        <v>1885.5320439040004</v>
      </c>
      <c r="N37" s="27">
        <f t="shared" si="5"/>
        <v>1885.5320439040004</v>
      </c>
    </row>
    <row r="38" spans="1:14" s="2" customFormat="1" x14ac:dyDescent="0.25">
      <c r="A38" s="2">
        <f t="shared" si="6"/>
        <v>23</v>
      </c>
      <c r="C38" s="107" t="str">
        <f t="shared" si="4"/>
        <v>YDC $21.0M Debt (2.21%)</v>
      </c>
      <c r="E38" s="13"/>
      <c r="G38" s="46">
        <v>426.65490212800006</v>
      </c>
      <c r="I38" s="46">
        <v>426.65490212800006</v>
      </c>
      <c r="J38" s="46">
        <v>408.10468899200004</v>
      </c>
      <c r="K38" s="46">
        <v>389.55447585600001</v>
      </c>
      <c r="L38" s="46"/>
      <c r="M38" s="46">
        <v>371.00426271999999</v>
      </c>
      <c r="N38" s="27">
        <f t="shared" si="5"/>
        <v>371.00426271999999</v>
      </c>
    </row>
    <row r="39" spans="1:14" s="2" customFormat="1" x14ac:dyDescent="0.25">
      <c r="A39" s="2">
        <f t="shared" si="6"/>
        <v>24</v>
      </c>
      <c r="C39" s="107" t="str">
        <f t="shared" si="4"/>
        <v>YDC $12.1M Debt (2.10%)</v>
      </c>
      <c r="E39" s="13"/>
      <c r="G39" s="46">
        <v>254.85600000000005</v>
      </c>
      <c r="I39" s="46">
        <v>254.85600000000005</v>
      </c>
      <c r="J39" s="46">
        <v>254.85600000000005</v>
      </c>
      <c r="K39" s="46">
        <v>254.85599999999999</v>
      </c>
      <c r="L39" s="46"/>
      <c r="M39" s="46">
        <v>254.85600000000005</v>
      </c>
      <c r="N39" s="27">
        <f t="shared" si="5"/>
        <v>254.85600000000005</v>
      </c>
    </row>
    <row r="40" spans="1:14" s="2" customFormat="1" x14ac:dyDescent="0.25">
      <c r="A40" s="2">
        <f t="shared" si="6"/>
        <v>25</v>
      </c>
      <c r="C40" s="107" t="str">
        <f t="shared" si="4"/>
        <v>TD Bank Swap (3.665%)</v>
      </c>
      <c r="E40" s="13"/>
      <c r="G40" s="46">
        <v>471.72051831405207</v>
      </c>
      <c r="I40" s="46">
        <v>287.42883499166669</v>
      </c>
      <c r="J40" s="46">
        <v>847.91695460000005</v>
      </c>
      <c r="K40" s="46">
        <v>825.73890650416661</v>
      </c>
      <c r="L40" s="46"/>
      <c r="M40" s="46">
        <v>802.73423903749995</v>
      </c>
      <c r="N40" s="27">
        <f t="shared" si="5"/>
        <v>802.73423903749995</v>
      </c>
    </row>
    <row r="41" spans="1:14" s="2" customFormat="1" x14ac:dyDescent="0.25">
      <c r="A41" s="2">
        <f t="shared" si="6"/>
        <v>26</v>
      </c>
      <c r="C41" s="107" t="s">
        <v>347</v>
      </c>
      <c r="E41" s="13"/>
      <c r="G41" s="46">
        <v>0</v>
      </c>
      <c r="I41" s="46">
        <v>0</v>
      </c>
      <c r="J41" s="46">
        <v>0</v>
      </c>
      <c r="K41" s="46">
        <v>0</v>
      </c>
      <c r="L41" s="46"/>
      <c r="M41" s="46">
        <v>0</v>
      </c>
      <c r="N41" s="27">
        <v>0</v>
      </c>
    </row>
    <row r="42" spans="1:14" s="2" customFormat="1" x14ac:dyDescent="0.25">
      <c r="A42" s="2">
        <f t="shared" si="6"/>
        <v>27</v>
      </c>
      <c r="C42" s="107" t="s">
        <v>354</v>
      </c>
      <c r="E42" s="13"/>
      <c r="G42" s="46">
        <v>0</v>
      </c>
      <c r="I42" s="46">
        <v>0</v>
      </c>
      <c r="J42" s="46">
        <v>81.343036168333327</v>
      </c>
      <c r="K42" s="46">
        <v>191.37416081333336</v>
      </c>
      <c r="L42" s="46"/>
      <c r="M42" s="46">
        <v>185.81168523666668</v>
      </c>
      <c r="N42" s="27">
        <f t="shared" si="5"/>
        <v>185.81168523666668</v>
      </c>
    </row>
    <row r="43" spans="1:14" s="2" customFormat="1" x14ac:dyDescent="0.25">
      <c r="A43" s="2">
        <f t="shared" si="6"/>
        <v>28</v>
      </c>
      <c r="C43" s="107" t="s">
        <v>355</v>
      </c>
      <c r="E43" s="13"/>
      <c r="G43" s="46">
        <v>0</v>
      </c>
      <c r="I43" s="46">
        <v>0</v>
      </c>
      <c r="J43" s="46">
        <v>41.957187287671232</v>
      </c>
      <c r="K43" s="46">
        <v>83.230289999999997</v>
      </c>
      <c r="L43" s="46"/>
      <c r="M43" s="46">
        <v>83.230289999999997</v>
      </c>
      <c r="N43" s="27">
        <f t="shared" si="5"/>
        <v>83.230289999999997</v>
      </c>
    </row>
    <row r="44" spans="1:14" s="2" customFormat="1" x14ac:dyDescent="0.25">
      <c r="A44" s="2">
        <f t="shared" si="6"/>
        <v>29</v>
      </c>
      <c r="C44" s="107" t="s">
        <v>375</v>
      </c>
      <c r="E44" s="13"/>
      <c r="G44" s="46">
        <v>0</v>
      </c>
      <c r="I44" s="46">
        <v>0</v>
      </c>
      <c r="J44" s="46">
        <v>0</v>
      </c>
      <c r="K44" s="46">
        <v>78.847864800000011</v>
      </c>
      <c r="L44" s="46"/>
      <c r="M44" s="46">
        <v>191.8384155</v>
      </c>
      <c r="N44" s="27">
        <v>191.8384155</v>
      </c>
    </row>
    <row r="45" spans="1:14" s="2" customFormat="1" x14ac:dyDescent="0.25">
      <c r="A45" s="2">
        <f t="shared" si="6"/>
        <v>30</v>
      </c>
      <c r="C45" s="107" t="s">
        <v>376</v>
      </c>
      <c r="E45" s="13"/>
      <c r="G45" s="46">
        <v>0</v>
      </c>
      <c r="I45" s="46">
        <v>0</v>
      </c>
      <c r="J45" s="46">
        <v>0</v>
      </c>
      <c r="K45" s="46">
        <v>0</v>
      </c>
      <c r="L45" s="46"/>
      <c r="M45" s="46">
        <v>272.66289401665483</v>
      </c>
      <c r="N45" s="27">
        <v>272.66289401665483</v>
      </c>
    </row>
    <row r="46" spans="1:14" s="2" customFormat="1" x14ac:dyDescent="0.25">
      <c r="A46" s="2">
        <f t="shared" si="6"/>
        <v>31</v>
      </c>
      <c r="C46" s="107" t="s">
        <v>377</v>
      </c>
      <c r="E46" s="13"/>
      <c r="G46" s="46">
        <v>0</v>
      </c>
      <c r="I46" s="46">
        <v>0</v>
      </c>
      <c r="J46" s="46">
        <v>0</v>
      </c>
      <c r="K46" s="46">
        <v>0</v>
      </c>
      <c r="L46" s="46"/>
      <c r="M46" s="46">
        <v>0</v>
      </c>
      <c r="N46" s="27">
        <v>0</v>
      </c>
    </row>
    <row r="47" spans="1:14" x14ac:dyDescent="0.25">
      <c r="C47" s="116"/>
      <c r="D47" s="2"/>
      <c r="F47" s="2"/>
      <c r="G47" s="46"/>
      <c r="H47" s="2"/>
      <c r="I47" s="46"/>
      <c r="J47" s="46"/>
      <c r="K47" s="46"/>
      <c r="L47" s="46"/>
      <c r="M47" s="46"/>
      <c r="N47" s="46"/>
    </row>
    <row r="48" spans="1:14" x14ac:dyDescent="0.25">
      <c r="A48" s="2">
        <f>A46+1</f>
        <v>32</v>
      </c>
      <c r="C48" s="11" t="s">
        <v>318</v>
      </c>
      <c r="G48" s="46">
        <f>SUM(G33:G47)</f>
        <v>3844.083286565321</v>
      </c>
      <c r="H48" s="2"/>
      <c r="I48" s="46">
        <f>SUM(I33:I47)</f>
        <v>4118.0458731961016</v>
      </c>
      <c r="J48" s="46">
        <f>SUM(J33:J47)</f>
        <v>4617.5797960751643</v>
      </c>
      <c r="K48" s="46">
        <f>SUM(K33:K47)</f>
        <v>5246.6444072388049</v>
      </c>
      <c r="L48" s="46"/>
      <c r="M48" s="46">
        <f>SUM(M33:M47)</f>
        <v>5442.7574696735828</v>
      </c>
      <c r="N48" s="46">
        <f>SUM(N33:N47)</f>
        <v>5442.7574696735828</v>
      </c>
    </row>
    <row r="49" spans="1:14" x14ac:dyDescent="0.25">
      <c r="G49" s="2"/>
      <c r="H49" s="2"/>
      <c r="I49" s="2"/>
      <c r="N49" s="2"/>
    </row>
    <row r="50" spans="1:14" x14ac:dyDescent="0.25">
      <c r="A50" s="2">
        <f>A48+1</f>
        <v>33</v>
      </c>
      <c r="C50" s="1" t="s">
        <v>319</v>
      </c>
      <c r="G50" s="118">
        <f>G48/G28</f>
        <v>2.2288178842662952E-2</v>
      </c>
      <c r="H50" s="2"/>
      <c r="I50" s="118">
        <f>I48/I28</f>
        <v>2.5840903359759835E-2</v>
      </c>
      <c r="J50" s="118">
        <f>J48/J28</f>
        <v>2.7102157311609917E-2</v>
      </c>
      <c r="K50" s="118">
        <f>K48/K28</f>
        <v>2.9168668631563446E-2</v>
      </c>
      <c r="L50" s="118"/>
      <c r="M50" s="118">
        <f>M48/M28</f>
        <v>2.8090775798595848E-2</v>
      </c>
      <c r="N50" s="118">
        <f>N48/N28</f>
        <v>2.8127221735891734E-2</v>
      </c>
    </row>
    <row r="51" spans="1:14" x14ac:dyDescent="0.25">
      <c r="G51" s="117"/>
      <c r="I51" s="117"/>
      <c r="J51" s="118"/>
      <c r="K51" s="118"/>
      <c r="L51" s="118"/>
      <c r="M51" s="118"/>
      <c r="N51" s="117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59"/>
  <sheetViews>
    <sheetView view="pageBreakPreview" zoomScaleNormal="100" zoomScaleSheetLayoutView="100" workbookViewId="0">
      <pane ySplit="7" topLeftCell="A8" activePane="bottomLeft" state="frozen"/>
      <selection pane="bottomLeft" activeCell="F5" sqref="F5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42.33203125" style="2" customWidth="1"/>
    <col min="4" max="4" width="1.88671875" style="2" customWidth="1"/>
    <col min="5" max="5" width="9.109375" style="13" customWidth="1"/>
    <col min="6" max="6" width="1.88671875" style="2" customWidth="1"/>
    <col min="7" max="7" width="13" style="2" customWidth="1"/>
    <col min="8" max="8" width="1.88671875" style="2" customWidth="1"/>
    <col min="9" max="11" width="11.33203125" style="2" customWidth="1"/>
    <col min="12" max="12" width="2.109375" style="2" customWidth="1"/>
    <col min="13" max="14" width="11.33203125" style="2" customWidth="1"/>
    <col min="15" max="15" width="10.109375" style="2" bestFit="1" customWidth="1"/>
    <col min="16" max="17" width="9.109375" style="2"/>
    <col min="18" max="18" width="10.33203125" style="2" bestFit="1" customWidth="1"/>
    <col min="19" max="16384" width="9.109375" style="2"/>
  </cols>
  <sheetData>
    <row r="1" spans="1:14" ht="15" x14ac:dyDescent="0.25">
      <c r="A1" s="12" t="s">
        <v>0</v>
      </c>
      <c r="M1" s="10"/>
      <c r="N1" s="10" t="s">
        <v>6</v>
      </c>
    </row>
    <row r="2" spans="1:14" x14ac:dyDescent="0.25">
      <c r="A2" s="15" t="s">
        <v>7</v>
      </c>
      <c r="M2" s="16"/>
      <c r="N2" s="16" t="str">
        <f>Index!F2</f>
        <v>November 2020</v>
      </c>
    </row>
    <row r="3" spans="1:14" x14ac:dyDescent="0.25">
      <c r="A3" s="15" t="s">
        <v>8</v>
      </c>
    </row>
    <row r="4" spans="1:14" x14ac:dyDescent="0.25">
      <c r="A4" s="15"/>
    </row>
    <row r="5" spans="1:14" x14ac:dyDescent="0.25">
      <c r="A5" s="15"/>
    </row>
    <row r="6" spans="1:14" s="13" customForma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">
        <v>13</v>
      </c>
      <c r="I7" s="18" t="s">
        <v>14</v>
      </c>
      <c r="J7" s="18" t="s">
        <v>364</v>
      </c>
      <c r="K7" s="18" t="s">
        <v>372</v>
      </c>
      <c r="M7" s="18" t="s">
        <v>365</v>
      </c>
      <c r="N7" s="18" t="s">
        <v>366</v>
      </c>
    </row>
    <row r="9" spans="1:14" x14ac:dyDescent="0.25">
      <c r="A9" s="2">
        <v>1</v>
      </c>
      <c r="C9" s="21" t="s">
        <v>16</v>
      </c>
    </row>
    <row r="10" spans="1:14" x14ac:dyDescent="0.25">
      <c r="A10" s="2">
        <f>A9+1</f>
        <v>2</v>
      </c>
      <c r="C10" s="2" t="s">
        <v>17</v>
      </c>
      <c r="E10" s="13" t="s">
        <v>348</v>
      </c>
      <c r="G10" s="22">
        <f>'Schedule 3'!G13</f>
        <v>612436.33080999996</v>
      </c>
      <c r="I10" s="22">
        <f>'Schedule 3'!I13</f>
        <v>615386.82991999993</v>
      </c>
      <c r="J10" s="22">
        <f>'Schedule 3'!J13</f>
        <v>642737.99056999991</v>
      </c>
      <c r="K10" s="22">
        <f>'Schedule 3'!K13</f>
        <v>677308.5838599999</v>
      </c>
      <c r="M10" s="22">
        <f>'Schedule 3'!M13</f>
        <v>738663.0011799999</v>
      </c>
      <c r="N10" s="22">
        <f>'Schedule 3'!N13</f>
        <v>738663.02811999992</v>
      </c>
    </row>
    <row r="11" spans="1:14" x14ac:dyDescent="0.25">
      <c r="E11" s="13" t="s">
        <v>18</v>
      </c>
      <c r="G11" s="22"/>
      <c r="I11" s="22"/>
      <c r="J11" s="22"/>
      <c r="K11" s="22"/>
      <c r="M11" s="22"/>
      <c r="N11" s="22"/>
    </row>
    <row r="12" spans="1:14" x14ac:dyDescent="0.25">
      <c r="C12" s="2" t="s">
        <v>19</v>
      </c>
      <c r="G12" s="22"/>
      <c r="I12" s="22"/>
      <c r="J12" s="22"/>
      <c r="K12" s="22"/>
      <c r="M12" s="22"/>
      <c r="N12" s="22"/>
    </row>
    <row r="13" spans="1:14" x14ac:dyDescent="0.25">
      <c r="A13" s="2">
        <f>A10+1</f>
        <v>3</v>
      </c>
      <c r="C13" s="2" t="s">
        <v>20</v>
      </c>
      <c r="E13" s="13" t="s">
        <v>219</v>
      </c>
      <c r="G13" s="22">
        <f>'Schedule 3'!G19</f>
        <v>163052.79194000011</v>
      </c>
      <c r="I13" s="22">
        <f>'Schedule 3'!I19</f>
        <v>160540.67798000009</v>
      </c>
      <c r="J13" s="22">
        <f>'Schedule 3'!J19</f>
        <v>172426.38678000009</v>
      </c>
      <c r="K13" s="22">
        <f>'Schedule 3'!K19</f>
        <v>185389.1806900001</v>
      </c>
      <c r="M13" s="22">
        <f>'Schedule 3'!M19</f>
        <v>198333.9121000001</v>
      </c>
      <c r="N13" s="22">
        <f>'Schedule 3'!N19</f>
        <v>198970.25078836372</v>
      </c>
    </row>
    <row r="14" spans="1:14" x14ac:dyDescent="0.25">
      <c r="G14" s="22"/>
      <c r="I14" s="22"/>
      <c r="J14" s="22"/>
      <c r="K14" s="22"/>
      <c r="M14" s="22"/>
      <c r="N14" s="22"/>
    </row>
    <row r="15" spans="1:14" x14ac:dyDescent="0.25">
      <c r="A15" s="2">
        <f>A13+1</f>
        <v>4</v>
      </c>
      <c r="C15" s="2" t="s">
        <v>21</v>
      </c>
      <c r="E15" s="13" t="s">
        <v>24</v>
      </c>
      <c r="G15" s="22">
        <f>'Schedule 3'!G26</f>
        <v>7620.4991900000005</v>
      </c>
      <c r="I15" s="22">
        <f>'Schedule 3'!I26</f>
        <v>4491.3864100000001</v>
      </c>
      <c r="J15" s="22">
        <f>'Schedule 3'!J26</f>
        <v>8088.3169699999999</v>
      </c>
      <c r="K15" s="22">
        <f>'Schedule 3'!K26</f>
        <v>10795.93975</v>
      </c>
      <c r="M15" s="22">
        <f>'Schedule 3'!M26</f>
        <v>37389.414280000005</v>
      </c>
      <c r="N15" s="22">
        <f>'Schedule 3'!N26</f>
        <v>37389.414280000005</v>
      </c>
    </row>
    <row r="16" spans="1:14" x14ac:dyDescent="0.25">
      <c r="A16" s="2">
        <f>A15+1</f>
        <v>5</v>
      </c>
      <c r="C16" s="2" t="s">
        <v>23</v>
      </c>
      <c r="E16" s="13" t="s">
        <v>22</v>
      </c>
      <c r="G16" s="22">
        <f>'Schedule 3'!G24</f>
        <v>2192.9078289999998</v>
      </c>
      <c r="I16" s="22">
        <f>'Schedule 3'!I24</f>
        <v>2192.9078289999998</v>
      </c>
      <c r="J16" s="22">
        <f>'Schedule 3'!J24</f>
        <v>1989.106366</v>
      </c>
      <c r="K16" s="22">
        <f>'Schedule 3'!K24</f>
        <v>1785.304903</v>
      </c>
      <c r="M16" s="22">
        <f>'Schedule 3'!M24</f>
        <v>1581.50344</v>
      </c>
      <c r="N16" s="22">
        <f>'Schedule 3'!N24</f>
        <v>1581.50344</v>
      </c>
    </row>
    <row r="17" spans="1:28" x14ac:dyDescent="0.25">
      <c r="A17" s="2">
        <f>A16+1</f>
        <v>6</v>
      </c>
      <c r="C17" s="2" t="s">
        <v>25</v>
      </c>
      <c r="E17" s="13" t="s">
        <v>28</v>
      </c>
      <c r="G17" s="25">
        <f>'Schedule 3'!G32</f>
        <v>7807.9959099999996</v>
      </c>
      <c r="I17" s="25">
        <f>'Schedule 3'!I32</f>
        <v>7248.9971699999987</v>
      </c>
      <c r="J17" s="25">
        <f>'Schedule 3'!J32</f>
        <v>6230.7979699999996</v>
      </c>
      <c r="K17" s="25">
        <f>'Schedule 3'!K32</f>
        <v>4849.3349699999999</v>
      </c>
      <c r="M17" s="25">
        <f>'Schedule 3'!M32</f>
        <v>4655.2719699999998</v>
      </c>
      <c r="N17" s="25">
        <f>'Schedule 3'!N32</f>
        <v>5011.79997</v>
      </c>
    </row>
    <row r="18" spans="1:28" x14ac:dyDescent="0.25">
      <c r="A18" s="2">
        <f>A17+1</f>
        <v>7</v>
      </c>
      <c r="C18" s="2" t="s">
        <v>26</v>
      </c>
      <c r="G18" s="22">
        <f>SUM(G13:G17)</f>
        <v>180674.19486900012</v>
      </c>
      <c r="I18" s="22">
        <f>SUM(I13:I17)</f>
        <v>174473.96938900009</v>
      </c>
      <c r="J18" s="22">
        <f>SUM(J13:J17)</f>
        <v>188734.60808600008</v>
      </c>
      <c r="K18" s="22">
        <f>SUM(K13:K17)</f>
        <v>202819.76031300009</v>
      </c>
      <c r="M18" s="22">
        <f>SUM(M13:M17)</f>
        <v>241960.1017900001</v>
      </c>
      <c r="N18" s="22">
        <f>SUM(N13:N17)</f>
        <v>242952.96847836371</v>
      </c>
    </row>
    <row r="19" spans="1:28" x14ac:dyDescent="0.25">
      <c r="G19" s="22"/>
      <c r="I19" s="22"/>
      <c r="J19" s="22"/>
      <c r="K19" s="22"/>
      <c r="M19" s="22"/>
      <c r="N19" s="22"/>
    </row>
    <row r="20" spans="1:28" x14ac:dyDescent="0.25">
      <c r="C20" s="2" t="s">
        <v>27</v>
      </c>
      <c r="G20" s="22"/>
      <c r="I20" s="22"/>
      <c r="J20" s="22"/>
      <c r="K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Z20" s="22"/>
      <c r="AA20" s="22"/>
      <c r="AB20" s="22"/>
    </row>
    <row r="21" spans="1:28" x14ac:dyDescent="0.25">
      <c r="A21" s="2">
        <f>A18+1</f>
        <v>8</v>
      </c>
      <c r="C21" s="2" t="s">
        <v>385</v>
      </c>
      <c r="E21" s="13" t="s">
        <v>349</v>
      </c>
      <c r="G21" s="23">
        <f>'Schedule 3'!G80</f>
        <v>41695.399550999995</v>
      </c>
      <c r="I21" s="23">
        <f>'Schedule 3'!I80</f>
        <v>30117.844022000005</v>
      </c>
      <c r="J21" s="23">
        <f>'Schedule 3'!J80</f>
        <v>32133.344177000006</v>
      </c>
      <c r="K21" s="23">
        <f>'Schedule 3'!K80</f>
        <v>37883.628692000006</v>
      </c>
      <c r="L21" s="14"/>
      <c r="M21" s="23">
        <f>'Schedule 3'!M80</f>
        <v>44400.401114999993</v>
      </c>
      <c r="N21" s="23">
        <f>'Schedule 3'!N80</f>
        <v>44400.401114999993</v>
      </c>
      <c r="O21" s="22"/>
      <c r="P21" s="22"/>
      <c r="Q21" s="22"/>
      <c r="R21" s="22"/>
      <c r="S21" s="22"/>
      <c r="T21" s="22"/>
      <c r="V21" s="22"/>
      <c r="W21" s="22"/>
      <c r="X21" s="22"/>
      <c r="Z21" s="22"/>
      <c r="AA21" s="22"/>
      <c r="AB21" s="22"/>
    </row>
    <row r="22" spans="1:28" x14ac:dyDescent="0.25">
      <c r="A22" s="2">
        <f>A21+1</f>
        <v>9</v>
      </c>
      <c r="C22" s="2" t="s">
        <v>386</v>
      </c>
      <c r="E22" s="13" t="s">
        <v>350</v>
      </c>
      <c r="G22" s="23">
        <f>'Schedule 3'!G82</f>
        <v>29497.82085</v>
      </c>
      <c r="I22" s="23">
        <f>'Schedule 3'!I82</f>
        <v>18930.084010000002</v>
      </c>
      <c r="J22" s="23">
        <f>'Schedule 3'!J82</f>
        <v>20881.272539999998</v>
      </c>
      <c r="K22" s="23">
        <f>'Schedule 3'!K82</f>
        <v>26065.044979999999</v>
      </c>
      <c r="L22" s="14"/>
      <c r="M22" s="23">
        <f>'Schedule 3'!M82</f>
        <v>29972.499079999998</v>
      </c>
      <c r="N22" s="23">
        <f>'Schedule 3'!N82</f>
        <v>29972.499079999998</v>
      </c>
      <c r="O22" s="22"/>
      <c r="P22" s="22"/>
      <c r="Q22" s="22"/>
      <c r="R22" s="22"/>
      <c r="S22" s="22"/>
      <c r="T22" s="22"/>
      <c r="V22" s="22"/>
      <c r="W22" s="22"/>
      <c r="X22" s="22"/>
      <c r="Z22" s="22"/>
      <c r="AA22" s="22"/>
      <c r="AB22" s="22"/>
    </row>
    <row r="23" spans="1:28" x14ac:dyDescent="0.25">
      <c r="A23" s="2">
        <f>A22+1</f>
        <v>10</v>
      </c>
      <c r="C23" s="2" t="s">
        <v>30</v>
      </c>
      <c r="G23" s="26">
        <f>G21-G22</f>
        <v>12197.578700999995</v>
      </c>
      <c r="I23" s="26">
        <f>I21-I22</f>
        <v>11187.760012000002</v>
      </c>
      <c r="J23" s="26">
        <f>J21-J22</f>
        <v>11252.071637000008</v>
      </c>
      <c r="K23" s="26">
        <f>K21-K22</f>
        <v>11818.583712000007</v>
      </c>
      <c r="M23" s="26">
        <f t="shared" ref="M23:N23" si="0">M21-M22</f>
        <v>14427.902034999996</v>
      </c>
      <c r="N23" s="26">
        <f t="shared" si="0"/>
        <v>14427.902034999996</v>
      </c>
      <c r="O23" s="24"/>
      <c r="P23" s="24"/>
      <c r="R23" s="24"/>
      <c r="S23" s="24"/>
      <c r="T23" s="24"/>
      <c r="V23" s="24"/>
      <c r="W23" s="24"/>
      <c r="X23" s="24"/>
      <c r="Z23" s="24"/>
      <c r="AA23" s="24"/>
      <c r="AB23" s="24"/>
    </row>
    <row r="24" spans="1:28" x14ac:dyDescent="0.25">
      <c r="G24" s="23"/>
      <c r="I24" s="23"/>
      <c r="J24" s="23"/>
      <c r="K24" s="23"/>
      <c r="L24" s="14"/>
      <c r="M24" s="23"/>
      <c r="N24" s="23"/>
      <c r="O24" s="22"/>
      <c r="P24" s="22"/>
      <c r="Q24" s="22"/>
      <c r="R24" s="22"/>
      <c r="S24" s="22"/>
      <c r="T24" s="22"/>
      <c r="V24" s="22"/>
      <c r="W24" s="22"/>
      <c r="X24" s="22"/>
      <c r="Z24" s="22"/>
      <c r="AA24" s="22"/>
      <c r="AB24" s="22"/>
    </row>
    <row r="25" spans="1:28" x14ac:dyDescent="0.25">
      <c r="C25" s="21" t="s">
        <v>31</v>
      </c>
      <c r="G25" s="22"/>
      <c r="I25" s="22"/>
      <c r="J25" s="22"/>
      <c r="K25" s="22"/>
      <c r="M25" s="22"/>
      <c r="N25" s="22"/>
      <c r="V25" s="24"/>
      <c r="W25" s="24"/>
      <c r="X25" s="24"/>
      <c r="AA25" s="24"/>
      <c r="AB25" s="24"/>
    </row>
    <row r="26" spans="1:28" x14ac:dyDescent="0.25">
      <c r="A26" s="2">
        <f>A23+1</f>
        <v>11</v>
      </c>
      <c r="C26" s="2" t="s">
        <v>32</v>
      </c>
      <c r="E26" s="13" t="s">
        <v>352</v>
      </c>
      <c r="G26" s="22">
        <f>G10-G18+G23</f>
        <v>443959.71464199986</v>
      </c>
      <c r="I26" s="22">
        <f>I10-I18+I23</f>
        <v>452100.62054299982</v>
      </c>
      <c r="J26" s="22">
        <f>J10-J18+J23</f>
        <v>465255.45412099984</v>
      </c>
      <c r="K26" s="22">
        <f>K10-K18+K23</f>
        <v>486307.40725899982</v>
      </c>
      <c r="M26" s="22">
        <f>M10-M18+M23</f>
        <v>511130.80142499978</v>
      </c>
      <c r="N26" s="22">
        <f>N10-N18+N23</f>
        <v>510137.96167663619</v>
      </c>
      <c r="V26" s="24"/>
      <c r="W26" s="24"/>
      <c r="X26" s="24"/>
      <c r="Y26" s="24"/>
      <c r="Z26" s="24"/>
      <c r="AA26" s="22"/>
      <c r="AB26" s="22"/>
    </row>
    <row r="27" spans="1:28" x14ac:dyDescent="0.25">
      <c r="A27" s="2">
        <f>A26+1</f>
        <v>12</v>
      </c>
      <c r="C27" s="2" t="s">
        <v>33</v>
      </c>
      <c r="G27" s="25">
        <v>446777.06542699994</v>
      </c>
      <c r="I27" s="25">
        <v>446782.02963499993</v>
      </c>
      <c r="J27" s="25">
        <f>I26</f>
        <v>452100.62054299982</v>
      </c>
      <c r="K27" s="25">
        <f>J26</f>
        <v>465255.45412099984</v>
      </c>
      <c r="M27" s="25">
        <f>K26</f>
        <v>486307.40725899982</v>
      </c>
      <c r="N27" s="25">
        <v>486307.40725899982</v>
      </c>
      <c r="V27" s="24"/>
      <c r="W27" s="24"/>
      <c r="X27" s="24"/>
    </row>
    <row r="28" spans="1:28" x14ac:dyDescent="0.25">
      <c r="G28" s="22"/>
      <c r="I28" s="22"/>
      <c r="J28" s="22"/>
      <c r="K28" s="22"/>
      <c r="M28" s="22"/>
      <c r="N28" s="22"/>
    </row>
    <row r="29" spans="1:28" x14ac:dyDescent="0.25">
      <c r="A29" s="2">
        <f>A27+1</f>
        <v>13</v>
      </c>
      <c r="C29" s="2" t="s">
        <v>35</v>
      </c>
      <c r="G29" s="22">
        <f>(G27+G26)/2</f>
        <v>445368.39003449993</v>
      </c>
      <c r="I29" s="22">
        <f>(I27+I26)/2</f>
        <v>449441.32508899987</v>
      </c>
      <c r="J29" s="22">
        <f>(J27+J26)/2</f>
        <v>458678.03733199986</v>
      </c>
      <c r="K29" s="22">
        <f>(K27+K26)/2</f>
        <v>475781.43068999983</v>
      </c>
      <c r="M29" s="22">
        <f>(M27+M26)/2</f>
        <v>498719.1043419998</v>
      </c>
      <c r="N29" s="22">
        <f>(N27+N26)/2</f>
        <v>498222.68446781801</v>
      </c>
    </row>
    <row r="30" spans="1:28" x14ac:dyDescent="0.25">
      <c r="G30" s="22"/>
      <c r="I30" s="22"/>
      <c r="J30" s="22"/>
      <c r="K30" s="22"/>
      <c r="M30" s="22"/>
      <c r="N30" s="22"/>
    </row>
    <row r="31" spans="1:28" x14ac:dyDescent="0.25">
      <c r="A31" s="2">
        <f>A29+1</f>
        <v>14</v>
      </c>
      <c r="C31" s="2" t="s">
        <v>36</v>
      </c>
      <c r="G31" s="22">
        <v>3879</v>
      </c>
      <c r="I31" s="22">
        <v>3805</v>
      </c>
      <c r="J31" s="22">
        <v>3009</v>
      </c>
      <c r="K31" s="22">
        <v>2484</v>
      </c>
      <c r="M31" s="22">
        <v>2732</v>
      </c>
      <c r="N31" s="22">
        <v>2732</v>
      </c>
    </row>
    <row r="32" spans="1:28" x14ac:dyDescent="0.25">
      <c r="A32" s="2">
        <f>A31+1</f>
        <v>15</v>
      </c>
      <c r="C32" s="2" t="s">
        <v>37</v>
      </c>
      <c r="E32" s="13" t="s">
        <v>38</v>
      </c>
      <c r="G32" s="25">
        <f>'Schedule 2'!G21</f>
        <v>5344.1102083501937</v>
      </c>
      <c r="I32" s="25">
        <f>'Schedule 2'!I21</f>
        <v>5617.2372240973873</v>
      </c>
      <c r="J32" s="25">
        <f>'Schedule 2'!J21</f>
        <v>5934.5783740973784</v>
      </c>
      <c r="K32" s="25">
        <f>'Schedule 2'!K21</f>
        <v>6592.1594770924457</v>
      </c>
      <c r="L32" s="25"/>
      <c r="M32" s="25">
        <f>'Schedule 2'!M21</f>
        <v>6985.1590266929543</v>
      </c>
      <c r="N32" s="25">
        <f>'Schedule 2'!N21</f>
        <v>7141.1272023422216</v>
      </c>
    </row>
    <row r="33" spans="1:24" x14ac:dyDescent="0.25">
      <c r="G33" s="23"/>
      <c r="I33" s="23"/>
      <c r="J33" s="23"/>
      <c r="K33" s="23"/>
      <c r="L33" s="23"/>
      <c r="M33" s="23"/>
      <c r="N33" s="23"/>
    </row>
    <row r="34" spans="1:24" x14ac:dyDescent="0.25">
      <c r="G34" s="23"/>
      <c r="I34" s="23"/>
      <c r="J34" s="23"/>
      <c r="K34" s="23"/>
      <c r="L34" s="23"/>
      <c r="M34" s="23"/>
      <c r="N34" s="23"/>
    </row>
    <row r="35" spans="1:24" x14ac:dyDescent="0.25">
      <c r="A35" s="2">
        <f>A32+1</f>
        <v>16</v>
      </c>
      <c r="C35" s="21" t="s">
        <v>39</v>
      </c>
      <c r="G35" s="22">
        <f>G29+G31+G32</f>
        <v>454591.5002428501</v>
      </c>
      <c r="I35" s="22">
        <f>I29+I31+I32</f>
        <v>458863.56231309724</v>
      </c>
      <c r="J35" s="22">
        <f>J29+J31+J32</f>
        <v>467621.61570609722</v>
      </c>
      <c r="K35" s="22">
        <f>K29+K31+K32</f>
        <v>484857.59016709228</v>
      </c>
      <c r="M35" s="22">
        <f t="shared" ref="M35:N35" si="1">M29+M31+M32</f>
        <v>508436.26336869277</v>
      </c>
      <c r="N35" s="22">
        <f t="shared" si="1"/>
        <v>508095.81167016021</v>
      </c>
    </row>
    <row r="36" spans="1:24" x14ac:dyDescent="0.25">
      <c r="G36" s="23"/>
      <c r="I36" s="23"/>
      <c r="J36" s="23"/>
      <c r="K36" s="23"/>
      <c r="L36" s="23"/>
      <c r="M36" s="23"/>
      <c r="N36" s="23"/>
    </row>
    <row r="37" spans="1:24" x14ac:dyDescent="0.25">
      <c r="C37" s="2" t="s">
        <v>19</v>
      </c>
      <c r="G37" s="22"/>
      <c r="I37" s="22"/>
      <c r="J37" s="22"/>
      <c r="K37" s="22"/>
      <c r="M37" s="22"/>
      <c r="N37" s="22"/>
      <c r="O37" s="24"/>
      <c r="P37" s="24"/>
      <c r="R37" s="24"/>
      <c r="S37" s="24"/>
      <c r="T37" s="24"/>
      <c r="V37" s="24"/>
      <c r="W37" s="24"/>
      <c r="X37" s="24"/>
    </row>
    <row r="38" spans="1:24" x14ac:dyDescent="0.25">
      <c r="C38" s="21" t="s">
        <v>337</v>
      </c>
      <c r="G38" s="22"/>
      <c r="I38" s="22"/>
      <c r="J38" s="22"/>
      <c r="K38" s="22"/>
      <c r="M38" s="22"/>
      <c r="N38" s="22"/>
      <c r="O38" s="27"/>
      <c r="P38" s="24"/>
      <c r="R38" s="27"/>
      <c r="S38" s="27"/>
      <c r="V38" s="24"/>
      <c r="W38" s="24"/>
      <c r="X38" s="24"/>
    </row>
    <row r="39" spans="1:24" x14ac:dyDescent="0.25">
      <c r="A39" s="2">
        <f>A35+1</f>
        <v>17</v>
      </c>
      <c r="C39" s="2" t="s">
        <v>32</v>
      </c>
      <c r="G39" s="22">
        <v>201231.61713999999</v>
      </c>
      <c r="I39" s="22">
        <v>199526.83090000003</v>
      </c>
      <c r="J39" s="22">
        <v>211718.51792000001</v>
      </c>
      <c r="K39" s="22">
        <v>228231.26392000003</v>
      </c>
      <c r="L39" s="22">
        <v>0</v>
      </c>
      <c r="M39" s="22">
        <v>257031.26392000003</v>
      </c>
      <c r="N39" s="22">
        <v>257031.26392000003</v>
      </c>
      <c r="O39" s="24"/>
      <c r="P39" s="24"/>
      <c r="R39" s="24"/>
      <c r="S39" s="24"/>
      <c r="T39" s="24"/>
      <c r="V39" s="24"/>
      <c r="W39" s="24"/>
      <c r="X39" s="24"/>
    </row>
    <row r="40" spans="1:24" x14ac:dyDescent="0.25">
      <c r="A40" s="2">
        <f>A39+1</f>
        <v>18</v>
      </c>
      <c r="C40" s="2" t="s">
        <v>40</v>
      </c>
      <c r="G40" s="25">
        <v>0</v>
      </c>
      <c r="I40" s="25">
        <v>603.05851000000007</v>
      </c>
      <c r="J40" s="25">
        <v>385.36619999999999</v>
      </c>
      <c r="K40" s="25">
        <v>776.28208999999993</v>
      </c>
      <c r="L40" s="23">
        <v>0</v>
      </c>
      <c r="M40" s="25">
        <v>20776.282090000001</v>
      </c>
      <c r="N40" s="25">
        <v>20776.282090000001</v>
      </c>
    </row>
    <row r="41" spans="1:24" x14ac:dyDescent="0.25">
      <c r="A41" s="2">
        <f>A40+1</f>
        <v>19</v>
      </c>
      <c r="C41" s="2" t="s">
        <v>41</v>
      </c>
      <c r="G41" s="22">
        <f>G39-G40</f>
        <v>201231.61713999999</v>
      </c>
      <c r="I41" s="22">
        <f>I39-I40</f>
        <v>198923.77239000003</v>
      </c>
      <c r="J41" s="22">
        <f>J39-J40</f>
        <v>211333.15172000002</v>
      </c>
      <c r="K41" s="22">
        <f>K39-K40</f>
        <v>227454.98183000003</v>
      </c>
      <c r="L41" s="22">
        <f t="shared" ref="L41" si="2">L39-L40</f>
        <v>0</v>
      </c>
      <c r="M41" s="22">
        <f>M39-M40</f>
        <v>236254.98183000003</v>
      </c>
      <c r="N41" s="22">
        <f>N39-N40</f>
        <v>236254.98183000003</v>
      </c>
    </row>
    <row r="42" spans="1:24" x14ac:dyDescent="0.25">
      <c r="A42" s="2">
        <f>A41+1</f>
        <v>20</v>
      </c>
      <c r="C42" s="2" t="s">
        <v>42</v>
      </c>
      <c r="G42" s="25">
        <v>35975.578200000004</v>
      </c>
      <c r="I42" s="25">
        <v>34536.325139999994</v>
      </c>
      <c r="J42" s="25">
        <v>39276.360019999993</v>
      </c>
      <c r="K42" s="25">
        <v>44305.711200000005</v>
      </c>
      <c r="L42" s="22"/>
      <c r="M42" s="25">
        <v>48766.515981999997</v>
      </c>
      <c r="N42" s="25">
        <v>48766.515981999997</v>
      </c>
      <c r="O42" s="27"/>
      <c r="P42" s="27"/>
    </row>
    <row r="43" spans="1:24" x14ac:dyDescent="0.25">
      <c r="A43" s="2">
        <f>A42+1</f>
        <v>21</v>
      </c>
      <c r="C43" s="2" t="s">
        <v>43</v>
      </c>
      <c r="G43" s="22">
        <f>G41-G42</f>
        <v>165256.03894</v>
      </c>
      <c r="I43" s="22">
        <f>I41-I42</f>
        <v>164387.44725000003</v>
      </c>
      <c r="J43" s="22">
        <f>J41-J42</f>
        <v>172056.79170000003</v>
      </c>
      <c r="K43" s="22">
        <f>K41-K42</f>
        <v>183149.27063000004</v>
      </c>
      <c r="L43" s="22"/>
      <c r="M43" s="22">
        <f>M41-M42</f>
        <v>187488.46584800002</v>
      </c>
      <c r="N43" s="22">
        <f>N41-N42</f>
        <v>187488.46584800002</v>
      </c>
      <c r="O43" s="24"/>
      <c r="P43" s="24"/>
      <c r="W43" s="24"/>
      <c r="X43" s="24"/>
    </row>
    <row r="44" spans="1:24" x14ac:dyDescent="0.25">
      <c r="G44" s="22"/>
      <c r="I44" s="22"/>
      <c r="J44" s="22"/>
      <c r="K44" s="22"/>
      <c r="L44" s="22"/>
      <c r="M44" s="22"/>
      <c r="N44" s="22"/>
      <c r="O44" s="28"/>
      <c r="P44" s="28"/>
      <c r="W44" s="39"/>
      <c r="X44" s="39"/>
    </row>
    <row r="45" spans="1:24" x14ac:dyDescent="0.25">
      <c r="A45" s="2">
        <f>A43+1</f>
        <v>22</v>
      </c>
      <c r="C45" s="2" t="s">
        <v>33</v>
      </c>
      <c r="G45" s="25">
        <v>168967.08104000002</v>
      </c>
      <c r="I45" s="25">
        <v>168967.08104000002</v>
      </c>
      <c r="J45" s="25">
        <f>I43</f>
        <v>164387.44725000003</v>
      </c>
      <c r="K45" s="25">
        <f>J43</f>
        <v>172056.79170000003</v>
      </c>
      <c r="L45" s="25"/>
      <c r="M45" s="25">
        <f>K43</f>
        <v>183149.27063000004</v>
      </c>
      <c r="N45" s="25">
        <v>183149.27063000004</v>
      </c>
      <c r="O45" s="28"/>
      <c r="P45" s="28"/>
      <c r="W45" s="14"/>
      <c r="X45" s="14"/>
    </row>
    <row r="46" spans="1:24" x14ac:dyDescent="0.25">
      <c r="G46" s="22"/>
      <c r="I46" s="22"/>
      <c r="J46" s="22"/>
      <c r="K46" s="22"/>
      <c r="L46" s="22"/>
      <c r="M46" s="22"/>
      <c r="N46" s="22"/>
    </row>
    <row r="47" spans="1:24" x14ac:dyDescent="0.25">
      <c r="A47" s="2">
        <f>A45+1</f>
        <v>23</v>
      </c>
      <c r="C47" s="2" t="s">
        <v>35</v>
      </c>
      <c r="G47" s="25">
        <f>(G43+G45)/2</f>
        <v>167111.55999000001</v>
      </c>
      <c r="I47" s="25">
        <f>(I43+I45)/2</f>
        <v>166677.26414500002</v>
      </c>
      <c r="J47" s="25">
        <f>(J43+J45)/2</f>
        <v>168222.11947500001</v>
      </c>
      <c r="K47" s="25">
        <f>(K43+K45)/2</f>
        <v>177603.03116500005</v>
      </c>
      <c r="L47" s="25"/>
      <c r="M47" s="25">
        <f t="shared" ref="M47:N47" si="3">(M43+M45)/2</f>
        <v>185318.86823900003</v>
      </c>
      <c r="N47" s="25">
        <f t="shared" si="3"/>
        <v>185318.86823900003</v>
      </c>
      <c r="W47" s="24"/>
      <c r="X47" s="24"/>
    </row>
    <row r="48" spans="1:24" x14ac:dyDescent="0.25">
      <c r="G48" s="22"/>
      <c r="I48" s="22"/>
      <c r="J48" s="22"/>
      <c r="K48" s="22"/>
      <c r="M48" s="22"/>
      <c r="N48" s="22"/>
    </row>
    <row r="49" spans="1:14" ht="13.8" thickBot="1" x14ac:dyDescent="0.3">
      <c r="A49" s="2">
        <f>A47+1</f>
        <v>24</v>
      </c>
      <c r="C49" s="21" t="s">
        <v>44</v>
      </c>
      <c r="E49" s="13" t="s">
        <v>45</v>
      </c>
      <c r="G49" s="29">
        <f>G35-G47</f>
        <v>287479.94025285007</v>
      </c>
      <c r="I49" s="29">
        <f>I35-I47</f>
        <v>292186.29816809722</v>
      </c>
      <c r="J49" s="29">
        <f>J35-J47</f>
        <v>299399.4962310972</v>
      </c>
      <c r="K49" s="29">
        <f>K35-K47</f>
        <v>307254.55900209222</v>
      </c>
      <c r="M49" s="29">
        <f>M35-M47</f>
        <v>323117.39512969274</v>
      </c>
      <c r="N49" s="29">
        <f>N35-N47</f>
        <v>322776.94343116018</v>
      </c>
    </row>
    <row r="50" spans="1:14" x14ac:dyDescent="0.25">
      <c r="G50" s="22"/>
      <c r="I50" s="22"/>
      <c r="J50" s="22"/>
      <c r="K50" s="22"/>
    </row>
    <row r="51" spans="1:14" x14ac:dyDescent="0.25">
      <c r="C51" s="2" t="s">
        <v>46</v>
      </c>
      <c r="G51" s="22"/>
      <c r="I51" s="22"/>
      <c r="J51" s="22"/>
      <c r="K51" s="22"/>
    </row>
    <row r="52" spans="1:14" x14ac:dyDescent="0.25">
      <c r="C52" s="2" t="s">
        <v>387</v>
      </c>
    </row>
    <row r="53" spans="1:14" x14ac:dyDescent="0.25">
      <c r="C53" s="213"/>
      <c r="D53" s="213"/>
      <c r="E53" s="213"/>
      <c r="F53" s="213"/>
      <c r="G53" s="173"/>
      <c r="H53" s="173"/>
      <c r="I53" s="173"/>
      <c r="J53" s="198"/>
      <c r="K53" s="173"/>
    </row>
    <row r="54" spans="1:14" x14ac:dyDescent="0.25">
      <c r="G54" s="24"/>
      <c r="I54" s="24"/>
      <c r="J54" s="24"/>
      <c r="K54" s="24"/>
      <c r="L54" s="24"/>
      <c r="M54" s="24"/>
      <c r="N54" s="24"/>
    </row>
    <row r="55" spans="1:14" x14ac:dyDescent="0.25">
      <c r="G55" s="24"/>
      <c r="I55" s="24"/>
      <c r="J55" s="24"/>
      <c r="K55" s="24"/>
      <c r="L55" s="24"/>
      <c r="M55" s="24"/>
      <c r="N55" s="24"/>
    </row>
    <row r="58" spans="1:14" x14ac:dyDescent="0.25">
      <c r="G58" s="24"/>
      <c r="I58" s="24"/>
      <c r="J58" s="24"/>
      <c r="K58" s="24"/>
    </row>
    <row r="59" spans="1:14" x14ac:dyDescent="0.25">
      <c r="G59" s="24"/>
      <c r="I59" s="24"/>
      <c r="J59" s="24"/>
      <c r="K59" s="24"/>
      <c r="L59" s="24">
        <f>L49-L58</f>
        <v>0</v>
      </c>
    </row>
  </sheetData>
  <mergeCells count="2">
    <mergeCell ref="C53:F53"/>
    <mergeCell ref="M6:N6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5"/>
  <sheetViews>
    <sheetView view="pageBreakPreview" zoomScaleSheetLayoutView="100" workbookViewId="0"/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27.5546875" style="2" customWidth="1"/>
    <col min="4" max="4" width="1.88671875" style="2" customWidth="1"/>
    <col min="5" max="5" width="9.109375" style="13"/>
    <col min="6" max="6" width="1.88671875" style="2" customWidth="1"/>
    <col min="7" max="7" width="12" style="2" customWidth="1"/>
    <col min="8" max="8" width="1.88671875" style="2" customWidth="1"/>
    <col min="9" max="11" width="11.33203125" style="2" customWidth="1"/>
    <col min="12" max="12" width="1.88671875" style="2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N1" s="10" t="s">
        <v>47</v>
      </c>
    </row>
    <row r="2" spans="1:14" ht="13.8" x14ac:dyDescent="0.25">
      <c r="A2" s="30" t="s">
        <v>48</v>
      </c>
      <c r="E2" s="31"/>
      <c r="F2" s="32"/>
      <c r="H2" s="32"/>
      <c r="N2" s="16" t="str">
        <f>Index!F2</f>
        <v>November 2020</v>
      </c>
    </row>
    <row r="3" spans="1:14" x14ac:dyDescent="0.25">
      <c r="A3" s="15" t="s">
        <v>8</v>
      </c>
      <c r="J3" s="14"/>
      <c r="K3" s="14"/>
      <c r="M3" s="14"/>
    </row>
    <row r="6" spans="1:14" s="13" customForma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2">
        <v>1</v>
      </c>
      <c r="C9" s="2" t="s">
        <v>49</v>
      </c>
      <c r="E9" s="13" t="s">
        <v>50</v>
      </c>
      <c r="G9" s="22">
        <f>'Schedule 5'!G16</f>
        <v>23714.856181529012</v>
      </c>
      <c r="I9" s="22">
        <f>'Schedule 5'!I16</f>
        <v>27794.447446414069</v>
      </c>
      <c r="J9" s="22">
        <f>'Schedule 5'!J16</f>
        <v>29784.141591192958</v>
      </c>
      <c r="K9" s="22">
        <f>'Schedule 5'!K16</f>
        <v>37653.234873614558</v>
      </c>
      <c r="L9" s="22"/>
      <c r="M9" s="22">
        <f>'Schedule 5'!M16</f>
        <v>41118.695926813547</v>
      </c>
      <c r="N9" s="22">
        <f>'Schedule 5'!N16</f>
        <v>43862.524967998092</v>
      </c>
    </row>
    <row r="10" spans="1:14" x14ac:dyDescent="0.25">
      <c r="A10" s="2">
        <v>2</v>
      </c>
      <c r="C10" s="2" t="s">
        <v>51</v>
      </c>
      <c r="E10" s="13" t="s">
        <v>52</v>
      </c>
      <c r="G10" s="22">
        <f>'Schedule 5'!G17</f>
        <v>708.13965357545919</v>
      </c>
      <c r="I10" s="22">
        <f>'Schedule 5'!I17</f>
        <v>670.86845243333323</v>
      </c>
      <c r="J10" s="22">
        <f>'Schedule 5'!J17</f>
        <v>672.54982999999982</v>
      </c>
      <c r="K10" s="22">
        <f>'Schedule 5'!K17</f>
        <v>739.45727411666655</v>
      </c>
      <c r="L10" s="22"/>
      <c r="M10" s="22">
        <f>'Schedule 5'!M17</f>
        <v>749.75450131960019</v>
      </c>
      <c r="N10" s="22">
        <f>'Schedule 5'!N17</f>
        <v>749.75450131960019</v>
      </c>
    </row>
    <row r="11" spans="1:14" x14ac:dyDescent="0.25">
      <c r="A11" s="2">
        <v>3</v>
      </c>
      <c r="C11" s="2" t="s">
        <v>53</v>
      </c>
      <c r="G11" s="22">
        <v>-99.999999999999957</v>
      </c>
      <c r="I11" s="22">
        <v>-99.349270000000004</v>
      </c>
      <c r="J11" s="22">
        <v>-166.39563000000001</v>
      </c>
      <c r="K11" s="22">
        <v>-94.999999999999901</v>
      </c>
      <c r="L11" s="22"/>
      <c r="M11" s="22">
        <v>-120.00024999999994</v>
      </c>
      <c r="N11" s="22">
        <v>-120.00024999999994</v>
      </c>
    </row>
    <row r="12" spans="1:14" x14ac:dyDescent="0.25">
      <c r="G12" s="22"/>
      <c r="I12" s="22"/>
      <c r="J12" s="22"/>
      <c r="K12" s="22"/>
      <c r="L12" s="22"/>
      <c r="M12" s="22"/>
      <c r="N12" s="22"/>
    </row>
    <row r="13" spans="1:14" x14ac:dyDescent="0.25">
      <c r="A13" s="2">
        <v>4</v>
      </c>
      <c r="C13" s="2" t="s">
        <v>54</v>
      </c>
      <c r="G13" s="22">
        <f t="shared" ref="G13" si="0">SUM(G9:G11)</f>
        <v>24322.99583510447</v>
      </c>
      <c r="I13" s="22">
        <f t="shared" ref="I13" si="1">SUM(I9:I11)</f>
        <v>28365.966628847404</v>
      </c>
      <c r="J13" s="22">
        <f>SUM(J9:J11)</f>
        <v>30290.295791192959</v>
      </c>
      <c r="K13" s="22">
        <f>SUM(K9:K11)</f>
        <v>38297.692147731221</v>
      </c>
      <c r="M13" s="22">
        <f>SUM(M9:M11)</f>
        <v>41748.450178133149</v>
      </c>
      <c r="N13" s="22">
        <f>SUM(N9:N11)</f>
        <v>44492.279219317694</v>
      </c>
    </row>
    <row r="14" spans="1:14" x14ac:dyDescent="0.25">
      <c r="G14" s="33"/>
      <c r="I14" s="33"/>
      <c r="J14" s="33"/>
      <c r="K14" s="33"/>
      <c r="M14" s="33"/>
      <c r="N14" s="33"/>
    </row>
    <row r="15" spans="1:14" x14ac:dyDescent="0.25">
      <c r="A15" s="2">
        <v>5</v>
      </c>
      <c r="C15" s="2" t="s">
        <v>55</v>
      </c>
      <c r="G15" s="33">
        <f t="shared" ref="G15" si="2">G13*27/365</f>
        <v>1799.2353083501937</v>
      </c>
      <c r="I15" s="33">
        <f t="shared" ref="I15" si="3">I13*27/365</f>
        <v>2098.3043807640543</v>
      </c>
      <c r="J15" s="33">
        <f>J13*27/365</f>
        <v>2240.652017430712</v>
      </c>
      <c r="K15" s="33">
        <f>K13*27/365</f>
        <v>2832.9799670924463</v>
      </c>
      <c r="M15" s="33">
        <f>M13*27/365</f>
        <v>3088.2415200262881</v>
      </c>
      <c r="N15" s="33">
        <f>N13*27/365</f>
        <v>3291.2096956755549</v>
      </c>
    </row>
    <row r="16" spans="1:14" x14ac:dyDescent="0.25">
      <c r="G16" s="22"/>
      <c r="I16" s="22"/>
      <c r="J16" s="22"/>
      <c r="K16" s="22"/>
      <c r="L16" s="22"/>
      <c r="M16" s="22"/>
      <c r="N16" s="22"/>
    </row>
    <row r="17" spans="1:14" x14ac:dyDescent="0.25">
      <c r="A17" s="2">
        <v>6</v>
      </c>
      <c r="C17" s="2" t="s">
        <v>56</v>
      </c>
      <c r="G17" s="22">
        <v>3702.8749000000003</v>
      </c>
      <c r="I17" s="22">
        <v>3696.9328433333335</v>
      </c>
      <c r="J17" s="22">
        <v>3836.9263566666668</v>
      </c>
      <c r="K17" s="22">
        <v>3913.1795099999999</v>
      </c>
      <c r="L17" s="22"/>
      <c r="M17" s="22">
        <v>4013.9175066666667</v>
      </c>
      <c r="N17" s="22">
        <v>4013.9175066666667</v>
      </c>
    </row>
    <row r="18" spans="1:14" x14ac:dyDescent="0.25">
      <c r="G18" s="22"/>
      <c r="I18" s="22"/>
      <c r="J18" s="22"/>
      <c r="K18" s="22"/>
      <c r="L18" s="22"/>
      <c r="M18" s="22"/>
      <c r="N18" s="22"/>
    </row>
    <row r="19" spans="1:14" x14ac:dyDescent="0.25">
      <c r="A19" s="2">
        <v>7</v>
      </c>
      <c r="C19" s="2" t="s">
        <v>57</v>
      </c>
      <c r="E19" s="13" t="s">
        <v>58</v>
      </c>
      <c r="G19" s="25">
        <f>'Schedule 2A'!G30</f>
        <v>-158</v>
      </c>
      <c r="I19" s="25">
        <f>'Schedule 2A'!I30</f>
        <v>-178</v>
      </c>
      <c r="J19" s="25">
        <f>'Schedule 2A'!J30</f>
        <v>-143</v>
      </c>
      <c r="K19" s="25">
        <f>'Schedule 2A'!K30</f>
        <v>-154</v>
      </c>
      <c r="L19" s="25"/>
      <c r="M19" s="25">
        <f>'Schedule 2A'!M30</f>
        <v>-117</v>
      </c>
      <c r="N19" s="25">
        <f>'Schedule 2A'!N30</f>
        <v>-164</v>
      </c>
    </row>
    <row r="20" spans="1:14" x14ac:dyDescent="0.25">
      <c r="G20" s="22"/>
      <c r="I20" s="22"/>
      <c r="J20" s="22"/>
      <c r="K20" s="22"/>
      <c r="L20" s="22"/>
      <c r="M20" s="22"/>
      <c r="N20" s="22"/>
    </row>
    <row r="21" spans="1:14" ht="13.8" thickBot="1" x14ac:dyDescent="0.3">
      <c r="A21" s="2">
        <v>8</v>
      </c>
      <c r="C21" s="2" t="s">
        <v>37</v>
      </c>
      <c r="E21" s="13" t="s">
        <v>59</v>
      </c>
      <c r="G21" s="36">
        <f t="shared" ref="G21" si="4">G15+G17+G19</f>
        <v>5344.1102083501937</v>
      </c>
      <c r="I21" s="36">
        <f t="shared" ref="I21" si="5">I15+I17+I19</f>
        <v>5617.2372240973873</v>
      </c>
      <c r="J21" s="36">
        <f>J15+J17+J19</f>
        <v>5934.5783740973784</v>
      </c>
      <c r="K21" s="36">
        <f>K15+K17+K19</f>
        <v>6592.1594770924457</v>
      </c>
      <c r="M21" s="36">
        <f>M15+M17+M19</f>
        <v>6985.1590266929543</v>
      </c>
      <c r="N21" s="36">
        <f>N15+N17+N19</f>
        <v>7141.1272023422216</v>
      </c>
    </row>
    <row r="22" spans="1:14" x14ac:dyDescent="0.25">
      <c r="G22" s="22"/>
      <c r="I22" s="22"/>
      <c r="J22" s="22"/>
      <c r="K22" s="22"/>
      <c r="L22" s="22"/>
      <c r="M22" s="22"/>
    </row>
    <row r="23" spans="1:14" x14ac:dyDescent="0.25">
      <c r="C23" s="35" t="s">
        <v>18</v>
      </c>
      <c r="G23" s="22"/>
      <c r="I23" s="22"/>
      <c r="J23" s="22"/>
      <c r="K23" s="22"/>
      <c r="L23" s="22"/>
      <c r="M23" s="22"/>
    </row>
    <row r="25" spans="1:14" x14ac:dyDescent="0.25">
      <c r="E25" s="37"/>
      <c r="F25" s="21"/>
      <c r="G25" s="38"/>
      <c r="H25" s="21"/>
      <c r="I25" s="38"/>
      <c r="J25" s="38"/>
      <c r="K25" s="38"/>
      <c r="L25" s="38"/>
      <c r="M25" s="38"/>
      <c r="N25" s="38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30"/>
  <sheetViews>
    <sheetView view="pageBreakPreview" zoomScaleSheetLayoutView="100" workbookViewId="0"/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35.33203125" style="2" customWidth="1"/>
    <col min="4" max="4" width="1.88671875" style="2" customWidth="1"/>
    <col min="5" max="5" width="9.109375" style="2"/>
    <col min="6" max="6" width="1.88671875" style="2" customWidth="1"/>
    <col min="7" max="7" width="12.21875" style="2" customWidth="1"/>
    <col min="8" max="8" width="1.88671875" style="2" customWidth="1"/>
    <col min="9" max="11" width="11.33203125" style="2" customWidth="1"/>
    <col min="12" max="12" width="1.88671875" style="2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N1" s="10" t="s">
        <v>60</v>
      </c>
    </row>
    <row r="2" spans="1:14" x14ac:dyDescent="0.25">
      <c r="A2" s="15" t="s">
        <v>61</v>
      </c>
      <c r="N2" s="16" t="str">
        <f>Index!F2</f>
        <v>November 2020</v>
      </c>
    </row>
    <row r="3" spans="1:14" x14ac:dyDescent="0.25">
      <c r="A3" s="15" t="s">
        <v>8</v>
      </c>
    </row>
    <row r="6" spans="1:14" s="13" customForma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2">
        <v>1</v>
      </c>
      <c r="C9" s="2" t="s">
        <v>62</v>
      </c>
      <c r="G9" s="24">
        <v>42083.91804234391</v>
      </c>
      <c r="I9" s="24">
        <v>37733.385546666883</v>
      </c>
      <c r="J9" s="24">
        <v>53916.176490000093</v>
      </c>
      <c r="K9" s="24">
        <v>69534.106457733869</v>
      </c>
      <c r="L9" s="24"/>
      <c r="M9" s="24">
        <v>99535.362201208351</v>
      </c>
      <c r="N9" s="24">
        <v>102279.21818239278</v>
      </c>
    </row>
    <row r="11" spans="1:14" x14ac:dyDescent="0.25">
      <c r="A11" s="2">
        <v>2</v>
      </c>
      <c r="C11" s="2" t="s">
        <v>63</v>
      </c>
      <c r="G11" s="40">
        <v>0.05</v>
      </c>
      <c r="I11" s="40">
        <v>0.05</v>
      </c>
      <c r="J11" s="40">
        <v>0.05</v>
      </c>
      <c r="K11" s="40">
        <v>0.05</v>
      </c>
      <c r="M11" s="40">
        <v>0.05</v>
      </c>
      <c r="N11" s="40">
        <v>0.05</v>
      </c>
    </row>
    <row r="13" spans="1:14" x14ac:dyDescent="0.25">
      <c r="A13" s="2">
        <v>3</v>
      </c>
      <c r="C13" s="2" t="s">
        <v>64</v>
      </c>
      <c r="G13" s="22">
        <f>G11*G9</f>
        <v>2104.1959021171956</v>
      </c>
      <c r="I13" s="22">
        <f t="shared" ref="I13" si="0">I11*I9</f>
        <v>1886.6692773333443</v>
      </c>
      <c r="J13" s="22">
        <f>J11*J9</f>
        <v>2695.8088245000049</v>
      </c>
      <c r="K13" s="22">
        <f>K11*K9</f>
        <v>3476.7053228866935</v>
      </c>
      <c r="L13" s="22"/>
      <c r="M13" s="22">
        <f>M11*M9</f>
        <v>4976.7681100604177</v>
      </c>
      <c r="N13" s="22">
        <f>N11*N9</f>
        <v>5113.9609091196398</v>
      </c>
    </row>
    <row r="15" spans="1:14" x14ac:dyDescent="0.25">
      <c r="A15" s="2">
        <v>4</v>
      </c>
      <c r="C15" s="2" t="s">
        <v>65</v>
      </c>
      <c r="G15" s="25">
        <v>14</v>
      </c>
      <c r="I15" s="25">
        <v>14</v>
      </c>
      <c r="J15" s="25">
        <v>14</v>
      </c>
      <c r="K15" s="25">
        <v>14</v>
      </c>
      <c r="M15" s="25">
        <v>14</v>
      </c>
      <c r="N15" s="25">
        <v>14</v>
      </c>
    </row>
    <row r="17" spans="1:14" x14ac:dyDescent="0.25">
      <c r="A17" s="2">
        <v>5</v>
      </c>
      <c r="C17" s="2" t="s">
        <v>66</v>
      </c>
      <c r="G17" s="25">
        <f t="shared" ref="G17" si="1">ROUND(G13*G15/365,0)</f>
        <v>81</v>
      </c>
      <c r="I17" s="25">
        <f t="shared" ref="I17" si="2">ROUND(I13*I15/365,0)</f>
        <v>72</v>
      </c>
      <c r="J17" s="25">
        <f>ROUND(J13*J15/365,0)</f>
        <v>103</v>
      </c>
      <c r="K17" s="25">
        <f>ROUND(K13*K15/365,0)</f>
        <v>133</v>
      </c>
      <c r="M17" s="25">
        <f>ROUND(M13*M15/365,0)</f>
        <v>191</v>
      </c>
      <c r="N17" s="25">
        <f>ROUND(N13*N15/365,0)</f>
        <v>196</v>
      </c>
    </row>
    <row r="20" spans="1:14" x14ac:dyDescent="0.25">
      <c r="A20" s="2">
        <v>6</v>
      </c>
      <c r="C20" s="2" t="s">
        <v>67</v>
      </c>
      <c r="G20" s="22">
        <v>49793.562824010733</v>
      </c>
      <c r="I20" s="22">
        <v>52059.178980371711</v>
      </c>
      <c r="J20" s="22">
        <v>51302.09621829199</v>
      </c>
      <c r="K20" s="22">
        <v>59946.915618843552</v>
      </c>
      <c r="L20" s="22"/>
      <c r="M20" s="22">
        <v>64164.432132566973</v>
      </c>
      <c r="N20" s="22">
        <v>75135.423474612733</v>
      </c>
    </row>
    <row r="21" spans="1:14" x14ac:dyDescent="0.25">
      <c r="G21" s="14"/>
      <c r="I21" s="14"/>
      <c r="J21" s="14"/>
      <c r="K21" s="14"/>
      <c r="L21" s="14"/>
      <c r="M21" s="14"/>
      <c r="N21" s="14"/>
    </row>
    <row r="22" spans="1:14" x14ac:dyDescent="0.25">
      <c r="A22" s="2">
        <v>7</v>
      </c>
      <c r="C22" s="2" t="s">
        <v>68</v>
      </c>
      <c r="G22" s="40">
        <v>0.05</v>
      </c>
      <c r="I22" s="40">
        <v>0.05</v>
      </c>
      <c r="J22" s="40">
        <v>0.05</v>
      </c>
      <c r="K22" s="40">
        <v>0.05</v>
      </c>
      <c r="L22" s="40"/>
      <c r="M22" s="40">
        <v>0.05</v>
      </c>
      <c r="N22" s="40">
        <v>0.05</v>
      </c>
    </row>
    <row r="24" spans="1:14" x14ac:dyDescent="0.25">
      <c r="A24" s="2">
        <v>8</v>
      </c>
      <c r="C24" s="2" t="s">
        <v>69</v>
      </c>
      <c r="G24" s="22">
        <f t="shared" ref="G24" si="3">G22*G20</f>
        <v>2489.6781412005366</v>
      </c>
      <c r="I24" s="22">
        <f t="shared" ref="I24" si="4">I22*I20</f>
        <v>2602.9589490185858</v>
      </c>
      <c r="J24" s="22">
        <f>J22*J20</f>
        <v>2565.1048109145995</v>
      </c>
      <c r="K24" s="22">
        <f>K22*K20</f>
        <v>2997.345780942178</v>
      </c>
      <c r="L24" s="22"/>
      <c r="M24" s="22">
        <f>M22*M20</f>
        <v>3208.221606628349</v>
      </c>
      <c r="N24" s="22">
        <f>N22*N20</f>
        <v>3756.7711737306367</v>
      </c>
    </row>
    <row r="26" spans="1:14" x14ac:dyDescent="0.25">
      <c r="A26" s="2">
        <v>9</v>
      </c>
      <c r="C26" s="2" t="s">
        <v>70</v>
      </c>
      <c r="F26" s="2" t="s">
        <v>18</v>
      </c>
      <c r="G26" s="25">
        <v>35</v>
      </c>
      <c r="H26" s="2" t="s">
        <v>18</v>
      </c>
      <c r="I26" s="25">
        <v>35</v>
      </c>
      <c r="J26" s="25">
        <v>35</v>
      </c>
      <c r="K26" s="25">
        <v>35</v>
      </c>
      <c r="M26" s="25">
        <v>35</v>
      </c>
      <c r="N26" s="25">
        <v>35</v>
      </c>
    </row>
    <row r="28" spans="1:14" x14ac:dyDescent="0.25">
      <c r="A28" s="2">
        <v>10</v>
      </c>
      <c r="C28" s="2" t="s">
        <v>71</v>
      </c>
      <c r="G28" s="25">
        <f>ROUND(G24*G26/365,0)</f>
        <v>239</v>
      </c>
      <c r="I28" s="25">
        <f t="shared" ref="I28" si="5">ROUND(I24*I26/365,0)</f>
        <v>250</v>
      </c>
      <c r="J28" s="25">
        <f>ROUND(J24*J26/365,0)</f>
        <v>246</v>
      </c>
      <c r="K28" s="25">
        <f>ROUND(K24*K26/365,0)</f>
        <v>287</v>
      </c>
      <c r="M28" s="25">
        <f>ROUND(M24*M26/365,0)</f>
        <v>308</v>
      </c>
      <c r="N28" s="25">
        <f>ROUND(N24*N26/365,0)</f>
        <v>360</v>
      </c>
    </row>
    <row r="30" spans="1:14" ht="13.8" thickBot="1" x14ac:dyDescent="0.3">
      <c r="A30" s="2">
        <v>11</v>
      </c>
      <c r="C30" s="2" t="s">
        <v>72</v>
      </c>
      <c r="E30" s="2" t="s">
        <v>73</v>
      </c>
      <c r="G30" s="42">
        <f t="shared" ref="G30" si="6">G17-G28</f>
        <v>-158</v>
      </c>
      <c r="I30" s="42">
        <f t="shared" ref="I30" si="7">I17-I28</f>
        <v>-178</v>
      </c>
      <c r="J30" s="42">
        <f>J17-J28</f>
        <v>-143</v>
      </c>
      <c r="K30" s="42">
        <f>K17-K28</f>
        <v>-154</v>
      </c>
      <c r="M30" s="42">
        <f>M17-M28</f>
        <v>-117</v>
      </c>
      <c r="N30" s="42">
        <f>N17-N28</f>
        <v>-164</v>
      </c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98"/>
  <sheetViews>
    <sheetView view="pageBreakPreview" zoomScaleSheetLayoutView="100" workbookViewId="0">
      <pane ySplit="7" topLeftCell="A86" activePane="bottomLeft" state="frozen"/>
      <selection pane="bottomLeft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55.33203125" style="2" customWidth="1"/>
    <col min="4" max="4" width="1.88671875" style="2" customWidth="1"/>
    <col min="5" max="5" width="9.109375" style="13" customWidth="1"/>
    <col min="6" max="6" width="1.88671875" style="2" customWidth="1"/>
    <col min="7" max="7" width="12.21875" style="2" customWidth="1"/>
    <col min="8" max="8" width="1.88671875" style="2" customWidth="1"/>
    <col min="9" max="11" width="11.33203125" style="2" customWidth="1"/>
    <col min="12" max="12" width="1.88671875" style="2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N1" s="10" t="s">
        <v>74</v>
      </c>
    </row>
    <row r="2" spans="1:14" x14ac:dyDescent="0.25">
      <c r="A2" s="15" t="s">
        <v>381</v>
      </c>
      <c r="N2" s="16" t="str">
        <f>Index!F2</f>
        <v>November 2020</v>
      </c>
    </row>
    <row r="3" spans="1:14" x14ac:dyDescent="0.25">
      <c r="A3" s="15" t="s">
        <v>8</v>
      </c>
      <c r="J3" s="14"/>
      <c r="K3" s="14"/>
      <c r="M3" s="14"/>
    </row>
    <row r="6" spans="1:14" s="13" customFormat="1" x14ac:dyDescent="0.25">
      <c r="E6" s="13" t="s">
        <v>18</v>
      </c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C9" s="21" t="s">
        <v>16</v>
      </c>
    </row>
    <row r="10" spans="1:14" x14ac:dyDescent="0.25">
      <c r="A10" s="2">
        <v>1</v>
      </c>
      <c r="C10" s="2" t="s">
        <v>75</v>
      </c>
      <c r="F10" s="44"/>
      <c r="G10" s="22">
        <v>598756.32526999991</v>
      </c>
      <c r="H10" s="44"/>
      <c r="I10" s="22">
        <v>598756.32526999991</v>
      </c>
      <c r="J10" s="22">
        <f>I13</f>
        <v>615386.82991999993</v>
      </c>
      <c r="K10" s="22">
        <f>J13</f>
        <v>642737.99056999991</v>
      </c>
      <c r="L10" s="45"/>
      <c r="M10" s="22">
        <f>K13</f>
        <v>677308.5838599999</v>
      </c>
      <c r="N10" s="22">
        <f>K13</f>
        <v>677308.5838599999</v>
      </c>
    </row>
    <row r="11" spans="1:14" x14ac:dyDescent="0.25">
      <c r="A11" s="2">
        <f>A10+1</f>
        <v>2</v>
      </c>
      <c r="C11" s="2" t="s">
        <v>76</v>
      </c>
      <c r="F11" s="44"/>
      <c r="G11" s="22">
        <v>13680.005539999998</v>
      </c>
      <c r="H11" s="44"/>
      <c r="I11" s="22">
        <v>20189.463969999997</v>
      </c>
      <c r="J11" s="22">
        <v>29258.90221</v>
      </c>
      <c r="K11" s="22">
        <v>34570.593289999997</v>
      </c>
      <c r="L11" s="45"/>
      <c r="M11" s="22">
        <v>61354.41732</v>
      </c>
      <c r="N11" s="22">
        <v>61354.444259999997</v>
      </c>
    </row>
    <row r="12" spans="1:14" x14ac:dyDescent="0.25">
      <c r="A12" s="2">
        <f>A11+1</f>
        <v>3</v>
      </c>
      <c r="C12" s="2" t="s">
        <v>77</v>
      </c>
      <c r="F12" s="44"/>
      <c r="G12" s="25">
        <v>0</v>
      </c>
      <c r="H12" s="44"/>
      <c r="I12" s="25">
        <v>-3558.9593200000004</v>
      </c>
      <c r="J12" s="25">
        <v>-1907.7415600000002</v>
      </c>
      <c r="K12" s="25">
        <v>0</v>
      </c>
      <c r="L12" s="45"/>
      <c r="M12" s="25">
        <v>0</v>
      </c>
      <c r="N12" s="25">
        <v>0</v>
      </c>
    </row>
    <row r="13" spans="1:14" x14ac:dyDescent="0.25">
      <c r="A13" s="2">
        <f>A12+1</f>
        <v>4</v>
      </c>
      <c r="C13" s="2" t="s">
        <v>78</v>
      </c>
      <c r="E13" s="13" t="s">
        <v>79</v>
      </c>
      <c r="F13" s="44"/>
      <c r="G13" s="22">
        <f>G10+G11+G12</f>
        <v>612436.33080999996</v>
      </c>
      <c r="H13" s="44"/>
      <c r="I13" s="22">
        <f>I10+I11+I12</f>
        <v>615386.82991999993</v>
      </c>
      <c r="J13" s="22">
        <f>J10+J11+J12</f>
        <v>642737.99056999991</v>
      </c>
      <c r="K13" s="22">
        <f>K10+K11+K12</f>
        <v>677308.5838599999</v>
      </c>
      <c r="L13" s="45"/>
      <c r="M13" s="22">
        <f>M10+M11+M12</f>
        <v>738663.0011799999</v>
      </c>
      <c r="N13" s="22">
        <f>N10+N11+N12</f>
        <v>738663.02811999992</v>
      </c>
    </row>
    <row r="14" spans="1:14" x14ac:dyDescent="0.25">
      <c r="F14" s="44"/>
      <c r="H14" s="44"/>
    </row>
    <row r="15" spans="1:14" x14ac:dyDescent="0.25">
      <c r="C15" s="21" t="s">
        <v>80</v>
      </c>
    </row>
    <row r="16" spans="1:14" x14ac:dyDescent="0.25">
      <c r="A16" s="2">
        <f>A13+1</f>
        <v>5</v>
      </c>
      <c r="C16" s="2" t="s">
        <v>75</v>
      </c>
      <c r="G16" s="22">
        <v>150856.8383700001</v>
      </c>
      <c r="I16" s="22">
        <v>150856.8383700001</v>
      </c>
      <c r="J16" s="22">
        <f>I19</f>
        <v>160540.67798000009</v>
      </c>
      <c r="K16" s="22">
        <f>J19</f>
        <v>172426.38678000009</v>
      </c>
      <c r="M16" s="22">
        <f>K19</f>
        <v>185389.1806900001</v>
      </c>
      <c r="N16" s="22">
        <f>K19</f>
        <v>185389.1806900001</v>
      </c>
    </row>
    <row r="17" spans="1:16" x14ac:dyDescent="0.25">
      <c r="A17" s="2">
        <f>A16+1</f>
        <v>6</v>
      </c>
      <c r="C17" s="2" t="s">
        <v>81</v>
      </c>
      <c r="E17" s="13" t="s">
        <v>82</v>
      </c>
      <c r="G17" s="22">
        <v>12195.95357</v>
      </c>
      <c r="I17" s="22">
        <v>12184.949329999999</v>
      </c>
      <c r="J17" s="22">
        <v>12676.679799999998</v>
      </c>
      <c r="K17" s="22">
        <v>12962.793910000002</v>
      </c>
      <c r="M17" s="22">
        <v>12944.73141</v>
      </c>
      <c r="N17" s="22">
        <v>13581.070098363607</v>
      </c>
    </row>
    <row r="18" spans="1:16" x14ac:dyDescent="0.25">
      <c r="A18" s="2">
        <f>A17+1</f>
        <v>7</v>
      </c>
      <c r="C18" s="2" t="s">
        <v>77</v>
      </c>
      <c r="G18" s="25">
        <v>0</v>
      </c>
      <c r="I18" s="25">
        <v>-2501.1097199999999</v>
      </c>
      <c r="J18" s="25">
        <v>-790.97100000000012</v>
      </c>
      <c r="K18" s="25">
        <v>0</v>
      </c>
      <c r="L18" s="202"/>
      <c r="M18" s="25">
        <v>0</v>
      </c>
      <c r="N18" s="25">
        <v>0</v>
      </c>
    </row>
    <row r="19" spans="1:16" x14ac:dyDescent="0.25">
      <c r="A19" s="2">
        <f>A18+1</f>
        <v>8</v>
      </c>
      <c r="C19" s="2" t="s">
        <v>78</v>
      </c>
      <c r="E19" s="13" t="s">
        <v>320</v>
      </c>
      <c r="G19" s="24">
        <f>SUM(G16:G18)</f>
        <v>163052.79194000011</v>
      </c>
      <c r="I19" s="24">
        <f>SUM(I16:I18)</f>
        <v>160540.67798000009</v>
      </c>
      <c r="J19" s="24">
        <f>SUM(J16:J18)</f>
        <v>172426.38678000009</v>
      </c>
      <c r="K19" s="24">
        <f>SUM(K16:K18)</f>
        <v>185389.1806900001</v>
      </c>
      <c r="M19" s="24">
        <f t="shared" ref="M19:N19" si="0">SUM(M16:M18)</f>
        <v>198333.9121000001</v>
      </c>
      <c r="N19" s="24">
        <f t="shared" si="0"/>
        <v>198970.25078836372</v>
      </c>
    </row>
    <row r="20" spans="1:16" x14ac:dyDescent="0.25">
      <c r="G20" s="24"/>
      <c r="I20" s="24"/>
      <c r="J20" s="24"/>
      <c r="K20" s="24"/>
      <c r="M20" s="24"/>
      <c r="N20" s="24"/>
    </row>
    <row r="21" spans="1:16" x14ac:dyDescent="0.25">
      <c r="C21" s="2" t="s">
        <v>83</v>
      </c>
    </row>
    <row r="22" spans="1:16" x14ac:dyDescent="0.25">
      <c r="A22" s="2">
        <f>A19+1</f>
        <v>9</v>
      </c>
      <c r="C22" s="2" t="s">
        <v>23</v>
      </c>
      <c r="G22" s="22">
        <v>2745.85358</v>
      </c>
      <c r="I22" s="22">
        <v>2745.85358</v>
      </c>
      <c r="J22" s="22">
        <v>2745.85358</v>
      </c>
      <c r="K22" s="22">
        <v>2745.85358</v>
      </c>
      <c r="M22" s="22">
        <v>2745.85358</v>
      </c>
      <c r="N22" s="22">
        <v>2745.85358</v>
      </c>
    </row>
    <row r="23" spans="1:16" x14ac:dyDescent="0.25">
      <c r="A23" s="2">
        <f>A22+1</f>
        <v>10</v>
      </c>
      <c r="C23" s="2" t="s">
        <v>29</v>
      </c>
      <c r="G23" s="25">
        <v>-552.94575099999997</v>
      </c>
      <c r="I23" s="25">
        <v>-552.94575099999997</v>
      </c>
      <c r="J23" s="25">
        <v>-756.74721399999999</v>
      </c>
      <c r="K23" s="25">
        <v>-960.548677</v>
      </c>
      <c r="M23" s="25">
        <v>-1164.35014</v>
      </c>
      <c r="N23" s="25">
        <v>-1164.35014</v>
      </c>
    </row>
    <row r="24" spans="1:16" x14ac:dyDescent="0.25">
      <c r="A24" s="2">
        <f>A23+1</f>
        <v>11</v>
      </c>
      <c r="C24" s="2" t="s">
        <v>86</v>
      </c>
      <c r="E24" s="13" t="s">
        <v>84</v>
      </c>
      <c r="G24" s="23">
        <f>SUM(G22:G23)</f>
        <v>2192.9078289999998</v>
      </c>
      <c r="I24" s="23">
        <f>SUM(I22:I23)</f>
        <v>2192.9078289999998</v>
      </c>
      <c r="J24" s="23">
        <f>SUM(J22:J23)</f>
        <v>1989.106366</v>
      </c>
      <c r="K24" s="23">
        <f>SUM(K22:K23)</f>
        <v>1785.304903</v>
      </c>
      <c r="M24" s="23">
        <f t="shared" ref="M24:N24" si="1">SUM(M22:M23)</f>
        <v>1581.50344</v>
      </c>
      <c r="N24" s="23">
        <f t="shared" si="1"/>
        <v>1581.50344</v>
      </c>
    </row>
    <row r="26" spans="1:16" x14ac:dyDescent="0.25">
      <c r="A26" s="2">
        <f>A24+1</f>
        <v>12</v>
      </c>
      <c r="C26" s="2" t="s">
        <v>21</v>
      </c>
      <c r="E26" s="13" t="s">
        <v>87</v>
      </c>
      <c r="G26" s="22">
        <v>7620.4991900000005</v>
      </c>
      <c r="I26" s="33">
        <v>4491.3864100000001</v>
      </c>
      <c r="J26" s="33">
        <v>8088.3169699999999</v>
      </c>
      <c r="K26" s="33">
        <v>10795.93975</v>
      </c>
      <c r="M26" s="33">
        <v>37389.414280000005</v>
      </c>
      <c r="N26" s="33">
        <v>37389.414280000005</v>
      </c>
      <c r="P26" s="24"/>
    </row>
    <row r="27" spans="1:16" x14ac:dyDescent="0.25">
      <c r="G27" s="22"/>
      <c r="I27" s="22"/>
      <c r="J27" s="22"/>
      <c r="K27" s="22"/>
      <c r="M27" s="22"/>
      <c r="N27" s="22"/>
    </row>
    <row r="28" spans="1:16" x14ac:dyDescent="0.25">
      <c r="C28" s="2" t="s">
        <v>88</v>
      </c>
      <c r="G28" s="22"/>
      <c r="I28" s="22"/>
      <c r="J28" s="22"/>
      <c r="K28" s="22"/>
      <c r="M28" s="22"/>
      <c r="N28" s="22"/>
    </row>
    <row r="29" spans="1:16" x14ac:dyDescent="0.25">
      <c r="A29" s="2">
        <f>A26+1</f>
        <v>13</v>
      </c>
      <c r="C29" s="169" t="s">
        <v>89</v>
      </c>
      <c r="G29" s="22">
        <v>4704.2389999999996</v>
      </c>
      <c r="I29" s="22">
        <v>4704.2389999999996</v>
      </c>
      <c r="J29" s="22">
        <v>4442.2389999999996</v>
      </c>
      <c r="K29" s="22">
        <v>4180.2389999999996</v>
      </c>
      <c r="M29" s="22">
        <v>3918.2389999999996</v>
      </c>
      <c r="N29" s="22">
        <v>3918.2389999999996</v>
      </c>
    </row>
    <row r="30" spans="1:16" x14ac:dyDescent="0.25">
      <c r="A30" s="2">
        <f>A29+1</f>
        <v>14</v>
      </c>
      <c r="C30" s="169" t="s">
        <v>90</v>
      </c>
      <c r="G30" s="22">
        <v>-1034.90507</v>
      </c>
      <c r="I30" s="22">
        <v>-1418.6801400000002</v>
      </c>
      <c r="J30" s="22">
        <v>-1001.90934</v>
      </c>
      <c r="K30" s="22">
        <v>-2121.3723399999999</v>
      </c>
      <c r="M30" s="22">
        <v>-2053.43534</v>
      </c>
      <c r="N30" s="22">
        <v>-1696.9073399999997</v>
      </c>
    </row>
    <row r="31" spans="1:16" x14ac:dyDescent="0.25">
      <c r="A31" s="2">
        <f>A30+1</f>
        <v>15</v>
      </c>
      <c r="C31" s="169" t="s">
        <v>91</v>
      </c>
      <c r="G31" s="25">
        <v>4138.6619799999999</v>
      </c>
      <c r="I31" s="25">
        <v>3963.4383099999995</v>
      </c>
      <c r="J31" s="25">
        <v>2790.4683099999997</v>
      </c>
      <c r="K31" s="25">
        <v>2790.4683099999997</v>
      </c>
      <c r="M31" s="25">
        <v>2790.4683099999997</v>
      </c>
      <c r="N31" s="25">
        <v>2790.4683099999997</v>
      </c>
    </row>
    <row r="32" spans="1:16" x14ac:dyDescent="0.25">
      <c r="A32" s="2">
        <f>A31+1</f>
        <v>16</v>
      </c>
      <c r="C32" s="2" t="s">
        <v>338</v>
      </c>
      <c r="E32" s="13" t="s">
        <v>92</v>
      </c>
      <c r="G32" s="23">
        <f>SUM(G29:G31)</f>
        <v>7807.9959099999996</v>
      </c>
      <c r="H32" s="14"/>
      <c r="I32" s="23">
        <f>SUM(I29:I31)</f>
        <v>7248.9971699999987</v>
      </c>
      <c r="J32" s="23">
        <f>SUM(J29:J31)</f>
        <v>6230.7979699999996</v>
      </c>
      <c r="K32" s="23">
        <f>SUM(K29:K31)</f>
        <v>4849.3349699999999</v>
      </c>
      <c r="L32" s="14"/>
      <c r="M32" s="23">
        <f t="shared" ref="M32:N32" si="2">SUM(M29:M31)</f>
        <v>4655.2719699999998</v>
      </c>
      <c r="N32" s="23">
        <f t="shared" si="2"/>
        <v>5011.79997</v>
      </c>
    </row>
    <row r="33" spans="1:14" x14ac:dyDescent="0.25">
      <c r="G33" s="22"/>
      <c r="I33" s="22"/>
      <c r="J33" s="22"/>
      <c r="K33" s="22"/>
      <c r="M33" s="22"/>
      <c r="N33" s="22"/>
    </row>
    <row r="34" spans="1:14" x14ac:dyDescent="0.25">
      <c r="A34" s="2">
        <f>A32+1</f>
        <v>17</v>
      </c>
      <c r="C34" s="2" t="s">
        <v>93</v>
      </c>
      <c r="G34" s="25">
        <f>G24+G26+G32</f>
        <v>17621.402929</v>
      </c>
      <c r="I34" s="25">
        <f>I24+I26+I32</f>
        <v>13933.291408999998</v>
      </c>
      <c r="J34" s="25">
        <f>J24+J26+J32</f>
        <v>16308.221305999999</v>
      </c>
      <c r="K34" s="25">
        <f>K24+K26+K32</f>
        <v>17430.579622999998</v>
      </c>
      <c r="M34" s="25">
        <f t="shared" ref="M34:N34" si="3">M24+M26+M32</f>
        <v>43626.189690000007</v>
      </c>
      <c r="N34" s="25">
        <f t="shared" si="3"/>
        <v>43982.717690000005</v>
      </c>
    </row>
    <row r="35" spans="1:14" x14ac:dyDescent="0.25">
      <c r="G35" s="22"/>
      <c r="I35" s="22"/>
      <c r="J35" s="22"/>
      <c r="K35" s="22"/>
      <c r="M35" s="22"/>
      <c r="N35" s="22"/>
    </row>
    <row r="36" spans="1:14" ht="13.8" thickBot="1" x14ac:dyDescent="0.3">
      <c r="A36" s="2">
        <f>A34+1</f>
        <v>18</v>
      </c>
      <c r="C36" s="2" t="s">
        <v>94</v>
      </c>
      <c r="G36" s="29">
        <f>G13-G19-G34</f>
        <v>431762.13594099984</v>
      </c>
      <c r="I36" s="29">
        <f>I13-I19-I34</f>
        <v>440912.86053099984</v>
      </c>
      <c r="J36" s="29">
        <f>J13-J19-J34</f>
        <v>454003.38248399983</v>
      </c>
      <c r="K36" s="29">
        <f>K13-K19-K34</f>
        <v>474488.82354699983</v>
      </c>
      <c r="M36" s="29">
        <f t="shared" ref="M36:N36" si="4">M13-M19-M34</f>
        <v>496702.8993899998</v>
      </c>
      <c r="N36" s="29">
        <f t="shared" si="4"/>
        <v>495710.05964163615</v>
      </c>
    </row>
    <row r="37" spans="1:14" x14ac:dyDescent="0.25">
      <c r="G37" s="22"/>
      <c r="I37" s="22"/>
      <c r="J37" s="22"/>
      <c r="K37" s="22"/>
      <c r="M37" s="22"/>
      <c r="N37" s="22"/>
    </row>
    <row r="38" spans="1:14" x14ac:dyDescent="0.25">
      <c r="C38" s="2" t="s">
        <v>27</v>
      </c>
    </row>
    <row r="39" spans="1:14" x14ac:dyDescent="0.25">
      <c r="A39" s="2">
        <f>A36+1</f>
        <v>19</v>
      </c>
      <c r="C39" s="2" t="s">
        <v>380</v>
      </c>
      <c r="G39" s="22"/>
      <c r="I39" s="22"/>
      <c r="J39" s="22"/>
      <c r="K39" s="22"/>
      <c r="M39" s="22"/>
      <c r="N39" s="22"/>
    </row>
    <row r="40" spans="1:14" x14ac:dyDescent="0.25">
      <c r="A40" s="2">
        <f t="shared" ref="A40:A74" si="5">A39+1</f>
        <v>20</v>
      </c>
      <c r="C40" s="169" t="s">
        <v>95</v>
      </c>
      <c r="G40" s="22"/>
      <c r="I40" s="22"/>
      <c r="J40" s="22"/>
      <c r="K40" s="22"/>
      <c r="M40" s="22"/>
      <c r="N40" s="22"/>
    </row>
    <row r="41" spans="1:14" x14ac:dyDescent="0.25">
      <c r="A41" s="2">
        <f t="shared" si="5"/>
        <v>21</v>
      </c>
      <c r="C41" s="170" t="s">
        <v>96</v>
      </c>
      <c r="G41" s="22">
        <v>18498.559929999999</v>
      </c>
      <c r="I41" s="22">
        <v>18498.559929999999</v>
      </c>
      <c r="J41" s="22">
        <f>I44</f>
        <v>17798.411050000002</v>
      </c>
      <c r="K41" s="22">
        <f>J44</f>
        <v>16840.525000000001</v>
      </c>
      <c r="M41" s="22">
        <f>K44</f>
        <v>16791.342810000002</v>
      </c>
      <c r="N41" s="22">
        <f>K44</f>
        <v>16791.342810000002</v>
      </c>
    </row>
    <row r="42" spans="1:14" x14ac:dyDescent="0.25">
      <c r="A42" s="2">
        <f t="shared" si="5"/>
        <v>22</v>
      </c>
      <c r="C42" s="171" t="s">
        <v>97</v>
      </c>
      <c r="G42" s="22">
        <f>G44-G41-G43</f>
        <v>14127.4018</v>
      </c>
      <c r="I42" s="22">
        <f>I44-I41-I43</f>
        <v>1090.7162900000026</v>
      </c>
      <c r="J42" s="22">
        <f>J44-J41-J43</f>
        <v>865.63804999999866</v>
      </c>
      <c r="K42" s="22">
        <f>K44-K41-K43</f>
        <v>1819.4657199999999</v>
      </c>
      <c r="M42" s="22">
        <f>M44-M41-M43</f>
        <v>7369.9999999999945</v>
      </c>
      <c r="N42" s="22">
        <f>N44-N41-N43</f>
        <v>7369.9999999999945</v>
      </c>
    </row>
    <row r="43" spans="1:14" x14ac:dyDescent="0.25">
      <c r="A43" s="2">
        <f t="shared" si="5"/>
        <v>23</v>
      </c>
      <c r="C43" s="171" t="s">
        <v>98</v>
      </c>
      <c r="G43" s="25">
        <v>-1838.2174599999996</v>
      </c>
      <c r="I43" s="25">
        <v>-1790.8651699999996</v>
      </c>
      <c r="J43" s="25">
        <v>-1823.5240999999996</v>
      </c>
      <c r="K43" s="25">
        <v>-1868.6479099999995</v>
      </c>
      <c r="M43" s="25">
        <v>-2272.4366900000005</v>
      </c>
      <c r="N43" s="25">
        <v>-2272.4366900000005</v>
      </c>
    </row>
    <row r="44" spans="1:14" x14ac:dyDescent="0.25">
      <c r="A44" s="2">
        <f t="shared" si="5"/>
        <v>24</v>
      </c>
      <c r="C44" s="170" t="s">
        <v>99</v>
      </c>
      <c r="G44" s="22">
        <v>30787.744269999999</v>
      </c>
      <c r="I44" s="22">
        <v>17798.411050000002</v>
      </c>
      <c r="J44" s="22">
        <v>16840.525000000001</v>
      </c>
      <c r="K44" s="22">
        <v>16791.342810000002</v>
      </c>
      <c r="M44" s="22">
        <v>21888.906119999996</v>
      </c>
      <c r="N44" s="22">
        <v>21888.906119999996</v>
      </c>
    </row>
    <row r="45" spans="1:14" x14ac:dyDescent="0.25">
      <c r="A45" s="2">
        <f t="shared" si="5"/>
        <v>25</v>
      </c>
      <c r="C45" s="169" t="s">
        <v>100</v>
      </c>
      <c r="G45" s="22"/>
      <c r="I45" s="22"/>
      <c r="J45" s="22"/>
      <c r="K45" s="22"/>
      <c r="M45" s="22"/>
      <c r="N45" s="22"/>
    </row>
    <row r="46" spans="1:14" x14ac:dyDescent="0.25">
      <c r="A46" s="2">
        <f t="shared" si="5"/>
        <v>26</v>
      </c>
      <c r="C46" s="170" t="s">
        <v>96</v>
      </c>
      <c r="G46" s="22">
        <v>6603.8113500000009</v>
      </c>
      <c r="I46" s="22">
        <v>6603.8113500000009</v>
      </c>
      <c r="J46" s="22">
        <f>I49</f>
        <v>8447.1282699999992</v>
      </c>
      <c r="K46" s="22">
        <f>J49</f>
        <v>10123.015120000002</v>
      </c>
      <c r="M46" s="22">
        <f>K49</f>
        <v>11969.676200000002</v>
      </c>
      <c r="N46" s="22">
        <f>K49</f>
        <v>11969.676200000002</v>
      </c>
    </row>
    <row r="47" spans="1:14" x14ac:dyDescent="0.25">
      <c r="A47" s="2">
        <f t="shared" si="5"/>
        <v>27</v>
      </c>
      <c r="C47" s="171" t="s">
        <v>97</v>
      </c>
      <c r="G47" s="22">
        <f>G49-G46-G48</f>
        <v>1543.9965199999997</v>
      </c>
      <c r="I47" s="22">
        <f>I49-I46-I48</f>
        <v>2358.5858899999985</v>
      </c>
      <c r="J47" s="22">
        <f>J49-J46-J48</f>
        <v>2102.4378300000026</v>
      </c>
      <c r="K47" s="22">
        <f>K49-K46-K48</f>
        <v>2148</v>
      </c>
      <c r="M47" s="22">
        <f>M49-M46-M48</f>
        <v>1744.9999999999993</v>
      </c>
      <c r="N47" s="22">
        <f>N49-N46-N48</f>
        <v>1744.9999999999993</v>
      </c>
    </row>
    <row r="48" spans="1:14" x14ac:dyDescent="0.25">
      <c r="A48" s="2">
        <f t="shared" si="5"/>
        <v>28</v>
      </c>
      <c r="C48" s="171" t="s">
        <v>98</v>
      </c>
      <c r="G48" s="25">
        <v>-515.26896999999997</v>
      </c>
      <c r="I48" s="25">
        <v>-515.26896999999997</v>
      </c>
      <c r="J48" s="25">
        <v>-426.55097999999998</v>
      </c>
      <c r="K48" s="25">
        <v>-301.33892000000003</v>
      </c>
      <c r="M48" s="25">
        <v>-368.00559000000004</v>
      </c>
      <c r="N48" s="25">
        <v>-368.00559000000004</v>
      </c>
    </row>
    <row r="49" spans="1:14" x14ac:dyDescent="0.25">
      <c r="A49" s="2">
        <f t="shared" si="5"/>
        <v>29</v>
      </c>
      <c r="C49" s="170" t="s">
        <v>99</v>
      </c>
      <c r="G49" s="22">
        <v>7632.5389000000005</v>
      </c>
      <c r="I49" s="22">
        <v>8447.1282699999992</v>
      </c>
      <c r="J49" s="22">
        <v>10123.015120000002</v>
      </c>
      <c r="K49" s="22">
        <v>11969.676200000002</v>
      </c>
      <c r="M49" s="22">
        <v>13346.670610000001</v>
      </c>
      <c r="N49" s="22">
        <v>13346.670610000001</v>
      </c>
    </row>
    <row r="50" spans="1:14" x14ac:dyDescent="0.25">
      <c r="A50" s="2">
        <f t="shared" si="5"/>
        <v>30</v>
      </c>
      <c r="C50" s="169" t="s">
        <v>101</v>
      </c>
      <c r="G50" s="22"/>
      <c r="I50" s="22"/>
      <c r="J50" s="22"/>
      <c r="K50" s="22"/>
      <c r="M50" s="22"/>
      <c r="N50" s="22"/>
    </row>
    <row r="51" spans="1:14" x14ac:dyDescent="0.25">
      <c r="A51" s="2">
        <f t="shared" si="5"/>
        <v>31</v>
      </c>
      <c r="C51" s="170" t="s">
        <v>96</v>
      </c>
      <c r="G51" s="22">
        <v>118.16955999999996</v>
      </c>
      <c r="I51" s="22">
        <v>118.16955999999996</v>
      </c>
      <c r="J51" s="22">
        <f>I54</f>
        <v>88.627169999999964</v>
      </c>
      <c r="K51" s="22">
        <f>J54</f>
        <v>59.084779999999974</v>
      </c>
      <c r="M51" s="22">
        <f>K54</f>
        <v>344.54238999999995</v>
      </c>
      <c r="N51" s="22">
        <f>K54</f>
        <v>344.54238999999995</v>
      </c>
    </row>
    <row r="52" spans="1:14" x14ac:dyDescent="0.25">
      <c r="A52" s="2">
        <f t="shared" si="5"/>
        <v>32</v>
      </c>
      <c r="C52" s="171" t="s">
        <v>97</v>
      </c>
      <c r="G52" s="22">
        <v>0</v>
      </c>
      <c r="I52" s="22">
        <v>0</v>
      </c>
      <c r="J52" s="22">
        <v>0</v>
      </c>
      <c r="K52" s="22">
        <v>315</v>
      </c>
      <c r="M52" s="22">
        <v>0</v>
      </c>
      <c r="N52" s="22">
        <v>0</v>
      </c>
    </row>
    <row r="53" spans="1:14" x14ac:dyDescent="0.25">
      <c r="A53" s="2">
        <f t="shared" si="5"/>
        <v>33</v>
      </c>
      <c r="C53" s="171" t="s">
        <v>98</v>
      </c>
      <c r="G53" s="25">
        <v>-29.54238999999999</v>
      </c>
      <c r="I53" s="25">
        <v>-29.542389999999997</v>
      </c>
      <c r="J53" s="25">
        <v>-29.54238999999999</v>
      </c>
      <c r="K53" s="25">
        <v>-29.54238999999999</v>
      </c>
      <c r="M53" s="25">
        <v>-92.542389999999983</v>
      </c>
      <c r="N53" s="25">
        <v>-92.542389999999983</v>
      </c>
    </row>
    <row r="54" spans="1:14" x14ac:dyDescent="0.25">
      <c r="A54" s="2">
        <f t="shared" si="5"/>
        <v>34</v>
      </c>
      <c r="C54" s="170" t="s">
        <v>99</v>
      </c>
      <c r="G54" s="22">
        <f>SUM(G51:G53)</f>
        <v>88.627169999999978</v>
      </c>
      <c r="I54" s="22">
        <f>SUM(I51:I53)</f>
        <v>88.627169999999964</v>
      </c>
      <c r="J54" s="22">
        <f>SUM(J51:J53)</f>
        <v>59.084779999999974</v>
      </c>
      <c r="K54" s="22">
        <f>SUM(K51:K53)</f>
        <v>344.54238999999995</v>
      </c>
      <c r="M54" s="22">
        <f>SUM(M51:M53)</f>
        <v>251.99999999999997</v>
      </c>
      <c r="N54" s="22">
        <f>SUM(N51:N53)</f>
        <v>251.99999999999997</v>
      </c>
    </row>
    <row r="55" spans="1:14" x14ac:dyDescent="0.25">
      <c r="A55" s="2">
        <f t="shared" si="5"/>
        <v>35</v>
      </c>
      <c r="C55" s="169" t="s">
        <v>102</v>
      </c>
      <c r="G55" s="22"/>
      <c r="I55" s="22"/>
      <c r="J55" s="22"/>
      <c r="K55" s="22"/>
      <c r="M55" s="22"/>
      <c r="N55" s="22"/>
    </row>
    <row r="56" spans="1:14" x14ac:dyDescent="0.25">
      <c r="A56" s="2">
        <f t="shared" si="5"/>
        <v>36</v>
      </c>
      <c r="C56" s="170" t="s">
        <v>96</v>
      </c>
      <c r="G56" s="22">
        <v>1993.7811499999989</v>
      </c>
      <c r="I56" s="22">
        <v>1993.7811499999989</v>
      </c>
      <c r="J56" s="22">
        <f>I59</f>
        <v>1772.249910999999</v>
      </c>
      <c r="K56" s="22">
        <f>J59</f>
        <v>1550.7186719999991</v>
      </c>
      <c r="M56" s="22">
        <f>K59</f>
        <v>1329.1874329999991</v>
      </c>
      <c r="N56" s="22">
        <f>K59</f>
        <v>1329.1874329999991</v>
      </c>
    </row>
    <row r="57" spans="1:14" x14ac:dyDescent="0.25">
      <c r="A57" s="2">
        <f t="shared" si="5"/>
        <v>37</v>
      </c>
      <c r="C57" s="171" t="s">
        <v>97</v>
      </c>
      <c r="G57" s="22">
        <v>0</v>
      </c>
      <c r="I57" s="22">
        <v>0</v>
      </c>
      <c r="J57" s="22">
        <v>0</v>
      </c>
      <c r="K57" s="22">
        <v>0</v>
      </c>
      <c r="M57" s="22">
        <v>0</v>
      </c>
      <c r="N57" s="22">
        <f>M57</f>
        <v>0</v>
      </c>
    </row>
    <row r="58" spans="1:14" x14ac:dyDescent="0.25">
      <c r="A58" s="2">
        <f t="shared" si="5"/>
        <v>38</v>
      </c>
      <c r="C58" s="171" t="s">
        <v>98</v>
      </c>
      <c r="G58" s="25">
        <v>-221.531239</v>
      </c>
      <c r="I58" s="25">
        <v>-221.531239</v>
      </c>
      <c r="J58" s="25">
        <v>-221.53123899999997</v>
      </c>
      <c r="K58" s="25">
        <v>-221.53123899999997</v>
      </c>
      <c r="M58" s="25">
        <v>-221.53123899999997</v>
      </c>
      <c r="N58" s="25">
        <v>-221.53123899999997</v>
      </c>
    </row>
    <row r="59" spans="1:14" x14ac:dyDescent="0.25">
      <c r="A59" s="2">
        <f t="shared" si="5"/>
        <v>39</v>
      </c>
      <c r="C59" s="170" t="s">
        <v>99</v>
      </c>
      <c r="G59" s="22">
        <f>SUM(G56:G58)</f>
        <v>1772.249910999999</v>
      </c>
      <c r="I59" s="22">
        <f>SUM(I56:I58)</f>
        <v>1772.249910999999</v>
      </c>
      <c r="J59" s="22">
        <f>SUM(J56:J58)</f>
        <v>1550.7186719999991</v>
      </c>
      <c r="K59" s="22">
        <f>SUM(K56:K58)</f>
        <v>1329.1874329999991</v>
      </c>
      <c r="M59" s="22">
        <f>SUM(M56:M58)</f>
        <v>1107.6561939999992</v>
      </c>
      <c r="N59" s="22">
        <f>SUM(N56:N58)</f>
        <v>1107.6561939999992</v>
      </c>
    </row>
    <row r="60" spans="1:14" x14ac:dyDescent="0.25">
      <c r="A60" s="2">
        <f t="shared" si="5"/>
        <v>40</v>
      </c>
      <c r="C60" s="169" t="s">
        <v>103</v>
      </c>
      <c r="G60" s="22"/>
      <c r="I60" s="22"/>
      <c r="J60" s="22"/>
      <c r="K60" s="22"/>
      <c r="M60" s="22"/>
      <c r="N60" s="22"/>
    </row>
    <row r="61" spans="1:14" x14ac:dyDescent="0.25">
      <c r="A61" s="2">
        <f t="shared" si="5"/>
        <v>41</v>
      </c>
      <c r="C61" s="170" t="s">
        <v>96</v>
      </c>
      <c r="G61" s="22">
        <v>1858.9043000000004</v>
      </c>
      <c r="I61" s="22">
        <v>1858.9043000000004</v>
      </c>
      <c r="J61" s="22">
        <f>I64</f>
        <v>1684.3176700000004</v>
      </c>
      <c r="K61" s="22">
        <f>J64</f>
        <v>2339.2858300000003</v>
      </c>
      <c r="M61" s="22">
        <f>K64</f>
        <v>5999.6307699999998</v>
      </c>
      <c r="N61" s="22">
        <f>K64</f>
        <v>5999.6307699999998</v>
      </c>
    </row>
    <row r="62" spans="1:14" x14ac:dyDescent="0.25">
      <c r="A62" s="2">
        <f t="shared" si="5"/>
        <v>42</v>
      </c>
      <c r="C62" s="171" t="s">
        <v>97</v>
      </c>
      <c r="G62" s="22">
        <v>79.066459999999992</v>
      </c>
      <c r="I62" s="22">
        <v>307.56378999999998</v>
      </c>
      <c r="J62" s="22">
        <v>1215.0876599999999</v>
      </c>
      <c r="K62" s="22">
        <v>4238.5140000000001</v>
      </c>
      <c r="M62" s="22">
        <v>495</v>
      </c>
      <c r="N62" s="22">
        <v>495</v>
      </c>
    </row>
    <row r="63" spans="1:14" x14ac:dyDescent="0.25">
      <c r="A63" s="2">
        <f t="shared" si="5"/>
        <v>43</v>
      </c>
      <c r="C63" s="171" t="s">
        <v>98</v>
      </c>
      <c r="G63" s="25">
        <v>-477.85299000000003</v>
      </c>
      <c r="I63" s="25">
        <v>-482.15042000000005</v>
      </c>
      <c r="J63" s="25">
        <v>-560.11950000000013</v>
      </c>
      <c r="K63" s="25">
        <v>-578.16905999999994</v>
      </c>
      <c r="M63" s="25">
        <v>-748.9611799999999</v>
      </c>
      <c r="N63" s="25">
        <v>-748.9611799999999</v>
      </c>
    </row>
    <row r="64" spans="1:14" x14ac:dyDescent="0.25">
      <c r="A64" s="2">
        <f t="shared" si="5"/>
        <v>44</v>
      </c>
      <c r="C64" s="170" t="s">
        <v>99</v>
      </c>
      <c r="G64" s="22">
        <f>SUM(G61:G63)</f>
        <v>1460.1177700000003</v>
      </c>
      <c r="I64" s="22">
        <f>SUM(I61:I63)</f>
        <v>1684.3176700000004</v>
      </c>
      <c r="J64" s="22">
        <f>SUM(J61:J63)</f>
        <v>2339.2858300000003</v>
      </c>
      <c r="K64" s="22">
        <f>SUM(K61:K63)</f>
        <v>5999.6307699999998</v>
      </c>
      <c r="M64" s="22">
        <f>SUM(M61:M63)</f>
        <v>5745.6695899999995</v>
      </c>
      <c r="N64" s="22">
        <f>SUM(N61:N63)</f>
        <v>5745.6695899999995</v>
      </c>
    </row>
    <row r="65" spans="1:14" x14ac:dyDescent="0.25">
      <c r="A65" s="2">
        <f t="shared" si="5"/>
        <v>45</v>
      </c>
      <c r="C65" s="169" t="s">
        <v>344</v>
      </c>
      <c r="G65" s="22"/>
      <c r="I65" s="22"/>
      <c r="J65" s="22"/>
      <c r="K65" s="22"/>
      <c r="M65" s="22"/>
      <c r="N65" s="22"/>
    </row>
    <row r="66" spans="1:14" x14ac:dyDescent="0.25">
      <c r="A66" s="2">
        <f t="shared" si="5"/>
        <v>46</v>
      </c>
      <c r="C66" s="170" t="s">
        <v>96</v>
      </c>
      <c r="G66" s="22">
        <v>990.41147099999989</v>
      </c>
      <c r="I66" s="22">
        <v>995.37567900000022</v>
      </c>
      <c r="J66" s="22">
        <f>I69</f>
        <v>1253.3541730000006</v>
      </c>
      <c r="K66" s="22">
        <f>J69</f>
        <v>1319.3449870000009</v>
      </c>
      <c r="M66" s="22">
        <f>K69</f>
        <v>1510.2931510000008</v>
      </c>
      <c r="N66" s="22">
        <f>K69</f>
        <v>1510.2931510000008</v>
      </c>
    </row>
    <row r="67" spans="1:14" x14ac:dyDescent="0.25">
      <c r="A67" s="2">
        <f t="shared" si="5"/>
        <v>47</v>
      </c>
      <c r="C67" s="171" t="s">
        <v>97</v>
      </c>
      <c r="G67" s="22">
        <v>0</v>
      </c>
      <c r="I67" s="22">
        <v>349.99033000000037</v>
      </c>
      <c r="J67" s="22">
        <v>210.11265000000026</v>
      </c>
      <c r="K67" s="22">
        <v>374.99999999999977</v>
      </c>
      <c r="M67" s="22">
        <v>893.99999999999977</v>
      </c>
      <c r="N67" s="22">
        <v>893.99999999999977</v>
      </c>
    </row>
    <row r="68" spans="1:14" x14ac:dyDescent="0.25">
      <c r="A68" s="2">
        <f t="shared" si="5"/>
        <v>48</v>
      </c>
      <c r="C68" s="171" t="s">
        <v>98</v>
      </c>
      <c r="G68" s="25">
        <v>-110.04571899999989</v>
      </c>
      <c r="I68" s="25">
        <v>-92.011835999999917</v>
      </c>
      <c r="J68" s="25">
        <v>-144.121836</v>
      </c>
      <c r="K68" s="25">
        <v>-184.05183599999989</v>
      </c>
      <c r="M68" s="25">
        <v>-228.38152799999986</v>
      </c>
      <c r="N68" s="25">
        <v>-228.38152799999986</v>
      </c>
    </row>
    <row r="69" spans="1:14" x14ac:dyDescent="0.25">
      <c r="A69" s="2">
        <f t="shared" si="5"/>
        <v>49</v>
      </c>
      <c r="C69" s="170" t="s">
        <v>99</v>
      </c>
      <c r="G69" s="22">
        <f>SUM(G66:G68)</f>
        <v>880.36575200000004</v>
      </c>
      <c r="I69" s="22">
        <f>SUM(I66:I68)</f>
        <v>1253.3541730000006</v>
      </c>
      <c r="J69" s="22">
        <f>SUM(J66:J68)</f>
        <v>1319.3449870000009</v>
      </c>
      <c r="K69" s="22">
        <f>SUM(K66:K68)</f>
        <v>1510.2931510000008</v>
      </c>
      <c r="M69" s="22">
        <f>SUM(M66:M68)</f>
        <v>2175.9116230000009</v>
      </c>
      <c r="N69" s="22">
        <f>SUM(N66:N68)</f>
        <v>2175.9116230000009</v>
      </c>
    </row>
    <row r="70" spans="1:14" x14ac:dyDescent="0.25">
      <c r="A70" s="2">
        <f t="shared" si="5"/>
        <v>50</v>
      </c>
      <c r="C70" s="169" t="s">
        <v>104</v>
      </c>
      <c r="G70" s="22"/>
      <c r="I70" s="22"/>
      <c r="J70" s="22"/>
      <c r="K70" s="22"/>
      <c r="M70" s="22"/>
      <c r="N70" s="22"/>
    </row>
    <row r="71" spans="1:14" x14ac:dyDescent="0.25">
      <c r="A71" s="2">
        <f t="shared" si="5"/>
        <v>51</v>
      </c>
      <c r="C71" s="170" t="s">
        <v>96</v>
      </c>
      <c r="G71" s="22">
        <v>-1026.0133299999998</v>
      </c>
      <c r="I71" s="22">
        <v>-1026.0133299999998</v>
      </c>
      <c r="J71" s="22">
        <f>I74</f>
        <v>-926.24422199999981</v>
      </c>
      <c r="K71" s="22">
        <f>J74</f>
        <v>-98.630211999999801</v>
      </c>
      <c r="M71" s="22">
        <f>K74</f>
        <v>-61.044061999999812</v>
      </c>
      <c r="N71" s="22">
        <f>K74</f>
        <v>-61.044061999999812</v>
      </c>
    </row>
    <row r="72" spans="1:14" x14ac:dyDescent="0.25">
      <c r="A72" s="2">
        <f t="shared" si="5"/>
        <v>52</v>
      </c>
      <c r="C72" s="171" t="s">
        <v>97</v>
      </c>
      <c r="G72" s="22">
        <v>155.13811999999999</v>
      </c>
      <c r="I72" s="22">
        <v>155.13811999999999</v>
      </c>
      <c r="J72" s="22">
        <v>882.98297000000002</v>
      </c>
      <c r="K72" s="22">
        <v>92.955110000000005</v>
      </c>
      <c r="M72" s="22">
        <v>0</v>
      </c>
      <c r="N72" s="22">
        <v>0</v>
      </c>
    </row>
    <row r="73" spans="1:14" x14ac:dyDescent="0.25">
      <c r="A73" s="2">
        <f t="shared" si="5"/>
        <v>53</v>
      </c>
      <c r="C73" s="171" t="s">
        <v>98</v>
      </c>
      <c r="G73" s="25">
        <v>-55.369012000000012</v>
      </c>
      <c r="I73" s="25">
        <v>-55.369012000000012</v>
      </c>
      <c r="J73" s="25">
        <v>-55.368960000000015</v>
      </c>
      <c r="K73" s="25">
        <v>-55.368960000000015</v>
      </c>
      <c r="M73" s="25">
        <v>-55.368960000000015</v>
      </c>
      <c r="N73" s="25">
        <v>-55.368960000000015</v>
      </c>
    </row>
    <row r="74" spans="1:14" x14ac:dyDescent="0.25">
      <c r="A74" s="2">
        <f t="shared" si="5"/>
        <v>54</v>
      </c>
      <c r="C74" s="170" t="s">
        <v>99</v>
      </c>
      <c r="G74" s="22">
        <f>SUM(G71:G73)</f>
        <v>-926.24422199999981</v>
      </c>
      <c r="I74" s="22">
        <f>SUM(I71:I73)</f>
        <v>-926.24422199999981</v>
      </c>
      <c r="J74" s="22">
        <f>SUM(J71:J73)</f>
        <v>-98.630211999999801</v>
      </c>
      <c r="K74" s="22">
        <f>SUM(K71:K73)</f>
        <v>-61.044061999999812</v>
      </c>
      <c r="M74" s="22">
        <f>SUM(M71:M73)</f>
        <v>-116.41302199999983</v>
      </c>
      <c r="N74" s="22">
        <f>SUM(N71:N73)</f>
        <v>-116.41302199999983</v>
      </c>
    </row>
    <row r="75" spans="1:14" x14ac:dyDescent="0.25">
      <c r="C75" s="169"/>
      <c r="G75" s="22"/>
      <c r="I75" s="22"/>
      <c r="J75" s="22"/>
      <c r="K75" s="22"/>
      <c r="M75" s="22"/>
      <c r="N75" s="22"/>
    </row>
    <row r="76" spans="1:14" x14ac:dyDescent="0.25">
      <c r="A76" s="2">
        <f>A74+1</f>
        <v>55</v>
      </c>
      <c r="C76" s="2" t="s">
        <v>378</v>
      </c>
      <c r="G76" s="22"/>
      <c r="I76" s="22"/>
      <c r="J76" s="22"/>
      <c r="K76" s="22"/>
      <c r="M76" s="22"/>
      <c r="N76" s="22"/>
    </row>
    <row r="77" spans="1:14" x14ac:dyDescent="0.25">
      <c r="A77" s="2">
        <f>A76+1</f>
        <v>56</v>
      </c>
      <c r="C77" s="169" t="s">
        <v>96</v>
      </c>
      <c r="G77" s="22">
        <f>G41+G46+G51+G56+G61+G66+G71</f>
        <v>29037.624430999997</v>
      </c>
      <c r="I77" s="22">
        <f t="shared" ref="I77:K79" si="6">I41+I46+I51+I56+I61+I66+I71</f>
        <v>29042.588639000001</v>
      </c>
      <c r="J77" s="22">
        <f t="shared" si="6"/>
        <v>30117.844022000001</v>
      </c>
      <c r="K77" s="22">
        <f t="shared" si="6"/>
        <v>32133.344177000006</v>
      </c>
      <c r="M77" s="22">
        <f t="shared" ref="M77:N79" si="7">M41+M46+M51+M56+M61+M66+M71</f>
        <v>37883.628691999998</v>
      </c>
      <c r="N77" s="22">
        <f t="shared" si="7"/>
        <v>37883.628691999998</v>
      </c>
    </row>
    <row r="78" spans="1:14" x14ac:dyDescent="0.25">
      <c r="A78" s="2">
        <f>A77+1</f>
        <v>57</v>
      </c>
      <c r="C78" s="172" t="s">
        <v>97</v>
      </c>
      <c r="G78" s="22">
        <f>G42+G47+G52+G57+G62+G67+G72</f>
        <v>15905.6029</v>
      </c>
      <c r="I78" s="22">
        <f t="shared" si="6"/>
        <v>4261.9944200000009</v>
      </c>
      <c r="J78" s="22">
        <f t="shared" si="6"/>
        <v>5276.2591600000014</v>
      </c>
      <c r="K78" s="22">
        <f t="shared" si="6"/>
        <v>8988.9348300000001</v>
      </c>
      <c r="M78" s="22">
        <f t="shared" si="7"/>
        <v>10503.999999999995</v>
      </c>
      <c r="N78" s="22">
        <f t="shared" si="7"/>
        <v>10503.999999999995</v>
      </c>
    </row>
    <row r="79" spans="1:14" x14ac:dyDescent="0.25">
      <c r="A79" s="2">
        <f>A78+1</f>
        <v>58</v>
      </c>
      <c r="C79" s="172" t="s">
        <v>98</v>
      </c>
      <c r="G79" s="25">
        <f>G43+G48+G53+G58+G63+G68+G73</f>
        <v>-3247.8277799999992</v>
      </c>
      <c r="I79" s="25">
        <f t="shared" si="6"/>
        <v>-3186.7390369999998</v>
      </c>
      <c r="J79" s="25">
        <f t="shared" si="6"/>
        <v>-3260.7590049999999</v>
      </c>
      <c r="K79" s="25">
        <f t="shared" si="6"/>
        <v>-3238.6503149999999</v>
      </c>
      <c r="M79" s="25">
        <f t="shared" si="7"/>
        <v>-3987.2275770000006</v>
      </c>
      <c r="N79" s="25">
        <f t="shared" si="7"/>
        <v>-3987.2275770000006</v>
      </c>
    </row>
    <row r="80" spans="1:14" x14ac:dyDescent="0.25">
      <c r="A80" s="2">
        <f>A79+1</f>
        <v>59</v>
      </c>
      <c r="C80" s="169" t="s">
        <v>99</v>
      </c>
      <c r="E80" s="13" t="s">
        <v>351</v>
      </c>
      <c r="G80" s="22">
        <f>SUM(G77:G79)</f>
        <v>41695.399550999995</v>
      </c>
      <c r="I80" s="22">
        <f>SUM(I77:I79)</f>
        <v>30117.844022000005</v>
      </c>
      <c r="J80" s="22">
        <f>SUM(J77:J79)</f>
        <v>32133.344177000006</v>
      </c>
      <c r="K80" s="22">
        <f>SUM(K77:K79)</f>
        <v>37883.628692000006</v>
      </c>
      <c r="M80" s="22">
        <f>SUM(M77:M79)</f>
        <v>44400.401114999993</v>
      </c>
      <c r="N80" s="22">
        <f>SUM(N77:N79)</f>
        <v>44400.401114999993</v>
      </c>
    </row>
    <row r="81" spans="1:14" x14ac:dyDescent="0.25">
      <c r="C81" s="169"/>
      <c r="G81" s="22"/>
      <c r="I81" s="22"/>
      <c r="J81" s="22"/>
      <c r="K81" s="22"/>
      <c r="M81" s="22"/>
      <c r="N81" s="22"/>
    </row>
    <row r="82" spans="1:14" x14ac:dyDescent="0.25">
      <c r="A82" s="2">
        <f>A80+1</f>
        <v>60</v>
      </c>
      <c r="C82" s="1" t="s">
        <v>388</v>
      </c>
      <c r="E82" s="13" t="s">
        <v>105</v>
      </c>
      <c r="G82" s="23">
        <v>29497.82085</v>
      </c>
      <c r="I82" s="23">
        <v>18930.084010000002</v>
      </c>
      <c r="J82" s="23">
        <v>20881.272539999998</v>
      </c>
      <c r="K82" s="23">
        <v>26065.044979999999</v>
      </c>
      <c r="L82" s="14"/>
      <c r="M82" s="23">
        <v>29972.499079999998</v>
      </c>
      <c r="N82" s="23">
        <v>29972.499079999998</v>
      </c>
    </row>
    <row r="83" spans="1:14" x14ac:dyDescent="0.25">
      <c r="G83" s="22"/>
      <c r="I83" s="22"/>
      <c r="J83" s="22"/>
      <c r="K83" s="22"/>
      <c r="M83" s="22"/>
      <c r="N83" s="22"/>
    </row>
    <row r="84" spans="1:14" x14ac:dyDescent="0.25">
      <c r="A84" s="2">
        <f>A82+1</f>
        <v>61</v>
      </c>
      <c r="C84" s="1" t="s">
        <v>379</v>
      </c>
      <c r="G84" s="25">
        <f>G80-G82</f>
        <v>12197.578700999995</v>
      </c>
      <c r="I84" s="25">
        <f>I80-I82</f>
        <v>11187.760012000002</v>
      </c>
      <c r="J84" s="25">
        <f>J80-J82</f>
        <v>11252.071637000008</v>
      </c>
      <c r="K84" s="25">
        <f>K80-K82</f>
        <v>11818.583712000007</v>
      </c>
      <c r="M84" s="25">
        <f t="shared" ref="M84:N84" si="8">M80-M82</f>
        <v>14427.902034999996</v>
      </c>
      <c r="N84" s="25">
        <f t="shared" si="8"/>
        <v>14427.902034999996</v>
      </c>
    </row>
    <row r="86" spans="1:14" ht="13.8" thickBot="1" x14ac:dyDescent="0.3">
      <c r="A86" s="2">
        <f>A84+1</f>
        <v>62</v>
      </c>
      <c r="C86" s="1" t="s">
        <v>382</v>
      </c>
      <c r="E86" s="13" t="s">
        <v>85</v>
      </c>
      <c r="G86" s="42">
        <f>G36+G84</f>
        <v>443959.71464199986</v>
      </c>
      <c r="I86" s="42">
        <f>I36+I84</f>
        <v>452100.62054299982</v>
      </c>
      <c r="J86" s="42">
        <f>J36+J84</f>
        <v>465255.45412099984</v>
      </c>
      <c r="K86" s="42">
        <f>K36+K84</f>
        <v>486307.40725899982</v>
      </c>
      <c r="M86" s="42">
        <f>M36+M84</f>
        <v>511130.80142499978</v>
      </c>
      <c r="N86" s="42">
        <f>N36+N84</f>
        <v>510137.96167663613</v>
      </c>
    </row>
    <row r="87" spans="1:14" x14ac:dyDescent="0.25">
      <c r="G87" s="39"/>
      <c r="I87" s="39"/>
      <c r="J87" s="39"/>
      <c r="K87" s="39"/>
      <c r="M87" s="39"/>
      <c r="N87" s="39"/>
    </row>
    <row r="88" spans="1:14" x14ac:dyDescent="0.25">
      <c r="A88" s="2">
        <f>A86+1</f>
        <v>63</v>
      </c>
      <c r="C88" s="2" t="s">
        <v>343</v>
      </c>
      <c r="G88" s="22"/>
      <c r="I88" s="22"/>
      <c r="J88" s="22"/>
      <c r="K88" s="22"/>
      <c r="M88" s="22"/>
      <c r="N88" s="22"/>
    </row>
    <row r="89" spans="1:14" x14ac:dyDescent="0.25">
      <c r="A89" s="2">
        <f>A88+1</f>
        <v>64</v>
      </c>
      <c r="C89" s="169" t="s">
        <v>96</v>
      </c>
      <c r="G89" s="22">
        <v>3868.0184810000001</v>
      </c>
      <c r="I89" s="22">
        <v>3863.0537509999995</v>
      </c>
      <c r="J89" s="22">
        <f>I92</f>
        <v>3746.3380069999994</v>
      </c>
      <c r="K89" s="22">
        <f>J92</f>
        <v>2271.9022529999993</v>
      </c>
      <c r="M89" s="22">
        <f>K92</f>
        <v>2696.4937689999988</v>
      </c>
      <c r="N89" s="22">
        <f>K92</f>
        <v>2696.4937689999988</v>
      </c>
    </row>
    <row r="90" spans="1:14" x14ac:dyDescent="0.25">
      <c r="A90" s="2">
        <f>A89+1</f>
        <v>65</v>
      </c>
      <c r="C90" s="172" t="s">
        <v>97</v>
      </c>
      <c r="G90" s="22">
        <v>318</v>
      </c>
      <c r="I90" s="22">
        <v>141.18277799999967</v>
      </c>
      <c r="J90" s="22">
        <v>-1208.5958800000003</v>
      </c>
      <c r="K90" s="22">
        <v>670.1770600000001</v>
      </c>
      <c r="M90" s="22">
        <v>500.00000000000023</v>
      </c>
      <c r="N90" s="22">
        <v>500.00000000000023</v>
      </c>
    </row>
    <row r="91" spans="1:14" x14ac:dyDescent="0.25">
      <c r="A91" s="2">
        <f>A90+1</f>
        <v>66</v>
      </c>
      <c r="C91" s="172" t="s">
        <v>98</v>
      </c>
      <c r="G91" s="25">
        <v>-295.23344100000025</v>
      </c>
      <c r="I91" s="25">
        <v>-257.89852200000013</v>
      </c>
      <c r="J91" s="25">
        <v>-265.83987400000001</v>
      </c>
      <c r="K91" s="25">
        <v>-245.58554400000025</v>
      </c>
      <c r="M91" s="25">
        <v>-428.17899200000011</v>
      </c>
      <c r="N91" s="25">
        <v>-428.17899200000011</v>
      </c>
    </row>
    <row r="92" spans="1:14" x14ac:dyDescent="0.25">
      <c r="A92" s="2">
        <f>A91+1</f>
        <v>67</v>
      </c>
      <c r="C92" s="169" t="s">
        <v>99</v>
      </c>
      <c r="G92" s="22">
        <f>SUM(G89:G91)</f>
        <v>3890.7850399999998</v>
      </c>
      <c r="I92" s="22">
        <f>SUM(I89:I91)</f>
        <v>3746.3380069999994</v>
      </c>
      <c r="J92" s="22">
        <f>SUM(J89:J91)</f>
        <v>2271.9022529999993</v>
      </c>
      <c r="K92" s="22">
        <f>SUM(K89:K91)</f>
        <v>2696.4937689999988</v>
      </c>
      <c r="M92" s="22">
        <f>SUM(M89:M91)</f>
        <v>2768.3147769999987</v>
      </c>
      <c r="N92" s="22">
        <f>SUM(N89:N91)</f>
        <v>2768.3147769999987</v>
      </c>
    </row>
    <row r="93" spans="1:14" x14ac:dyDescent="0.25">
      <c r="C93" s="170"/>
      <c r="G93" s="22"/>
      <c r="I93" s="22"/>
      <c r="J93" s="22"/>
      <c r="K93" s="22"/>
      <c r="M93" s="22"/>
      <c r="N93" s="22"/>
    </row>
    <row r="94" spans="1:14" x14ac:dyDescent="0.25">
      <c r="A94" s="2">
        <f>A92+1</f>
        <v>68</v>
      </c>
      <c r="C94" s="2" t="s">
        <v>383</v>
      </c>
      <c r="G94" s="22">
        <f>G86+G92</f>
        <v>447850.49968199985</v>
      </c>
      <c r="I94" s="22">
        <f>I86+I92</f>
        <v>455846.95854999981</v>
      </c>
      <c r="J94" s="22">
        <f>J86+J92</f>
        <v>467527.35637399985</v>
      </c>
      <c r="K94" s="22">
        <f>K86+K92</f>
        <v>489003.90102799982</v>
      </c>
      <c r="M94" s="22">
        <f t="shared" ref="M94:N94" si="9">M86+M92</f>
        <v>513899.11620199977</v>
      </c>
      <c r="N94" s="22">
        <f t="shared" si="9"/>
        <v>512906.27645363612</v>
      </c>
    </row>
    <row r="95" spans="1:14" x14ac:dyDescent="0.25">
      <c r="C95" s="170"/>
      <c r="G95" s="22"/>
      <c r="I95" s="22"/>
      <c r="J95" s="22"/>
      <c r="K95" s="22"/>
      <c r="M95" s="22"/>
      <c r="N95" s="22"/>
    </row>
    <row r="96" spans="1:14" x14ac:dyDescent="0.25">
      <c r="C96" s="170"/>
      <c r="G96" s="22"/>
      <c r="I96" s="22"/>
      <c r="J96" s="22"/>
      <c r="K96" s="22"/>
      <c r="M96" s="22"/>
      <c r="N96" s="22"/>
    </row>
    <row r="97" spans="5:13" x14ac:dyDescent="0.25">
      <c r="E97" s="149"/>
      <c r="G97" s="39"/>
      <c r="I97" s="39"/>
      <c r="J97" s="39"/>
      <c r="K97" s="39"/>
    </row>
    <row r="98" spans="5:13" x14ac:dyDescent="0.25">
      <c r="G98" s="24"/>
      <c r="I98" s="24"/>
      <c r="J98" s="24"/>
      <c r="K98" s="24"/>
      <c r="M98" s="24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5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7"/>
  <sheetViews>
    <sheetView view="pageBreakPreview" zoomScaleNormal="100" zoomScaleSheetLayoutView="100" workbookViewId="0">
      <pane ySplit="6" topLeftCell="A86" activePane="bottomLeft" state="frozen"/>
      <selection pane="bottomLeft"/>
    </sheetView>
  </sheetViews>
  <sheetFormatPr defaultColWidth="9.109375" defaultRowHeight="13.2" x14ac:dyDescent="0.25"/>
  <cols>
    <col min="1" max="1" width="5.6640625" style="163" customWidth="1"/>
    <col min="2" max="2" width="31.109375" style="163" customWidth="1"/>
    <col min="3" max="5" width="14.5546875" style="168" customWidth="1"/>
    <col min="6" max="6" width="17.44140625" style="167" customWidth="1"/>
    <col min="7" max="7" width="14.5546875" style="168" customWidth="1"/>
    <col min="8" max="8" width="15.33203125" style="167" customWidth="1"/>
    <col min="9" max="9" width="17" style="168" customWidth="1"/>
    <col min="23" max="16384" width="9.109375" style="163"/>
  </cols>
  <sheetData>
    <row r="1" spans="1:9" s="175" customFormat="1" ht="15.75" customHeight="1" x14ac:dyDescent="0.25">
      <c r="A1" s="180" t="s">
        <v>0</v>
      </c>
      <c r="B1" s="176"/>
      <c r="C1" s="176"/>
      <c r="D1" s="176"/>
      <c r="E1" s="176"/>
      <c r="G1" s="181"/>
      <c r="I1" s="181" t="s">
        <v>107</v>
      </c>
    </row>
    <row r="2" spans="1:9" s="175" customFormat="1" ht="15.75" customHeight="1" x14ac:dyDescent="0.25">
      <c r="A2" s="182" t="s">
        <v>367</v>
      </c>
      <c r="B2" s="176"/>
      <c r="C2" s="176"/>
      <c r="D2" s="176"/>
      <c r="E2" s="176"/>
      <c r="G2" s="183"/>
      <c r="I2" s="183" t="str">
        <f>Index!F2</f>
        <v>November 2020</v>
      </c>
    </row>
    <row r="3" spans="1:9" s="175" customFormat="1" ht="15.75" customHeight="1" x14ac:dyDescent="0.25">
      <c r="A3" s="15" t="s">
        <v>8</v>
      </c>
      <c r="B3" s="176"/>
      <c r="C3" s="176"/>
      <c r="D3" s="176"/>
      <c r="E3" s="176"/>
      <c r="F3" s="176"/>
      <c r="G3" s="176"/>
      <c r="H3" s="176"/>
      <c r="I3" s="176"/>
    </row>
    <row r="4" spans="1:9" s="175" customFormat="1" ht="15.75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</row>
    <row r="5" spans="1:9" s="175" customFormat="1" x14ac:dyDescent="0.25">
      <c r="A5" s="184"/>
      <c r="B5" s="184"/>
      <c r="C5" s="178"/>
      <c r="D5" s="178"/>
      <c r="E5" s="178"/>
      <c r="F5" s="185"/>
      <c r="G5" s="178"/>
      <c r="H5" s="185"/>
      <c r="I5" s="178"/>
    </row>
    <row r="6" spans="1:9" s="187" customFormat="1" ht="52.8" x14ac:dyDescent="0.25">
      <c r="A6" s="184"/>
      <c r="B6" s="184" t="s">
        <v>11</v>
      </c>
      <c r="C6" s="179" t="s">
        <v>177</v>
      </c>
      <c r="D6" s="179" t="s">
        <v>368</v>
      </c>
      <c r="E6" s="179" t="s">
        <v>369</v>
      </c>
      <c r="F6" s="186" t="s">
        <v>345</v>
      </c>
      <c r="G6" s="179" t="s">
        <v>370</v>
      </c>
      <c r="H6" s="186" t="s">
        <v>346</v>
      </c>
      <c r="I6" s="179" t="s">
        <v>371</v>
      </c>
    </row>
    <row r="7" spans="1:9" s="151" customFormat="1" x14ac:dyDescent="0.25">
      <c r="A7" s="150" t="s">
        <v>108</v>
      </c>
      <c r="C7" s="152"/>
      <c r="D7" s="152"/>
      <c r="E7" s="152"/>
      <c r="F7" s="153"/>
      <c r="G7" s="152"/>
      <c r="H7" s="153"/>
      <c r="I7" s="152"/>
    </row>
    <row r="8" spans="1:9" s="151" customFormat="1" x14ac:dyDescent="0.25">
      <c r="A8" s="154"/>
      <c r="B8" s="155" t="s">
        <v>109</v>
      </c>
      <c r="C8" s="205">
        <v>444911.52</v>
      </c>
      <c r="D8" s="205">
        <v>0</v>
      </c>
      <c r="E8" s="205">
        <f>C8+D8</f>
        <v>444911.52</v>
      </c>
      <c r="F8" s="189">
        <v>0</v>
      </c>
      <c r="G8" s="205">
        <v>0</v>
      </c>
      <c r="H8" s="189">
        <v>0</v>
      </c>
      <c r="I8" s="205">
        <f t="shared" ref="I8:I13" si="0">G8</f>
        <v>0</v>
      </c>
    </row>
    <row r="9" spans="1:9" s="151" customFormat="1" x14ac:dyDescent="0.25">
      <c r="A9" s="154"/>
      <c r="B9" s="155" t="s">
        <v>110</v>
      </c>
      <c r="C9" s="205">
        <v>27680.47</v>
      </c>
      <c r="D9" s="205">
        <v>0</v>
      </c>
      <c r="E9" s="205">
        <f t="shared" ref="E9:E13" si="1">C9+D9</f>
        <v>27680.47</v>
      </c>
      <c r="F9" s="189">
        <v>0</v>
      </c>
      <c r="G9" s="205">
        <v>0</v>
      </c>
      <c r="H9" s="189">
        <v>0</v>
      </c>
      <c r="I9" s="205">
        <f t="shared" si="0"/>
        <v>0</v>
      </c>
    </row>
    <row r="10" spans="1:9" s="151" customFormat="1" x14ac:dyDescent="0.25">
      <c r="A10" s="154"/>
      <c r="B10" s="155" t="s">
        <v>111</v>
      </c>
      <c r="C10" s="205">
        <v>576862.49</v>
      </c>
      <c r="D10" s="205">
        <v>0</v>
      </c>
      <c r="E10" s="205">
        <f t="shared" si="1"/>
        <v>576862.49</v>
      </c>
      <c r="F10" s="189">
        <v>0</v>
      </c>
      <c r="G10" s="205">
        <v>0</v>
      </c>
      <c r="H10" s="189">
        <v>0</v>
      </c>
      <c r="I10" s="205">
        <f t="shared" si="0"/>
        <v>0</v>
      </c>
    </row>
    <row r="11" spans="1:9" s="151" customFormat="1" x14ac:dyDescent="0.25">
      <c r="A11" s="154"/>
      <c r="B11" s="155" t="s">
        <v>145</v>
      </c>
      <c r="C11" s="205">
        <v>17775.009999999998</v>
      </c>
      <c r="D11" s="205">
        <v>0</v>
      </c>
      <c r="E11" s="205">
        <f t="shared" si="1"/>
        <v>17775.009999999998</v>
      </c>
      <c r="F11" s="189">
        <v>0</v>
      </c>
      <c r="G11" s="205">
        <v>0</v>
      </c>
      <c r="H11" s="189">
        <v>0</v>
      </c>
      <c r="I11" s="205">
        <f t="shared" si="0"/>
        <v>0</v>
      </c>
    </row>
    <row r="12" spans="1:9" s="151" customFormat="1" x14ac:dyDescent="0.25">
      <c r="A12" s="154"/>
      <c r="B12" s="155" t="s">
        <v>112</v>
      </c>
      <c r="C12" s="205">
        <v>547992.46</v>
      </c>
      <c r="D12" s="205">
        <v>0</v>
      </c>
      <c r="E12" s="205">
        <f t="shared" si="1"/>
        <v>547992.46</v>
      </c>
      <c r="F12" s="189">
        <v>0</v>
      </c>
      <c r="G12" s="205">
        <v>0</v>
      </c>
      <c r="H12" s="189">
        <v>0</v>
      </c>
      <c r="I12" s="205">
        <f t="shared" si="0"/>
        <v>0</v>
      </c>
    </row>
    <row r="13" spans="1:9" s="151" customFormat="1" x14ac:dyDescent="0.25">
      <c r="A13" s="154"/>
      <c r="B13" s="155" t="s">
        <v>113</v>
      </c>
      <c r="C13" s="205">
        <v>128779.83</v>
      </c>
      <c r="D13" s="205">
        <v>0</v>
      </c>
      <c r="E13" s="205">
        <f t="shared" si="1"/>
        <v>128779.83</v>
      </c>
      <c r="F13" s="189">
        <v>50</v>
      </c>
      <c r="G13" s="205">
        <v>1568.7</v>
      </c>
      <c r="H13" s="189">
        <v>50</v>
      </c>
      <c r="I13" s="205">
        <f t="shared" si="0"/>
        <v>1568.7</v>
      </c>
    </row>
    <row r="14" spans="1:9" s="151" customFormat="1" x14ac:dyDescent="0.25">
      <c r="A14" s="154"/>
      <c r="B14" s="155" t="s">
        <v>342</v>
      </c>
      <c r="C14" s="206"/>
      <c r="D14" s="206"/>
      <c r="E14" s="206"/>
      <c r="F14" s="190"/>
      <c r="G14" s="206">
        <v>13.98</v>
      </c>
      <c r="H14" s="156"/>
      <c r="I14" s="206">
        <v>-12.96</v>
      </c>
    </row>
    <row r="15" spans="1:9" s="159" customFormat="1" ht="18.75" customHeight="1" x14ac:dyDescent="0.25">
      <c r="A15" s="150" t="s">
        <v>114</v>
      </c>
      <c r="B15" s="150"/>
      <c r="C15" s="207">
        <f>SUBTOTAL(9,C8:C14)</f>
        <v>1744001.78</v>
      </c>
      <c r="D15" s="207">
        <f>SUBTOTAL(9,D8:D14)</f>
        <v>0</v>
      </c>
      <c r="E15" s="207">
        <f>SUBTOTAL(9,E8:E14)</f>
        <v>1744001.78</v>
      </c>
      <c r="F15" s="191"/>
      <c r="G15" s="207">
        <f>SUBTOTAL(9,G8:G14)</f>
        <v>1582.68</v>
      </c>
      <c r="H15" s="158"/>
      <c r="I15" s="207">
        <f>SUBTOTAL(9,I8:I14)</f>
        <v>1555.74</v>
      </c>
    </row>
    <row r="16" spans="1:9" s="151" customFormat="1" x14ac:dyDescent="0.25">
      <c r="C16" s="208"/>
      <c r="D16" s="208"/>
      <c r="E16" s="208"/>
      <c r="F16" s="192"/>
      <c r="G16" s="208"/>
      <c r="H16" s="160"/>
      <c r="I16" s="208"/>
    </row>
    <row r="17" spans="1:9" s="151" customFormat="1" x14ac:dyDescent="0.25">
      <c r="A17" s="150" t="s">
        <v>115</v>
      </c>
      <c r="C17" s="208"/>
      <c r="D17" s="208"/>
      <c r="E17" s="208"/>
      <c r="F17" s="192"/>
      <c r="G17" s="208"/>
      <c r="H17" s="160"/>
      <c r="I17" s="208"/>
    </row>
    <row r="18" spans="1:9" s="151" customFormat="1" x14ac:dyDescent="0.25">
      <c r="A18" s="161"/>
      <c r="B18" s="155" t="s">
        <v>116</v>
      </c>
      <c r="C18" s="205">
        <v>37647788.219999999</v>
      </c>
      <c r="D18" s="205">
        <v>17068468.370000001</v>
      </c>
      <c r="E18" s="205">
        <f t="shared" ref="E18:E26" si="2">C18+D18</f>
        <v>54716256.590000004</v>
      </c>
      <c r="F18" s="189">
        <v>72</v>
      </c>
      <c r="G18" s="205">
        <v>522885.94999999995</v>
      </c>
      <c r="H18" s="189">
        <v>72</v>
      </c>
      <c r="I18" s="205">
        <f>G18</f>
        <v>522885.94999999995</v>
      </c>
    </row>
    <row r="19" spans="1:9" s="151" customFormat="1" x14ac:dyDescent="0.25">
      <c r="A19" s="161"/>
      <c r="B19" s="155" t="s">
        <v>123</v>
      </c>
      <c r="C19" s="205">
        <v>10278688.460000001</v>
      </c>
      <c r="D19" s="205">
        <v>0</v>
      </c>
      <c r="E19" s="205">
        <f t="shared" si="2"/>
        <v>10278688.460000001</v>
      </c>
      <c r="F19" s="189">
        <v>40</v>
      </c>
      <c r="G19" s="205">
        <v>256967.21</v>
      </c>
      <c r="H19" s="189">
        <v>40</v>
      </c>
      <c r="I19" s="205">
        <f>G19</f>
        <v>256967.21</v>
      </c>
    </row>
    <row r="20" spans="1:9" s="151" customFormat="1" x14ac:dyDescent="0.25">
      <c r="A20" s="161"/>
      <c r="B20" s="155" t="s">
        <v>117</v>
      </c>
      <c r="C20" s="205">
        <v>173561236.31</v>
      </c>
      <c r="D20" s="205">
        <v>300000</v>
      </c>
      <c r="E20" s="205">
        <f t="shared" si="2"/>
        <v>173861236.31</v>
      </c>
      <c r="F20" s="189">
        <v>103</v>
      </c>
      <c r="G20" s="205">
        <v>1685351.5</v>
      </c>
      <c r="H20" s="189">
        <v>103</v>
      </c>
      <c r="I20" s="205">
        <f>G20</f>
        <v>1685351.5</v>
      </c>
    </row>
    <row r="21" spans="1:9" s="151" customFormat="1" x14ac:dyDescent="0.25">
      <c r="A21" s="161"/>
      <c r="B21" s="155" t="s">
        <v>321</v>
      </c>
      <c r="C21" s="205">
        <v>6712131.5700000003</v>
      </c>
      <c r="D21" s="205">
        <v>0</v>
      </c>
      <c r="E21" s="205">
        <f t="shared" si="2"/>
        <v>6712131.5700000003</v>
      </c>
      <c r="F21" s="189">
        <v>10</v>
      </c>
      <c r="G21" s="205">
        <v>671213.18</v>
      </c>
      <c r="H21" s="189">
        <v>10</v>
      </c>
      <c r="I21" s="205">
        <f>G21</f>
        <v>671213.18</v>
      </c>
    </row>
    <row r="22" spans="1:9" s="151" customFormat="1" x14ac:dyDescent="0.25">
      <c r="A22" s="161"/>
      <c r="B22" s="155" t="s">
        <v>118</v>
      </c>
      <c r="C22" s="205">
        <v>26904609.390000001</v>
      </c>
      <c r="D22" s="205">
        <v>0</v>
      </c>
      <c r="E22" s="205">
        <f t="shared" si="2"/>
        <v>26904609.390000001</v>
      </c>
      <c r="F22" s="189">
        <v>85</v>
      </c>
      <c r="G22" s="205">
        <v>309875.84000000003</v>
      </c>
      <c r="H22" s="189">
        <v>60</v>
      </c>
      <c r="I22" s="205">
        <f>E22/((E22/G22)/(F22/H22))</f>
        <v>438990.77333333343</v>
      </c>
    </row>
    <row r="23" spans="1:9" s="151" customFormat="1" x14ac:dyDescent="0.25">
      <c r="A23" s="161"/>
      <c r="B23" s="155" t="s">
        <v>119</v>
      </c>
      <c r="C23" s="205">
        <v>27364118.510000005</v>
      </c>
      <c r="D23" s="205">
        <v>750000</v>
      </c>
      <c r="E23" s="205">
        <f t="shared" si="2"/>
        <v>28114118.510000005</v>
      </c>
      <c r="F23" s="189">
        <v>45</v>
      </c>
      <c r="G23" s="205">
        <v>608034.22</v>
      </c>
      <c r="H23" s="189">
        <v>40</v>
      </c>
      <c r="I23" s="205">
        <f>E23/((E23/G23)/(F23/H23))</f>
        <v>684038.49749999994</v>
      </c>
    </row>
    <row r="24" spans="1:9" s="151" customFormat="1" x14ac:dyDescent="0.25">
      <c r="A24" s="161"/>
      <c r="B24" s="155" t="s">
        <v>340</v>
      </c>
      <c r="C24" s="205">
        <v>837944.78</v>
      </c>
      <c r="D24" s="205">
        <v>0</v>
      </c>
      <c r="E24" s="205">
        <f t="shared" si="2"/>
        <v>837944.78</v>
      </c>
      <c r="F24" s="189">
        <v>20</v>
      </c>
      <c r="G24" s="205">
        <v>41897.24</v>
      </c>
      <c r="H24" s="189">
        <v>20</v>
      </c>
      <c r="I24" s="205">
        <f>G24</f>
        <v>41897.24</v>
      </c>
    </row>
    <row r="25" spans="1:9" s="151" customFormat="1" x14ac:dyDescent="0.25">
      <c r="A25" s="161"/>
      <c r="B25" s="155" t="s">
        <v>120</v>
      </c>
      <c r="C25" s="205">
        <v>11791437.920000002</v>
      </c>
      <c r="D25" s="205">
        <v>25000</v>
      </c>
      <c r="E25" s="205">
        <f t="shared" si="2"/>
        <v>11816437.920000002</v>
      </c>
      <c r="F25" s="189">
        <v>30</v>
      </c>
      <c r="G25" s="205">
        <v>393047.93000000005</v>
      </c>
      <c r="H25" s="189">
        <v>30</v>
      </c>
      <c r="I25" s="205">
        <f>G25</f>
        <v>393047.93000000005</v>
      </c>
    </row>
    <row r="26" spans="1:9" s="151" customFormat="1" x14ac:dyDescent="0.25">
      <c r="A26" s="161"/>
      <c r="B26" s="155" t="s">
        <v>121</v>
      </c>
      <c r="C26" s="205">
        <v>107086</v>
      </c>
      <c r="D26" s="205">
        <v>0</v>
      </c>
      <c r="E26" s="205">
        <f t="shared" si="2"/>
        <v>107086</v>
      </c>
      <c r="F26" s="189">
        <v>30</v>
      </c>
      <c r="G26" s="205">
        <v>2677.14</v>
      </c>
      <c r="H26" s="189">
        <v>30</v>
      </c>
      <c r="I26" s="205">
        <f>G26</f>
        <v>2677.14</v>
      </c>
    </row>
    <row r="27" spans="1:9" s="151" customFormat="1" x14ac:dyDescent="0.25">
      <c r="A27" s="161"/>
      <c r="B27" s="155" t="s">
        <v>342</v>
      </c>
      <c r="C27" s="206"/>
      <c r="D27" s="206"/>
      <c r="E27" s="206"/>
      <c r="F27" s="190"/>
      <c r="G27" s="206">
        <v>-307591.8</v>
      </c>
      <c r="H27" s="190"/>
      <c r="I27" s="206">
        <v>-140465.28</v>
      </c>
    </row>
    <row r="28" spans="1:9" s="159" customFormat="1" x14ac:dyDescent="0.25">
      <c r="A28" s="150" t="s">
        <v>122</v>
      </c>
      <c r="B28" s="150"/>
      <c r="C28" s="207">
        <f>SUBTOTAL(9,C18:C27)</f>
        <v>295205041.15999997</v>
      </c>
      <c r="D28" s="207">
        <f>SUBTOTAL(9,D18:D27)</f>
        <v>18143468.370000001</v>
      </c>
      <c r="E28" s="207">
        <f>SUBTOTAL(9,E18:E27)</f>
        <v>313348509.52999997</v>
      </c>
      <c r="F28" s="188"/>
      <c r="G28" s="207">
        <f>SUBTOTAL(9,G18:G27)</f>
        <v>4184358.41</v>
      </c>
      <c r="H28" s="157"/>
      <c r="I28" s="207">
        <f>SUBTOTAL(9,I18:I27)</f>
        <v>4556604.1408333331</v>
      </c>
    </row>
    <row r="29" spans="1:9" s="151" customFormat="1" x14ac:dyDescent="0.25">
      <c r="C29" s="208"/>
      <c r="D29" s="208"/>
      <c r="E29" s="208"/>
      <c r="F29" s="192"/>
      <c r="G29" s="208"/>
      <c r="H29" s="160"/>
      <c r="I29" s="208"/>
    </row>
    <row r="30" spans="1:9" s="151" customFormat="1" x14ac:dyDescent="0.25">
      <c r="A30" s="150" t="s">
        <v>110</v>
      </c>
      <c r="C30" s="208"/>
      <c r="D30" s="208"/>
      <c r="E30" s="208"/>
      <c r="F30" s="192"/>
      <c r="G30" s="208"/>
      <c r="H30" s="160"/>
      <c r="I30" s="208"/>
    </row>
    <row r="31" spans="1:9" s="151" customFormat="1" x14ac:dyDescent="0.25">
      <c r="A31" s="161"/>
      <c r="B31" s="155" t="s">
        <v>116</v>
      </c>
      <c r="C31" s="205">
        <v>1562351.7</v>
      </c>
      <c r="D31" s="205">
        <v>0</v>
      </c>
      <c r="E31" s="205">
        <f t="shared" ref="E31:E38" si="3">C31+D31</f>
        <v>1562351.7</v>
      </c>
      <c r="F31" s="189">
        <v>72</v>
      </c>
      <c r="G31" s="205">
        <v>21699.33</v>
      </c>
      <c r="H31" s="189">
        <v>72</v>
      </c>
      <c r="I31" s="205">
        <f>G31</f>
        <v>21699.33</v>
      </c>
    </row>
    <row r="32" spans="1:9" s="151" customFormat="1" x14ac:dyDescent="0.25">
      <c r="A32" s="161"/>
      <c r="B32" s="155" t="s">
        <v>123</v>
      </c>
      <c r="C32" s="205">
        <v>466053.54</v>
      </c>
      <c r="D32" s="205">
        <v>0</v>
      </c>
      <c r="E32" s="205">
        <f t="shared" si="3"/>
        <v>466053.54</v>
      </c>
      <c r="F32" s="189">
        <v>55</v>
      </c>
      <c r="G32" s="205">
        <v>8473.68</v>
      </c>
      <c r="H32" s="189">
        <v>55</v>
      </c>
      <c r="I32" s="205">
        <f>G32</f>
        <v>8473.68</v>
      </c>
    </row>
    <row r="33" spans="1:9" s="151" customFormat="1" x14ac:dyDescent="0.25">
      <c r="A33" s="161"/>
      <c r="B33" s="155" t="s">
        <v>124</v>
      </c>
      <c r="C33" s="205">
        <v>1688500.95</v>
      </c>
      <c r="D33" s="205">
        <v>0</v>
      </c>
      <c r="E33" s="205">
        <f t="shared" si="3"/>
        <v>1688500.95</v>
      </c>
      <c r="F33" s="189">
        <v>25</v>
      </c>
      <c r="G33" s="205">
        <v>41617.97</v>
      </c>
      <c r="H33" s="189">
        <v>40</v>
      </c>
      <c r="I33" s="205">
        <f>E33/((E33/G33)/(F33/H33))</f>
        <v>26011.231250000001</v>
      </c>
    </row>
    <row r="34" spans="1:9" s="151" customFormat="1" x14ac:dyDescent="0.25">
      <c r="A34" s="161"/>
      <c r="B34" s="155" t="s">
        <v>125</v>
      </c>
      <c r="C34" s="205">
        <v>14596825.969999999</v>
      </c>
      <c r="D34" s="205">
        <v>0</v>
      </c>
      <c r="E34" s="205">
        <f t="shared" si="3"/>
        <v>14596825.969999999</v>
      </c>
      <c r="F34" s="189">
        <v>40</v>
      </c>
      <c r="G34" s="205">
        <v>635196.6</v>
      </c>
      <c r="H34" s="189">
        <v>40</v>
      </c>
      <c r="I34" s="205">
        <f>G34</f>
        <v>635196.6</v>
      </c>
    </row>
    <row r="35" spans="1:9" s="151" customFormat="1" x14ac:dyDescent="0.25">
      <c r="A35" s="161"/>
      <c r="B35" s="155" t="s">
        <v>321</v>
      </c>
      <c r="C35" s="205">
        <v>2962780.46</v>
      </c>
      <c r="D35" s="205">
        <v>580000</v>
      </c>
      <c r="E35" s="205">
        <f t="shared" si="3"/>
        <v>3542780.46</v>
      </c>
      <c r="F35" s="189">
        <v>5</v>
      </c>
      <c r="G35" s="205">
        <v>592556.14</v>
      </c>
      <c r="H35" s="189">
        <v>5</v>
      </c>
      <c r="I35" s="205">
        <f>G35</f>
        <v>592556.14</v>
      </c>
    </row>
    <row r="36" spans="1:9" s="151" customFormat="1" x14ac:dyDescent="0.25">
      <c r="A36" s="161"/>
      <c r="B36" s="155" t="s">
        <v>341</v>
      </c>
      <c r="C36" s="205">
        <v>243547.65000000002</v>
      </c>
      <c r="D36" s="205">
        <v>0</v>
      </c>
      <c r="E36" s="205">
        <f t="shared" si="3"/>
        <v>243547.65000000002</v>
      </c>
      <c r="F36" s="189">
        <v>12</v>
      </c>
      <c r="G36" s="205">
        <v>26068.79</v>
      </c>
      <c r="H36" s="189">
        <v>12</v>
      </c>
      <c r="I36" s="205">
        <f>G36</f>
        <v>26068.79</v>
      </c>
    </row>
    <row r="37" spans="1:9" s="151" customFormat="1" x14ac:dyDescent="0.25">
      <c r="A37" s="161"/>
      <c r="B37" s="155" t="s">
        <v>119</v>
      </c>
      <c r="C37" s="205">
        <v>9018859.8300000019</v>
      </c>
      <c r="D37" s="205">
        <v>0</v>
      </c>
      <c r="E37" s="205">
        <f t="shared" si="3"/>
        <v>9018859.8300000019</v>
      </c>
      <c r="F37" s="189">
        <v>45</v>
      </c>
      <c r="G37" s="205">
        <v>199653.46</v>
      </c>
      <c r="H37" s="189">
        <v>45</v>
      </c>
      <c r="I37" s="205">
        <f>G37</f>
        <v>199653.46</v>
      </c>
    </row>
    <row r="38" spans="1:9" s="151" customFormat="1" x14ac:dyDescent="0.25">
      <c r="A38" s="161"/>
      <c r="B38" s="155" t="s">
        <v>120</v>
      </c>
      <c r="C38" s="205">
        <v>1837693.49</v>
      </c>
      <c r="D38" s="205">
        <v>0</v>
      </c>
      <c r="E38" s="205">
        <f t="shared" si="3"/>
        <v>1837693.49</v>
      </c>
      <c r="F38" s="189">
        <v>30</v>
      </c>
      <c r="G38" s="205">
        <v>59215.56</v>
      </c>
      <c r="H38" s="189">
        <v>30</v>
      </c>
      <c r="I38" s="205">
        <f>G38</f>
        <v>59215.56</v>
      </c>
    </row>
    <row r="39" spans="1:9" s="151" customFormat="1" x14ac:dyDescent="0.25">
      <c r="A39" s="161"/>
      <c r="B39" s="155" t="s">
        <v>342</v>
      </c>
      <c r="C39" s="206"/>
      <c r="D39" s="206"/>
      <c r="E39" s="206"/>
      <c r="F39" s="190"/>
      <c r="G39" s="206">
        <v>-80614.559999999998</v>
      </c>
      <c r="H39" s="156"/>
      <c r="I39" s="206">
        <v>-70207.724697434329</v>
      </c>
    </row>
    <row r="40" spans="1:9" s="159" customFormat="1" ht="18.75" customHeight="1" x14ac:dyDescent="0.25">
      <c r="A40" s="150" t="s">
        <v>126</v>
      </c>
      <c r="B40" s="150"/>
      <c r="C40" s="207">
        <f>SUBTOTAL(9,C31:C39)</f>
        <v>32376613.59</v>
      </c>
      <c r="D40" s="207">
        <f>SUBTOTAL(9,D31:D39)</f>
        <v>580000</v>
      </c>
      <c r="E40" s="207">
        <f>SUBTOTAL(9,E31:E39)</f>
        <v>32956613.59</v>
      </c>
      <c r="F40" s="191"/>
      <c r="G40" s="207">
        <f>SUBTOTAL(9,G31:G39)</f>
        <v>1503866.97</v>
      </c>
      <c r="H40" s="158"/>
      <c r="I40" s="207">
        <f>SUBTOTAL(9,I31:I39)</f>
        <v>1498667.0665525657</v>
      </c>
    </row>
    <row r="41" spans="1:9" s="151" customFormat="1" x14ac:dyDescent="0.25">
      <c r="C41" s="208"/>
      <c r="D41" s="208"/>
      <c r="E41" s="208"/>
      <c r="F41" s="192"/>
      <c r="G41" s="208"/>
      <c r="H41" s="160"/>
      <c r="I41" s="208"/>
    </row>
    <row r="42" spans="1:9" s="151" customFormat="1" x14ac:dyDescent="0.25">
      <c r="A42" s="150" t="s">
        <v>127</v>
      </c>
      <c r="C42" s="208"/>
      <c r="D42" s="208"/>
      <c r="E42" s="208"/>
      <c r="F42" s="192"/>
      <c r="G42" s="208"/>
      <c r="H42" s="160"/>
      <c r="I42" s="208"/>
    </row>
    <row r="43" spans="1:9" s="151" customFormat="1" x14ac:dyDescent="0.25">
      <c r="A43" s="161"/>
      <c r="B43" s="155" t="s">
        <v>127</v>
      </c>
      <c r="C43" s="206">
        <v>0</v>
      </c>
      <c r="D43" s="206">
        <v>0</v>
      </c>
      <c r="E43" s="206">
        <f>C43+D43</f>
        <v>0</v>
      </c>
      <c r="F43" s="190">
        <v>0</v>
      </c>
      <c r="G43" s="206">
        <v>0</v>
      </c>
      <c r="H43" s="190">
        <v>0</v>
      </c>
      <c r="I43" s="206">
        <f>G43</f>
        <v>0</v>
      </c>
    </row>
    <row r="44" spans="1:9" s="159" customFormat="1" ht="18.75" customHeight="1" x14ac:dyDescent="0.25">
      <c r="A44" s="150" t="s">
        <v>128</v>
      </c>
      <c r="B44" s="150"/>
      <c r="C44" s="207">
        <f>C43</f>
        <v>0</v>
      </c>
      <c r="D44" s="207">
        <f>D43</f>
        <v>0</v>
      </c>
      <c r="E44" s="207">
        <f>E43</f>
        <v>0</v>
      </c>
      <c r="F44" s="191"/>
      <c r="G44" s="207">
        <f>SUBTOTAL(9,G43)</f>
        <v>0</v>
      </c>
      <c r="H44" s="158"/>
      <c r="I44" s="207">
        <f>SUBTOTAL(9,I43)</f>
        <v>0</v>
      </c>
    </row>
    <row r="45" spans="1:9" s="151" customFormat="1" x14ac:dyDescent="0.25">
      <c r="C45" s="208"/>
      <c r="D45" s="208"/>
      <c r="E45" s="208"/>
      <c r="F45" s="192"/>
      <c r="G45" s="208"/>
      <c r="H45" s="160"/>
      <c r="I45" s="208"/>
    </row>
    <row r="46" spans="1:9" s="151" customFormat="1" x14ac:dyDescent="0.25">
      <c r="A46" s="150" t="s">
        <v>111</v>
      </c>
      <c r="C46" s="208"/>
      <c r="D46" s="208"/>
      <c r="E46" s="208"/>
      <c r="F46" s="192"/>
      <c r="G46" s="208"/>
      <c r="H46" s="160"/>
      <c r="I46" s="208"/>
    </row>
    <row r="47" spans="1:9" s="151" customFormat="1" x14ac:dyDescent="0.25">
      <c r="A47" s="161"/>
      <c r="B47" s="155" t="s">
        <v>129</v>
      </c>
      <c r="C47" s="205">
        <v>86010599.449999988</v>
      </c>
      <c r="D47" s="205">
        <v>12855000</v>
      </c>
      <c r="E47" s="205">
        <f t="shared" ref="E47:E54" si="4">C47+D47</f>
        <v>98865599.449999988</v>
      </c>
      <c r="F47" s="189">
        <v>65</v>
      </c>
      <c r="G47" s="205">
        <v>1323239.97</v>
      </c>
      <c r="H47" s="189">
        <v>50</v>
      </c>
      <c r="I47" s="205">
        <f t="shared" ref="I47:I52" si="5">E47/((E47/G47)/(F47/H47))</f>
        <v>1720211.9610000001</v>
      </c>
    </row>
    <row r="48" spans="1:9" s="151" customFormat="1" x14ac:dyDescent="0.25">
      <c r="A48" s="161"/>
      <c r="B48" s="155" t="s">
        <v>130</v>
      </c>
      <c r="C48" s="205">
        <v>14082335.510000002</v>
      </c>
      <c r="D48" s="205">
        <v>0</v>
      </c>
      <c r="E48" s="205">
        <f t="shared" si="4"/>
        <v>14082335.510000002</v>
      </c>
      <c r="F48" s="189">
        <v>50</v>
      </c>
      <c r="G48" s="205">
        <v>281646.71000000002</v>
      </c>
      <c r="H48" s="189">
        <v>60</v>
      </c>
      <c r="I48" s="205">
        <f t="shared" si="5"/>
        <v>234705.59166666667</v>
      </c>
    </row>
    <row r="49" spans="1:9" s="151" customFormat="1" x14ac:dyDescent="0.25">
      <c r="A49" s="161"/>
      <c r="B49" s="155" t="s">
        <v>131</v>
      </c>
      <c r="C49" s="205">
        <v>4380715.28</v>
      </c>
      <c r="D49" s="205">
        <v>0</v>
      </c>
      <c r="E49" s="205">
        <f t="shared" si="4"/>
        <v>4380715.28</v>
      </c>
      <c r="F49" s="189">
        <v>50</v>
      </c>
      <c r="G49" s="205">
        <v>238682.84999999998</v>
      </c>
      <c r="H49" s="189">
        <v>60</v>
      </c>
      <c r="I49" s="205">
        <f t="shared" si="5"/>
        <v>198902.375</v>
      </c>
    </row>
    <row r="50" spans="1:9" s="151" customFormat="1" x14ac:dyDescent="0.25">
      <c r="A50" s="161"/>
      <c r="B50" s="155" t="s">
        <v>132</v>
      </c>
      <c r="C50" s="205">
        <v>20561275.119999997</v>
      </c>
      <c r="D50" s="205">
        <v>0</v>
      </c>
      <c r="E50" s="205">
        <f t="shared" si="4"/>
        <v>20561275.119999997</v>
      </c>
      <c r="F50" s="189">
        <v>50</v>
      </c>
      <c r="G50" s="205">
        <v>411225.51</v>
      </c>
      <c r="H50" s="189">
        <v>60</v>
      </c>
      <c r="I50" s="205">
        <f t="shared" si="5"/>
        <v>342687.92500000005</v>
      </c>
    </row>
    <row r="51" spans="1:9" s="151" customFormat="1" x14ac:dyDescent="0.25">
      <c r="A51" s="161"/>
      <c r="B51" s="155" t="s">
        <v>133</v>
      </c>
      <c r="C51" s="205">
        <v>277975</v>
      </c>
      <c r="D51" s="205">
        <v>0</v>
      </c>
      <c r="E51" s="205">
        <f t="shared" si="4"/>
        <v>277975</v>
      </c>
      <c r="F51" s="189">
        <v>50</v>
      </c>
      <c r="G51" s="205">
        <v>5559.5</v>
      </c>
      <c r="H51" s="189">
        <v>60</v>
      </c>
      <c r="I51" s="205">
        <f t="shared" si="5"/>
        <v>4632.916666666667</v>
      </c>
    </row>
    <row r="52" spans="1:9" s="151" customFormat="1" x14ac:dyDescent="0.25">
      <c r="A52" s="161"/>
      <c r="B52" s="155" t="s">
        <v>134</v>
      </c>
      <c r="C52" s="205">
        <v>81331454.519999996</v>
      </c>
      <c r="D52" s="205">
        <v>300000</v>
      </c>
      <c r="E52" s="205">
        <f t="shared" si="4"/>
        <v>81631454.519999996</v>
      </c>
      <c r="F52" s="189">
        <v>54</v>
      </c>
      <c r="G52" s="205">
        <v>1512778.5699999998</v>
      </c>
      <c r="H52" s="189">
        <v>45</v>
      </c>
      <c r="I52" s="205">
        <f t="shared" si="5"/>
        <v>1815334.2839999998</v>
      </c>
    </row>
    <row r="53" spans="1:9" s="151" customFormat="1" x14ac:dyDescent="0.25">
      <c r="A53" s="161"/>
      <c r="B53" s="155" t="s">
        <v>135</v>
      </c>
      <c r="C53" s="205">
        <v>1536213.38</v>
      </c>
      <c r="D53" s="205">
        <v>0</v>
      </c>
      <c r="E53" s="205">
        <f t="shared" si="4"/>
        <v>1536213.38</v>
      </c>
      <c r="F53" s="189">
        <v>55</v>
      </c>
      <c r="G53" s="205">
        <v>27931.15</v>
      </c>
      <c r="H53" s="189">
        <v>55</v>
      </c>
      <c r="I53" s="205">
        <f>G53</f>
        <v>27931.15</v>
      </c>
    </row>
    <row r="54" spans="1:9" s="151" customFormat="1" x14ac:dyDescent="0.25">
      <c r="A54" s="161"/>
      <c r="B54" s="155" t="s">
        <v>136</v>
      </c>
      <c r="C54" s="205">
        <v>274477.44999999995</v>
      </c>
      <c r="D54" s="205">
        <v>0</v>
      </c>
      <c r="E54" s="205">
        <f t="shared" si="4"/>
        <v>274477.44999999995</v>
      </c>
      <c r="F54" s="189">
        <v>20</v>
      </c>
      <c r="G54" s="205">
        <v>13377.48</v>
      </c>
      <c r="H54" s="189">
        <v>30</v>
      </c>
      <c r="I54" s="205">
        <f>E54/((E54/G54)/(F54/H54))</f>
        <v>8918.32</v>
      </c>
    </row>
    <row r="55" spans="1:9" s="151" customFormat="1" x14ac:dyDescent="0.25">
      <c r="A55" s="161"/>
      <c r="B55" s="155" t="s">
        <v>342</v>
      </c>
      <c r="C55" s="206"/>
      <c r="D55" s="206"/>
      <c r="E55" s="206"/>
      <c r="F55" s="190"/>
      <c r="G55" s="206">
        <v>-53371.56</v>
      </c>
      <c r="H55" s="190"/>
      <c r="I55" s="206">
        <v>-79596.84</v>
      </c>
    </row>
    <row r="56" spans="1:9" s="159" customFormat="1" ht="18" customHeight="1" x14ac:dyDescent="0.25">
      <c r="A56" s="150" t="s">
        <v>137</v>
      </c>
      <c r="B56" s="150"/>
      <c r="C56" s="207">
        <f>SUBTOTAL(9,C47:C55)</f>
        <v>208455045.70999998</v>
      </c>
      <c r="D56" s="207">
        <f>SUBTOTAL(9,D47:D55)</f>
        <v>13155000</v>
      </c>
      <c r="E56" s="207">
        <f>SUBTOTAL(9,E47:E55)</f>
        <v>221610045.70999998</v>
      </c>
      <c r="F56" s="191"/>
      <c r="G56" s="207">
        <f>SUBTOTAL(9,G47:G55)</f>
        <v>3761070.1799999997</v>
      </c>
      <c r="H56" s="158"/>
      <c r="I56" s="207">
        <f>SUBTOTAL(9,I47:I55)</f>
        <v>4273727.6833333336</v>
      </c>
    </row>
    <row r="57" spans="1:9" s="151" customFormat="1" x14ac:dyDescent="0.25">
      <c r="C57" s="208"/>
      <c r="D57" s="208"/>
      <c r="E57" s="208"/>
      <c r="F57" s="192"/>
      <c r="G57" s="208"/>
      <c r="H57" s="160"/>
      <c r="I57" s="208"/>
    </row>
    <row r="58" spans="1:9" s="151" customFormat="1" x14ac:dyDescent="0.25">
      <c r="A58" s="150" t="s">
        <v>138</v>
      </c>
      <c r="C58" s="208"/>
      <c r="D58" s="208"/>
      <c r="E58" s="208"/>
      <c r="F58" s="192"/>
      <c r="G58" s="208"/>
      <c r="H58" s="160"/>
      <c r="I58" s="208"/>
    </row>
    <row r="59" spans="1:9" s="151" customFormat="1" x14ac:dyDescent="0.25">
      <c r="A59" s="161"/>
      <c r="B59" s="155" t="s">
        <v>129</v>
      </c>
      <c r="C59" s="205">
        <v>4579633.82</v>
      </c>
      <c r="D59" s="205">
        <v>0</v>
      </c>
      <c r="E59" s="205">
        <f t="shared" ref="E59:E69" si="6">C59+D59</f>
        <v>4579633.82</v>
      </c>
      <c r="F59" s="189">
        <v>45</v>
      </c>
      <c r="G59" s="205">
        <v>100047.82</v>
      </c>
      <c r="H59" s="189">
        <v>50</v>
      </c>
      <c r="I59" s="205">
        <f>E59/((E59/G59)/(F59/H59))</f>
        <v>90043.038000000015</v>
      </c>
    </row>
    <row r="60" spans="1:9" s="151" customFormat="1" x14ac:dyDescent="0.25">
      <c r="A60" s="161"/>
      <c r="B60" s="155" t="s">
        <v>139</v>
      </c>
      <c r="C60" s="205">
        <v>2646131.54</v>
      </c>
      <c r="D60" s="205">
        <v>0</v>
      </c>
      <c r="E60" s="205">
        <f t="shared" si="6"/>
        <v>2646131.54</v>
      </c>
      <c r="F60" s="189">
        <v>12</v>
      </c>
      <c r="G60" s="205">
        <v>0</v>
      </c>
      <c r="H60" s="189">
        <v>12</v>
      </c>
      <c r="I60" s="205">
        <f>G60</f>
        <v>0</v>
      </c>
    </row>
    <row r="61" spans="1:9" s="151" customFormat="1" x14ac:dyDescent="0.25">
      <c r="A61" s="161"/>
      <c r="B61" s="155" t="s">
        <v>140</v>
      </c>
      <c r="C61" s="205">
        <v>41597.199999999997</v>
      </c>
      <c r="D61" s="205">
        <v>0</v>
      </c>
      <c r="E61" s="205">
        <f t="shared" si="6"/>
        <v>41597.199999999997</v>
      </c>
      <c r="F61" s="189">
        <v>50</v>
      </c>
      <c r="G61" s="205">
        <v>831.94</v>
      </c>
      <c r="H61" s="189">
        <v>60</v>
      </c>
      <c r="I61" s="205">
        <f>E61/((E61/G61)/(F61/H61))</f>
        <v>693.28333333333342</v>
      </c>
    </row>
    <row r="62" spans="1:9" s="151" customFormat="1" x14ac:dyDescent="0.25">
      <c r="A62" s="161"/>
      <c r="B62" s="155" t="s">
        <v>322</v>
      </c>
      <c r="C62" s="205">
        <v>432532.51</v>
      </c>
      <c r="D62" s="205">
        <v>0</v>
      </c>
      <c r="E62" s="205">
        <f t="shared" si="6"/>
        <v>432532.51</v>
      </c>
      <c r="F62" s="189">
        <v>12</v>
      </c>
      <c r="G62" s="205">
        <v>0</v>
      </c>
      <c r="H62" s="189">
        <v>12</v>
      </c>
      <c r="I62" s="205">
        <f>G62</f>
        <v>0</v>
      </c>
    </row>
    <row r="63" spans="1:9" s="151" customFormat="1" x14ac:dyDescent="0.25">
      <c r="A63" s="161"/>
      <c r="B63" s="155" t="s">
        <v>141</v>
      </c>
      <c r="C63" s="205">
        <v>0</v>
      </c>
      <c r="D63" s="205">
        <v>0</v>
      </c>
      <c r="E63" s="205">
        <f t="shared" si="6"/>
        <v>0</v>
      </c>
      <c r="F63" s="189">
        <v>50</v>
      </c>
      <c r="G63" s="205">
        <v>0</v>
      </c>
      <c r="H63" s="189">
        <v>60</v>
      </c>
      <c r="I63" s="205">
        <v>0</v>
      </c>
    </row>
    <row r="64" spans="1:9" s="151" customFormat="1" x14ac:dyDescent="0.25">
      <c r="A64" s="161"/>
      <c r="B64" s="155" t="s">
        <v>323</v>
      </c>
      <c r="C64" s="205">
        <v>95136.43</v>
      </c>
      <c r="D64" s="205">
        <v>0</v>
      </c>
      <c r="E64" s="205">
        <f t="shared" si="6"/>
        <v>95136.43</v>
      </c>
      <c r="F64" s="189">
        <v>12</v>
      </c>
      <c r="G64" s="205">
        <v>0</v>
      </c>
      <c r="H64" s="189">
        <v>12</v>
      </c>
      <c r="I64" s="205">
        <f>G64</f>
        <v>0</v>
      </c>
    </row>
    <row r="65" spans="1:9" s="151" customFormat="1" x14ac:dyDescent="0.25">
      <c r="A65" s="161"/>
      <c r="B65" s="155" t="s">
        <v>142</v>
      </c>
      <c r="C65" s="205">
        <v>1840368.81</v>
      </c>
      <c r="D65" s="205">
        <v>0</v>
      </c>
      <c r="E65" s="205">
        <f t="shared" si="6"/>
        <v>1840368.81</v>
      </c>
      <c r="F65" s="189">
        <v>45</v>
      </c>
      <c r="G65" s="205">
        <v>40716.480000000003</v>
      </c>
      <c r="H65" s="189">
        <v>60</v>
      </c>
      <c r="I65" s="205">
        <f>E65/((E65/G65)/(F65/H65))</f>
        <v>30537.360000000001</v>
      </c>
    </row>
    <row r="66" spans="1:9" s="151" customFormat="1" x14ac:dyDescent="0.25">
      <c r="A66" s="161"/>
      <c r="B66" s="155" t="s">
        <v>143</v>
      </c>
      <c r="C66" s="205">
        <v>83872.850000000006</v>
      </c>
      <c r="D66" s="205">
        <v>0</v>
      </c>
      <c r="E66" s="205">
        <f t="shared" si="6"/>
        <v>83872.850000000006</v>
      </c>
      <c r="F66" s="189">
        <v>45</v>
      </c>
      <c r="G66" s="205">
        <v>1863.84</v>
      </c>
      <c r="H66" s="189">
        <v>45</v>
      </c>
      <c r="I66" s="205">
        <f>G66</f>
        <v>1863.84</v>
      </c>
    </row>
    <row r="67" spans="1:9" s="151" customFormat="1" x14ac:dyDescent="0.25">
      <c r="A67" s="161"/>
      <c r="B67" s="155" t="s">
        <v>324</v>
      </c>
      <c r="C67" s="205">
        <v>920692.5</v>
      </c>
      <c r="D67" s="205">
        <v>0</v>
      </c>
      <c r="E67" s="205">
        <f t="shared" si="6"/>
        <v>920692.5</v>
      </c>
      <c r="F67" s="189">
        <v>12</v>
      </c>
      <c r="G67" s="205">
        <v>0</v>
      </c>
      <c r="H67" s="189">
        <v>12</v>
      </c>
      <c r="I67" s="205">
        <f>G67</f>
        <v>0</v>
      </c>
    </row>
    <row r="68" spans="1:9" s="151" customFormat="1" x14ac:dyDescent="0.25">
      <c r="A68" s="161"/>
      <c r="B68" s="155" t="s">
        <v>325</v>
      </c>
      <c r="C68" s="205">
        <v>8013609.3399999999</v>
      </c>
      <c r="D68" s="205">
        <v>0</v>
      </c>
      <c r="E68" s="205">
        <f t="shared" si="6"/>
        <v>8013609.3399999999</v>
      </c>
      <c r="F68" s="189">
        <v>40</v>
      </c>
      <c r="G68" s="205">
        <v>200340.23</v>
      </c>
      <c r="H68" s="189">
        <v>45</v>
      </c>
      <c r="I68" s="205">
        <f>E68/((E68/G68)/(F68/H68))</f>
        <v>178080.20444444445</v>
      </c>
    </row>
    <row r="69" spans="1:9" s="151" customFormat="1" x14ac:dyDescent="0.25">
      <c r="A69" s="161"/>
      <c r="B69" s="155" t="s">
        <v>326</v>
      </c>
      <c r="C69" s="205">
        <v>7111245.04</v>
      </c>
      <c r="D69" s="205">
        <v>0</v>
      </c>
      <c r="E69" s="205">
        <f t="shared" si="6"/>
        <v>7111245.04</v>
      </c>
      <c r="F69" s="189">
        <v>12</v>
      </c>
      <c r="G69" s="205">
        <v>74559.39</v>
      </c>
      <c r="H69" s="189">
        <v>12</v>
      </c>
      <c r="I69" s="205">
        <f>G69</f>
        <v>74559.39</v>
      </c>
    </row>
    <row r="70" spans="1:9" s="151" customFormat="1" x14ac:dyDescent="0.25">
      <c r="A70" s="161"/>
      <c r="B70" s="155" t="s">
        <v>342</v>
      </c>
      <c r="C70" s="206"/>
      <c r="D70" s="206"/>
      <c r="E70" s="206"/>
      <c r="F70" s="190"/>
      <c r="G70" s="206">
        <v>-27372.720000000001</v>
      </c>
      <c r="H70" s="190"/>
      <c r="I70" s="206">
        <v>-45813.36</v>
      </c>
    </row>
    <row r="71" spans="1:9" s="159" customFormat="1" x14ac:dyDescent="0.25">
      <c r="A71" s="150" t="s">
        <v>144</v>
      </c>
      <c r="B71" s="150"/>
      <c r="C71" s="207">
        <f>SUBTOTAL(9,C59:C70)</f>
        <v>25764820.039999999</v>
      </c>
      <c r="D71" s="207">
        <f>SUBTOTAL(9,D59:D70)</f>
        <v>0</v>
      </c>
      <c r="E71" s="207">
        <f>SUBTOTAL(9,E59:E70)</f>
        <v>25764820.039999999</v>
      </c>
      <c r="F71" s="191"/>
      <c r="G71" s="207">
        <f>SUBTOTAL(9,G59:G70)</f>
        <v>390986.9800000001</v>
      </c>
      <c r="H71" s="158"/>
      <c r="I71" s="207">
        <f>SUBTOTAL(9,I59:I70)</f>
        <v>329963.75577777781</v>
      </c>
    </row>
    <row r="72" spans="1:9" s="151" customFormat="1" x14ac:dyDescent="0.25">
      <c r="C72" s="208"/>
      <c r="D72" s="208"/>
      <c r="E72" s="208"/>
      <c r="F72" s="192"/>
      <c r="G72" s="208"/>
      <c r="H72" s="160"/>
      <c r="I72" s="208"/>
    </row>
    <row r="73" spans="1:9" s="151" customFormat="1" x14ac:dyDescent="0.25">
      <c r="A73" s="150" t="s">
        <v>145</v>
      </c>
      <c r="C73" s="208"/>
      <c r="D73" s="208"/>
      <c r="E73" s="208"/>
      <c r="F73" s="192"/>
      <c r="G73" s="208"/>
      <c r="H73" s="160"/>
      <c r="I73" s="208"/>
    </row>
    <row r="74" spans="1:9" s="151" customFormat="1" x14ac:dyDescent="0.25">
      <c r="A74" s="161"/>
      <c r="B74" s="155" t="s">
        <v>129</v>
      </c>
      <c r="C74" s="205">
        <v>9798083.2399999965</v>
      </c>
      <c r="D74" s="205">
        <v>649057</v>
      </c>
      <c r="E74" s="205">
        <f t="shared" ref="E74:E89" si="7">C74+D74</f>
        <v>10447140.239999996</v>
      </c>
      <c r="F74" s="189">
        <v>35</v>
      </c>
      <c r="G74" s="205">
        <v>280111.08</v>
      </c>
      <c r="H74" s="189">
        <v>40</v>
      </c>
      <c r="I74" s="205">
        <f>E74/((E74/G74)/(F74/H74))</f>
        <v>245097.19500000004</v>
      </c>
    </row>
    <row r="75" spans="1:9" s="151" customFormat="1" x14ac:dyDescent="0.25">
      <c r="A75" s="161"/>
      <c r="B75" s="155" t="s">
        <v>130</v>
      </c>
      <c r="C75" s="205">
        <v>44763.01</v>
      </c>
      <c r="D75" s="205">
        <v>0</v>
      </c>
      <c r="E75" s="205">
        <f t="shared" si="7"/>
        <v>44763.01</v>
      </c>
      <c r="F75" s="189">
        <v>50</v>
      </c>
      <c r="G75" s="205">
        <v>895.26</v>
      </c>
      <c r="H75" s="189">
        <v>50</v>
      </c>
      <c r="I75" s="205">
        <f>G75</f>
        <v>895.26</v>
      </c>
    </row>
    <row r="76" spans="1:9" s="151" customFormat="1" x14ac:dyDescent="0.25">
      <c r="A76" s="161"/>
      <c r="B76" s="155" t="s">
        <v>141</v>
      </c>
      <c r="C76" s="205">
        <v>619385.92999999993</v>
      </c>
      <c r="D76" s="205">
        <v>0</v>
      </c>
      <c r="E76" s="205">
        <f t="shared" si="7"/>
        <v>619385.92999999993</v>
      </c>
      <c r="F76" s="189">
        <v>50</v>
      </c>
      <c r="G76" s="205">
        <v>17696.759999999998</v>
      </c>
      <c r="H76" s="189">
        <v>50</v>
      </c>
      <c r="I76" s="205">
        <f>G76</f>
        <v>17696.759999999998</v>
      </c>
    </row>
    <row r="77" spans="1:9" s="151" customFormat="1" x14ac:dyDescent="0.25">
      <c r="A77" s="161"/>
      <c r="B77" s="155" t="s">
        <v>146</v>
      </c>
      <c r="C77" s="205">
        <v>268208.24</v>
      </c>
      <c r="D77" s="205">
        <v>0</v>
      </c>
      <c r="E77" s="205">
        <f t="shared" si="7"/>
        <v>268208.24</v>
      </c>
      <c r="F77" s="189">
        <v>35</v>
      </c>
      <c r="G77" s="205">
        <v>7663.09</v>
      </c>
      <c r="H77" s="189">
        <v>50</v>
      </c>
      <c r="I77" s="205">
        <f>E77/((E77/G77)/(F77/H77))</f>
        <v>5364.1629999999996</v>
      </c>
    </row>
    <row r="78" spans="1:9" s="151" customFormat="1" x14ac:dyDescent="0.25">
      <c r="A78" s="161"/>
      <c r="B78" s="155" t="s">
        <v>147</v>
      </c>
      <c r="C78" s="205">
        <v>2117380.9599999995</v>
      </c>
      <c r="D78" s="205">
        <v>0</v>
      </c>
      <c r="E78" s="205">
        <f t="shared" si="7"/>
        <v>2117380.9599999995</v>
      </c>
      <c r="F78" s="189">
        <v>40</v>
      </c>
      <c r="G78" s="205">
        <v>52933.43</v>
      </c>
      <c r="H78" s="189">
        <v>40</v>
      </c>
      <c r="I78" s="205">
        <f>G78</f>
        <v>52933.43</v>
      </c>
    </row>
    <row r="79" spans="1:9" s="151" customFormat="1" x14ac:dyDescent="0.25">
      <c r="A79" s="161"/>
      <c r="B79" s="155" t="s">
        <v>148</v>
      </c>
      <c r="C79" s="205">
        <v>385154.92</v>
      </c>
      <c r="D79" s="205">
        <v>0</v>
      </c>
      <c r="E79" s="205">
        <f t="shared" si="7"/>
        <v>385154.92</v>
      </c>
      <c r="F79" s="189">
        <v>40</v>
      </c>
      <c r="G79" s="205">
        <v>9628.8700000000008</v>
      </c>
      <c r="H79" s="189">
        <v>40</v>
      </c>
      <c r="I79" s="205">
        <f>G79</f>
        <v>9628.8700000000008</v>
      </c>
    </row>
    <row r="80" spans="1:9" s="151" customFormat="1" x14ac:dyDescent="0.25">
      <c r="A80" s="161"/>
      <c r="B80" s="155" t="s">
        <v>339</v>
      </c>
      <c r="C80" s="205">
        <v>40460.129999999997</v>
      </c>
      <c r="D80" s="205">
        <v>0</v>
      </c>
      <c r="E80" s="205">
        <f t="shared" si="7"/>
        <v>40460.129999999997</v>
      </c>
      <c r="F80" s="189">
        <v>40</v>
      </c>
      <c r="G80" s="205">
        <v>1011.51</v>
      </c>
      <c r="H80" s="189">
        <v>40</v>
      </c>
      <c r="I80" s="205">
        <f>G80</f>
        <v>1011.51</v>
      </c>
    </row>
    <row r="81" spans="1:9" s="151" customFormat="1" x14ac:dyDescent="0.25">
      <c r="A81" s="161"/>
      <c r="B81" s="155" t="s">
        <v>149</v>
      </c>
      <c r="C81" s="205">
        <v>0</v>
      </c>
      <c r="D81" s="205">
        <v>0</v>
      </c>
      <c r="E81" s="205">
        <f t="shared" si="7"/>
        <v>0</v>
      </c>
      <c r="F81" s="189">
        <v>0</v>
      </c>
      <c r="G81" s="205">
        <v>0</v>
      </c>
      <c r="H81" s="189">
        <v>0</v>
      </c>
      <c r="I81" s="205">
        <f>G81</f>
        <v>0</v>
      </c>
    </row>
    <row r="82" spans="1:9" s="151" customFormat="1" x14ac:dyDescent="0.25">
      <c r="A82" s="161"/>
      <c r="B82" s="155" t="s">
        <v>150</v>
      </c>
      <c r="C82" s="205">
        <v>312632.61</v>
      </c>
      <c r="D82" s="205">
        <v>0</v>
      </c>
      <c r="E82" s="205">
        <f t="shared" si="7"/>
        <v>312632.61</v>
      </c>
      <c r="F82" s="189">
        <v>30</v>
      </c>
      <c r="G82" s="205">
        <v>8587.43</v>
      </c>
      <c r="H82" s="189">
        <v>16</v>
      </c>
      <c r="I82" s="205">
        <f>E82/((E82/G82)/(F82/H82))</f>
        <v>16101.431250000003</v>
      </c>
    </row>
    <row r="83" spans="1:9" s="151" customFormat="1" x14ac:dyDescent="0.25">
      <c r="A83" s="161"/>
      <c r="B83" s="155" t="s">
        <v>151</v>
      </c>
      <c r="C83" s="205">
        <v>288392.18999999994</v>
      </c>
      <c r="D83" s="205">
        <v>0</v>
      </c>
      <c r="E83" s="205">
        <f t="shared" si="7"/>
        <v>288392.18999999994</v>
      </c>
      <c r="F83" s="189">
        <v>30</v>
      </c>
      <c r="G83" s="205">
        <v>9172.74</v>
      </c>
      <c r="H83" s="189">
        <v>16</v>
      </c>
      <c r="I83" s="205">
        <f>E83/((E83/G83)/(F83/H83))</f>
        <v>17198.887500000001</v>
      </c>
    </row>
    <row r="84" spans="1:9" s="151" customFormat="1" x14ac:dyDescent="0.25">
      <c r="A84" s="161"/>
      <c r="B84" s="155" t="s">
        <v>134</v>
      </c>
      <c r="C84" s="205">
        <v>1287180</v>
      </c>
      <c r="D84" s="205">
        <v>0</v>
      </c>
      <c r="E84" s="205">
        <f t="shared" si="7"/>
        <v>1287180</v>
      </c>
      <c r="F84" s="189">
        <v>40</v>
      </c>
      <c r="G84" s="205">
        <v>30257.29</v>
      </c>
      <c r="H84" s="189">
        <v>40</v>
      </c>
      <c r="I84" s="205">
        <f>G84</f>
        <v>30257.29</v>
      </c>
    </row>
    <row r="85" spans="1:9" s="151" customFormat="1" x14ac:dyDescent="0.25">
      <c r="A85" s="161"/>
      <c r="B85" s="155" t="s">
        <v>135</v>
      </c>
      <c r="C85" s="205">
        <v>64798.340000000004</v>
      </c>
      <c r="D85" s="205">
        <v>0</v>
      </c>
      <c r="E85" s="205">
        <f t="shared" si="7"/>
        <v>64798.340000000004</v>
      </c>
      <c r="F85" s="189">
        <v>55</v>
      </c>
      <c r="G85" s="205">
        <v>1178.1500000000001</v>
      </c>
      <c r="H85" s="189">
        <v>55</v>
      </c>
      <c r="I85" s="205">
        <f>G85</f>
        <v>1178.1500000000001</v>
      </c>
    </row>
    <row r="86" spans="1:9" s="151" customFormat="1" x14ac:dyDescent="0.25">
      <c r="A86" s="161"/>
      <c r="B86" s="155" t="s">
        <v>136</v>
      </c>
      <c r="C86" s="205">
        <v>100328.43</v>
      </c>
      <c r="D86" s="205">
        <v>0</v>
      </c>
      <c r="E86" s="205">
        <f t="shared" si="7"/>
        <v>100328.43</v>
      </c>
      <c r="F86" s="189">
        <v>20</v>
      </c>
      <c r="G86" s="205">
        <v>5016.42</v>
      </c>
      <c r="H86" s="189">
        <v>30</v>
      </c>
      <c r="I86" s="205">
        <f>E86/((E86/G86)/(F86/H86))</f>
        <v>3344.2799999999997</v>
      </c>
    </row>
    <row r="87" spans="1:9" s="151" customFormat="1" x14ac:dyDescent="0.25">
      <c r="A87" s="161"/>
      <c r="B87" s="155" t="s">
        <v>152</v>
      </c>
      <c r="C87" s="205">
        <v>591567.12</v>
      </c>
      <c r="D87" s="205">
        <v>0</v>
      </c>
      <c r="E87" s="205">
        <f t="shared" si="7"/>
        <v>591567.12</v>
      </c>
      <c r="F87" s="189">
        <v>40</v>
      </c>
      <c r="G87" s="205">
        <v>13831.51</v>
      </c>
      <c r="H87" s="189">
        <v>40</v>
      </c>
      <c r="I87" s="205">
        <f>G87</f>
        <v>13831.51</v>
      </c>
    </row>
    <row r="88" spans="1:9" s="151" customFormat="1" x14ac:dyDescent="0.25">
      <c r="A88" s="161"/>
      <c r="B88" s="155" t="s">
        <v>153</v>
      </c>
      <c r="C88" s="205">
        <v>4051085.78</v>
      </c>
      <c r="D88" s="205">
        <v>0</v>
      </c>
      <c r="E88" s="205">
        <f t="shared" si="7"/>
        <v>4051085.78</v>
      </c>
      <c r="F88" s="189">
        <v>40</v>
      </c>
      <c r="G88" s="205">
        <v>98916.91</v>
      </c>
      <c r="H88" s="189">
        <v>35</v>
      </c>
      <c r="I88" s="205">
        <f>E88/((E88/G88)/(F88/H88))</f>
        <v>113047.89714285715</v>
      </c>
    </row>
    <row r="89" spans="1:9" s="151" customFormat="1" x14ac:dyDescent="0.25">
      <c r="A89" s="161"/>
      <c r="B89" s="155" t="s">
        <v>154</v>
      </c>
      <c r="C89" s="205">
        <v>36442.910000000003</v>
      </c>
      <c r="D89" s="205">
        <v>0</v>
      </c>
      <c r="E89" s="205">
        <f t="shared" si="7"/>
        <v>36442.910000000003</v>
      </c>
      <c r="F89" s="189">
        <v>30</v>
      </c>
      <c r="G89" s="205">
        <v>1214.77</v>
      </c>
      <c r="H89" s="189">
        <v>30</v>
      </c>
      <c r="I89" s="205">
        <f>G89</f>
        <v>1214.77</v>
      </c>
    </row>
    <row r="90" spans="1:9" s="151" customFormat="1" x14ac:dyDescent="0.25">
      <c r="A90" s="161"/>
      <c r="B90" s="155" t="s">
        <v>342</v>
      </c>
      <c r="C90" s="206"/>
      <c r="D90" s="206"/>
      <c r="E90" s="206"/>
      <c r="F90" s="190"/>
      <c r="G90" s="206">
        <v>-27608.76</v>
      </c>
      <c r="H90" s="156"/>
      <c r="I90" s="206">
        <v>1329.24</v>
      </c>
    </row>
    <row r="91" spans="1:9" s="159" customFormat="1" ht="18" customHeight="1" x14ac:dyDescent="0.25">
      <c r="A91" s="150" t="s">
        <v>155</v>
      </c>
      <c r="B91" s="150"/>
      <c r="C91" s="207">
        <f>SUBTOTAL(9,C74:C90)</f>
        <v>20005863.809999995</v>
      </c>
      <c r="D91" s="207">
        <f>SUBTOTAL(9,D74:D90)</f>
        <v>649057</v>
      </c>
      <c r="E91" s="207">
        <f>SUBTOTAL(9,E74:E90)</f>
        <v>20654920.809999995</v>
      </c>
      <c r="F91" s="191"/>
      <c r="G91" s="207">
        <f>SUBTOTAL(9,G74:G90)</f>
        <v>510506.46000000008</v>
      </c>
      <c r="H91" s="158"/>
      <c r="I91" s="207">
        <f>SUBTOTAL(9,I74:I90)</f>
        <v>530130.64389285725</v>
      </c>
    </row>
    <row r="92" spans="1:9" s="151" customFormat="1" x14ac:dyDescent="0.25">
      <c r="C92" s="209"/>
      <c r="D92" s="209"/>
      <c r="E92" s="209"/>
      <c r="F92" s="192"/>
      <c r="G92" s="209"/>
      <c r="H92" s="162"/>
      <c r="I92" s="209"/>
    </row>
    <row r="93" spans="1:9" s="151" customFormat="1" x14ac:dyDescent="0.25">
      <c r="A93" s="150" t="s">
        <v>156</v>
      </c>
      <c r="C93" s="208"/>
      <c r="D93" s="208"/>
      <c r="E93" s="208"/>
      <c r="F93" s="192"/>
      <c r="G93" s="208"/>
      <c r="H93" s="160"/>
      <c r="I93" s="208"/>
    </row>
    <row r="94" spans="1:9" s="151" customFormat="1" x14ac:dyDescent="0.25">
      <c r="A94" s="161"/>
      <c r="B94" s="155" t="s">
        <v>157</v>
      </c>
      <c r="C94" s="205">
        <v>4320.91</v>
      </c>
      <c r="D94" s="205">
        <v>0</v>
      </c>
      <c r="E94" s="205">
        <f t="shared" ref="E94:E106" si="8">C94+D94</f>
        <v>4320.91</v>
      </c>
      <c r="F94" s="189">
        <v>50</v>
      </c>
      <c r="G94" s="205">
        <v>86.42</v>
      </c>
      <c r="H94" s="189">
        <v>50</v>
      </c>
      <c r="I94" s="205">
        <f>G94</f>
        <v>86.42</v>
      </c>
    </row>
    <row r="95" spans="1:9" s="151" customFormat="1" x14ac:dyDescent="0.25">
      <c r="A95" s="161"/>
      <c r="B95" s="155" t="s">
        <v>158</v>
      </c>
      <c r="C95" s="205">
        <v>2791607.23</v>
      </c>
      <c r="D95" s="205">
        <v>0</v>
      </c>
      <c r="E95" s="205">
        <f t="shared" si="8"/>
        <v>2791607.23</v>
      </c>
      <c r="F95" s="189">
        <v>40</v>
      </c>
      <c r="G95" s="205">
        <v>69434.11</v>
      </c>
      <c r="H95" s="189">
        <v>50</v>
      </c>
      <c r="I95" s="205">
        <f>E95/((E95/G95)/(F95/H95))</f>
        <v>55547.288</v>
      </c>
    </row>
    <row r="96" spans="1:9" s="151" customFormat="1" x14ac:dyDescent="0.25">
      <c r="A96" s="161"/>
      <c r="B96" s="155" t="s">
        <v>159</v>
      </c>
      <c r="C96" s="205">
        <v>10632134.050000001</v>
      </c>
      <c r="D96" s="205">
        <v>125000</v>
      </c>
      <c r="E96" s="205">
        <f t="shared" si="8"/>
        <v>10757134.050000001</v>
      </c>
      <c r="F96" s="189">
        <v>55</v>
      </c>
      <c r="G96" s="205">
        <v>193311.56</v>
      </c>
      <c r="H96" s="189">
        <v>50</v>
      </c>
      <c r="I96" s="205">
        <f>E96/((E96/G96)/(F96/H96))</f>
        <v>212642.71600000001</v>
      </c>
    </row>
    <row r="97" spans="1:9" s="151" customFormat="1" x14ac:dyDescent="0.25">
      <c r="A97" s="161"/>
      <c r="B97" s="155" t="s">
        <v>160</v>
      </c>
      <c r="C97" s="205">
        <v>1877376.68</v>
      </c>
      <c r="D97" s="205">
        <v>25000</v>
      </c>
      <c r="E97" s="205">
        <f t="shared" si="8"/>
        <v>1902376.68</v>
      </c>
      <c r="F97" s="189">
        <v>20</v>
      </c>
      <c r="G97" s="205">
        <v>47154.84</v>
      </c>
      <c r="H97" s="189">
        <v>20</v>
      </c>
      <c r="I97" s="205">
        <f>G97</f>
        <v>47154.84</v>
      </c>
    </row>
    <row r="98" spans="1:9" s="151" customFormat="1" x14ac:dyDescent="0.25">
      <c r="A98" s="161"/>
      <c r="B98" s="155" t="s">
        <v>161</v>
      </c>
      <c r="C98" s="205">
        <v>19296.990000000002</v>
      </c>
      <c r="D98" s="205">
        <v>0</v>
      </c>
      <c r="E98" s="205">
        <f t="shared" si="8"/>
        <v>19296.990000000002</v>
      </c>
      <c r="F98" s="189">
        <v>30</v>
      </c>
      <c r="G98" s="205">
        <v>643.23</v>
      </c>
      <c r="H98" s="189">
        <v>40</v>
      </c>
      <c r="I98" s="205">
        <f>E98/((E98/G98)/(F98/H98))</f>
        <v>482.42249999999996</v>
      </c>
    </row>
    <row r="99" spans="1:9" s="151" customFormat="1" x14ac:dyDescent="0.25">
      <c r="A99" s="161"/>
      <c r="B99" s="155" t="s">
        <v>162</v>
      </c>
      <c r="C99" s="205">
        <v>64126.46</v>
      </c>
      <c r="D99" s="205">
        <v>25000</v>
      </c>
      <c r="E99" s="205">
        <f t="shared" si="8"/>
        <v>89126.459999999992</v>
      </c>
      <c r="F99" s="189">
        <v>20</v>
      </c>
      <c r="G99" s="205">
        <v>3206.32</v>
      </c>
      <c r="H99" s="189">
        <v>30</v>
      </c>
      <c r="I99" s="205">
        <f>E99/((E99/G99)/(F99/H99))</f>
        <v>2137.5466666666666</v>
      </c>
    </row>
    <row r="100" spans="1:9" s="151" customFormat="1" x14ac:dyDescent="0.25">
      <c r="A100" s="161"/>
      <c r="B100" s="155" t="s">
        <v>163</v>
      </c>
      <c r="C100" s="205">
        <v>2063377.66</v>
      </c>
      <c r="D100" s="205">
        <v>230000</v>
      </c>
      <c r="E100" s="205">
        <f t="shared" si="8"/>
        <v>2293377.66</v>
      </c>
      <c r="F100" s="189">
        <v>5</v>
      </c>
      <c r="G100" s="205">
        <v>188663.37</v>
      </c>
      <c r="H100" s="189">
        <v>7</v>
      </c>
      <c r="I100" s="205">
        <f>E100/((E100/G100)/(F100/H100))</f>
        <v>134759.55000000002</v>
      </c>
    </row>
    <row r="101" spans="1:9" s="151" customFormat="1" x14ac:dyDescent="0.25">
      <c r="A101" s="161"/>
      <c r="B101" s="155" t="s">
        <v>164</v>
      </c>
      <c r="C101" s="205">
        <v>0</v>
      </c>
      <c r="D101" s="205">
        <v>0</v>
      </c>
      <c r="E101" s="205">
        <f t="shared" si="8"/>
        <v>0</v>
      </c>
      <c r="F101" s="189">
        <v>5</v>
      </c>
      <c r="G101" s="205">
        <v>0</v>
      </c>
      <c r="H101" s="189">
        <v>5</v>
      </c>
      <c r="I101" s="205">
        <f>G101</f>
        <v>0</v>
      </c>
    </row>
    <row r="102" spans="1:9" s="151" customFormat="1" x14ac:dyDescent="0.25">
      <c r="A102" s="161"/>
      <c r="B102" s="155" t="s">
        <v>165</v>
      </c>
      <c r="C102" s="205">
        <v>2157544.2900000005</v>
      </c>
      <c r="D102" s="205">
        <v>490000</v>
      </c>
      <c r="E102" s="205">
        <f t="shared" si="8"/>
        <v>2647544.2900000005</v>
      </c>
      <c r="F102" s="189">
        <v>20</v>
      </c>
      <c r="G102" s="205">
        <v>84363.92</v>
      </c>
      <c r="H102" s="189">
        <v>20</v>
      </c>
      <c r="I102" s="205">
        <f>G102</f>
        <v>84363.92</v>
      </c>
    </row>
    <row r="103" spans="1:9" s="151" customFormat="1" x14ac:dyDescent="0.25">
      <c r="A103" s="161"/>
      <c r="B103" s="155" t="s">
        <v>149</v>
      </c>
      <c r="C103" s="205">
        <v>14282.5</v>
      </c>
      <c r="D103" s="205">
        <v>0</v>
      </c>
      <c r="E103" s="205">
        <f t="shared" si="8"/>
        <v>14282.5</v>
      </c>
      <c r="F103" s="189">
        <v>20</v>
      </c>
      <c r="G103" s="205">
        <v>714.13</v>
      </c>
      <c r="H103" s="189">
        <v>15</v>
      </c>
      <c r="I103" s="205">
        <f>E103/((E103/G103)/(F103/H103))</f>
        <v>952.17333333333329</v>
      </c>
    </row>
    <row r="104" spans="1:9" s="151" customFormat="1" x14ac:dyDescent="0.25">
      <c r="A104" s="161"/>
      <c r="B104" s="155" t="s">
        <v>166</v>
      </c>
      <c r="C104" s="205">
        <v>5615603.9199999999</v>
      </c>
      <c r="D104" s="205">
        <v>100000</v>
      </c>
      <c r="E104" s="205">
        <f t="shared" si="8"/>
        <v>5715603.9199999999</v>
      </c>
      <c r="F104" s="189">
        <v>20</v>
      </c>
      <c r="G104" s="205">
        <v>234071.88</v>
      </c>
      <c r="H104" s="189">
        <v>20</v>
      </c>
      <c r="I104" s="205">
        <f>G104</f>
        <v>234071.88</v>
      </c>
    </row>
    <row r="105" spans="1:9" s="151" customFormat="1" x14ac:dyDescent="0.25">
      <c r="A105" s="161"/>
      <c r="B105" s="155" t="s">
        <v>167</v>
      </c>
      <c r="C105" s="205">
        <v>59031.369999999995</v>
      </c>
      <c r="D105" s="205">
        <v>0</v>
      </c>
      <c r="E105" s="205">
        <f t="shared" si="8"/>
        <v>59031.369999999995</v>
      </c>
      <c r="F105" s="189">
        <v>30</v>
      </c>
      <c r="G105" s="205">
        <v>1686.61</v>
      </c>
      <c r="H105" s="189">
        <v>40</v>
      </c>
      <c r="I105" s="205">
        <f>E105/((E105/G105)/(F105/H105))</f>
        <v>1264.9574999999998</v>
      </c>
    </row>
    <row r="106" spans="1:9" s="151" customFormat="1" x14ac:dyDescent="0.25">
      <c r="A106" s="161"/>
      <c r="B106" s="155" t="s">
        <v>168</v>
      </c>
      <c r="C106" s="205">
        <v>2132362.12</v>
      </c>
      <c r="D106" s="205">
        <v>230000</v>
      </c>
      <c r="E106" s="205">
        <f t="shared" si="8"/>
        <v>2362362.12</v>
      </c>
      <c r="F106" s="189">
        <v>30</v>
      </c>
      <c r="G106" s="205">
        <v>22782.2</v>
      </c>
      <c r="H106" s="189">
        <v>40</v>
      </c>
      <c r="I106" s="205">
        <f>E106/((E106/G106)/(F106/H106))</f>
        <v>17086.650000000001</v>
      </c>
    </row>
    <row r="107" spans="1:9" s="151" customFormat="1" x14ac:dyDescent="0.25">
      <c r="A107" s="161"/>
      <c r="B107" s="155" t="s">
        <v>342</v>
      </c>
      <c r="C107" s="206"/>
      <c r="D107" s="206"/>
      <c r="E107" s="206"/>
      <c r="F107" s="190"/>
      <c r="G107" s="206">
        <v>-28970.04</v>
      </c>
      <c r="H107" s="190"/>
      <c r="I107" s="206">
        <v>-18981.84</v>
      </c>
    </row>
    <row r="108" spans="1:9" s="159" customFormat="1" ht="18" customHeight="1" x14ac:dyDescent="0.25">
      <c r="A108" s="150" t="s">
        <v>169</v>
      </c>
      <c r="B108" s="150"/>
      <c r="C108" s="207">
        <f>SUBTOTAL(9,C94:C107)</f>
        <v>27431064.18</v>
      </c>
      <c r="D108" s="207">
        <f>SUBTOTAL(9,D94:D107)</f>
        <v>1225000</v>
      </c>
      <c r="E108" s="207">
        <f>SUBTOTAL(9,E94:E107)</f>
        <v>28656064.180000007</v>
      </c>
      <c r="F108" s="191"/>
      <c r="G108" s="207">
        <f>SUBTOTAL(9,G94:G107)</f>
        <v>817148.54999999981</v>
      </c>
      <c r="H108" s="158"/>
      <c r="I108" s="207">
        <f>SUBTOTAL(9,I94:I107)</f>
        <v>771568.52400000009</v>
      </c>
    </row>
    <row r="109" spans="1:9" x14ac:dyDescent="0.25">
      <c r="C109" s="210"/>
      <c r="D109" s="210"/>
      <c r="E109" s="210"/>
      <c r="F109" s="193"/>
      <c r="G109" s="210"/>
      <c r="H109" s="165"/>
      <c r="I109" s="210"/>
    </row>
    <row r="110" spans="1:9" s="151" customFormat="1" x14ac:dyDescent="0.25">
      <c r="A110" s="150" t="s">
        <v>170</v>
      </c>
      <c r="C110" s="208"/>
      <c r="D110" s="208"/>
      <c r="E110" s="208"/>
      <c r="F110" s="192"/>
      <c r="G110" s="208"/>
      <c r="H110" s="160"/>
      <c r="I110" s="208"/>
    </row>
    <row r="111" spans="1:9" s="151" customFormat="1" x14ac:dyDescent="0.25">
      <c r="A111" s="161"/>
      <c r="B111" s="155" t="s">
        <v>171</v>
      </c>
      <c r="C111" s="205">
        <v>371571.19000000006</v>
      </c>
      <c r="D111" s="205">
        <v>30000</v>
      </c>
      <c r="E111" s="205">
        <f t="shared" ref="E111:E117" si="9">C111+D111</f>
        <v>401571.19000000006</v>
      </c>
      <c r="F111" s="189">
        <v>7</v>
      </c>
      <c r="G111" s="205">
        <v>29299.08</v>
      </c>
      <c r="H111" s="189">
        <v>8</v>
      </c>
      <c r="I111" s="205">
        <f>E111/((E111/G111)/(F111/H111))</f>
        <v>25636.695</v>
      </c>
    </row>
    <row r="112" spans="1:9" s="151" customFormat="1" x14ac:dyDescent="0.25">
      <c r="A112" s="161"/>
      <c r="B112" s="155" t="s">
        <v>172</v>
      </c>
      <c r="C112" s="205">
        <v>137763.59</v>
      </c>
      <c r="D112" s="205">
        <v>0</v>
      </c>
      <c r="E112" s="205">
        <f t="shared" si="9"/>
        <v>137763.59</v>
      </c>
      <c r="F112" s="189">
        <v>7</v>
      </c>
      <c r="G112" s="205">
        <v>9423.5300000000007</v>
      </c>
      <c r="H112" s="189">
        <v>11</v>
      </c>
      <c r="I112" s="205">
        <f>E112/((E112/G112)/(F112/H112))</f>
        <v>5996.7918181818186</v>
      </c>
    </row>
    <row r="113" spans="1:9" s="151" customFormat="1" x14ac:dyDescent="0.25">
      <c r="A113" s="161"/>
      <c r="B113" s="155" t="s">
        <v>327</v>
      </c>
      <c r="C113" s="205">
        <v>11000</v>
      </c>
      <c r="D113" s="205">
        <v>0</v>
      </c>
      <c r="E113" s="205">
        <f t="shared" si="9"/>
        <v>11000</v>
      </c>
      <c r="F113" s="189">
        <v>31</v>
      </c>
      <c r="G113" s="205">
        <v>354.84</v>
      </c>
      <c r="H113" s="189">
        <v>25</v>
      </c>
      <c r="I113" s="205">
        <f>E113/((E113/G113)/(F113/H113))</f>
        <v>440.0016</v>
      </c>
    </row>
    <row r="114" spans="1:9" s="151" customFormat="1" x14ac:dyDescent="0.25">
      <c r="A114" s="161"/>
      <c r="B114" s="155" t="s">
        <v>173</v>
      </c>
      <c r="C114" s="205">
        <v>53710.58</v>
      </c>
      <c r="D114" s="205">
        <v>0</v>
      </c>
      <c r="E114" s="205">
        <f t="shared" si="9"/>
        <v>53710.58</v>
      </c>
      <c r="F114" s="189">
        <v>25</v>
      </c>
      <c r="G114" s="205">
        <v>1732.61</v>
      </c>
      <c r="H114" s="189">
        <v>25</v>
      </c>
      <c r="I114" s="205">
        <f>G114</f>
        <v>1732.61</v>
      </c>
    </row>
    <row r="115" spans="1:9" s="151" customFormat="1" x14ac:dyDescent="0.25">
      <c r="A115" s="161"/>
      <c r="B115" s="155" t="s">
        <v>174</v>
      </c>
      <c r="C115" s="205">
        <v>3378358.5800000005</v>
      </c>
      <c r="D115" s="205">
        <v>580000</v>
      </c>
      <c r="E115" s="205">
        <f t="shared" si="9"/>
        <v>3958358.5800000005</v>
      </c>
      <c r="F115" s="189">
        <v>10</v>
      </c>
      <c r="G115" s="205">
        <v>242362.16</v>
      </c>
      <c r="H115" s="189">
        <v>9</v>
      </c>
      <c r="I115" s="205">
        <f>E115/((E115/G115)/(F115/H115))</f>
        <v>269291.28888888896</v>
      </c>
    </row>
    <row r="116" spans="1:9" s="151" customFormat="1" x14ac:dyDescent="0.25">
      <c r="A116" s="161"/>
      <c r="B116" s="155" t="s">
        <v>175</v>
      </c>
      <c r="C116" s="205">
        <v>1459849.1099999999</v>
      </c>
      <c r="D116" s="205">
        <v>185000</v>
      </c>
      <c r="E116" s="205">
        <f t="shared" si="9"/>
        <v>1644849.1099999999</v>
      </c>
      <c r="F116" s="189">
        <v>20</v>
      </c>
      <c r="G116" s="205">
        <v>58393.96</v>
      </c>
      <c r="H116" s="189">
        <v>20</v>
      </c>
      <c r="I116" s="205">
        <f>G116</f>
        <v>58393.96</v>
      </c>
    </row>
    <row r="117" spans="1:9" s="151" customFormat="1" x14ac:dyDescent="0.25">
      <c r="A117" s="161"/>
      <c r="B117" s="155" t="s">
        <v>328</v>
      </c>
      <c r="C117" s="205">
        <v>1003858.15</v>
      </c>
      <c r="D117" s="205">
        <v>0</v>
      </c>
      <c r="E117" s="205">
        <f t="shared" si="9"/>
        <v>1003858.15</v>
      </c>
      <c r="F117" s="194">
        <v>25</v>
      </c>
      <c r="G117" s="205">
        <v>40154.32</v>
      </c>
      <c r="H117" s="194">
        <v>20</v>
      </c>
      <c r="I117" s="205">
        <f>E117/((E117/G117)/(F117/H117))</f>
        <v>50192.9</v>
      </c>
    </row>
    <row r="118" spans="1:9" s="151" customFormat="1" x14ac:dyDescent="0.25">
      <c r="A118" s="161"/>
      <c r="B118" s="155" t="s">
        <v>342</v>
      </c>
      <c r="C118" s="206"/>
      <c r="D118" s="206"/>
      <c r="E118" s="206"/>
      <c r="F118" s="195"/>
      <c r="G118" s="206">
        <v>-735.6</v>
      </c>
      <c r="H118" s="195"/>
      <c r="I118" s="206">
        <v>19267.32</v>
      </c>
    </row>
    <row r="119" spans="1:9" s="159" customFormat="1" ht="18" customHeight="1" x14ac:dyDescent="0.25">
      <c r="A119" s="150" t="s">
        <v>176</v>
      </c>
      <c r="B119" s="150"/>
      <c r="C119" s="207">
        <f>SUBTOTAL(9,C111:C118)</f>
        <v>6416111.2000000011</v>
      </c>
      <c r="D119" s="207">
        <f>SUBTOTAL(9,D111:D118)</f>
        <v>795000</v>
      </c>
      <c r="E119" s="207">
        <f>SUBTOTAL(9,E111:E118)</f>
        <v>7211111.2000000011</v>
      </c>
      <c r="F119" s="188"/>
      <c r="G119" s="207">
        <f>SUBTOTAL(9,G111:G118)</f>
        <v>380984.9</v>
      </c>
      <c r="H119" s="157"/>
      <c r="I119" s="207">
        <f>SUBTOTAL(9,I111:I118)</f>
        <v>430951.56730707083</v>
      </c>
    </row>
    <row r="120" spans="1:9" x14ac:dyDescent="0.25">
      <c r="C120" s="210"/>
      <c r="D120" s="210"/>
      <c r="E120" s="210"/>
      <c r="F120" s="196"/>
      <c r="G120" s="210"/>
      <c r="I120" s="210"/>
    </row>
    <row r="121" spans="1:9" s="151" customFormat="1" x14ac:dyDescent="0.25">
      <c r="A121" s="150" t="s">
        <v>329</v>
      </c>
      <c r="C121" s="208"/>
      <c r="D121" s="208"/>
      <c r="E121" s="208"/>
      <c r="F121" s="192"/>
      <c r="G121" s="208"/>
      <c r="H121" s="160"/>
      <c r="I121" s="208"/>
    </row>
    <row r="122" spans="1:9" s="151" customFormat="1" x14ac:dyDescent="0.25">
      <c r="A122" s="161"/>
      <c r="B122" s="155" t="s">
        <v>329</v>
      </c>
      <c r="C122" s="206">
        <v>1193562.28</v>
      </c>
      <c r="D122" s="206">
        <v>0</v>
      </c>
      <c r="E122" s="206">
        <f>C122+D122</f>
        <v>1193562.28</v>
      </c>
      <c r="F122" s="190">
        <v>0</v>
      </c>
      <c r="G122" s="206">
        <v>0</v>
      </c>
      <c r="H122" s="190">
        <v>0</v>
      </c>
      <c r="I122" s="206">
        <f>G122</f>
        <v>0</v>
      </c>
    </row>
    <row r="123" spans="1:9" s="159" customFormat="1" ht="18.75" customHeight="1" x14ac:dyDescent="0.25">
      <c r="A123" s="150" t="s">
        <v>330</v>
      </c>
      <c r="B123" s="150"/>
      <c r="C123" s="207">
        <f>SUBTOTAL(9,C122)</f>
        <v>1193562.28</v>
      </c>
      <c r="D123" s="207">
        <f>SUBTOTAL(9,D122)</f>
        <v>0</v>
      </c>
      <c r="E123" s="207">
        <f>SUBTOTAL(9,E122)</f>
        <v>1193562.28</v>
      </c>
      <c r="F123" s="191"/>
      <c r="G123" s="207">
        <f>SUBTOTAL(9,G122)</f>
        <v>0</v>
      </c>
      <c r="H123" s="158"/>
      <c r="I123" s="207">
        <f>SUBTOTAL(9,I122)</f>
        <v>0</v>
      </c>
    </row>
    <row r="124" spans="1:9" s="159" customFormat="1" ht="18.75" customHeight="1" x14ac:dyDescent="0.25">
      <c r="A124" s="150"/>
      <c r="B124" s="150"/>
      <c r="C124" s="207"/>
      <c r="D124" s="207"/>
      <c r="E124" s="207"/>
      <c r="F124" s="191"/>
      <c r="G124" s="207"/>
      <c r="H124" s="158"/>
      <c r="I124" s="207"/>
    </row>
    <row r="125" spans="1:9" s="151" customFormat="1" x14ac:dyDescent="0.25">
      <c r="A125" s="150" t="s">
        <v>331</v>
      </c>
      <c r="C125" s="208"/>
      <c r="D125" s="208"/>
      <c r="E125" s="208"/>
      <c r="F125" s="192"/>
      <c r="G125" s="208"/>
      <c r="H125" s="160"/>
      <c r="I125" s="208"/>
    </row>
    <row r="126" spans="1:9" s="151" customFormat="1" x14ac:dyDescent="0.25">
      <c r="A126" s="161"/>
      <c r="B126" s="155" t="s">
        <v>116</v>
      </c>
      <c r="C126" s="205">
        <v>6184735</v>
      </c>
      <c r="D126" s="205">
        <v>0</v>
      </c>
      <c r="E126" s="205">
        <f t="shared" ref="E126:E132" si="10">C126+D126</f>
        <v>6184735</v>
      </c>
      <c r="F126" s="189">
        <v>72</v>
      </c>
      <c r="G126" s="205">
        <v>85899.1</v>
      </c>
      <c r="H126" s="189">
        <v>72</v>
      </c>
      <c r="I126" s="205">
        <f>G126</f>
        <v>85899.1</v>
      </c>
    </row>
    <row r="127" spans="1:9" s="151" customFormat="1" x14ac:dyDescent="0.25">
      <c r="A127" s="161"/>
      <c r="B127" s="155" t="s">
        <v>332</v>
      </c>
      <c r="C127" s="205">
        <v>13200669.02</v>
      </c>
      <c r="D127" s="205">
        <v>0</v>
      </c>
      <c r="E127" s="205">
        <f t="shared" si="10"/>
        <v>13200669.02</v>
      </c>
      <c r="F127" s="189">
        <v>32</v>
      </c>
      <c r="G127" s="205">
        <v>412520.9</v>
      </c>
      <c r="H127" s="189">
        <v>60</v>
      </c>
      <c r="I127" s="205">
        <f>E127/((E127/G127)/(F127/H127))</f>
        <v>220011.14666666667</v>
      </c>
    </row>
    <row r="128" spans="1:9" s="151" customFormat="1" x14ac:dyDescent="0.25">
      <c r="A128" s="161"/>
      <c r="B128" s="155" t="s">
        <v>333</v>
      </c>
      <c r="C128" s="205">
        <v>20890968.259999998</v>
      </c>
      <c r="D128" s="205">
        <v>0</v>
      </c>
      <c r="E128" s="205">
        <f t="shared" si="10"/>
        <v>20890968.259999998</v>
      </c>
      <c r="F128" s="189">
        <v>40</v>
      </c>
      <c r="G128" s="205">
        <v>522274.21</v>
      </c>
      <c r="H128" s="189">
        <v>40</v>
      </c>
      <c r="I128" s="205">
        <f>G128</f>
        <v>522274.21</v>
      </c>
    </row>
    <row r="129" spans="1:9" s="151" customFormat="1" x14ac:dyDescent="0.25">
      <c r="A129" s="161"/>
      <c r="B129" s="155" t="s">
        <v>321</v>
      </c>
      <c r="C129" s="205">
        <v>343287.82999999996</v>
      </c>
      <c r="D129" s="205">
        <v>180000</v>
      </c>
      <c r="E129" s="205">
        <f t="shared" si="10"/>
        <v>523287.82999999996</v>
      </c>
      <c r="F129" s="189">
        <v>2</v>
      </c>
      <c r="G129" s="205">
        <v>171445.39</v>
      </c>
      <c r="H129" s="189">
        <f>F129</f>
        <v>2</v>
      </c>
      <c r="I129" s="205">
        <f>G129</f>
        <v>171445.39</v>
      </c>
    </row>
    <row r="130" spans="1:9" s="151" customFormat="1" x14ac:dyDescent="0.25">
      <c r="A130" s="161"/>
      <c r="B130" s="155" t="s">
        <v>119</v>
      </c>
      <c r="C130" s="205">
        <v>3655939.21</v>
      </c>
      <c r="D130" s="205">
        <v>0</v>
      </c>
      <c r="E130" s="205">
        <f t="shared" si="10"/>
        <v>3655939.21</v>
      </c>
      <c r="F130" s="189">
        <v>45</v>
      </c>
      <c r="G130" s="205">
        <v>81243.09</v>
      </c>
      <c r="H130" s="189">
        <v>45</v>
      </c>
      <c r="I130" s="205">
        <f>G130</f>
        <v>81243.09</v>
      </c>
    </row>
    <row r="131" spans="1:9" s="151" customFormat="1" x14ac:dyDescent="0.25">
      <c r="A131" s="161"/>
      <c r="B131" s="155" t="s">
        <v>120</v>
      </c>
      <c r="C131" s="205">
        <v>2850629.7800000003</v>
      </c>
      <c r="D131" s="205">
        <v>35000</v>
      </c>
      <c r="E131" s="205">
        <f t="shared" si="10"/>
        <v>2885629.7800000003</v>
      </c>
      <c r="F131" s="189">
        <v>30</v>
      </c>
      <c r="G131" s="205">
        <v>95020.99</v>
      </c>
      <c r="H131" s="189">
        <v>30</v>
      </c>
      <c r="I131" s="205">
        <f>G131</f>
        <v>95020.99</v>
      </c>
    </row>
    <row r="132" spans="1:9" s="151" customFormat="1" x14ac:dyDescent="0.25">
      <c r="A132" s="161"/>
      <c r="B132" s="151" t="s">
        <v>334</v>
      </c>
      <c r="C132" s="205">
        <v>779651</v>
      </c>
      <c r="D132" s="205">
        <v>0</v>
      </c>
      <c r="E132" s="205">
        <f t="shared" si="10"/>
        <v>779651</v>
      </c>
      <c r="F132" s="189">
        <v>30</v>
      </c>
      <c r="G132" s="205">
        <v>25988.37</v>
      </c>
      <c r="H132" s="189">
        <v>30</v>
      </c>
      <c r="I132" s="205">
        <f>G132</f>
        <v>25988.37</v>
      </c>
    </row>
    <row r="133" spans="1:9" s="151" customFormat="1" x14ac:dyDescent="0.25">
      <c r="A133" s="161"/>
      <c r="B133" s="155" t="s">
        <v>342</v>
      </c>
      <c r="C133" s="206"/>
      <c r="D133" s="206"/>
      <c r="E133" s="206"/>
      <c r="F133" s="190"/>
      <c r="G133" s="206">
        <v>0</v>
      </c>
      <c r="H133" s="190"/>
      <c r="I133" s="206">
        <v>-13981.32</v>
      </c>
    </row>
    <row r="134" spans="1:9" s="159" customFormat="1" ht="18" customHeight="1" x14ac:dyDescent="0.25">
      <c r="A134" s="150" t="s">
        <v>335</v>
      </c>
      <c r="B134" s="150"/>
      <c r="C134" s="207">
        <f>SUBTOTAL(9,C126:C133)</f>
        <v>47905880.100000001</v>
      </c>
      <c r="D134" s="207">
        <f>SUBTOTAL(9,D126:D133)</f>
        <v>215000</v>
      </c>
      <c r="E134" s="207">
        <f>SUBTOTAL(9,E126:E133)</f>
        <v>48120880.100000001</v>
      </c>
      <c r="F134" s="166"/>
      <c r="G134" s="207">
        <f>SUBTOTAL(9,G126:G133)</f>
        <v>1394392.0500000003</v>
      </c>
      <c r="H134" s="166"/>
      <c r="I134" s="207">
        <f>SUBTOTAL(9,I126:I133)</f>
        <v>1187900.9766666668</v>
      </c>
    </row>
    <row r="135" spans="1:9" x14ac:dyDescent="0.25">
      <c r="C135" s="210"/>
      <c r="D135" s="210"/>
      <c r="E135" s="210"/>
      <c r="G135" s="210"/>
      <c r="I135" s="210"/>
    </row>
    <row r="136" spans="1:9" s="159" customFormat="1" ht="18" customHeight="1" x14ac:dyDescent="0.25">
      <c r="A136" s="150" t="s">
        <v>34</v>
      </c>
      <c r="B136" s="150"/>
      <c r="C136" s="207">
        <f>SUBTOTAL(9,C8:C135)</f>
        <v>666498003.8499999</v>
      </c>
      <c r="D136" s="207">
        <f>SUBTOTAL(9,D8:D135)</f>
        <v>34762525.370000005</v>
      </c>
      <c r="E136" s="207">
        <f>SUBTOTAL(9,E8:E135)</f>
        <v>701260529.21999991</v>
      </c>
      <c r="F136" s="166"/>
      <c r="G136" s="207">
        <f>SUBTOTAL(9,G8:G135)</f>
        <v>12944897.179999998</v>
      </c>
      <c r="H136" s="166"/>
      <c r="I136" s="207">
        <f>SUBTOTAL(9,I8:I135)</f>
        <v>13581070.098363603</v>
      </c>
    </row>
    <row r="137" spans="1:9" x14ac:dyDescent="0.25">
      <c r="C137" s="164"/>
      <c r="D137" s="164"/>
      <c r="E137" s="164"/>
      <c r="G137" s="164"/>
      <c r="I137" s="164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7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R73"/>
  <sheetViews>
    <sheetView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35.6640625" style="2" customWidth="1"/>
    <col min="4" max="4" width="1.88671875" style="2" customWidth="1"/>
    <col min="5" max="5" width="11.33203125" style="13" customWidth="1"/>
    <col min="6" max="6" width="1.88671875" style="2" customWidth="1"/>
    <col min="7" max="7" width="15.5546875" style="27" customWidth="1"/>
    <col min="8" max="8" width="1.88671875" style="2" customWidth="1"/>
    <col min="9" max="9" width="15.5546875" style="2" customWidth="1"/>
    <col min="10" max="10" width="1.88671875" style="2" customWidth="1"/>
    <col min="11" max="11" width="14.44140625" style="2" customWidth="1"/>
    <col min="12" max="12" width="1.88671875" style="2" customWidth="1"/>
    <col min="13" max="13" width="15.5546875" style="27" customWidth="1"/>
    <col min="14" max="14" width="1.88671875" style="2" customWidth="1"/>
    <col min="15" max="15" width="15.5546875" style="2" customWidth="1"/>
    <col min="16" max="16" width="1.88671875" style="2" customWidth="1"/>
    <col min="17" max="17" width="15.5546875" style="27" customWidth="1"/>
    <col min="18" max="19" width="1.88671875" style="2" customWidth="1"/>
    <col min="20" max="16384" width="9.109375" style="2"/>
  </cols>
  <sheetData>
    <row r="1" spans="1:18" ht="15" x14ac:dyDescent="0.25">
      <c r="A1" s="62" t="s">
        <v>0</v>
      </c>
      <c r="Q1" s="51" t="s">
        <v>356</v>
      </c>
    </row>
    <row r="2" spans="1:18" x14ac:dyDescent="0.25">
      <c r="A2" s="63" t="s">
        <v>4</v>
      </c>
      <c r="Q2" s="16" t="str">
        <f>Index!F2</f>
        <v>November 2020</v>
      </c>
      <c r="R2" s="64"/>
    </row>
    <row r="3" spans="1:18" x14ac:dyDescent="0.25">
      <c r="A3" s="63" t="s">
        <v>8</v>
      </c>
    </row>
    <row r="6" spans="1:18" x14ac:dyDescent="0.25">
      <c r="A6" s="13"/>
      <c r="B6" s="13"/>
      <c r="C6" s="13"/>
      <c r="D6" s="13"/>
      <c r="F6" s="13"/>
      <c r="G6" s="53"/>
      <c r="H6" s="13"/>
      <c r="I6" s="13"/>
      <c r="J6" s="13"/>
      <c r="K6" s="13"/>
      <c r="L6" s="13"/>
      <c r="M6" s="53"/>
      <c r="N6" s="13"/>
      <c r="O6" s="13"/>
      <c r="P6" s="13"/>
      <c r="Q6" s="53"/>
    </row>
    <row r="7" spans="1:18" ht="26.4" x14ac:dyDescent="0.25">
      <c r="A7" s="18" t="s">
        <v>10</v>
      </c>
      <c r="B7" s="19"/>
      <c r="C7" s="18" t="s">
        <v>11</v>
      </c>
      <c r="D7" s="19"/>
      <c r="E7" s="18" t="s">
        <v>12</v>
      </c>
      <c r="F7" s="19"/>
      <c r="G7" s="54" t="s">
        <v>178</v>
      </c>
      <c r="H7" s="19"/>
      <c r="I7" s="18" t="s">
        <v>179</v>
      </c>
      <c r="J7" s="19"/>
      <c r="K7" s="19"/>
      <c r="L7" s="19"/>
      <c r="M7" s="54" t="s">
        <v>180</v>
      </c>
      <c r="N7" s="19"/>
      <c r="O7" s="18" t="s">
        <v>181</v>
      </c>
      <c r="P7" s="19"/>
      <c r="Q7" s="54" t="s">
        <v>182</v>
      </c>
    </row>
    <row r="9" spans="1:18" x14ac:dyDescent="0.25">
      <c r="C9" s="21" t="s">
        <v>183</v>
      </c>
    </row>
    <row r="11" spans="1:18" x14ac:dyDescent="0.25">
      <c r="A11" s="2">
        <v>1</v>
      </c>
      <c r="C11" s="2" t="s">
        <v>184</v>
      </c>
      <c r="E11" s="13" t="s">
        <v>185</v>
      </c>
      <c r="G11" s="49">
        <f>'Schedule 11'!G28</f>
        <v>172471.84319999994</v>
      </c>
      <c r="I11" s="65">
        <f>SUM(G11)/(G11+G13)</f>
        <v>0.59994938470175141</v>
      </c>
      <c r="M11" s="27">
        <f>SUM(M15)*(I11)</f>
        <v>172473.41326879367</v>
      </c>
      <c r="O11" s="43">
        <f>'Schedule 11'!G50</f>
        <v>2.2288178842662952E-2</v>
      </c>
      <c r="P11" s="55"/>
      <c r="Q11" s="27">
        <f>SUM(M11)*(O11)</f>
        <v>3844.1182805393905</v>
      </c>
    </row>
    <row r="12" spans="1:18" x14ac:dyDescent="0.25">
      <c r="G12" s="27" t="s">
        <v>18</v>
      </c>
      <c r="I12" s="65"/>
      <c r="O12" s="55"/>
      <c r="P12" s="55" t="s">
        <v>18</v>
      </c>
      <c r="Q12" s="27" t="s">
        <v>18</v>
      </c>
    </row>
    <row r="13" spans="1:18" x14ac:dyDescent="0.25">
      <c r="A13" s="2">
        <v>2</v>
      </c>
      <c r="C13" s="2" t="s">
        <v>186</v>
      </c>
      <c r="E13" s="13" t="s">
        <v>187</v>
      </c>
      <c r="G13" s="60">
        <v>115005.48005076</v>
      </c>
      <c r="I13" s="66">
        <f>SUM(G13)/(G11+G13)</f>
        <v>0.40005061529824848</v>
      </c>
      <c r="M13" s="56">
        <f>SUM(M15)*(I13)</f>
        <v>115006.52698405639</v>
      </c>
      <c r="O13" s="40">
        <v>8.7004208470433803E-2</v>
      </c>
      <c r="P13" s="55"/>
      <c r="Q13" s="56">
        <f>SUM(M13)*(O13)</f>
        <v>10006.051849181413</v>
      </c>
    </row>
    <row r="14" spans="1:18" x14ac:dyDescent="0.25">
      <c r="I14" s="65"/>
      <c r="O14" s="55"/>
      <c r="P14" s="55"/>
      <c r="Q14" s="27" t="s">
        <v>18</v>
      </c>
    </row>
    <row r="15" spans="1:18" ht="13.8" thickBot="1" x14ac:dyDescent="0.3">
      <c r="A15" s="2">
        <v>3</v>
      </c>
      <c r="C15" s="2" t="s">
        <v>34</v>
      </c>
      <c r="E15" s="13" t="s">
        <v>188</v>
      </c>
      <c r="G15" s="61">
        <f>SUM(G11+G13)</f>
        <v>287477.32325075998</v>
      </c>
      <c r="I15" s="67">
        <f>SUM(I11+I13)</f>
        <v>0.99999999999999989</v>
      </c>
      <c r="M15" s="58">
        <f>'Schedule 1'!G49</f>
        <v>287479.94025285007</v>
      </c>
      <c r="O15" s="59">
        <f>SUM(I11)*(O11)+SUM(I13)*(O13)</f>
        <v>4.8177866314912353E-2</v>
      </c>
      <c r="P15" s="55"/>
      <c r="Q15" s="61">
        <f>Q13+Q11</f>
        <v>13850.170129720804</v>
      </c>
    </row>
    <row r="18" spans="1:17" x14ac:dyDescent="0.25">
      <c r="C18" s="21" t="s">
        <v>189</v>
      </c>
      <c r="I18" s="65"/>
    </row>
    <row r="19" spans="1:17" x14ac:dyDescent="0.25">
      <c r="I19" s="65"/>
    </row>
    <row r="20" spans="1:17" x14ac:dyDescent="0.25">
      <c r="A20" s="2">
        <v>7</v>
      </c>
      <c r="C20" s="2" t="s">
        <v>184</v>
      </c>
      <c r="E20" s="13" t="s">
        <v>185</v>
      </c>
      <c r="G20" s="27">
        <f>'Schedule 11'!I28</f>
        <v>159361.52911777984</v>
      </c>
      <c r="I20" s="65">
        <f>SUM(G20)/(G20+G22)</f>
        <v>0.5743367759612934</v>
      </c>
      <c r="M20" s="27">
        <f>SUM(M24)*(I20)</f>
        <v>167813.33646993013</v>
      </c>
      <c r="O20" s="43">
        <f>'Schedule 11'!I50</f>
        <v>2.5840903359759835E-2</v>
      </c>
      <c r="P20" s="55"/>
      <c r="Q20" s="27">
        <f>SUM(M20)*(O20)</f>
        <v>4336.4482101983249</v>
      </c>
    </row>
    <row r="21" spans="1:17" x14ac:dyDescent="0.25">
      <c r="G21" s="27" t="s">
        <v>18</v>
      </c>
      <c r="I21" s="65"/>
      <c r="O21" s="55"/>
      <c r="P21" s="55" t="s">
        <v>18</v>
      </c>
      <c r="Q21" s="27" t="s">
        <v>18</v>
      </c>
    </row>
    <row r="22" spans="1:17" x14ac:dyDescent="0.25">
      <c r="A22" s="2">
        <v>8</v>
      </c>
      <c r="C22" s="2" t="s">
        <v>186</v>
      </c>
      <c r="E22" s="13" t="s">
        <v>187</v>
      </c>
      <c r="G22" s="60">
        <v>118109</v>
      </c>
      <c r="I22" s="66">
        <f>SUM(G22)/(G20+G22)</f>
        <v>0.42566322403870671</v>
      </c>
      <c r="M22" s="56">
        <f>SUM(M24)*(I22)</f>
        <v>124372.96169816713</v>
      </c>
      <c r="O22" s="40">
        <v>6.2501038121991759E-2</v>
      </c>
      <c r="P22" s="55"/>
      <c r="Q22" s="56">
        <f>M22*O22</f>
        <v>7773.4392204421647</v>
      </c>
    </row>
    <row r="23" spans="1:17" x14ac:dyDescent="0.25">
      <c r="I23" s="65"/>
      <c r="O23" s="55"/>
      <c r="P23" s="55"/>
      <c r="Q23" s="27" t="s">
        <v>18</v>
      </c>
    </row>
    <row r="24" spans="1:17" ht="13.8" thickBot="1" x14ac:dyDescent="0.3">
      <c r="A24" s="2">
        <v>9</v>
      </c>
      <c r="C24" s="2" t="s">
        <v>34</v>
      </c>
      <c r="E24" s="13" t="s">
        <v>188</v>
      </c>
      <c r="G24" s="58">
        <f>SUM(G20+G22)</f>
        <v>277470.52911777981</v>
      </c>
      <c r="I24" s="67">
        <f>SUM(I20+I22)</f>
        <v>1</v>
      </c>
      <c r="M24" s="58">
        <f>'Schedule 1'!I49</f>
        <v>292186.29816809722</v>
      </c>
      <c r="O24" s="59">
        <f>SUM(I20)*(O20)+SUM(I22)*(O22)</f>
        <v>4.1445774516344944E-2</v>
      </c>
      <c r="P24" s="55"/>
      <c r="Q24" s="58">
        <f>Q20+Q22</f>
        <v>12109.88743064049</v>
      </c>
    </row>
    <row r="25" spans="1:17" x14ac:dyDescent="0.25">
      <c r="G25" s="46"/>
      <c r="I25" s="68"/>
      <c r="M25" s="46"/>
      <c r="O25" s="41"/>
      <c r="P25" s="55"/>
      <c r="Q25" s="46"/>
    </row>
    <row r="26" spans="1:17" x14ac:dyDescent="0.25">
      <c r="G26" s="46"/>
      <c r="I26" s="68"/>
      <c r="M26" s="46"/>
      <c r="O26" s="41"/>
      <c r="P26" s="55"/>
      <c r="Q26" s="46"/>
    </row>
    <row r="27" spans="1:17" x14ac:dyDescent="0.25">
      <c r="C27" s="21" t="s">
        <v>373</v>
      </c>
      <c r="I27" s="65"/>
    </row>
    <row r="28" spans="1:17" x14ac:dyDescent="0.25">
      <c r="I28" s="65"/>
    </row>
    <row r="29" spans="1:17" x14ac:dyDescent="0.25">
      <c r="A29" s="2">
        <v>10</v>
      </c>
      <c r="C29" s="2" t="s">
        <v>184</v>
      </c>
      <c r="E29" s="13" t="s">
        <v>185</v>
      </c>
      <c r="G29" s="27">
        <f>'Schedule 11'!J28</f>
        <v>170376.83542989043</v>
      </c>
      <c r="I29" s="65">
        <f>SUM(G29)/(G29+G31)</f>
        <v>0.58628087566689668</v>
      </c>
      <c r="M29" s="27">
        <f>SUM(M33)*(I29)</f>
        <v>175532.1988245954</v>
      </c>
      <c r="O29" s="43">
        <f>'Schedule 11'!J50</f>
        <v>2.7102157311609917E-2</v>
      </c>
      <c r="P29" s="55"/>
      <c r="Q29" s="27">
        <f>SUM(M29)*(O29)</f>
        <v>4757.3012657969739</v>
      </c>
    </row>
    <row r="30" spans="1:17" x14ac:dyDescent="0.25">
      <c r="G30" s="27" t="s">
        <v>18</v>
      </c>
      <c r="I30" s="65"/>
      <c r="O30" s="55"/>
      <c r="P30" s="55" t="s">
        <v>18</v>
      </c>
      <c r="Q30" s="27" t="s">
        <v>18</v>
      </c>
    </row>
    <row r="31" spans="1:17" x14ac:dyDescent="0.25">
      <c r="A31" s="2">
        <v>11</v>
      </c>
      <c r="C31" s="2" t="s">
        <v>186</v>
      </c>
      <c r="E31" s="13" t="s">
        <v>187</v>
      </c>
      <c r="G31" s="56">
        <f>AVERAGE('Schedule 7'!I25,'Schedule 7'!J25)</f>
        <v>120229.32707896875</v>
      </c>
      <c r="I31" s="66">
        <f>SUM(G31)/(G29+G31)</f>
        <v>0.41371912433310337</v>
      </c>
      <c r="M31" s="56">
        <f>SUM(M33)*(I31)</f>
        <v>123867.29740650182</v>
      </c>
      <c r="O31" s="40">
        <v>3.8126808006391108E-2</v>
      </c>
      <c r="P31" s="55"/>
      <c r="Q31" s="56">
        <f>M31*O31</f>
        <v>4722.6646664882419</v>
      </c>
    </row>
    <row r="32" spans="1:17" x14ac:dyDescent="0.25">
      <c r="I32" s="65"/>
      <c r="O32" s="55"/>
      <c r="P32" s="55"/>
      <c r="Q32" s="27" t="s">
        <v>18</v>
      </c>
    </row>
    <row r="33" spans="1:17" ht="13.8" thickBot="1" x14ac:dyDescent="0.3">
      <c r="A33" s="2">
        <v>12</v>
      </c>
      <c r="C33" s="2" t="s">
        <v>34</v>
      </c>
      <c r="E33" s="13" t="s">
        <v>188</v>
      </c>
      <c r="G33" s="58">
        <f>SUM(G29+G31)</f>
        <v>290606.16250885918</v>
      </c>
      <c r="I33" s="67">
        <f>SUM(I29+I31)</f>
        <v>1</v>
      </c>
      <c r="M33" s="58">
        <f>'Schedule 1'!J49</f>
        <v>299399.4962310972</v>
      </c>
      <c r="O33" s="59">
        <v>3.1663240937473955E-2</v>
      </c>
      <c r="P33" s="55"/>
      <c r="Q33" s="58">
        <f>Q29+Q31</f>
        <v>9479.9659322852167</v>
      </c>
    </row>
    <row r="34" spans="1:17" x14ac:dyDescent="0.25">
      <c r="G34" s="46"/>
      <c r="I34" s="68"/>
      <c r="M34" s="46"/>
      <c r="O34" s="41"/>
      <c r="P34" s="55"/>
      <c r="Q34" s="46"/>
    </row>
    <row r="35" spans="1:17" x14ac:dyDescent="0.25">
      <c r="I35" s="65"/>
    </row>
    <row r="36" spans="1:17" x14ac:dyDescent="0.25">
      <c r="C36" s="21" t="s">
        <v>15</v>
      </c>
      <c r="I36" s="65"/>
    </row>
    <row r="37" spans="1:17" x14ac:dyDescent="0.25">
      <c r="I37" s="65"/>
    </row>
    <row r="38" spans="1:17" x14ac:dyDescent="0.25">
      <c r="A38" s="2">
        <v>10</v>
      </c>
      <c r="C38" s="2" t="s">
        <v>184</v>
      </c>
      <c r="E38" s="13" t="s">
        <v>185</v>
      </c>
      <c r="G38" s="27">
        <f>'Schedule 11'!K28</f>
        <v>179872.60486621613</v>
      </c>
      <c r="I38" s="65">
        <f>SUM(G38)/(G38+G40)</f>
        <v>0.59567231462624382</v>
      </c>
      <c r="M38" s="27">
        <f>SUM(M42)*(I38)</f>
        <v>183023.03434024207</v>
      </c>
      <c r="O38" s="43">
        <f>'Schedule 11'!K50</f>
        <v>2.9168668631563446E-2</v>
      </c>
      <c r="P38" s="55"/>
      <c r="Q38" s="27">
        <f>SUM(M38)*(O38)</f>
        <v>5338.5382406137778</v>
      </c>
    </row>
    <row r="39" spans="1:17" x14ac:dyDescent="0.25">
      <c r="G39" s="27" t="s">
        <v>18</v>
      </c>
      <c r="I39" s="65"/>
      <c r="O39" s="55"/>
      <c r="P39" s="55" t="s">
        <v>18</v>
      </c>
      <c r="Q39" s="27" t="s">
        <v>18</v>
      </c>
    </row>
    <row r="40" spans="1:17" x14ac:dyDescent="0.25">
      <c r="A40" s="2">
        <v>11</v>
      </c>
      <c r="C40" s="2" t="s">
        <v>186</v>
      </c>
      <c r="E40" s="13" t="s">
        <v>187</v>
      </c>
      <c r="G40" s="56">
        <f>AVERAGE('Schedule 7'!J25,'Schedule 7'!K25)</f>
        <v>122093.09078488639</v>
      </c>
      <c r="I40" s="66">
        <f>SUM(G40)/(G38+G40)</f>
        <v>0.40432768537375613</v>
      </c>
      <c r="M40" s="56">
        <f>SUM(M42)*(I40)</f>
        <v>124231.52466185014</v>
      </c>
      <c r="O40" s="40">
        <v>3.8833815496371223E-2</v>
      </c>
      <c r="P40" s="55"/>
      <c r="Q40" s="56">
        <f>M40*O40</f>
        <v>4824.38410755118</v>
      </c>
    </row>
    <row r="41" spans="1:17" x14ac:dyDescent="0.25">
      <c r="I41" s="65"/>
      <c r="O41" s="55"/>
      <c r="P41" s="55"/>
      <c r="Q41" s="27" t="s">
        <v>18</v>
      </c>
    </row>
    <row r="42" spans="1:17" ht="13.8" thickBot="1" x14ac:dyDescent="0.3">
      <c r="A42" s="2">
        <v>12</v>
      </c>
      <c r="C42" s="2" t="s">
        <v>34</v>
      </c>
      <c r="E42" s="13" t="s">
        <v>188</v>
      </c>
      <c r="G42" s="58">
        <f>SUM(G38+G40)</f>
        <v>301965.69565110252</v>
      </c>
      <c r="I42" s="67">
        <f>SUM(I38+I40)</f>
        <v>1</v>
      </c>
      <c r="M42" s="58">
        <f>'Schedule 1'!K49</f>
        <v>307254.55900209222</v>
      </c>
      <c r="O42" s="59">
        <v>3.3076510780832208E-2</v>
      </c>
      <c r="P42" s="55"/>
      <c r="Q42" s="58">
        <f>Q38+Q40</f>
        <v>10162.922348164957</v>
      </c>
    </row>
    <row r="43" spans="1:17" x14ac:dyDescent="0.25">
      <c r="G43" s="46"/>
      <c r="I43" s="68"/>
      <c r="M43" s="46"/>
      <c r="O43" s="41"/>
      <c r="P43" s="55"/>
      <c r="Q43" s="46"/>
    </row>
    <row r="44" spans="1:17" x14ac:dyDescent="0.25">
      <c r="I44" s="65"/>
    </row>
    <row r="45" spans="1:17" x14ac:dyDescent="0.25">
      <c r="C45" s="203" t="s">
        <v>365</v>
      </c>
      <c r="I45" s="65"/>
    </row>
    <row r="46" spans="1:17" x14ac:dyDescent="0.25">
      <c r="I46" s="65"/>
    </row>
    <row r="47" spans="1:17" x14ac:dyDescent="0.25">
      <c r="A47" s="2">
        <v>16</v>
      </c>
      <c r="C47" s="2" t="s">
        <v>184</v>
      </c>
      <c r="E47" s="13" t="s">
        <v>185</v>
      </c>
      <c r="G47" s="27">
        <f>'Schedule 11'!$M$28</f>
        <v>193756.03965860017</v>
      </c>
      <c r="I47" s="65">
        <f>SUM(G47)/(G47+G49)</f>
        <v>0.60000000000000009</v>
      </c>
      <c r="M47" s="27">
        <f>SUM(M51)*(I47)</f>
        <v>193870.43707781567</v>
      </c>
      <c r="O47" s="43">
        <f>'Schedule 11'!M50</f>
        <v>2.8090775798595848E-2</v>
      </c>
      <c r="P47" s="55"/>
      <c r="Q47" s="27">
        <f>SUM(M47)*(O47)</f>
        <v>5445.9709819287036</v>
      </c>
    </row>
    <row r="48" spans="1:17" x14ac:dyDescent="0.25">
      <c r="G48" s="27" t="s">
        <v>18</v>
      </c>
      <c r="I48" s="65"/>
      <c r="O48" s="55"/>
      <c r="P48" s="55" t="s">
        <v>18</v>
      </c>
      <c r="Q48" s="27" t="s">
        <v>18</v>
      </c>
    </row>
    <row r="49" spans="1:17" x14ac:dyDescent="0.25">
      <c r="A49" s="2">
        <v>17</v>
      </c>
      <c r="C49" s="2" t="s">
        <v>186</v>
      </c>
      <c r="E49" s="13" t="s">
        <v>187</v>
      </c>
      <c r="G49" s="56">
        <f>AVERAGE('Schedule 7'!K25,'Schedule 7'!M25)</f>
        <v>129170.69310573343</v>
      </c>
      <c r="I49" s="66">
        <f>SUM(G49)/(G47+G49)</f>
        <v>0.39999999999999997</v>
      </c>
      <c r="M49" s="56">
        <f>SUM(M51)*(I49)</f>
        <v>129246.95805187708</v>
      </c>
      <c r="O49" s="40">
        <v>3.0964110971064201E-2</v>
      </c>
      <c r="P49" s="55"/>
      <c r="Q49" s="56">
        <f>M49*O49</f>
        <v>4002.0171517908016</v>
      </c>
    </row>
    <row r="50" spans="1:17" x14ac:dyDescent="0.25">
      <c r="I50" s="65"/>
      <c r="O50" s="55"/>
      <c r="P50" s="55"/>
      <c r="Q50" s="27" t="s">
        <v>18</v>
      </c>
    </row>
    <row r="51" spans="1:17" ht="13.8" thickBot="1" x14ac:dyDescent="0.3">
      <c r="A51" s="2">
        <v>18</v>
      </c>
      <c r="C51" s="2" t="s">
        <v>34</v>
      </c>
      <c r="E51" s="13" t="s">
        <v>188</v>
      </c>
      <c r="G51" s="58">
        <f>SUM(G47+G49)</f>
        <v>322926.7327643336</v>
      </c>
      <c r="I51" s="67">
        <f>SUM(I47+I49)</f>
        <v>1</v>
      </c>
      <c r="M51" s="58">
        <f>'Schedule 1'!M49</f>
        <v>323117.39512969274</v>
      </c>
      <c r="O51" s="59">
        <f>SUM(I47)*(O47)+SUM(I49)*(O49)</f>
        <v>2.9240109867583193E-2</v>
      </c>
      <c r="P51" s="55"/>
      <c r="Q51" s="58">
        <f>Q47+Q49</f>
        <v>9447.9881337195056</v>
      </c>
    </row>
    <row r="52" spans="1:17" x14ac:dyDescent="0.25">
      <c r="I52" s="65"/>
    </row>
    <row r="53" spans="1:17" x14ac:dyDescent="0.25">
      <c r="I53" s="65"/>
    </row>
    <row r="54" spans="1:17" x14ac:dyDescent="0.25">
      <c r="C54" s="21" t="s">
        <v>366</v>
      </c>
      <c r="I54" s="65"/>
      <c r="K54" s="37" t="s">
        <v>336</v>
      </c>
    </row>
    <row r="55" spans="1:17" x14ac:dyDescent="0.25">
      <c r="I55" s="65"/>
    </row>
    <row r="56" spans="1:17" x14ac:dyDescent="0.25">
      <c r="A56" s="2">
        <v>19</v>
      </c>
      <c r="C56" s="2" t="s">
        <v>184</v>
      </c>
      <c r="E56" s="13" t="s">
        <v>185</v>
      </c>
      <c r="G56" s="27">
        <f>'Schedule 11'!$N$28</f>
        <v>193504.97965209105</v>
      </c>
      <c r="I56" s="65">
        <f>SUM(G56)/(G56+G58)</f>
        <v>0.5959899009168822</v>
      </c>
      <c r="K56" s="65">
        <v>0.6</v>
      </c>
      <c r="M56" s="49">
        <v>193669.35788009103</v>
      </c>
      <c r="O56" s="43">
        <f>'Schedule 11'!N50</f>
        <v>2.8127221735891734E-2</v>
      </c>
      <c r="P56" s="55"/>
      <c r="Q56" s="49">
        <f>SUM(M56)*(O56)</f>
        <v>5447.380972541092</v>
      </c>
    </row>
    <row r="57" spans="1:17" x14ac:dyDescent="0.25">
      <c r="G57" s="27" t="s">
        <v>18</v>
      </c>
      <c r="I57" s="65"/>
      <c r="K57" s="65"/>
      <c r="O57" s="55"/>
      <c r="P57" s="55" t="s">
        <v>18</v>
      </c>
      <c r="Q57" s="27" t="s">
        <v>18</v>
      </c>
    </row>
    <row r="58" spans="1:17" x14ac:dyDescent="0.25">
      <c r="A58" s="2">
        <v>20</v>
      </c>
      <c r="C58" s="2" t="s">
        <v>186</v>
      </c>
      <c r="E58" s="13" t="s">
        <v>187</v>
      </c>
      <c r="G58" s="56">
        <v>131173.30659806071</v>
      </c>
      <c r="I58" s="66">
        <f>SUM(G58)/(G56+G58)</f>
        <v>0.40401009908311786</v>
      </c>
      <c r="K58" s="66">
        <f>1-K56</f>
        <v>0.4</v>
      </c>
      <c r="M58" s="60">
        <v>129112.90525339403</v>
      </c>
      <c r="O58" s="40">
        <v>8.7017323722651446E-2</v>
      </c>
      <c r="P58" s="55"/>
      <c r="Q58" s="60">
        <f>SUM(M58)*(O58)</f>
        <v>11235.059473206613</v>
      </c>
    </row>
    <row r="59" spans="1:17" x14ac:dyDescent="0.25">
      <c r="I59" s="65"/>
      <c r="K59" s="65"/>
      <c r="O59" s="55"/>
      <c r="P59" s="55"/>
      <c r="Q59" s="27" t="s">
        <v>18</v>
      </c>
    </row>
    <row r="60" spans="1:17" ht="13.8" thickBot="1" x14ac:dyDescent="0.3">
      <c r="A60" s="2">
        <v>21</v>
      </c>
      <c r="C60" s="2" t="s">
        <v>34</v>
      </c>
      <c r="E60" s="13" t="s">
        <v>188</v>
      </c>
      <c r="G60" s="61">
        <f>SUM(G56+G58)</f>
        <v>324678.28625015175</v>
      </c>
      <c r="I60" s="67">
        <f>SUM(I56+I58)</f>
        <v>1</v>
      </c>
      <c r="K60" s="67">
        <f>SUM(K56+K58)</f>
        <v>1</v>
      </c>
      <c r="M60" s="61">
        <f>'Schedule 1'!N49</f>
        <v>322776.94343116018</v>
      </c>
      <c r="O60" s="59">
        <f>SUM(K56)*(O56)+SUM(K58)*(O58)</f>
        <v>5.1683262530595617E-2</v>
      </c>
      <c r="P60" s="55"/>
      <c r="Q60" s="61">
        <f>Q56+Q58</f>
        <v>16682.440445747707</v>
      </c>
    </row>
    <row r="73" spans="9:16" x14ac:dyDescent="0.25">
      <c r="I73" s="65"/>
      <c r="O73" s="55"/>
      <c r="P73" s="5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1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38"/>
  <sheetViews>
    <sheetView view="pageBreakPreview" zoomScaleSheetLayoutView="100" workbookViewId="0"/>
  </sheetViews>
  <sheetFormatPr defaultColWidth="9.109375" defaultRowHeight="13.2" x14ac:dyDescent="0.25"/>
  <cols>
    <col min="1" max="1" width="7.44140625" style="2" customWidth="1"/>
    <col min="2" max="2" width="1.88671875" style="2" customWidth="1"/>
    <col min="3" max="3" width="28" style="2" customWidth="1"/>
    <col min="4" max="4" width="3.5546875" style="2" customWidth="1"/>
    <col min="5" max="5" width="9.109375" style="13"/>
    <col min="6" max="6" width="1.88671875" style="2" customWidth="1"/>
    <col min="7" max="7" width="12" style="2" customWidth="1"/>
    <col min="8" max="8" width="1.88671875" style="2" customWidth="1"/>
    <col min="9" max="11" width="11.33203125" style="2" customWidth="1"/>
    <col min="12" max="12" width="1.88671875" style="2" customWidth="1"/>
    <col min="13" max="14" width="11.33203125" style="2" customWidth="1"/>
    <col min="15" max="16384" width="9.109375" style="2"/>
  </cols>
  <sheetData>
    <row r="1" spans="1:14" ht="15" x14ac:dyDescent="0.25">
      <c r="A1" s="12" t="s">
        <v>0</v>
      </c>
      <c r="N1" s="10" t="s">
        <v>190</v>
      </c>
    </row>
    <row r="2" spans="1:14" x14ac:dyDescent="0.25">
      <c r="A2" s="15" t="s">
        <v>191</v>
      </c>
      <c r="N2" s="16" t="str">
        <f>Index!F2</f>
        <v>November 2020</v>
      </c>
    </row>
    <row r="3" spans="1:14" x14ac:dyDescent="0.25">
      <c r="A3" s="15" t="s">
        <v>8</v>
      </c>
    </row>
    <row r="4" spans="1:14" x14ac:dyDescent="0.25">
      <c r="L4" s="2" t="s">
        <v>18</v>
      </c>
    </row>
    <row r="6" spans="1:14" s="13" customFormat="1" x14ac:dyDescent="0.25">
      <c r="G6" s="17"/>
      <c r="I6" s="17"/>
      <c r="J6" s="17"/>
      <c r="K6" s="211"/>
      <c r="M6" s="214" t="s">
        <v>9</v>
      </c>
      <c r="N6" s="214"/>
    </row>
    <row r="7" spans="1:14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</row>
    <row r="9" spans="1:14" x14ac:dyDescent="0.25">
      <c r="A9" s="2">
        <v>1</v>
      </c>
      <c r="C9" s="2" t="s">
        <v>192</v>
      </c>
      <c r="E9" s="13" t="s">
        <v>353</v>
      </c>
      <c r="G9" s="22">
        <f>'Schedule 1'!G49</f>
        <v>287479.94025285007</v>
      </c>
      <c r="I9" s="22">
        <f>'Schedule 1'!I49</f>
        <v>292186.29816809722</v>
      </c>
      <c r="J9" s="22">
        <f>'Schedule 1'!J49</f>
        <v>299399.4962310972</v>
      </c>
      <c r="K9" s="22">
        <f>'Schedule 1'!K49</f>
        <v>307254.55900209222</v>
      </c>
      <c r="L9" s="45"/>
      <c r="M9" s="22">
        <f>'Schedule 1'!M49</f>
        <v>323117.39512969274</v>
      </c>
      <c r="N9" s="22">
        <f>'Schedule 1'!N49</f>
        <v>322776.94343116018</v>
      </c>
    </row>
    <row r="10" spans="1:14" x14ac:dyDescent="0.25">
      <c r="G10" s="2" t="s">
        <v>18</v>
      </c>
      <c r="I10" s="2" t="s">
        <v>18</v>
      </c>
      <c r="J10" s="2" t="s">
        <v>18</v>
      </c>
      <c r="K10" s="2" t="s">
        <v>18</v>
      </c>
      <c r="M10" s="2" t="s">
        <v>18</v>
      </c>
      <c r="N10" s="2" t="s">
        <v>18</v>
      </c>
    </row>
    <row r="11" spans="1:14" x14ac:dyDescent="0.25">
      <c r="A11" s="2">
        <v>2</v>
      </c>
      <c r="C11" s="2" t="s">
        <v>193</v>
      </c>
      <c r="G11" s="43">
        <f t="shared" ref="G11" si="0">SUM(G13)/(G9)</f>
        <v>4.817786631491236E-2</v>
      </c>
      <c r="I11" s="43">
        <f t="shared" ref="I11" si="1">SUM(I13)/(I9)</f>
        <v>4.1445774516344951E-2</v>
      </c>
      <c r="J11" s="43">
        <f>SUM(J13)/(J9)</f>
        <v>3.1663266143133133E-2</v>
      </c>
      <c r="K11" s="43">
        <f>SUM(K13)/(K9)</f>
        <v>3.3076555092208589E-2</v>
      </c>
      <c r="L11" s="43" t="s">
        <v>18</v>
      </c>
      <c r="M11" s="43">
        <f>SUM(M13)/(M9)</f>
        <v>2.924010986758319E-2</v>
      </c>
      <c r="N11" s="43">
        <f>SUM(N13)/(N9)</f>
        <v>5.1684114324930495E-2</v>
      </c>
    </row>
    <row r="13" spans="1:14" x14ac:dyDescent="0.25">
      <c r="A13" s="2">
        <v>3</v>
      </c>
      <c r="C13" s="2" t="s">
        <v>194</v>
      </c>
      <c r="E13" s="13" t="s">
        <v>195</v>
      </c>
      <c r="G13" s="22">
        <f>'Schedule 4'!Q15</f>
        <v>13850.170129720804</v>
      </c>
      <c r="I13" s="22">
        <f>'Schedule 4'!Q24</f>
        <v>12109.88743064049</v>
      </c>
      <c r="J13" s="22">
        <f>'Schedule 4'!Q33</f>
        <v>9479.9659322852167</v>
      </c>
      <c r="K13" s="22">
        <f>'Schedule 4'!Q42</f>
        <v>10162.922348164957</v>
      </c>
      <c r="M13" s="22">
        <f>'Schedule 4'!Q51</f>
        <v>9447.9881337195056</v>
      </c>
      <c r="N13" s="22">
        <f>'Schedule 4'!Q60</f>
        <v>16682.440445747707</v>
      </c>
    </row>
    <row r="15" spans="1:14" x14ac:dyDescent="0.25">
      <c r="A15" s="2">
        <v>4</v>
      </c>
      <c r="C15" s="2" t="s">
        <v>196</v>
      </c>
    </row>
    <row r="16" spans="1:14" x14ac:dyDescent="0.25">
      <c r="A16" s="2">
        <v>5</v>
      </c>
      <c r="C16" s="2" t="s">
        <v>197</v>
      </c>
      <c r="E16" s="13" t="s">
        <v>198</v>
      </c>
      <c r="G16" s="22">
        <f>'Schedule 6'!G12</f>
        <v>23714.856181529012</v>
      </c>
      <c r="I16" s="22">
        <f>'Schedule 6'!I12</f>
        <v>27794.447446414069</v>
      </c>
      <c r="J16" s="22">
        <f>'Schedule 6'!J12</f>
        <v>29784.141591192958</v>
      </c>
      <c r="K16" s="22">
        <f>'Schedule 6'!K12</f>
        <v>37653.234873614558</v>
      </c>
      <c r="M16" s="22">
        <f>'Schedule 6'!M12</f>
        <v>41118.695926813547</v>
      </c>
      <c r="N16" s="22">
        <f>'Schedule 6'!N12</f>
        <v>43862.524967998092</v>
      </c>
    </row>
    <row r="17" spans="1:14" x14ac:dyDescent="0.25">
      <c r="A17" s="2">
        <v>6</v>
      </c>
      <c r="C17" s="2" t="s">
        <v>51</v>
      </c>
      <c r="E17" s="13" t="s">
        <v>199</v>
      </c>
      <c r="G17" s="22">
        <f>'Schedule 6'!G13</f>
        <v>708.13965357545919</v>
      </c>
      <c r="I17" s="22">
        <f>'Schedule 6'!I13</f>
        <v>670.86845243333323</v>
      </c>
      <c r="J17" s="22">
        <f>'Schedule 6'!J13</f>
        <v>672.54982999999982</v>
      </c>
      <c r="K17" s="22">
        <f>'Schedule 6'!K13</f>
        <v>739.45727411666655</v>
      </c>
      <c r="M17" s="22">
        <f>'Schedule 6'!M13</f>
        <v>749.75450131960019</v>
      </c>
      <c r="N17" s="22">
        <f>'Schedule 6'!N13</f>
        <v>749.75450131960019</v>
      </c>
    </row>
    <row r="18" spans="1:14" x14ac:dyDescent="0.25">
      <c r="A18" s="2">
        <v>7</v>
      </c>
      <c r="C18" s="2" t="s">
        <v>200</v>
      </c>
      <c r="E18" s="13" t="s">
        <v>201</v>
      </c>
      <c r="G18" s="22">
        <f>'Schedule 6'!G14</f>
        <v>3543.0612209999995</v>
      </c>
      <c r="I18" s="22">
        <f>'Schedule 6'!I14</f>
        <v>3500.0065709999999</v>
      </c>
      <c r="J18" s="22">
        <f>'Schedule 6'!J14</f>
        <v>3581.9678389999999</v>
      </c>
      <c r="K18" s="22">
        <f>'Schedule 6'!K14</f>
        <v>3539.6048190000001</v>
      </c>
      <c r="M18" s="22">
        <f>'Schedule 6'!M14</f>
        <v>4470.7755290000005</v>
      </c>
      <c r="N18" s="22">
        <f>'Schedule 6'!N14</f>
        <v>4470.7755290000005</v>
      </c>
    </row>
    <row r="19" spans="1:14" x14ac:dyDescent="0.25">
      <c r="A19" s="2">
        <v>8</v>
      </c>
      <c r="C19" s="2" t="s">
        <v>90</v>
      </c>
      <c r="E19" s="13" t="s">
        <v>106</v>
      </c>
      <c r="G19" s="22">
        <f>'Schedule 6'!G15</f>
        <v>478.93700000000001</v>
      </c>
      <c r="I19" s="22">
        <f>'Schedule 6'!I15</f>
        <v>478.93700000000001</v>
      </c>
      <c r="J19" s="22">
        <f>'Schedule 6'!J15</f>
        <v>478.93700000000001</v>
      </c>
      <c r="K19" s="22">
        <f>'Schedule 6'!K15</f>
        <v>478.93700000000001</v>
      </c>
      <c r="M19" s="22">
        <f>'Schedule 6'!M15</f>
        <v>478.93700000000001</v>
      </c>
      <c r="N19" s="22">
        <f>'Schedule 6'!N15</f>
        <v>835.46500000000003</v>
      </c>
    </row>
    <row r="20" spans="1:14" x14ac:dyDescent="0.25">
      <c r="A20" s="2">
        <v>9</v>
      </c>
      <c r="C20" s="2" t="s">
        <v>202</v>
      </c>
      <c r="E20" s="13" t="s">
        <v>82</v>
      </c>
      <c r="G20" s="22">
        <f>'Schedule 6'!G16</f>
        <v>12195.95357</v>
      </c>
      <c r="I20" s="22">
        <f>'Schedule 6'!I16</f>
        <v>12184.949329999999</v>
      </c>
      <c r="J20" s="22">
        <f>'Schedule 6'!J16</f>
        <v>12676.679799999998</v>
      </c>
      <c r="K20" s="22">
        <f>'Schedule 6'!K16</f>
        <v>12962.793910000002</v>
      </c>
      <c r="M20" s="22">
        <f>'Schedule 6'!M16</f>
        <v>12944.73141</v>
      </c>
      <c r="N20" s="22">
        <f>'Schedule 6'!N16</f>
        <v>13581.070098363607</v>
      </c>
    </row>
    <row r="21" spans="1:14" ht="26.4" x14ac:dyDescent="0.25">
      <c r="A21" s="69">
        <v>10</v>
      </c>
      <c r="C21" s="70" t="s">
        <v>203</v>
      </c>
      <c r="E21" s="3" t="s">
        <v>204</v>
      </c>
      <c r="F21" s="69"/>
      <c r="G21" s="119">
        <f>'Schedule 6'!G17</f>
        <v>-4393.7347499999996</v>
      </c>
      <c r="H21" s="69"/>
      <c r="I21" s="119">
        <f>'Schedule 6'!I17</f>
        <v>-4376.7759999999998</v>
      </c>
      <c r="J21" s="119">
        <f>'Schedule 6'!J17</f>
        <v>-5002.0348800000002</v>
      </c>
      <c r="K21" s="119">
        <f>'Schedule 6'!K17</f>
        <v>-5291.3511799999997</v>
      </c>
      <c r="L21" s="45"/>
      <c r="M21" s="119">
        <f>'Schedule 6'!M17</f>
        <v>-4722.8047819999992</v>
      </c>
      <c r="N21" s="119">
        <f>'Schedule 6'!N17</f>
        <v>-4722.8047819999992</v>
      </c>
    </row>
    <row r="22" spans="1:14" x14ac:dyDescent="0.25">
      <c r="A22" s="2">
        <v>11</v>
      </c>
      <c r="C22" s="2" t="s">
        <v>205</v>
      </c>
      <c r="G22" s="22">
        <v>-203.80146299999998</v>
      </c>
      <c r="I22" s="22">
        <v>-203.80146299999998</v>
      </c>
      <c r="J22" s="22">
        <v>-203.80146299999998</v>
      </c>
      <c r="K22" s="22">
        <v>-203.80146299999998</v>
      </c>
      <c r="M22" s="22">
        <v>-203.80146299999998</v>
      </c>
      <c r="N22" s="22">
        <v>-203.80146299999998</v>
      </c>
    </row>
    <row r="23" spans="1:14" x14ac:dyDescent="0.25">
      <c r="A23" s="2">
        <v>12</v>
      </c>
      <c r="C23" s="2" t="s">
        <v>206</v>
      </c>
      <c r="G23" s="22">
        <v>-99.999999999999957</v>
      </c>
      <c r="I23" s="22">
        <v>-99.349270000000004</v>
      </c>
      <c r="J23" s="22">
        <v>-166.39563000000001</v>
      </c>
      <c r="K23" s="22">
        <v>-94.999999999999901</v>
      </c>
      <c r="M23" s="22">
        <v>-120.00024999999994</v>
      </c>
      <c r="N23" s="22">
        <v>-120.00024999999994</v>
      </c>
    </row>
    <row r="24" spans="1:14" x14ac:dyDescent="0.25">
      <c r="G24" s="25"/>
      <c r="I24" s="25"/>
      <c r="J24" s="25"/>
      <c r="K24" s="25"/>
      <c r="M24" s="25"/>
      <c r="N24" s="25"/>
    </row>
    <row r="25" spans="1:14" x14ac:dyDescent="0.25">
      <c r="A25" s="2">
        <v>13</v>
      </c>
      <c r="C25" s="2" t="s">
        <v>207</v>
      </c>
      <c r="G25" s="26">
        <f>SUM(G15:G24)</f>
        <v>35943.41141310447</v>
      </c>
      <c r="I25" s="26">
        <f>SUM(I15:I24)</f>
        <v>39949.282066847401</v>
      </c>
      <c r="J25" s="26">
        <f>SUM(J15:J24)</f>
        <v>41822.044087192953</v>
      </c>
      <c r="K25" s="26">
        <f>SUM(K15:K24)</f>
        <v>49783.875233731218</v>
      </c>
      <c r="M25" s="26">
        <f>SUM(M15:M24)</f>
        <v>54716.287872133144</v>
      </c>
      <c r="N25" s="26">
        <f>SUM(N15:N24)</f>
        <v>58452.983601681291</v>
      </c>
    </row>
    <row r="26" spans="1:14" x14ac:dyDescent="0.25">
      <c r="G26" s="23"/>
      <c r="I26" s="23"/>
      <c r="J26" s="23"/>
      <c r="K26" s="23"/>
      <c r="M26" s="23"/>
      <c r="N26" s="23"/>
    </row>
    <row r="27" spans="1:14" ht="13.8" thickBot="1" x14ac:dyDescent="0.3">
      <c r="A27" s="2">
        <v>14</v>
      </c>
      <c r="C27" s="2" t="s">
        <v>208</v>
      </c>
      <c r="E27" s="13" t="s">
        <v>209</v>
      </c>
      <c r="G27" s="36">
        <f>G13+G25</f>
        <v>49793.581542825275</v>
      </c>
      <c r="I27" s="36">
        <f>I13+I25</f>
        <v>52059.169497487892</v>
      </c>
      <c r="J27" s="36">
        <f>J13+J25</f>
        <v>51302.01001947817</v>
      </c>
      <c r="K27" s="36">
        <f>K13+K25</f>
        <v>59946.797581896171</v>
      </c>
      <c r="M27" s="36">
        <f>M13+M25</f>
        <v>64164.276005852647</v>
      </c>
      <c r="N27" s="36">
        <f>N13+N25</f>
        <v>75135.424047428998</v>
      </c>
    </row>
    <row r="29" spans="1:14" x14ac:dyDescent="0.25">
      <c r="C29" s="2" t="s">
        <v>210</v>
      </c>
    </row>
    <row r="30" spans="1:14" ht="12.75" customHeight="1" x14ac:dyDescent="0.25">
      <c r="A30" s="71"/>
      <c r="C30" s="197"/>
      <c r="D30" s="197"/>
      <c r="E30" s="197"/>
      <c r="F30" s="197"/>
      <c r="G30" s="197"/>
      <c r="H30" s="197"/>
      <c r="I30" s="197"/>
      <c r="J30" s="197"/>
      <c r="K30" s="197"/>
    </row>
    <row r="31" spans="1:14" x14ac:dyDescent="0.25"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4" x14ac:dyDescent="0.25">
      <c r="G32" s="28"/>
      <c r="I32" s="28"/>
      <c r="J32" s="28"/>
      <c r="K32" s="28"/>
      <c r="M32" s="28"/>
    </row>
    <row r="33" spans="7:14" x14ac:dyDescent="0.25">
      <c r="G33" s="28"/>
      <c r="I33" s="28"/>
      <c r="J33" s="28"/>
      <c r="K33" s="28"/>
      <c r="M33" s="28"/>
      <c r="N33" s="28"/>
    </row>
    <row r="34" spans="7:14" x14ac:dyDescent="0.25">
      <c r="G34" s="45"/>
      <c r="I34" s="45"/>
      <c r="J34" s="45"/>
      <c r="K34" s="45"/>
      <c r="M34" s="45"/>
      <c r="N34" s="45"/>
    </row>
    <row r="35" spans="7:14" x14ac:dyDescent="0.25">
      <c r="G35" s="45"/>
      <c r="I35" s="45"/>
      <c r="J35" s="45"/>
      <c r="K35" s="45"/>
      <c r="M35" s="45"/>
    </row>
    <row r="36" spans="7:14" x14ac:dyDescent="0.25">
      <c r="G36" s="34"/>
      <c r="I36" s="34"/>
      <c r="J36" s="34"/>
      <c r="K36" s="34"/>
      <c r="L36" s="14"/>
      <c r="M36" s="34"/>
    </row>
    <row r="37" spans="7:14" x14ac:dyDescent="0.25">
      <c r="G37" s="72"/>
      <c r="I37" s="72"/>
      <c r="J37" s="72"/>
      <c r="K37" s="72"/>
      <c r="L37" s="14"/>
      <c r="M37" s="72"/>
    </row>
    <row r="38" spans="7:14" x14ac:dyDescent="0.25">
      <c r="G38" s="14"/>
      <c r="I38" s="14"/>
      <c r="J38" s="72"/>
      <c r="K38" s="72"/>
      <c r="L38" s="14"/>
      <c r="M38" s="72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43"/>
  <sheetViews>
    <sheetView view="pageBreakPreview" zoomScaleSheetLayoutView="100" workbookViewId="0"/>
  </sheetViews>
  <sheetFormatPr defaultColWidth="9.109375" defaultRowHeight="13.2" x14ac:dyDescent="0.25"/>
  <cols>
    <col min="1" max="1" width="5.33203125" style="2" customWidth="1"/>
    <col min="2" max="2" width="1.88671875" style="2" customWidth="1"/>
    <col min="3" max="3" width="29" style="2" customWidth="1"/>
    <col min="4" max="4" width="1.88671875" style="2" customWidth="1"/>
    <col min="5" max="5" width="11" style="13" customWidth="1"/>
    <col min="6" max="6" width="1.88671875" style="2" customWidth="1"/>
    <col min="7" max="7" width="12.21875" style="2" customWidth="1"/>
    <col min="8" max="8" width="1.88671875" style="2" customWidth="1"/>
    <col min="9" max="11" width="11.33203125" style="2" customWidth="1"/>
    <col min="12" max="12" width="1.6640625" style="14" customWidth="1"/>
    <col min="13" max="15" width="11.33203125" style="2" customWidth="1"/>
    <col min="16" max="16384" width="9.109375" style="2"/>
  </cols>
  <sheetData>
    <row r="1" spans="1:15" ht="15" x14ac:dyDescent="0.25">
      <c r="A1" s="12" t="s">
        <v>0</v>
      </c>
      <c r="N1" s="10" t="s">
        <v>211</v>
      </c>
    </row>
    <row r="2" spans="1:15" x14ac:dyDescent="0.25">
      <c r="A2" s="15" t="s">
        <v>212</v>
      </c>
      <c r="N2" s="16" t="str">
        <f>Index!F2</f>
        <v>November 2020</v>
      </c>
    </row>
    <row r="3" spans="1:15" x14ac:dyDescent="0.25">
      <c r="A3" s="15" t="s">
        <v>8</v>
      </c>
    </row>
    <row r="4" spans="1:15" x14ac:dyDescent="0.25">
      <c r="C4" s="2" t="s">
        <v>18</v>
      </c>
    </row>
    <row r="5" spans="1:15" x14ac:dyDescent="0.25">
      <c r="C5" s="2" t="s">
        <v>18</v>
      </c>
      <c r="N5" s="14"/>
      <c r="O5" s="14"/>
    </row>
    <row r="6" spans="1:15" s="13" customFormat="1" x14ac:dyDescent="0.25">
      <c r="G6" s="17"/>
      <c r="I6" s="17"/>
      <c r="J6" s="17"/>
      <c r="K6" s="211"/>
      <c r="M6" s="214" t="s">
        <v>9</v>
      </c>
      <c r="N6" s="214"/>
      <c r="O6" s="17"/>
    </row>
    <row r="7" spans="1:15" s="19" customFormat="1" ht="26.4" x14ac:dyDescent="0.25">
      <c r="A7" s="18" t="s">
        <v>10</v>
      </c>
      <c r="C7" s="18" t="s">
        <v>11</v>
      </c>
      <c r="E7" s="18" t="s">
        <v>12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M7" s="18" t="str">
        <f>'Schedule 1'!M7</f>
        <v>Existing 2021</v>
      </c>
      <c r="N7" s="18" t="str">
        <f>'Schedule 1'!N7</f>
        <v>Proposed 2021</v>
      </c>
      <c r="O7" s="20"/>
    </row>
    <row r="8" spans="1:15" x14ac:dyDescent="0.25">
      <c r="O8" s="14"/>
    </row>
    <row r="9" spans="1:15" x14ac:dyDescent="0.25">
      <c r="A9" s="2">
        <v>1</v>
      </c>
      <c r="C9" s="2" t="s">
        <v>213</v>
      </c>
      <c r="E9" s="13" t="s">
        <v>214</v>
      </c>
      <c r="G9" s="22">
        <v>49793.562824010733</v>
      </c>
      <c r="I9" s="22">
        <v>52059.178980371711</v>
      </c>
      <c r="J9" s="22">
        <v>51302.09621829199</v>
      </c>
      <c r="K9" s="22">
        <v>59946.915618843552</v>
      </c>
      <c r="L9" s="22"/>
      <c r="M9" s="22">
        <v>64164.432132566973</v>
      </c>
      <c r="N9" s="22">
        <v>75135.423474612733</v>
      </c>
      <c r="O9" s="72"/>
    </row>
    <row r="10" spans="1:15" x14ac:dyDescent="0.25">
      <c r="L10" s="2"/>
      <c r="O10" s="14"/>
    </row>
    <row r="11" spans="1:15" x14ac:dyDescent="0.25">
      <c r="A11" s="2">
        <v>2</v>
      </c>
      <c r="C11" s="21" t="s">
        <v>215</v>
      </c>
      <c r="L11" s="2"/>
      <c r="O11" s="14"/>
    </row>
    <row r="12" spans="1:15" x14ac:dyDescent="0.25">
      <c r="A12" s="2">
        <v>3</v>
      </c>
      <c r="C12" s="2" t="s">
        <v>49</v>
      </c>
      <c r="E12" s="13" t="s">
        <v>216</v>
      </c>
      <c r="G12" s="22">
        <v>23714.856181529012</v>
      </c>
      <c r="I12" s="22">
        <v>27794.447446414069</v>
      </c>
      <c r="J12" s="22">
        <v>29784.141591192958</v>
      </c>
      <c r="K12" s="22">
        <v>37653.234873614558</v>
      </c>
      <c r="L12" s="22">
        <v>0</v>
      </c>
      <c r="M12" s="22">
        <v>41118.695926813547</v>
      </c>
      <c r="N12" s="22">
        <v>43862.524967998092</v>
      </c>
      <c r="O12" s="72"/>
    </row>
    <row r="13" spans="1:15" x14ac:dyDescent="0.25">
      <c r="A13" s="2">
        <v>4</v>
      </c>
      <c r="C13" s="2" t="s">
        <v>51</v>
      </c>
      <c r="E13" s="13" t="s">
        <v>52</v>
      </c>
      <c r="G13" s="22">
        <v>708.13965357545919</v>
      </c>
      <c r="I13" s="22">
        <v>670.86845243333323</v>
      </c>
      <c r="J13" s="22">
        <v>672.54982999999982</v>
      </c>
      <c r="K13" s="22">
        <v>739.45727411666655</v>
      </c>
      <c r="L13" s="22"/>
      <c r="M13" s="22">
        <v>749.75450131960019</v>
      </c>
      <c r="N13" s="22">
        <v>749.75450131960019</v>
      </c>
      <c r="O13" s="72"/>
    </row>
    <row r="14" spans="1:15" x14ac:dyDescent="0.25">
      <c r="A14" s="2">
        <v>5</v>
      </c>
      <c r="C14" s="2" t="s">
        <v>217</v>
      </c>
      <c r="G14" s="22">
        <f>-('Schedule 3'!G79+'Schedule 3'!G91)</f>
        <v>3543.0612209999995</v>
      </c>
      <c r="I14" s="22">
        <f>-('Schedule 3'!I79+'Schedule 3'!I91)-'Schedule 3'!I73</f>
        <v>3500.0065709999999</v>
      </c>
      <c r="J14" s="22">
        <f>-('Schedule 3'!J79+'Schedule 3'!J91)-'Schedule 3'!J73</f>
        <v>3581.9678389999999</v>
      </c>
      <c r="K14" s="22">
        <f>-('Schedule 3'!K79+'Schedule 3'!K91)-'Schedule 3'!K73</f>
        <v>3539.6048190000001</v>
      </c>
      <c r="L14" s="22"/>
      <c r="M14" s="22">
        <f>-('Schedule 3'!M79+'Schedule 3'!M91)-'Schedule 3'!M73</f>
        <v>4470.7755290000005</v>
      </c>
      <c r="N14" s="22">
        <f>-('Schedule 3'!N79+'Schedule 3'!N91)-'Schedule 3'!N73</f>
        <v>4470.7755290000005</v>
      </c>
      <c r="O14" s="72"/>
    </row>
    <row r="15" spans="1:15" x14ac:dyDescent="0.25">
      <c r="A15" s="2">
        <v>6</v>
      </c>
      <c r="C15" s="2" t="s">
        <v>90</v>
      </c>
      <c r="E15" s="13" t="s">
        <v>218</v>
      </c>
      <c r="G15" s="22">
        <v>478.93700000000001</v>
      </c>
      <c r="I15" s="22">
        <v>478.93700000000001</v>
      </c>
      <c r="J15" s="22">
        <v>478.93700000000001</v>
      </c>
      <c r="K15" s="22">
        <v>478.93700000000001</v>
      </c>
      <c r="L15" s="22"/>
      <c r="M15" s="22">
        <v>478.93700000000001</v>
      </c>
      <c r="N15" s="22">
        <v>835.46500000000003</v>
      </c>
      <c r="O15" s="72"/>
    </row>
    <row r="16" spans="1:15" x14ac:dyDescent="0.25">
      <c r="A16" s="2">
        <v>7</v>
      </c>
      <c r="C16" s="2" t="s">
        <v>202</v>
      </c>
      <c r="E16" s="13" t="s">
        <v>219</v>
      </c>
      <c r="G16" s="22">
        <f>'Schedule 3'!G17</f>
        <v>12195.95357</v>
      </c>
      <c r="I16" s="22">
        <f>'Schedule 3'!I17</f>
        <v>12184.949329999999</v>
      </c>
      <c r="J16" s="22">
        <f>'Schedule 3'!J17</f>
        <v>12676.679799999998</v>
      </c>
      <c r="K16" s="22">
        <f>'Schedule 3'!K17</f>
        <v>12962.793910000002</v>
      </c>
      <c r="L16" s="23"/>
      <c r="M16" s="22">
        <f>'Schedule 3'!M17</f>
        <v>12944.73141</v>
      </c>
      <c r="N16" s="22">
        <f>'Schedule 3'!N17</f>
        <v>13581.070098363607</v>
      </c>
      <c r="O16" s="72"/>
    </row>
    <row r="17" spans="1:15" ht="26.4" x14ac:dyDescent="0.25">
      <c r="A17" s="74">
        <v>8</v>
      </c>
      <c r="B17" s="3"/>
      <c r="C17" s="70" t="s">
        <v>203</v>
      </c>
      <c r="D17" s="3"/>
      <c r="E17" s="3" t="s">
        <v>220</v>
      </c>
      <c r="F17" s="3"/>
      <c r="G17" s="120">
        <v>-4393.7347499999996</v>
      </c>
      <c r="H17" s="3"/>
      <c r="I17" s="120">
        <v>-4376.7759999999998</v>
      </c>
      <c r="J17" s="120">
        <v>-5002.0348800000002</v>
      </c>
      <c r="K17" s="120">
        <v>-5291.3511799999997</v>
      </c>
      <c r="L17" s="75"/>
      <c r="M17" s="120">
        <v>-4722.8047819999992</v>
      </c>
      <c r="N17" s="120">
        <v>-4722.8047819999992</v>
      </c>
      <c r="O17" s="72"/>
    </row>
    <row r="18" spans="1:15" x14ac:dyDescent="0.25">
      <c r="G18" s="25"/>
      <c r="I18" s="25"/>
      <c r="J18" s="25"/>
      <c r="K18" s="25"/>
      <c r="L18" s="23"/>
      <c r="M18" s="25"/>
      <c r="N18" s="25"/>
      <c r="O18" s="72"/>
    </row>
    <row r="19" spans="1:15" s="27" customFormat="1" x14ac:dyDescent="0.25">
      <c r="A19" s="27">
        <v>9</v>
      </c>
      <c r="C19" s="27" t="s">
        <v>34</v>
      </c>
      <c r="E19" s="53"/>
      <c r="G19" s="121">
        <f>SUM(G12:G14)+G16+G17+G15+G18</f>
        <v>36247.212876104466</v>
      </c>
      <c r="I19" s="121">
        <f>SUM(I12:I14)+I16+I17+I15+I18</f>
        <v>40252.432799847396</v>
      </c>
      <c r="J19" s="121">
        <f>SUM(J12:J14)+J16+J17+J15+J18</f>
        <v>42192.241180192956</v>
      </c>
      <c r="K19" s="121">
        <f>SUM(K12:K14)+K16+K17+K15+K18</f>
        <v>50082.676696731221</v>
      </c>
      <c r="L19" s="50"/>
      <c r="M19" s="121">
        <f>SUM(M12:M14)+M16+M17+M15+M18</f>
        <v>55040.089585133144</v>
      </c>
      <c r="N19" s="121">
        <f>SUM(N12:N14)+N16+N17+N15+N18</f>
        <v>58776.785314681292</v>
      </c>
      <c r="O19" s="46"/>
    </row>
    <row r="20" spans="1:15" x14ac:dyDescent="0.25">
      <c r="C20" s="2" t="s">
        <v>18</v>
      </c>
      <c r="O20" s="14"/>
    </row>
    <row r="21" spans="1:15" x14ac:dyDescent="0.25">
      <c r="A21" s="27">
        <f>A19+1</f>
        <v>10</v>
      </c>
      <c r="C21" s="21" t="s">
        <v>221</v>
      </c>
      <c r="G21" s="76">
        <f>SUM(G9-G19)</f>
        <v>13546.349947906267</v>
      </c>
      <c r="I21" s="76">
        <f>SUM(I9-I19)</f>
        <v>11806.746180524315</v>
      </c>
      <c r="J21" s="76">
        <f>SUM(J9-J19)</f>
        <v>9109.8550380990346</v>
      </c>
      <c r="K21" s="76">
        <f>SUM(K9-K19)</f>
        <v>9864.2389221123303</v>
      </c>
      <c r="L21" s="77"/>
      <c r="M21" s="76">
        <f>SUM(M9-M19)</f>
        <v>9124.3425474338292</v>
      </c>
      <c r="N21" s="76">
        <f>SUM(N9-N19)</f>
        <v>16358.638159931441</v>
      </c>
      <c r="O21" s="14"/>
    </row>
    <row r="22" spans="1:15" x14ac:dyDescent="0.25">
      <c r="O22" s="14"/>
    </row>
    <row r="23" spans="1:15" x14ac:dyDescent="0.25">
      <c r="A23" s="27">
        <f>A21+1</f>
        <v>11</v>
      </c>
      <c r="C23" s="21" t="s">
        <v>222</v>
      </c>
      <c r="O23" s="14"/>
    </row>
    <row r="24" spans="1:15" x14ac:dyDescent="0.25">
      <c r="A24" s="27">
        <f>A23+1</f>
        <v>12</v>
      </c>
      <c r="C24" s="2" t="s">
        <v>223</v>
      </c>
      <c r="E24" s="13" t="s">
        <v>224</v>
      </c>
      <c r="G24" s="22">
        <v>542.43396758909967</v>
      </c>
      <c r="I24" s="22">
        <v>539.36683000000005</v>
      </c>
      <c r="J24" s="22">
        <v>647.59286999999995</v>
      </c>
      <c r="K24" s="22">
        <v>831.33603812237061</v>
      </c>
      <c r="L24" s="22"/>
      <c r="M24" s="22">
        <v>1268.6339991018481</v>
      </c>
      <c r="N24" s="22">
        <v>1268.6339991018481</v>
      </c>
      <c r="O24" s="72"/>
    </row>
    <row r="25" spans="1:15" x14ac:dyDescent="0.25">
      <c r="A25" s="27">
        <f t="shared" ref="A25:A26" si="0">A24+1</f>
        <v>13</v>
      </c>
      <c r="C25" s="2" t="s">
        <v>225</v>
      </c>
      <c r="E25" s="13" t="s">
        <v>226</v>
      </c>
      <c r="G25" s="22">
        <v>-514.86460431913849</v>
      </c>
      <c r="I25" s="22">
        <v>-823.86082787073587</v>
      </c>
      <c r="J25" s="22">
        <v>-951.11582225682628</v>
      </c>
      <c r="K25" s="22">
        <v>-508.29039976803006</v>
      </c>
      <c r="L25" s="22"/>
      <c r="M25" s="22">
        <v>-307.46232539561032</v>
      </c>
      <c r="N25" s="22">
        <v>-327.29422835283464</v>
      </c>
      <c r="O25" s="14"/>
    </row>
    <row r="26" spans="1:15" x14ac:dyDescent="0.25">
      <c r="A26" s="27">
        <f t="shared" si="0"/>
        <v>14</v>
      </c>
      <c r="C26" s="2" t="s">
        <v>34</v>
      </c>
      <c r="G26" s="26">
        <f t="shared" ref="G26" si="1">SUM(G24+G25)</f>
        <v>27.569363269961173</v>
      </c>
      <c r="I26" s="26">
        <f t="shared" ref="I26" si="2">SUM(I24+I25)</f>
        <v>-284.49399787073583</v>
      </c>
      <c r="J26" s="26">
        <f>SUM(J24+J25)</f>
        <v>-303.52295225682633</v>
      </c>
      <c r="K26" s="26">
        <f>SUM(K24+K25)</f>
        <v>323.04563835434055</v>
      </c>
      <c r="L26" s="23"/>
      <c r="M26" s="26">
        <f>SUM(M24+M25)</f>
        <v>961.1716737062377</v>
      </c>
      <c r="N26" s="26">
        <f>SUM(N24+N25)</f>
        <v>941.3397707490135</v>
      </c>
      <c r="O26" s="72"/>
    </row>
    <row r="27" spans="1:15" x14ac:dyDescent="0.25">
      <c r="O27" s="14"/>
    </row>
    <row r="28" spans="1:15" x14ac:dyDescent="0.25">
      <c r="A28" s="27">
        <f>A26+1</f>
        <v>15</v>
      </c>
      <c r="C28" s="21" t="s">
        <v>227</v>
      </c>
      <c r="O28" s="14"/>
    </row>
    <row r="29" spans="1:15" x14ac:dyDescent="0.25">
      <c r="A29" s="27">
        <f>A28+1</f>
        <v>16</v>
      </c>
      <c r="C29" s="2" t="s">
        <v>228</v>
      </c>
      <c r="E29" s="13" t="s">
        <v>229</v>
      </c>
      <c r="G29" s="23">
        <v>4431.4970682795647</v>
      </c>
      <c r="I29" s="23">
        <v>5582.8928131961011</v>
      </c>
      <c r="J29" s="23">
        <v>6123.5730626342392</v>
      </c>
      <c r="K29" s="23">
        <v>9663.2897505523488</v>
      </c>
      <c r="L29" s="23"/>
      <c r="M29" s="23">
        <v>5631.1705239365629</v>
      </c>
      <c r="N29" s="23">
        <v>5631.1705239365629</v>
      </c>
      <c r="O29" s="72"/>
    </row>
    <row r="30" spans="1:15" x14ac:dyDescent="0.25">
      <c r="A30" s="27">
        <f t="shared" ref="A30" si="3">A29+1</f>
        <v>17</v>
      </c>
      <c r="C30" s="2" t="s">
        <v>34</v>
      </c>
      <c r="G30" s="26">
        <f t="shared" ref="G30" si="4">SUM(G29:G29)</f>
        <v>4431.4970682795647</v>
      </c>
      <c r="I30" s="26">
        <f t="shared" ref="I30" si="5">SUM(I29:I29)</f>
        <v>5582.8928131961011</v>
      </c>
      <c r="J30" s="26">
        <f>SUM(J29:J29)</f>
        <v>6123.5730626342392</v>
      </c>
      <c r="K30" s="26">
        <f>SUM(K29:K29)</f>
        <v>9663.2897505523488</v>
      </c>
      <c r="L30" s="23"/>
      <c r="M30" s="26">
        <f>SUM(M29:M29)</f>
        <v>5631.1705239365629</v>
      </c>
      <c r="N30" s="26">
        <f>SUM(N29:N29)</f>
        <v>5631.1705239365629</v>
      </c>
      <c r="O30" s="72"/>
    </row>
    <row r="31" spans="1:15" x14ac:dyDescent="0.25">
      <c r="E31" s="37"/>
      <c r="O31" s="14"/>
    </row>
    <row r="32" spans="1:15" ht="13.8" thickBot="1" x14ac:dyDescent="0.3">
      <c r="A32" s="27">
        <f>A30+1</f>
        <v>18</v>
      </c>
      <c r="C32" s="21" t="s">
        <v>230</v>
      </c>
      <c r="E32" s="13" t="s">
        <v>231</v>
      </c>
      <c r="G32" s="36">
        <f t="shared" ref="G32" si="6">SUM(G21+G26-G30)</f>
        <v>9142.4222428966623</v>
      </c>
      <c r="I32" s="36">
        <f t="shared" ref="I32" si="7">SUM(I21+I26-I30)</f>
        <v>5939.3593694574784</v>
      </c>
      <c r="J32" s="36">
        <f>SUM(J21+J26-J30)</f>
        <v>2682.7590232079692</v>
      </c>
      <c r="K32" s="36">
        <f>SUM(K21+K26-K30)</f>
        <v>523.9948099143221</v>
      </c>
      <c r="L32" s="34"/>
      <c r="M32" s="36">
        <f>SUM(M21+M26-M30)</f>
        <v>4454.3436972035042</v>
      </c>
      <c r="N32" s="36">
        <f>SUM(N21+N26-N30)</f>
        <v>11668.807406743894</v>
      </c>
      <c r="O32" s="72"/>
    </row>
    <row r="33" spans="1:15" x14ac:dyDescent="0.25">
      <c r="A33" s="2" t="s">
        <v>18</v>
      </c>
      <c r="C33" s="2" t="s">
        <v>18</v>
      </c>
      <c r="G33" s="28"/>
      <c r="I33" s="28"/>
      <c r="N33" s="14"/>
      <c r="O33" s="14"/>
    </row>
    <row r="34" spans="1:15" ht="12.75" customHeight="1" x14ac:dyDescent="0.25">
      <c r="A34" s="71"/>
      <c r="C34" s="71" t="s">
        <v>232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4"/>
    </row>
    <row r="35" spans="1:15" ht="12.75" customHeight="1" x14ac:dyDescent="0.25">
      <c r="C35" s="107" t="s">
        <v>233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  <row r="36" spans="1:15" x14ac:dyDescent="0.25">
      <c r="G36" s="78"/>
      <c r="I36" s="78"/>
      <c r="J36" s="78"/>
      <c r="K36" s="78"/>
      <c r="L36" s="79"/>
      <c r="M36" s="78"/>
    </row>
    <row r="37" spans="1:15" x14ac:dyDescent="0.25">
      <c r="G37" s="27"/>
      <c r="I37" s="27"/>
      <c r="J37" s="27"/>
      <c r="K37" s="27"/>
      <c r="M37" s="27"/>
      <c r="N37" s="27"/>
    </row>
    <row r="38" spans="1:15" x14ac:dyDescent="0.25">
      <c r="G38" s="28"/>
      <c r="I38" s="28"/>
      <c r="J38" s="28"/>
      <c r="K38" s="28"/>
      <c r="M38" s="28"/>
      <c r="N38" s="28"/>
    </row>
    <row r="39" spans="1:15" x14ac:dyDescent="0.25">
      <c r="C39" s="44" t="s">
        <v>18</v>
      </c>
      <c r="G39" s="28"/>
      <c r="I39" s="28"/>
      <c r="J39" s="28"/>
      <c r="K39" s="28"/>
      <c r="L39" s="72"/>
      <c r="M39" s="28"/>
      <c r="O39" s="45"/>
    </row>
    <row r="40" spans="1:15" x14ac:dyDescent="0.25">
      <c r="C40" s="44" t="s">
        <v>18</v>
      </c>
      <c r="G40" s="28"/>
      <c r="I40" s="28"/>
      <c r="J40" s="28"/>
      <c r="K40" s="28"/>
      <c r="L40" s="72"/>
      <c r="M40" s="28"/>
      <c r="O40" s="45"/>
    </row>
    <row r="41" spans="1:15" x14ac:dyDescent="0.25">
      <c r="G41" s="28"/>
      <c r="I41" s="28"/>
      <c r="J41" s="28"/>
      <c r="K41" s="28"/>
      <c r="M41" s="28"/>
    </row>
    <row r="42" spans="1:15" x14ac:dyDescent="0.25">
      <c r="G42" s="28"/>
      <c r="I42" s="28"/>
      <c r="J42" s="28"/>
      <c r="K42" s="28"/>
      <c r="M42" s="28"/>
    </row>
    <row r="43" spans="1:15" x14ac:dyDescent="0.25">
      <c r="G43" s="28"/>
      <c r="I43" s="28"/>
      <c r="J43" s="28"/>
      <c r="K43" s="28"/>
      <c r="M43" s="28"/>
    </row>
  </sheetData>
  <mergeCells count="1"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DE62RQK3PRT2-1338725601-1347</_dlc_DocId>
    <_dlc_DocIdUrl xmlns="ebfaebbf-4320-422c-ac1d-4cb4d6876cbf">
      <Url>https://sharepoint.yec.yk.ca/Projects/LargeProjects/2719/_layouts/15/DocIdRedir.aspx?ID=DE62RQK3PRT2-1338725601-1347</Url>
      <Description>DE62RQK3PRT2-1338725601-1347</Description>
    </_dlc_DocIdUrl>
  </documentManagement>
</p:properties>
</file>

<file path=customXml/itemProps1.xml><?xml version="1.0" encoding="utf-8"?>
<ds:datastoreItem xmlns:ds="http://schemas.openxmlformats.org/officeDocument/2006/customXml" ds:itemID="{3FC63170-394A-4158-A2C3-7AA1A363D4F3}"/>
</file>

<file path=customXml/itemProps2.xml><?xml version="1.0" encoding="utf-8"?>
<ds:datastoreItem xmlns:ds="http://schemas.openxmlformats.org/officeDocument/2006/customXml" ds:itemID="{29294EFC-843A-4100-9731-CC0043BF97CD}"/>
</file>

<file path=customXml/itemProps3.xml><?xml version="1.0" encoding="utf-8"?>
<ds:datastoreItem xmlns:ds="http://schemas.openxmlformats.org/officeDocument/2006/customXml" ds:itemID="{4294D1C5-0BA3-4669-B7A7-C430B6DAB987}"/>
</file>

<file path=customXml/itemProps4.xml><?xml version="1.0" encoding="utf-8"?>
<ds:datastoreItem xmlns:ds="http://schemas.openxmlformats.org/officeDocument/2006/customXml" ds:itemID="{194BDAEF-5CAF-4B46-A14D-949E1CFB8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Index</vt:lpstr>
      <vt:lpstr>Schedule 1</vt:lpstr>
      <vt:lpstr>Schedule 2</vt:lpstr>
      <vt:lpstr>Schedule 2A</vt:lpstr>
      <vt:lpstr>Schedule 3</vt:lpstr>
      <vt:lpstr>Schedule 3A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2020-11-23T19:18:48Z</dcterms:created>
  <dcterms:modified xsi:type="dcterms:W3CDTF">2020-11-23T19:53:05Z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2f2d308d-5a17-4f6e-b624-9a3ec02042fb</vt:lpwstr>
  </property>
</Properties>
</file>