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3320" yWindow="150" windowWidth="15465" windowHeight="12240" tabRatio="728"/>
  </bookViews>
  <sheets>
    <sheet name="Index" sheetId="31" r:id="rId1"/>
    <sheet name="Schedule 1" sheetId="14" r:id="rId2"/>
    <sheet name="Schedule 2" sheetId="11" r:id="rId3"/>
    <sheet name="Schedule 2A" sheetId="12" r:id="rId4"/>
    <sheet name="Schedule 3" sheetId="13" r:id="rId5"/>
    <sheet name="Schedule 4" sheetId="29" r:id="rId6"/>
    <sheet name="Schedule 5" sheetId="18" r:id="rId7"/>
    <sheet name="Schedule 6" sheetId="19" r:id="rId8"/>
    <sheet name="Schedule 7" sheetId="20" r:id="rId9"/>
    <sheet name="Schedule 8" sheetId="23" r:id="rId10"/>
    <sheet name="Schedule 9" sheetId="25" r:id="rId11"/>
    <sheet name="Schedule 10" sheetId="27" r:id="rId12"/>
    <sheet name="Schedule 11" sheetId="36" r:id="rId13"/>
  </sheets>
  <definedNames>
    <definedName name="_xlnm.Print_Area" localSheetId="0">Index!$B$1:$J$31</definedName>
    <definedName name="_xlnm.Print_Area" localSheetId="1">'Schedule 1'!$A$1:$N$59</definedName>
    <definedName name="_xlnm.Print_Area" localSheetId="11">'Schedule 10'!$A$1:$N$36</definedName>
    <definedName name="_xlnm.Print_Area" localSheetId="12">'Schedule 11'!$A$1:$N$50</definedName>
    <definedName name="_xlnm.Print_Area" localSheetId="2">'Schedule 2'!$A$1:$N$22</definedName>
    <definedName name="_xlnm.Print_Area" localSheetId="3">'Schedule 2A'!$A$1:$N$30</definedName>
    <definedName name="_xlnm.Print_Area" localSheetId="4">'Schedule 3'!$A$1:$N$42</definedName>
    <definedName name="_xlnm.Print_Area" localSheetId="5">'Schedule 4'!$A$1:$P$82</definedName>
    <definedName name="_xlnm.Print_Area" localSheetId="6">'Schedule 5'!$A$1:$N$31</definedName>
    <definedName name="_xlnm.Print_Area" localSheetId="7">'Schedule 6'!$A$1:$N$35</definedName>
    <definedName name="_xlnm.Print_Area" localSheetId="8">'Schedule 7'!$A$1:$N$30</definedName>
    <definedName name="_xlnm.Print_Area" localSheetId="9">'Schedule 8'!$A$1:$N$24</definedName>
    <definedName name="_xlnm.Print_Area" localSheetId="10">'Schedule 9'!$A$1:$L$63</definedName>
    <definedName name="_xlnm.Print_Titles" localSheetId="1">'Schedule 1'!$1:$10</definedName>
  </definedNames>
  <calcPr calcId="152511"/>
</workbook>
</file>

<file path=xl/calcChain.xml><?xml version="1.0" encoding="utf-8"?>
<calcChain xmlns="http://schemas.openxmlformats.org/spreadsheetml/2006/main">
  <c r="D27" i="31" l="1"/>
  <c r="N23" i="13"/>
  <c r="L23" i="13"/>
  <c r="K23" i="13"/>
  <c r="J23" i="13"/>
  <c r="I23" i="13"/>
  <c r="H23" i="13"/>
  <c r="L7" i="36" l="1"/>
  <c r="L7" i="27"/>
  <c r="J7" i="25"/>
  <c r="L7" i="23"/>
  <c r="L7" i="20"/>
  <c r="L7" i="19"/>
  <c r="L7" i="18"/>
  <c r="C67" i="29"/>
  <c r="L7" i="13"/>
  <c r="L7" i="12"/>
  <c r="L7" i="11"/>
  <c r="L27" i="25" l="1"/>
  <c r="L31" i="25" l="1"/>
  <c r="L17" i="25"/>
  <c r="L11" i="25" l="1"/>
  <c r="N7" i="36" l="1"/>
  <c r="N7" i="27"/>
  <c r="L7" i="25"/>
  <c r="N7" i="23"/>
  <c r="N7" i="20"/>
  <c r="N7" i="19"/>
  <c r="N7" i="18"/>
  <c r="N7" i="13"/>
  <c r="N7" i="12"/>
  <c r="N7" i="11"/>
  <c r="N19" i="23"/>
  <c r="N34" i="13"/>
  <c r="L33" i="25" l="1"/>
  <c r="L34" i="25"/>
  <c r="L42" i="25" s="1"/>
  <c r="L50" i="25" s="1"/>
  <c r="N2" i="36" l="1"/>
  <c r="N2" i="27"/>
  <c r="L2" i="25"/>
  <c r="N2" i="23"/>
  <c r="N2" i="20"/>
  <c r="N2" i="19"/>
  <c r="N2" i="18" l="1"/>
  <c r="O4" i="29"/>
  <c r="O50" i="29" s="1"/>
  <c r="N2" i="13"/>
  <c r="N2" i="12"/>
  <c r="N2" i="11"/>
  <c r="N5" i="14"/>
  <c r="J31" i="25" l="1"/>
  <c r="J27" i="25"/>
  <c r="J17" i="25" l="1"/>
  <c r="J11" i="25"/>
  <c r="J34" i="25" l="1"/>
  <c r="J42" i="25" s="1"/>
  <c r="J50" i="25" s="1"/>
  <c r="J33" i="25"/>
  <c r="L19" i="23"/>
  <c r="L34" i="13"/>
  <c r="L33" i="13"/>
  <c r="L27" i="13"/>
  <c r="L47" i="14" l="1"/>
  <c r="L49" i="14" l="1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33" i="36"/>
  <c r="N51" i="14" l="1"/>
  <c r="H26" i="36"/>
  <c r="I17" i="27" l="1"/>
  <c r="J17" i="27"/>
  <c r="K17" i="27" l="1"/>
  <c r="H17" i="27" l="1"/>
  <c r="I17" i="18" l="1"/>
  <c r="J17" i="18"/>
  <c r="I18" i="18"/>
  <c r="J18" i="18"/>
  <c r="K18" i="18"/>
  <c r="I19" i="18"/>
  <c r="J19" i="18"/>
  <c r="K19" i="18"/>
  <c r="J20" i="18"/>
  <c r="K20" i="18"/>
  <c r="H20" i="18"/>
  <c r="H19" i="18"/>
  <c r="H18" i="18"/>
  <c r="H17" i="18"/>
  <c r="H25" i="14"/>
  <c r="J21" i="18" l="1"/>
  <c r="K21" i="18"/>
  <c r="I21" i="18"/>
  <c r="I20" i="18"/>
  <c r="K17" i="18" l="1"/>
  <c r="G23" i="13" l="1"/>
  <c r="G21" i="18"/>
  <c r="G20" i="18"/>
  <c r="G19" i="18"/>
  <c r="G18" i="18"/>
  <c r="G17" i="18"/>
  <c r="G16" i="18"/>
  <c r="E58" i="25"/>
  <c r="O16" i="29"/>
  <c r="G13" i="12" l="1"/>
  <c r="G17" i="12" s="1"/>
  <c r="J10" i="11"/>
  <c r="J48" i="36"/>
  <c r="I48" i="36"/>
  <c r="G48" i="36"/>
  <c r="J26" i="36"/>
  <c r="K27" i="36" s="1"/>
  <c r="I26" i="36"/>
  <c r="J27" i="36" s="1"/>
  <c r="H31" i="27"/>
  <c r="I19" i="27"/>
  <c r="K19" i="27"/>
  <c r="J33" i="27"/>
  <c r="I33" i="27"/>
  <c r="H33" i="27"/>
  <c r="K19" i="23"/>
  <c r="J19" i="23"/>
  <c r="I19" i="23"/>
  <c r="H19" i="23"/>
  <c r="G19" i="23"/>
  <c r="G17" i="23"/>
  <c r="I12" i="23"/>
  <c r="J17" i="23"/>
  <c r="I17" i="23"/>
  <c r="H30" i="19"/>
  <c r="G30" i="19"/>
  <c r="K13" i="23"/>
  <c r="I26" i="19"/>
  <c r="H13" i="23"/>
  <c r="G13" i="23"/>
  <c r="K12" i="23"/>
  <c r="J12" i="23"/>
  <c r="H12" i="23"/>
  <c r="G12" i="23"/>
  <c r="K31" i="27"/>
  <c r="J31" i="27"/>
  <c r="I31" i="27"/>
  <c r="K32" i="27"/>
  <c r="J32" i="27"/>
  <c r="I32" i="27"/>
  <c r="H32" i="27"/>
  <c r="K18" i="23"/>
  <c r="J18" i="23"/>
  <c r="I18" i="23"/>
  <c r="H18" i="23"/>
  <c r="G18" i="23"/>
  <c r="K20" i="23"/>
  <c r="J20" i="23"/>
  <c r="I20" i="23"/>
  <c r="H20" i="23"/>
  <c r="G20" i="23"/>
  <c r="G10" i="11"/>
  <c r="G9" i="11"/>
  <c r="K35" i="13"/>
  <c r="G35" i="13"/>
  <c r="K34" i="13"/>
  <c r="J34" i="13"/>
  <c r="I34" i="13"/>
  <c r="H34" i="13"/>
  <c r="G34" i="13"/>
  <c r="I33" i="13"/>
  <c r="K28" i="13"/>
  <c r="G28" i="13"/>
  <c r="H27" i="13"/>
  <c r="I24" i="12"/>
  <c r="I28" i="12" s="1"/>
  <c r="H24" i="12"/>
  <c r="H28" i="12" s="1"/>
  <c r="G24" i="12"/>
  <c r="G28" i="12" s="1"/>
  <c r="J24" i="12"/>
  <c r="J28" i="12" s="1"/>
  <c r="J13" i="12"/>
  <c r="J17" i="12" s="1"/>
  <c r="I13" i="12"/>
  <c r="I17" i="12" s="1"/>
  <c r="H13" i="12"/>
  <c r="H17" i="12" s="1"/>
  <c r="I47" i="14"/>
  <c r="G47" i="14"/>
  <c r="H28" i="14"/>
  <c r="J35" i="13"/>
  <c r="I35" i="13"/>
  <c r="H35" i="13"/>
  <c r="H26" i="13"/>
  <c r="G33" i="13"/>
  <c r="H32" i="13"/>
  <c r="G32" i="13"/>
  <c r="J28" i="13"/>
  <c r="I28" i="13"/>
  <c r="H28" i="13"/>
  <c r="K27" i="13"/>
  <c r="J27" i="13"/>
  <c r="I27" i="13"/>
  <c r="G27" i="13"/>
  <c r="G49" i="14" l="1"/>
  <c r="G21" i="23"/>
  <c r="G36" i="13"/>
  <c r="I21" i="23"/>
  <c r="J21" i="23"/>
  <c r="J30" i="12"/>
  <c r="J19" i="11" s="1"/>
  <c r="H30" i="12"/>
  <c r="H19" i="11" s="1"/>
  <c r="G13" i="11"/>
  <c r="G15" i="11" s="1"/>
  <c r="G30" i="12"/>
  <c r="G19" i="11" s="1"/>
  <c r="G28" i="14"/>
  <c r="J47" i="14"/>
  <c r="K24" i="12"/>
  <c r="K28" i="12" s="1"/>
  <c r="H33" i="13"/>
  <c r="H36" i="13" s="1"/>
  <c r="G26" i="27"/>
  <c r="K33" i="27"/>
  <c r="J28" i="36"/>
  <c r="G41" i="29" s="1"/>
  <c r="H47" i="14"/>
  <c r="I30" i="12"/>
  <c r="I19" i="11" s="1"/>
  <c r="J33" i="13"/>
  <c r="H21" i="18"/>
  <c r="J26" i="19"/>
  <c r="J19" i="27"/>
  <c r="G26" i="36"/>
  <c r="H48" i="36"/>
  <c r="I49" i="14"/>
  <c r="J13" i="23"/>
  <c r="G15" i="27"/>
  <c r="G19" i="27"/>
  <c r="H19" i="27"/>
  <c r="H29" i="13"/>
  <c r="G19" i="19"/>
  <c r="G21" i="19" s="1"/>
  <c r="H26" i="19"/>
  <c r="K26" i="19"/>
  <c r="I13" i="23"/>
  <c r="H17" i="23"/>
  <c r="H21" i="23" s="1"/>
  <c r="G26" i="19"/>
  <c r="I30" i="19"/>
  <c r="J30" i="19"/>
  <c r="G25" i="18"/>
  <c r="J51" i="14" l="1"/>
  <c r="J49" i="14"/>
  <c r="H49" i="14"/>
  <c r="H52" i="14" s="1"/>
  <c r="G28" i="27"/>
  <c r="I27" i="36"/>
  <c r="I28" i="36" s="1"/>
  <c r="G32" i="29" s="1"/>
  <c r="H28" i="36"/>
  <c r="J50" i="36"/>
  <c r="G32" i="19"/>
  <c r="G12" i="20" s="1"/>
  <c r="G14" i="20" s="1"/>
  <c r="G21" i="11"/>
  <c r="G38" i="14" s="1"/>
  <c r="J52" i="14"/>
  <c r="G22" i="27"/>
  <c r="G35" i="27" s="1"/>
  <c r="I10" i="11"/>
  <c r="K10" i="11"/>
  <c r="H10" i="11"/>
  <c r="H54" i="14" l="1"/>
  <c r="J54" i="14"/>
  <c r="K51" i="14"/>
  <c r="I51" i="14"/>
  <c r="G23" i="29"/>
  <c r="H50" i="36"/>
  <c r="M23" i="29" s="1"/>
  <c r="I50" i="36"/>
  <c r="M41" i="29"/>
  <c r="E62" i="25"/>
  <c r="I52" i="14" l="1"/>
  <c r="M32" i="29"/>
  <c r="I54" i="14" l="1"/>
  <c r="A21" i="19"/>
  <c r="A23" i="19" s="1"/>
  <c r="A24" i="19" s="1"/>
  <c r="A25" i="19" s="1"/>
  <c r="A26" i="19" s="1"/>
  <c r="A28" i="19" s="1"/>
  <c r="A29" i="19" s="1"/>
  <c r="A30" i="19" s="1"/>
  <c r="A32" i="19" s="1"/>
  <c r="A46" i="14" l="1"/>
  <c r="A47" i="14" s="1"/>
  <c r="A48" i="14" s="1"/>
  <c r="A49" i="14" s="1"/>
  <c r="A51" i="14" s="1"/>
  <c r="A52" i="14" s="1"/>
  <c r="A54" i="14" s="1"/>
  <c r="A56" i="14" s="1"/>
  <c r="B27" i="31" l="1"/>
  <c r="B29" i="31" s="1"/>
  <c r="D25" i="31"/>
  <c r="D23" i="31"/>
  <c r="A23" i="20"/>
  <c r="A24" i="20" s="1"/>
  <c r="A25" i="20" s="1"/>
  <c r="A55" i="25" l="1"/>
  <c r="A56" i="25" s="1"/>
  <c r="A58" i="25" s="1"/>
  <c r="A60" i="25" s="1"/>
  <c r="A62" i="25" s="1"/>
  <c r="A12" i="36" l="1"/>
  <c r="A13" i="36" s="1"/>
  <c r="A14" i="36" s="1"/>
  <c r="A15" i="36" s="1"/>
  <c r="A16" i="36" s="1"/>
  <c r="A17" i="36" s="1"/>
  <c r="A18" i="36" s="1"/>
  <c r="A19" i="36" s="1"/>
  <c r="A20" i="36" s="1"/>
  <c r="A21" i="36" l="1"/>
  <c r="A22" i="36" s="1"/>
  <c r="A23" i="36" s="1"/>
  <c r="A24" i="36" s="1"/>
  <c r="A26" i="36" s="1"/>
  <c r="A27" i="36" l="1"/>
  <c r="A28" i="36" s="1"/>
  <c r="A33" i="36" l="1"/>
  <c r="A34" i="36" s="1"/>
  <c r="A35" i="36" s="1"/>
  <c r="A36" i="36" s="1"/>
  <c r="A37" i="36" s="1"/>
  <c r="A38" i="36" s="1"/>
  <c r="A39" i="36" l="1"/>
  <c r="A40" i="36" s="1"/>
  <c r="A41" i="36" s="1"/>
  <c r="A42" i="36" s="1"/>
  <c r="A43" i="36" s="1"/>
  <c r="A44" i="36" s="1"/>
  <c r="A45" i="36" s="1"/>
  <c r="A46" i="36" s="1"/>
  <c r="A48" i="36" l="1"/>
  <c r="A50" i="36" s="1"/>
  <c r="M32" i="13" l="1"/>
  <c r="M33" i="13"/>
  <c r="M36" i="13" l="1"/>
  <c r="D6" i="31" l="1"/>
  <c r="D8" i="31"/>
  <c r="D9" i="31"/>
  <c r="D11" i="31"/>
  <c r="D17" i="31"/>
  <c r="D19" i="31"/>
  <c r="D21" i="31"/>
  <c r="D29" i="31"/>
  <c r="G16" i="14" l="1"/>
  <c r="G21" i="14" l="1"/>
  <c r="H16" i="14"/>
  <c r="I16" i="14" l="1"/>
  <c r="J16" i="14" l="1"/>
  <c r="K16" i="14" l="1"/>
  <c r="G28" i="36" l="1"/>
  <c r="G50" i="36" l="1"/>
  <c r="G14" i="29"/>
  <c r="M14" i="29" l="1"/>
  <c r="O14" i="29" s="1"/>
  <c r="O18" i="29" s="1"/>
  <c r="G13" i="18" l="1"/>
  <c r="G9" i="23" l="1"/>
  <c r="G14" i="23" s="1"/>
  <c r="G23" i="23" s="1"/>
  <c r="G27" i="18"/>
  <c r="G52" i="14" l="1"/>
  <c r="G54" i="14" l="1"/>
  <c r="G15" i="13"/>
  <c r="G13" i="14" l="1"/>
  <c r="G31" i="14" l="1"/>
  <c r="H15" i="13"/>
  <c r="H38" i="13" s="1"/>
  <c r="H13" i="14" l="1"/>
  <c r="I11" i="13"/>
  <c r="I15" i="13" l="1"/>
  <c r="I13" i="14" l="1"/>
  <c r="J11" i="13"/>
  <c r="J15" i="13" l="1"/>
  <c r="J13" i="14" l="1"/>
  <c r="K11" i="13"/>
  <c r="G35" i="14" l="1"/>
  <c r="G33" i="14"/>
  <c r="G41" i="14" l="1"/>
  <c r="G19" i="20"/>
  <c r="G24" i="20" s="1"/>
  <c r="G25" i="20" s="1"/>
  <c r="G56" i="14" l="1"/>
  <c r="G18" i="29"/>
  <c r="I16" i="29"/>
  <c r="I14" i="29"/>
  <c r="G9" i="18" l="1"/>
  <c r="G11" i="18" s="1"/>
  <c r="I18" i="29"/>
  <c r="M18" i="29"/>
  <c r="G26" i="13" l="1"/>
  <c r="G29" i="13" s="1"/>
  <c r="G38" i="13" s="1"/>
  <c r="H21" i="14" l="1"/>
  <c r="H31" i="14" l="1"/>
  <c r="H33" i="14" s="1"/>
  <c r="I32" i="14"/>
  <c r="H35" i="14" l="1"/>
  <c r="K33" i="13" l="1"/>
  <c r="K47" i="14" l="1"/>
  <c r="K26" i="13" l="1"/>
  <c r="K29" i="13" s="1"/>
  <c r="K21" i="14"/>
  <c r="K49" i="14" l="1"/>
  <c r="L51" i="14" l="1"/>
  <c r="K52" i="14"/>
  <c r="K54" i="14" l="1"/>
  <c r="L52" i="14"/>
  <c r="K28" i="14"/>
  <c r="K32" i="13"/>
  <c r="K36" i="13" s="1"/>
  <c r="L54" i="14" l="1"/>
  <c r="K48" i="36"/>
  <c r="K17" i="23" l="1"/>
  <c r="K21" i="23" s="1"/>
  <c r="K30" i="19"/>
  <c r="K15" i="13" l="1"/>
  <c r="K38" i="13" s="1"/>
  <c r="L11" i="13" l="1"/>
  <c r="K13" i="14"/>
  <c r="K31" i="14" l="1"/>
  <c r="L32" i="14"/>
  <c r="K19" i="19" l="1"/>
  <c r="K21" i="19" s="1"/>
  <c r="K32" i="19" s="1"/>
  <c r="K12" i="20" s="1"/>
  <c r="K16" i="18"/>
  <c r="K25" i="18" l="1"/>
  <c r="K9" i="11"/>
  <c r="K13" i="11" s="1"/>
  <c r="K15" i="11" s="1"/>
  <c r="I34" i="25" l="1"/>
  <c r="I42" i="25" l="1"/>
  <c r="I50" i="25" s="1"/>
  <c r="I35" i="25" l="1"/>
  <c r="I43" i="25" l="1"/>
  <c r="I36" i="25"/>
  <c r="I51" i="25" l="1"/>
  <c r="I44" i="25"/>
  <c r="I52" i="25" l="1"/>
  <c r="I58" i="25"/>
  <c r="I62" i="25" s="1"/>
  <c r="G35" i="25" l="1"/>
  <c r="G43" i="25" l="1"/>
  <c r="F35" i="25"/>
  <c r="G34" i="25"/>
  <c r="H34" i="25"/>
  <c r="H42" i="25" s="1"/>
  <c r="H50" i="25" s="1"/>
  <c r="F34" i="25"/>
  <c r="F42" i="25" s="1"/>
  <c r="F50" i="25" s="1"/>
  <c r="H35" i="25"/>
  <c r="H43" i="25" l="1"/>
  <c r="H36" i="25"/>
  <c r="F43" i="25"/>
  <c r="F36" i="25"/>
  <c r="G42" i="25"/>
  <c r="G50" i="25" s="1"/>
  <c r="G36" i="25"/>
  <c r="G51" i="25"/>
  <c r="G44" i="25" l="1"/>
  <c r="I33" i="25"/>
  <c r="G52" i="25"/>
  <c r="G58" i="25"/>
  <c r="G62" i="25" s="1"/>
  <c r="F44" i="25"/>
  <c r="F51" i="25"/>
  <c r="H51" i="25"/>
  <c r="H44" i="25"/>
  <c r="H33" i="25" l="1"/>
  <c r="F33" i="25"/>
  <c r="F52" i="25"/>
  <c r="F58" i="25"/>
  <c r="F62" i="25" s="1"/>
  <c r="H52" i="25"/>
  <c r="H58" i="25"/>
  <c r="H62" i="25" s="1"/>
  <c r="G33" i="25"/>
  <c r="H16" i="18" l="1"/>
  <c r="H19" i="19"/>
  <c r="H21" i="19" s="1"/>
  <c r="H32" i="19" s="1"/>
  <c r="H12" i="20" s="1"/>
  <c r="H14" i="20" l="1"/>
  <c r="H19" i="20" s="1"/>
  <c r="I19" i="19"/>
  <c r="I21" i="19" s="1"/>
  <c r="I32" i="19" s="1"/>
  <c r="I12" i="20" s="1"/>
  <c r="I16" i="18"/>
  <c r="J16" i="18"/>
  <c r="J19" i="19"/>
  <c r="J21" i="19" s="1"/>
  <c r="J32" i="19" s="1"/>
  <c r="J12" i="20" s="1"/>
  <c r="H25" i="18"/>
  <c r="H9" i="11"/>
  <c r="H13" i="11" s="1"/>
  <c r="H15" i="11" s="1"/>
  <c r="H21" i="11" s="1"/>
  <c r="H38" i="14" s="1"/>
  <c r="H41" i="14" l="1"/>
  <c r="I9" i="20"/>
  <c r="I14" i="20" s="1"/>
  <c r="I19" i="20" s="1"/>
  <c r="I24" i="20" s="1"/>
  <c r="I25" i="20" s="1"/>
  <c r="G34" i="29" s="1"/>
  <c r="H24" i="20"/>
  <c r="H25" i="20" s="1"/>
  <c r="I23" i="29"/>
  <c r="G27" i="29"/>
  <c r="I25" i="29"/>
  <c r="J9" i="11"/>
  <c r="J13" i="11" s="1"/>
  <c r="J15" i="11" s="1"/>
  <c r="J21" i="11" s="1"/>
  <c r="J38" i="14" s="1"/>
  <c r="J25" i="18"/>
  <c r="I25" i="18"/>
  <c r="I9" i="11"/>
  <c r="I13" i="11" s="1"/>
  <c r="I15" i="11" s="1"/>
  <c r="I21" i="11" s="1"/>
  <c r="I38" i="14" s="1"/>
  <c r="H56" i="14" l="1"/>
  <c r="J9" i="20"/>
  <c r="G36" i="29"/>
  <c r="I32" i="29"/>
  <c r="I34" i="29"/>
  <c r="I27" i="29"/>
  <c r="H9" i="18" l="1"/>
  <c r="K27" i="29"/>
  <c r="J14" i="20"/>
  <c r="I36" i="29"/>
  <c r="K23" i="29" l="1"/>
  <c r="O23" i="29" s="1"/>
  <c r="K25" i="29"/>
  <c r="J19" i="20"/>
  <c r="K9" i="20" l="1"/>
  <c r="J24" i="20"/>
  <c r="J25" i="20" s="1"/>
  <c r="M27" i="29"/>
  <c r="O25" i="29"/>
  <c r="K14" i="20" l="1"/>
  <c r="G43" i="29"/>
  <c r="O27" i="29"/>
  <c r="I43" i="29" l="1"/>
  <c r="G45" i="29"/>
  <c r="I41" i="29"/>
  <c r="K19" i="20"/>
  <c r="H13" i="18"/>
  <c r="I45" i="29" l="1"/>
  <c r="L9" i="20"/>
  <c r="K24" i="20"/>
  <c r="K25" i="20" s="1"/>
  <c r="G62" i="29" s="1"/>
  <c r="H27" i="18"/>
  <c r="H9" i="23"/>
  <c r="H14" i="23" s="1"/>
  <c r="H23" i="23" s="1"/>
  <c r="H11" i="18"/>
  <c r="I26" i="27" l="1"/>
  <c r="J26" i="27"/>
  <c r="K26" i="27"/>
  <c r="H15" i="27"/>
  <c r="I15" i="27"/>
  <c r="J15" i="27"/>
  <c r="H26" i="27" l="1"/>
  <c r="H28" i="27" s="1"/>
  <c r="J28" i="27"/>
  <c r="J22" i="27"/>
  <c r="J35" i="27" s="1"/>
  <c r="I22" i="27"/>
  <c r="I35" i="27" s="1"/>
  <c r="I28" i="27"/>
  <c r="H22" i="27"/>
  <c r="H35" i="27" s="1"/>
  <c r="J21" i="14" l="1"/>
  <c r="J26" i="13"/>
  <c r="J29" i="13" s="1"/>
  <c r="I26" i="13"/>
  <c r="I29" i="13" s="1"/>
  <c r="I21" i="14"/>
  <c r="J28" i="14" l="1"/>
  <c r="J32" i="13"/>
  <c r="J36" i="13" s="1"/>
  <c r="J38" i="13" s="1"/>
  <c r="I28" i="14"/>
  <c r="I32" i="13"/>
  <c r="I36" i="13" s="1"/>
  <c r="I38" i="13" s="1"/>
  <c r="J31" i="14" l="1"/>
  <c r="I31" i="14"/>
  <c r="I33" i="14"/>
  <c r="K32" i="14"/>
  <c r="J32" i="14" l="1"/>
  <c r="I35" i="14"/>
  <c r="I41" i="14"/>
  <c r="K33" i="14"/>
  <c r="K35" i="14"/>
  <c r="J33" i="14"/>
  <c r="J35" i="14"/>
  <c r="I56" i="14" l="1"/>
  <c r="I9" i="18" s="1"/>
  <c r="J41" i="14"/>
  <c r="K36" i="29" l="1"/>
  <c r="K32" i="29" s="1"/>
  <c r="O32" i="29" s="1"/>
  <c r="J56" i="14"/>
  <c r="J9" i="18" s="1"/>
  <c r="K45" i="29"/>
  <c r="K34" i="29" l="1"/>
  <c r="K43" i="29"/>
  <c r="K41" i="29"/>
  <c r="O41" i="29" s="1"/>
  <c r="M36" i="29" l="1"/>
  <c r="O34" i="29"/>
  <c r="O36" i="29" s="1"/>
  <c r="I13" i="18" l="1"/>
  <c r="I9" i="23" l="1"/>
  <c r="I14" i="23" s="1"/>
  <c r="I23" i="23" s="1"/>
  <c r="I27" i="18"/>
  <c r="I11" i="18"/>
  <c r="M45" i="29" l="1"/>
  <c r="O43" i="29"/>
  <c r="O45" i="29" s="1"/>
  <c r="J13" i="18" s="1"/>
  <c r="J27" i="18" l="1"/>
  <c r="J9" i="23"/>
  <c r="J14" i="23" s="1"/>
  <c r="J23" i="23" s="1"/>
  <c r="J11" i="18"/>
  <c r="K13" i="12" l="1"/>
  <c r="K17" i="12" s="1"/>
  <c r="K30" i="12" s="1"/>
  <c r="K19" i="11" s="1"/>
  <c r="K21" i="11" l="1"/>
  <c r="K38" i="14" s="1"/>
  <c r="K41" i="14" l="1"/>
  <c r="K56" i="14" l="1"/>
  <c r="K64" i="29" l="1"/>
  <c r="K9" i="18"/>
  <c r="K26" i="36"/>
  <c r="L27" i="36" l="1"/>
  <c r="K28" i="36"/>
  <c r="G60" i="29" l="1"/>
  <c r="K50" i="36"/>
  <c r="M60" i="29" l="1"/>
  <c r="I60" i="29"/>
  <c r="G64" i="29"/>
  <c r="I62" i="29"/>
  <c r="K62" i="29" s="1"/>
  <c r="K60" i="29" l="1"/>
  <c r="O60" i="29" s="1"/>
  <c r="I64" i="29"/>
  <c r="O62" i="29" l="1"/>
  <c r="M64" i="29"/>
  <c r="O64" i="29" l="1"/>
  <c r="K13" i="18" l="1"/>
  <c r="K9" i="23" l="1"/>
  <c r="K14" i="23" s="1"/>
  <c r="K23" i="23" s="1"/>
  <c r="K27" i="18"/>
  <c r="K11" i="18"/>
  <c r="K15" i="27" l="1"/>
  <c r="K22" i="27" s="1"/>
  <c r="K35" i="27" s="1"/>
  <c r="K28" i="27" l="1"/>
  <c r="L35" i="13" l="1"/>
  <c r="N27" i="13" l="1"/>
  <c r="N12" i="23" l="1"/>
  <c r="L12" i="23"/>
  <c r="L20" i="18" l="1"/>
  <c r="N20" i="18"/>
  <c r="L16" i="14" l="1"/>
  <c r="N16" i="14"/>
  <c r="N20" i="23" l="1"/>
  <c r="N31" i="27" l="1"/>
  <c r="N19" i="18"/>
  <c r="L31" i="27"/>
  <c r="L19" i="18"/>
  <c r="L20" i="23"/>
  <c r="L21" i="18" l="1"/>
  <c r="N21" i="18"/>
  <c r="N18" i="18" l="1"/>
  <c r="L18" i="18" l="1"/>
  <c r="N35" i="13" l="1"/>
  <c r="N47" i="14" l="1"/>
  <c r="N33" i="13"/>
  <c r="N49" i="14" l="1"/>
  <c r="N52" i="14" l="1"/>
  <c r="N54" i="14" l="1"/>
  <c r="J19" i="25"/>
  <c r="J40" i="25" l="1"/>
  <c r="J23" i="25"/>
  <c r="J13" i="25" l="1"/>
  <c r="J35" i="25"/>
  <c r="J36" i="25" l="1"/>
  <c r="J43" i="25"/>
  <c r="J44" i="25" s="1"/>
  <c r="L18" i="23" l="1"/>
  <c r="L17" i="27"/>
  <c r="L33" i="27" l="1"/>
  <c r="L19" i="27"/>
  <c r="N32" i="27" l="1"/>
  <c r="N17" i="18"/>
  <c r="N10" i="11" s="1"/>
  <c r="L32" i="27" l="1"/>
  <c r="L17" i="18"/>
  <c r="L10" i="11" l="1"/>
  <c r="N17" i="27" l="1"/>
  <c r="N18" i="23"/>
  <c r="N33" i="27" l="1"/>
  <c r="N19" i="27"/>
  <c r="L26" i="13" l="1"/>
  <c r="N26" i="13" l="1"/>
  <c r="L15" i="13" l="1"/>
  <c r="N11" i="13" l="1"/>
  <c r="L13" i="14"/>
  <c r="N15" i="13" l="1"/>
  <c r="N13" i="14" l="1"/>
  <c r="L15" i="27"/>
  <c r="L22" i="27" l="1"/>
  <c r="L35" i="27" s="1"/>
  <c r="N15" i="27" l="1"/>
  <c r="N22" i="27" s="1"/>
  <c r="N35" i="27" s="1"/>
  <c r="N21" i="14" l="1"/>
  <c r="N28" i="13"/>
  <c r="N29" i="13" s="1"/>
  <c r="L28" i="13"/>
  <c r="L29" i="13" s="1"/>
  <c r="L21" i="14"/>
  <c r="L26" i="36" l="1"/>
  <c r="N27" i="36" l="1"/>
  <c r="L28" i="36"/>
  <c r="G69" i="29" s="1"/>
  <c r="N26" i="36"/>
  <c r="N28" i="36" l="1"/>
  <c r="G78" i="29" s="1"/>
  <c r="L28" i="14" l="1"/>
  <c r="L32" i="13"/>
  <c r="L36" i="13" s="1"/>
  <c r="L38" i="13" s="1"/>
  <c r="L31" i="14" l="1"/>
  <c r="L35" i="14" s="1"/>
  <c r="L33" i="14"/>
  <c r="N32" i="14" l="1"/>
  <c r="L26" i="19"/>
  <c r="L13" i="23"/>
  <c r="N32" i="13" l="1"/>
  <c r="N36" i="13" s="1"/>
  <c r="N38" i="13" s="1"/>
  <c r="N28" i="14"/>
  <c r="N31" i="14" l="1"/>
  <c r="N35" i="14" s="1"/>
  <c r="N33" i="14" l="1"/>
  <c r="L48" i="36"/>
  <c r="L50" i="36" s="1"/>
  <c r="M69" i="29" l="1"/>
  <c r="L30" i="19" l="1"/>
  <c r="L17" i="23"/>
  <c r="L21" i="23" l="1"/>
  <c r="N48" i="36"/>
  <c r="N50" i="36" s="1"/>
  <c r="M78" i="29" l="1"/>
  <c r="L19" i="25" l="1"/>
  <c r="L48" i="25" l="1"/>
  <c r="L23" i="25" l="1"/>
  <c r="L40" i="25"/>
  <c r="J48" i="25" l="1"/>
  <c r="J51" i="25"/>
  <c r="J52" i="25" s="1"/>
  <c r="J58" i="25" l="1"/>
  <c r="J62" i="25" s="1"/>
  <c r="L13" i="25"/>
  <c r="L35" i="25"/>
  <c r="L36" i="25" l="1"/>
  <c r="L43" i="25"/>
  <c r="L51" i="25" l="1"/>
  <c r="L52" i="25" s="1"/>
  <c r="L44" i="25"/>
  <c r="L24" i="12" l="1"/>
  <c r="L28" i="12" s="1"/>
  <c r="L58" i="25" l="1"/>
  <c r="L62" i="25" s="1"/>
  <c r="N24" i="12" l="1"/>
  <c r="N28" i="12" s="1"/>
  <c r="L16" i="18" l="1"/>
  <c r="L19" i="19"/>
  <c r="L21" i="19" s="1"/>
  <c r="L32" i="19" s="1"/>
  <c r="L12" i="20" s="1"/>
  <c r="L14" i="20" s="1"/>
  <c r="L19" i="20" l="1"/>
  <c r="N9" i="20" s="1"/>
  <c r="L9" i="11"/>
  <c r="L25" i="18"/>
  <c r="L13" i="12"/>
  <c r="L17" i="12" s="1"/>
  <c r="L30" i="12" s="1"/>
  <c r="L19" i="11" s="1"/>
  <c r="L26" i="27"/>
  <c r="L28" i="27" s="1"/>
  <c r="L24" i="20" l="1"/>
  <c r="L25" i="20" s="1"/>
  <c r="G71" i="29" s="1"/>
  <c r="G73" i="29" s="1"/>
  <c r="L13" i="11"/>
  <c r="L15" i="11" s="1"/>
  <c r="L21" i="11" s="1"/>
  <c r="L38" i="14" s="1"/>
  <c r="I69" i="29" l="1"/>
  <c r="I71" i="29"/>
  <c r="L41" i="14"/>
  <c r="L56" i="14" l="1"/>
  <c r="K73" i="29" s="1"/>
  <c r="I73" i="29"/>
  <c r="L9" i="18" l="1"/>
  <c r="K69" i="29"/>
  <c r="O69" i="29" s="1"/>
  <c r="K71" i="29"/>
  <c r="M73" i="29" l="1"/>
  <c r="O71" i="29"/>
  <c r="O73" i="29" s="1"/>
  <c r="L13" i="18" s="1"/>
  <c r="L27" i="18" l="1"/>
  <c r="L9" i="23"/>
  <c r="L11" i="18"/>
  <c r="L14" i="23" l="1"/>
  <c r="L23" i="23" s="1"/>
  <c r="N16" i="18" l="1"/>
  <c r="N19" i="19"/>
  <c r="N21" i="19" s="1"/>
  <c r="N25" i="18" l="1"/>
  <c r="N9" i="11"/>
  <c r="N13" i="11" s="1"/>
  <c r="N15" i="11" s="1"/>
  <c r="N13" i="12"/>
  <c r="N17" i="12" s="1"/>
  <c r="N30" i="12" s="1"/>
  <c r="N19" i="11" s="1"/>
  <c r="N26" i="27"/>
  <c r="N28" i="27" s="1"/>
  <c r="N21" i="11" l="1"/>
  <c r="N38" i="14" s="1"/>
  <c r="N41" i="14" l="1"/>
  <c r="N56" i="14" l="1"/>
  <c r="N13" i="23"/>
  <c r="N26" i="19"/>
  <c r="N9" i="18" l="1"/>
  <c r="K82" i="29"/>
  <c r="N30" i="19"/>
  <c r="N32" i="19" s="1"/>
  <c r="N12" i="20" s="1"/>
  <c r="N17" i="23"/>
  <c r="N21" i="23" s="1"/>
  <c r="N14" i="20" l="1"/>
  <c r="N19" i="20" s="1"/>
  <c r="N24" i="20" s="1"/>
  <c r="N25" i="20" s="1"/>
  <c r="G80" i="29" s="1"/>
  <c r="I78" i="29" l="1"/>
  <c r="K78" i="29" s="1"/>
  <c r="O78" i="29" s="1"/>
  <c r="G82" i="29"/>
  <c r="I80" i="29"/>
  <c r="K80" i="29" s="1"/>
  <c r="I82" i="29" l="1"/>
  <c r="O80" i="29"/>
  <c r="O82" i="29" s="1"/>
  <c r="N13" i="18" s="1"/>
  <c r="M82" i="29"/>
  <c r="N27" i="18" l="1"/>
  <c r="N9" i="23"/>
  <c r="N14" i="23" s="1"/>
  <c r="N23" i="23" s="1"/>
  <c r="N11" i="18"/>
</calcChain>
</file>

<file path=xl/sharedStrings.xml><?xml version="1.0" encoding="utf-8"?>
<sst xmlns="http://schemas.openxmlformats.org/spreadsheetml/2006/main" count="559" uniqueCount="271">
  <si>
    <t>Line No.</t>
  </si>
  <si>
    <t>Description</t>
  </si>
  <si>
    <t>Cross Ref.</t>
  </si>
  <si>
    <t>Forecast</t>
  </si>
  <si>
    <t>Schedule 1</t>
  </si>
  <si>
    <t>Yukon Energy Corporation</t>
  </si>
  <si>
    <t>Computation of Rate Base</t>
  </si>
  <si>
    <t>($000s)</t>
  </si>
  <si>
    <t>Schedule 2</t>
  </si>
  <si>
    <t>Computation of Allowance for Working Capital</t>
  </si>
  <si>
    <t>Effect of GST on Working Capital</t>
  </si>
  <si>
    <t>Schedule 2A</t>
  </si>
  <si>
    <t>Schedule 3</t>
  </si>
  <si>
    <t>Continuity Schedule of Property, Plant and Equipment</t>
  </si>
  <si>
    <t>Utility Revenue Requirement</t>
  </si>
  <si>
    <t>Schedule 5</t>
  </si>
  <si>
    <t>Schedule 6</t>
  </si>
  <si>
    <t>Statement of Earnings</t>
  </si>
  <si>
    <t>Schedule 7</t>
  </si>
  <si>
    <t>Statement of Retained Earnings</t>
  </si>
  <si>
    <t>Schedule 8</t>
  </si>
  <si>
    <t>Schedule 9</t>
  </si>
  <si>
    <t>Reconciliation of Utility Income to Net Earnings</t>
  </si>
  <si>
    <t>Schedule 11</t>
  </si>
  <si>
    <t>Summary of Customers, Energy Sales and Revenues</t>
  </si>
  <si>
    <t>Summary of Operating and Maintenance Expenses</t>
  </si>
  <si>
    <t>Cost of Capital Calculation</t>
  </si>
  <si>
    <t>Mid Year Balance</t>
  </si>
  <si>
    <t>Ratio</t>
  </si>
  <si>
    <t>Mid Year Rate Base</t>
  </si>
  <si>
    <t>Mid Year Cost Rate</t>
  </si>
  <si>
    <t>Return</t>
  </si>
  <si>
    <t>Schedule 4A</t>
  </si>
  <si>
    <t>Schedule 4B</t>
  </si>
  <si>
    <t>Long-Term debt</t>
  </si>
  <si>
    <t>Common Stock</t>
  </si>
  <si>
    <t>Total</t>
  </si>
  <si>
    <t>S.5 L.3</t>
  </si>
  <si>
    <t>Schedule Index</t>
  </si>
  <si>
    <t>2A</t>
  </si>
  <si>
    <t>4A</t>
  </si>
  <si>
    <t>4B</t>
  </si>
  <si>
    <t>4C</t>
  </si>
  <si>
    <t>Property, Plant and Equipment</t>
  </si>
  <si>
    <t>Year end balance</t>
  </si>
  <si>
    <t>Deduct:</t>
  </si>
  <si>
    <t>Total deductions</t>
  </si>
  <si>
    <t>Add:</t>
  </si>
  <si>
    <t>Accum. Disallowed depreciation</t>
  </si>
  <si>
    <t>Total additions</t>
  </si>
  <si>
    <t>Net plant in Service</t>
  </si>
  <si>
    <t>Current year-end balance</t>
  </si>
  <si>
    <t>Previous year-end balance</t>
  </si>
  <si>
    <t>Mid-year balance</t>
  </si>
  <si>
    <t>Working capital</t>
  </si>
  <si>
    <t>Gross Rate Base</t>
  </si>
  <si>
    <t>Contributions for extensions</t>
  </si>
  <si>
    <t>Net Rate Base</t>
  </si>
  <si>
    <t>Construction-in-progress</t>
  </si>
  <si>
    <t>Operating and maintenance</t>
  </si>
  <si>
    <t>Taxes other than income</t>
  </si>
  <si>
    <t>Non-allowable expenses</t>
  </si>
  <si>
    <t>GST Impact on working capital</t>
  </si>
  <si>
    <t>Cash operating expenses</t>
  </si>
  <si>
    <t>S.2A L.11</t>
  </si>
  <si>
    <t>Expenses subject to GST</t>
  </si>
  <si>
    <t>GST Rate</t>
  </si>
  <si>
    <t>GST Recoverable</t>
  </si>
  <si>
    <t>Day Factor</t>
  </si>
  <si>
    <t>Recoverable portion of GST impact</t>
  </si>
  <si>
    <t>Revenue subject to GST</t>
  </si>
  <si>
    <t>GST payable</t>
  </si>
  <si>
    <t>Day factor</t>
  </si>
  <si>
    <t>Payable portion of GST impact</t>
  </si>
  <si>
    <t>Net impact of GST on working capital</t>
  </si>
  <si>
    <t>Balance at beginning of year</t>
  </si>
  <si>
    <t>Balance at end of year</t>
  </si>
  <si>
    <t>Depreciation expense</t>
  </si>
  <si>
    <t>Disallowed assets</t>
  </si>
  <si>
    <t>Net Property, Plant and Equipment</t>
  </si>
  <si>
    <t>S.3 L.10</t>
  </si>
  <si>
    <t>S.6 L.6</t>
  </si>
  <si>
    <t>S.1 L.5</t>
  </si>
  <si>
    <t>S.1 L.11</t>
  </si>
  <si>
    <t>S.3 L.5</t>
  </si>
  <si>
    <t>S.1 L.2</t>
  </si>
  <si>
    <t>S.1 L.4</t>
  </si>
  <si>
    <t>S.1 L.6</t>
  </si>
  <si>
    <t>S.5 L.5</t>
  </si>
  <si>
    <t>S.5 L.6</t>
  </si>
  <si>
    <t>S.3 L.12</t>
  </si>
  <si>
    <t>S.3 L.13</t>
  </si>
  <si>
    <t>S.3 L.18</t>
  </si>
  <si>
    <t>S.5 L.1</t>
  </si>
  <si>
    <t>S.6 L.5</t>
  </si>
  <si>
    <t>S.6 L.7</t>
  </si>
  <si>
    <t>Net rate base</t>
  </si>
  <si>
    <t>Utility income</t>
  </si>
  <si>
    <t>Utility expenses</t>
  </si>
  <si>
    <t>Amortization of deferred costs</t>
  </si>
  <si>
    <t>Depreciation</t>
  </si>
  <si>
    <t>Disallowed depreciation</t>
  </si>
  <si>
    <t>Total utility expenses</t>
  </si>
  <si>
    <t>S.6 L.1</t>
  </si>
  <si>
    <t>Operating expenses</t>
  </si>
  <si>
    <t>Operating income</t>
  </si>
  <si>
    <t>Other income</t>
  </si>
  <si>
    <t>Allowed for Funds Used</t>
  </si>
  <si>
    <t>Other expenses</t>
  </si>
  <si>
    <t>Interest expense</t>
  </si>
  <si>
    <t>Net earnings</t>
  </si>
  <si>
    <t>S.3 L.8</t>
  </si>
  <si>
    <t>Less:</t>
  </si>
  <si>
    <t>Shareholder's Equity</t>
  </si>
  <si>
    <t>Common shares</t>
  </si>
  <si>
    <t>Retained earnings</t>
  </si>
  <si>
    <t>Interest - long-term</t>
  </si>
  <si>
    <t>Donations</t>
  </si>
  <si>
    <t>S.5 L.12</t>
  </si>
  <si>
    <t>Residential</t>
  </si>
  <si>
    <t>Customers</t>
  </si>
  <si>
    <t>MWh sales per customer</t>
  </si>
  <si>
    <t>Revenue ($000s)</t>
  </si>
  <si>
    <t>Cents per KWh</t>
  </si>
  <si>
    <t>Industrial</t>
  </si>
  <si>
    <t>Street lights</t>
  </si>
  <si>
    <t>Space lights</t>
  </si>
  <si>
    <t>Wholesale sales</t>
  </si>
  <si>
    <t xml:space="preserve">Total Company </t>
  </si>
  <si>
    <t>Production</t>
  </si>
  <si>
    <t>Transmission and distribution</t>
  </si>
  <si>
    <t>General</t>
  </si>
  <si>
    <t>Sub-total</t>
  </si>
  <si>
    <t>O&amp;M not including fuel and</t>
  </si>
  <si>
    <t>purchased power</t>
  </si>
  <si>
    <t>Fuel</t>
  </si>
  <si>
    <t>Total operating and maintenance</t>
  </si>
  <si>
    <t>Amortize deferred costs</t>
  </si>
  <si>
    <t>Purchased power</t>
  </si>
  <si>
    <t>Utility operations</t>
  </si>
  <si>
    <t>S.6 L.3</t>
  </si>
  <si>
    <t xml:space="preserve">Miscellaneous reserves </t>
  </si>
  <si>
    <t xml:space="preserve"> </t>
  </si>
  <si>
    <t>Sales in MWh</t>
  </si>
  <si>
    <t>Allowance for funds used</t>
  </si>
  <si>
    <t>Contributions in WIP</t>
  </si>
  <si>
    <t>Retirements, disposals and adjustments</t>
  </si>
  <si>
    <t>Current year-end balance in-service</t>
  </si>
  <si>
    <t>Accumulated amortization of contributions</t>
  </si>
  <si>
    <t>Net current year-end balance in-service</t>
  </si>
  <si>
    <t>Other income (expenses)</t>
  </si>
  <si>
    <t>General Service</t>
  </si>
  <si>
    <t>Total Company - Firm</t>
  </si>
  <si>
    <t>Secondary</t>
  </si>
  <si>
    <t>Total Sales of Power</t>
  </si>
  <si>
    <t>Other Revenues</t>
  </si>
  <si>
    <t>S.3 L.17</t>
  </si>
  <si>
    <t>S.1 L.10</t>
  </si>
  <si>
    <t>S.6 L.4</t>
  </si>
  <si>
    <t>S.5 L.7</t>
  </si>
  <si>
    <t>S.6 L.17</t>
  </si>
  <si>
    <t>Reserve for Injuries and Damages</t>
  </si>
  <si>
    <t>S.5 L.8</t>
  </si>
  <si>
    <t>S.5 L.10</t>
  </si>
  <si>
    <t>S.5 L.13</t>
  </si>
  <si>
    <t>S.6 L.8</t>
  </si>
  <si>
    <t>S.6 L.13</t>
  </si>
  <si>
    <t>Interest Costs</t>
  </si>
  <si>
    <t>Mid Year</t>
  </si>
  <si>
    <t>General Purpose Long-Term Debt Balance</t>
  </si>
  <si>
    <t>Total Cost of Interest</t>
  </si>
  <si>
    <t>Mid-Year Cost of Debt</t>
  </si>
  <si>
    <t>Summary of Cost of Long - Term Debt</t>
  </si>
  <si>
    <t>Deferred study costs (note 2)</t>
  </si>
  <si>
    <t>Revenue Requirement</t>
  </si>
  <si>
    <t>Operating and maintenance (note 1)</t>
  </si>
  <si>
    <t>Less: Studies in Progress</t>
  </si>
  <si>
    <t>Other deferred costs</t>
  </si>
  <si>
    <t>Accumulated depreciation (note 1)</t>
  </si>
  <si>
    <t>S.3 L.11</t>
  </si>
  <si>
    <t>S.3 L.15</t>
  </si>
  <si>
    <t>S.3 L.16</t>
  </si>
  <si>
    <t>S.3 L.20</t>
  </si>
  <si>
    <t>S.1 L.8</t>
  </si>
  <si>
    <t>S.1 L.9</t>
  </si>
  <si>
    <t>S.1  L.13</t>
  </si>
  <si>
    <t>S.1 L.30</t>
  </si>
  <si>
    <t>S.5 L.11</t>
  </si>
  <si>
    <t>Revenues (note 1)</t>
  </si>
  <si>
    <t>Property Taxes</t>
  </si>
  <si>
    <t>less: Donations</t>
  </si>
  <si>
    <t>Operating and Maintenance Expense Reported in Tab 3 excludes fuel and purchase power, but also includes the following:</t>
  </si>
  <si>
    <t>Miscellaneous (note 2)</t>
  </si>
  <si>
    <t>Utility Income (Return on Rate Base)</t>
  </si>
  <si>
    <t>Disallowed costs</t>
  </si>
  <si>
    <t>Accumulated depreciation (including Future Removal Reserve)</t>
  </si>
  <si>
    <t>Note 1: Includes fuel expenses and purchased power.</t>
  </si>
  <si>
    <t>Note 1: Including Reserve for Future Removal and Site Restoration</t>
  </si>
  <si>
    <t>Average Rate of return on rate base</t>
  </si>
  <si>
    <t>Total Company - Firm Retail and Industrial</t>
  </si>
  <si>
    <t>S.1 L.19</t>
  </si>
  <si>
    <t>S.2 L.7</t>
  </si>
  <si>
    <t>Post-GRA Reconcil Req'd</t>
  </si>
  <si>
    <t>Insurance</t>
  </si>
  <si>
    <t>Administration and general</t>
  </si>
  <si>
    <t>Note:</t>
  </si>
  <si>
    <t>S.7 L. 8</t>
  </si>
  <si>
    <t>S.11 L.18</t>
  </si>
  <si>
    <t>S.8 L.1</t>
  </si>
  <si>
    <t>S.10 L.15</t>
  </si>
  <si>
    <t>S.8 L.2</t>
  </si>
  <si>
    <t>S.8 L.3</t>
  </si>
  <si>
    <t>S.8 L.4</t>
  </si>
  <si>
    <t>GRA Increase Req'd</t>
  </si>
  <si>
    <t>GST blended rate (2009 GRA)</t>
  </si>
  <si>
    <t>S.2 L.8</t>
  </si>
  <si>
    <t>Schedule 10</t>
  </si>
  <si>
    <t>Note 2: Miscellaneous primarily consistent of Regulatory gain/losses and other interest income/expenses.</t>
  </si>
  <si>
    <t>Net Increases to PPE (Table 5.1)</t>
  </si>
  <si>
    <t>Inventory (three year average)</t>
  </si>
  <si>
    <t>S.8 L.8</t>
  </si>
  <si>
    <t>S.6 L.18</t>
  </si>
  <si>
    <t>O&amp;M per Table 3.3 (Tab 3)</t>
  </si>
  <si>
    <t>Amortization of contributions and fire insurance recoveries</t>
  </si>
  <si>
    <t>Total Revenues</t>
  </si>
  <si>
    <t>Note 2: Planning and Study costs, Relicencing, Dam Safety costs and Deferred Overhauls. Net of contributions.</t>
  </si>
  <si>
    <t>Common Dividends/(Injection) (note 1)</t>
  </si>
  <si>
    <t>2013 Approved</t>
  </si>
  <si>
    <t>Actual 2013</t>
  </si>
  <si>
    <t>Actual 2014</t>
  </si>
  <si>
    <t>Actual 2015</t>
  </si>
  <si>
    <t>Proposed 2017</t>
  </si>
  <si>
    <t>2013 Actual</t>
  </si>
  <si>
    <t>2014 Actual</t>
  </si>
  <si>
    <t>2015 Actual</t>
  </si>
  <si>
    <t>2013 Approved and 2013-2015 Actual</t>
  </si>
  <si>
    <t>Cost of Capital Calculation - 2013 - 2015 Actuals</t>
  </si>
  <si>
    <t>Cost of Capital Calculation - 2018 Forecast</t>
  </si>
  <si>
    <t>1. YDC equity injection/divident estimates required in order to maintain 60/40 debt to equity ratio.</t>
  </si>
  <si>
    <t>27/365</t>
  </si>
  <si>
    <t>Note 1: Includes Fire Insurance Reserve and the Reserve for Injuries and Damages</t>
  </si>
  <si>
    <t>Miscellaneous reserves (note 1)</t>
  </si>
  <si>
    <t>S.5 L.14</t>
  </si>
  <si>
    <t xml:space="preserve">Note 1: Includes revenues from sales and other revenues. </t>
  </si>
  <si>
    <t>S.6 L.12</t>
  </si>
  <si>
    <t>Balance at end of year before dividend</t>
  </si>
  <si>
    <t>Note 2: Planning and Study costs, Relicencing, Dam Safety costs and Vegetation Management. Net of contributions.</t>
  </si>
  <si>
    <t>IFRS Comprehensive Income Adjustment</t>
  </si>
  <si>
    <t>Minto Decommissioning Reserve</t>
  </si>
  <si>
    <t>New 2018 Debt</t>
  </si>
  <si>
    <t>YDC Mayo B Flexible Term Debt</t>
  </si>
  <si>
    <t>YDC $12.1M Debt (2.10%)</t>
  </si>
  <si>
    <t>YDC $21.0M Debt (2.21%)</t>
  </si>
  <si>
    <t>YDC $92.5M Debt (2.40%)</t>
  </si>
  <si>
    <t>YDC $5.5M Debt (2.40%)</t>
  </si>
  <si>
    <t>TD Canada Trust (4.02%)</t>
  </si>
  <si>
    <t>TD Bank Swap (2.69%)</t>
  </si>
  <si>
    <t>YDC $81.9M Loan (4.25%)</t>
  </si>
  <si>
    <t>YDC $17.1M Debt (3.69%)</t>
  </si>
  <si>
    <t>YDC $2.1M Debt (3.97%)</t>
  </si>
  <si>
    <t>YDC $5.5M Debt (4.27%)</t>
  </si>
  <si>
    <t>Actual 2016</t>
  </si>
  <si>
    <t>2016 Actual</t>
  </si>
  <si>
    <t>Mid-year regulatory deferral</t>
  </si>
  <si>
    <t>New 2017 Debt (2.15%)</t>
  </si>
  <si>
    <t>2016 Actual and 2017 Actual and Forecast (Existing / GRA)</t>
  </si>
  <si>
    <t>Cost of Capital Calculation - 2016 Actual and 2017 Actual and Forecast</t>
  </si>
  <si>
    <t>Rider J</t>
  </si>
  <si>
    <t>Proposed 2018</t>
  </si>
  <si>
    <t>Yukon Energy Corporation 2017/18 GRA Compliance Filing</t>
  </si>
  <si>
    <t>February 25,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</si>
</sst>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$&quot;* #,##0_);_(&quot;$&quot;* \(#,##0\);_(&quot;$&quot;* &quot;-&quot;_);_(@_)"/>
    <numFmt numFmtId="165" formatCode="_-* #,##0_-;\-* #,##0_-;_-* &quot;-&quot;??_-;_-@_-"/>
    <numFmt numFmtId="166" formatCode="_(* #,##0.0_);_(* \(#,##0.0\);_(* &quot;-&quot;??_);_(@_)"/>
    <numFmt numFmtId="167" formatCode="_(* #,##0_);_(* \(#,##0\);_(* &quot;-&quot;??_);_(@_)"/>
    <numFmt numFmtId="168" formatCode="0.0%"/>
    <numFmt numFmtId="169" formatCode="0.000%"/>
    <numFmt numFmtId="170" formatCode="#,##0.0"/>
    <numFmt numFmtId="171" formatCode="d\-mmm\-yy\ &quot;filing&quot;"/>
    <numFmt numFmtId="172" formatCode="0.0"/>
    <numFmt numFmtId="173" formatCode="?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sz val="10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Tahoma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7"/>
      </patternFill>
    </fill>
    <fill>
      <patternFill patternType="solid">
        <fgColor theme="5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" fillId="0" borderId="0"/>
  </cellStyleXfs>
  <cellXfs count="193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0" xfId="0" applyFill="1" applyBorder="1"/>
    <xf numFmtId="0" fontId="1" fillId="0" borderId="0" xfId="0" applyFont="1"/>
    <xf numFmtId="3" fontId="1" fillId="0" borderId="0" xfId="0" applyNumberFormat="1" applyFont="1"/>
    <xf numFmtId="0" fontId="6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/>
    <xf numFmtId="0" fontId="0" fillId="0" borderId="0" xfId="0" applyFill="1" applyAlignment="1">
      <alignment horizontal="center"/>
    </xf>
    <xf numFmtId="169" fontId="0" fillId="0" borderId="0" xfId="0" applyNumberFormat="1" applyFill="1"/>
    <xf numFmtId="3" fontId="1" fillId="0" borderId="0" xfId="0" applyNumberFormat="1" applyFont="1" applyFill="1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167" fontId="1" fillId="0" borderId="0" xfId="1" applyFont="1" applyFill="1" applyBorder="1"/>
    <xf numFmtId="3" fontId="1" fillId="0" borderId="0" xfId="0" applyNumberFormat="1" applyFont="1" applyFill="1" applyBorder="1"/>
    <xf numFmtId="0" fontId="2" fillId="0" borderId="0" xfId="0" applyFont="1" applyFill="1" applyAlignment="1"/>
    <xf numFmtId="0" fontId="0" fillId="0" borderId="0" xfId="0" applyFill="1" applyAlignment="1">
      <alignment vertical="top"/>
    </xf>
    <xf numFmtId="3" fontId="0" fillId="0" borderId="0" xfId="0" applyNumberFormat="1" applyFill="1"/>
    <xf numFmtId="0" fontId="12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15" fontId="1" fillId="0" borderId="0" xfId="0" applyNumberFormat="1" applyFont="1" applyFill="1" applyAlignment="1">
      <alignment horizontal="center"/>
    </xf>
    <xf numFmtId="0" fontId="15" fillId="0" borderId="0" xfId="0" applyFont="1" applyFill="1" applyAlignment="1"/>
    <xf numFmtId="0" fontId="16" fillId="0" borderId="0" xfId="0" applyFont="1" applyFill="1"/>
    <xf numFmtId="0" fontId="16" fillId="0" borderId="0" xfId="0" applyFont="1" applyFill="1" applyAlignment="1">
      <alignment horizontal="center"/>
    </xf>
    <xf numFmtId="3" fontId="16" fillId="0" borderId="0" xfId="0" applyNumberFormat="1" applyFont="1" applyFill="1"/>
    <xf numFmtId="0" fontId="6" fillId="0" borderId="0" xfId="0" applyFont="1" applyFill="1" applyBorder="1"/>
    <xf numFmtId="1" fontId="1" fillId="0" borderId="0" xfId="0" applyNumberFormat="1" applyFont="1" applyFill="1"/>
    <xf numFmtId="3" fontId="1" fillId="0" borderId="0" xfId="0" applyNumberFormat="1" applyFont="1" applyFill="1" applyAlignment="1">
      <alignment horizontal="right"/>
    </xf>
    <xf numFmtId="0" fontId="3" fillId="0" borderId="0" xfId="0" applyFont="1" applyFill="1" applyBorder="1" applyAlignment="1">
      <alignment horizontal="center"/>
    </xf>
    <xf numFmtId="171" fontId="0" fillId="0" borderId="0" xfId="0" applyNumberFormat="1" applyFill="1" applyAlignment="1">
      <alignment horizontal="right"/>
    </xf>
    <xf numFmtId="171" fontId="0" fillId="0" borderId="0" xfId="0" applyNumberFormat="1" applyFill="1" applyAlignment="1"/>
    <xf numFmtId="167" fontId="1" fillId="0" borderId="1" xfId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horizontal="right"/>
    </xf>
    <xf numFmtId="171" fontId="1" fillId="0" borderId="0" xfId="0" applyNumberFormat="1" applyFont="1" applyFill="1" applyAlignment="1">
      <alignment horizontal="right"/>
    </xf>
    <xf numFmtId="0" fontId="1" fillId="0" borderId="0" xfId="0" applyFont="1" applyFill="1" applyBorder="1"/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/>
    <xf numFmtId="3" fontId="1" fillId="0" borderId="1" xfId="0" applyNumberFormat="1" applyFont="1" applyFill="1" applyBorder="1"/>
    <xf numFmtId="167" fontId="1" fillId="0" borderId="0" xfId="1" applyFont="1" applyFill="1"/>
    <xf numFmtId="10" fontId="1" fillId="0" borderId="0" xfId="2" applyNumberFormat="1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0" fontId="1" fillId="2" borderId="0" xfId="0" applyNumberFormat="1" applyFont="1" applyFill="1"/>
    <xf numFmtId="1" fontId="1" fillId="2" borderId="0" xfId="0" applyNumberFormat="1" applyFont="1" applyFill="1"/>
    <xf numFmtId="1" fontId="1" fillId="0" borderId="0" xfId="0" applyNumberFormat="1" applyFont="1" applyBorder="1"/>
    <xf numFmtId="167" fontId="1" fillId="0" borderId="0" xfId="0" applyNumberFormat="1" applyFont="1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vertical="top"/>
    </xf>
    <xf numFmtId="168" fontId="0" fillId="0" borderId="0" xfId="0" applyNumberFormat="1" applyFill="1"/>
    <xf numFmtId="167" fontId="1" fillId="0" borderId="1" xfId="4" applyNumberFormat="1" applyFont="1" applyFill="1" applyBorder="1"/>
    <xf numFmtId="167" fontId="1" fillId="0" borderId="0" xfId="0" applyNumberFormat="1" applyFont="1" applyFill="1"/>
    <xf numFmtId="167" fontId="1" fillId="0" borderId="0" xfId="0" applyNumberFormat="1" applyFont="1" applyFill="1" applyBorder="1"/>
    <xf numFmtId="37" fontId="1" fillId="0" borderId="0" xfId="0" applyNumberFormat="1" applyFont="1" applyFill="1" applyBorder="1"/>
    <xf numFmtId="3" fontId="1" fillId="0" borderId="0" xfId="1" applyNumberFormat="1" applyFont="1" applyFill="1" applyBorder="1"/>
    <xf numFmtId="167" fontId="1" fillId="0" borderId="3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5" applyFont="1" applyFill="1"/>
    <xf numFmtId="0" fontId="1" fillId="0" borderId="0" xfId="5" applyFont="1" applyFill="1" applyAlignment="1">
      <alignment horizontal="left" indent="1"/>
    </xf>
    <xf numFmtId="0" fontId="18" fillId="0" borderId="0" xfId="5" applyFont="1" applyFill="1" applyBorder="1"/>
    <xf numFmtId="3" fontId="1" fillId="0" borderId="0" xfId="5" applyNumberFormat="1" applyFill="1"/>
    <xf numFmtId="3" fontId="1" fillId="0" borderId="0" xfId="5" applyNumberFormat="1" applyFont="1" applyFill="1"/>
    <xf numFmtId="0" fontId="1" fillId="0" borderId="0" xfId="0" applyFont="1" applyFill="1" applyAlignment="1">
      <alignment horizontal="right"/>
    </xf>
    <xf numFmtId="167" fontId="1" fillId="0" borderId="4" xfId="1" applyFont="1" applyFill="1" applyBorder="1"/>
    <xf numFmtId="167" fontId="1" fillId="0" borderId="3" xfId="1" applyFont="1" applyFill="1" applyBorder="1"/>
    <xf numFmtId="0" fontId="1" fillId="0" borderId="0" xfId="0" applyFont="1" applyFill="1" applyBorder="1" applyAlignment="1">
      <alignment horizontal="left" wrapText="1"/>
    </xf>
    <xf numFmtId="0" fontId="13" fillId="0" borderId="0" xfId="0" applyFont="1" applyFill="1"/>
    <xf numFmtId="165" fontId="1" fillId="0" borderId="0" xfId="1" applyNumberFormat="1" applyFont="1" applyFill="1"/>
    <xf numFmtId="165" fontId="1" fillId="0" borderId="0" xfId="1" applyNumberFormat="1" applyFont="1" applyFill="1" applyBorder="1"/>
    <xf numFmtId="0" fontId="9" fillId="0" borderId="0" xfId="0" applyFont="1" applyFill="1"/>
    <xf numFmtId="165" fontId="1" fillId="0" borderId="3" xfId="1" applyNumberFormat="1" applyFont="1" applyFill="1" applyBorder="1"/>
    <xf numFmtId="167" fontId="2" fillId="0" borderId="0" xfId="0" applyNumberFormat="1" applyFont="1" applyFill="1"/>
    <xf numFmtId="167" fontId="2" fillId="0" borderId="0" xfId="0" applyNumberFormat="1" applyFont="1" applyFill="1" applyBorder="1"/>
    <xf numFmtId="167" fontId="0" fillId="0" borderId="0" xfId="1" applyFont="1" applyFill="1"/>
    <xf numFmtId="167" fontId="0" fillId="0" borderId="0" xfId="0" applyNumberFormat="1" applyFill="1"/>
    <xf numFmtId="167" fontId="0" fillId="0" borderId="0" xfId="0" applyNumberFormat="1" applyFill="1" applyBorder="1"/>
    <xf numFmtId="10" fontId="0" fillId="0" borderId="1" xfId="0" applyNumberFormat="1" applyFill="1" applyBorder="1"/>
    <xf numFmtId="10" fontId="0" fillId="0" borderId="0" xfId="0" applyNumberFormat="1" applyFill="1" applyBorder="1"/>
    <xf numFmtId="167" fontId="0" fillId="0" borderId="0" xfId="1" applyFont="1" applyFill="1" applyBorder="1"/>
    <xf numFmtId="167" fontId="0" fillId="0" borderId="1" xfId="1" applyFont="1" applyFill="1" applyBorder="1"/>
    <xf numFmtId="167" fontId="0" fillId="0" borderId="3" xfId="0" applyNumberFormat="1" applyFill="1" applyBorder="1"/>
    <xf numFmtId="10" fontId="0" fillId="0" borderId="0" xfId="0" applyNumberFormat="1" applyFill="1"/>
    <xf numFmtId="1" fontId="1" fillId="0" borderId="0" xfId="0" applyNumberFormat="1" applyFont="1" applyFill="1" applyBorder="1"/>
    <xf numFmtId="10" fontId="1" fillId="0" borderId="0" xfId="0" applyNumberFormat="1" applyFont="1" applyFill="1"/>
    <xf numFmtId="10" fontId="1" fillId="0" borderId="0" xfId="0" applyNumberFormat="1" applyFont="1" applyFill="1" applyBorder="1"/>
    <xf numFmtId="165" fontId="1" fillId="0" borderId="0" xfId="0" applyNumberFormat="1" applyFont="1" applyFill="1"/>
    <xf numFmtId="0" fontId="4" fillId="0" borderId="0" xfId="0" applyFont="1" applyFill="1"/>
    <xf numFmtId="3" fontId="0" fillId="0" borderId="0" xfId="0" applyNumberFormat="1" applyFill="1" applyAlignment="1">
      <alignment horizontal="center"/>
    </xf>
    <xf numFmtId="3" fontId="2" fillId="0" borderId="1" xfId="0" applyNumberFormat="1" applyFont="1" applyFill="1" applyBorder="1" applyAlignment="1">
      <alignment horizontal="center" wrapText="1"/>
    </xf>
    <xf numFmtId="3" fontId="0" fillId="0" borderId="1" xfId="0" applyNumberFormat="1" applyFill="1" applyBorder="1"/>
    <xf numFmtId="3" fontId="4" fillId="0" borderId="0" xfId="0" applyNumberFormat="1" applyFont="1" applyFill="1"/>
    <xf numFmtId="3" fontId="0" fillId="0" borderId="3" xfId="0" applyNumberFormat="1" applyFill="1" applyBorder="1"/>
    <xf numFmtId="10" fontId="0" fillId="0" borderId="3" xfId="0" applyNumberFormat="1" applyFill="1" applyBorder="1"/>
    <xf numFmtId="3" fontId="0" fillId="0" borderId="0" xfId="1" applyNumberFormat="1" applyFont="1" applyFill="1"/>
    <xf numFmtId="3" fontId="0" fillId="0" borderId="1" xfId="1" applyNumberFormat="1" applyFont="1" applyFill="1" applyBorder="1"/>
    <xf numFmtId="3" fontId="0" fillId="0" borderId="3" xfId="1" applyNumberFormat="1" applyFont="1" applyFill="1" applyBorder="1"/>
    <xf numFmtId="3" fontId="0" fillId="0" borderId="0" xfId="0" applyNumberFormat="1" applyFill="1" applyBorder="1"/>
    <xf numFmtId="169" fontId="0" fillId="0" borderId="0" xfId="0" applyNumberFormat="1" applyFill="1" applyBorder="1"/>
    <xf numFmtId="168" fontId="0" fillId="0" borderId="1" xfId="0" applyNumberFormat="1" applyFill="1" applyBorder="1"/>
    <xf numFmtId="168" fontId="0" fillId="0" borderId="3" xfId="0" applyNumberFormat="1" applyFill="1" applyBorder="1"/>
    <xf numFmtId="173" fontId="15" fillId="0" borderId="0" xfId="0" applyNumberFormat="1" applyFont="1" applyFill="1"/>
    <xf numFmtId="168" fontId="0" fillId="0" borderId="0" xfId="0" applyNumberFormat="1" applyFill="1" applyAlignment="1">
      <alignment horizontal="center"/>
    </xf>
    <xf numFmtId="168" fontId="2" fillId="0" borderId="1" xfId="0" applyNumberFormat="1" applyFont="1" applyFill="1" applyBorder="1" applyAlignment="1">
      <alignment horizontal="center" wrapText="1"/>
    </xf>
    <xf numFmtId="0" fontId="7" fillId="0" borderId="0" xfId="0" applyFont="1" applyFill="1"/>
    <xf numFmtId="3" fontId="1" fillId="0" borderId="4" xfId="0" applyNumberFormat="1" applyFont="1" applyFill="1" applyBorder="1"/>
    <xf numFmtId="3" fontId="1" fillId="0" borderId="4" xfId="1" applyNumberFormat="1" applyFont="1" applyFill="1" applyBorder="1"/>
    <xf numFmtId="38" fontId="1" fillId="0" borderId="0" xfId="0" applyNumberFormat="1" applyFont="1" applyFill="1"/>
    <xf numFmtId="38" fontId="1" fillId="0" borderId="0" xfId="0" applyNumberFormat="1" applyFont="1" applyFill="1" applyBorder="1"/>
    <xf numFmtId="165" fontId="1" fillId="0" borderId="0" xfId="0" applyNumberFormat="1" applyFont="1" applyFill="1" applyBorder="1"/>
    <xf numFmtId="166" fontId="1" fillId="0" borderId="0" xfId="0" applyNumberFormat="1" applyFont="1" applyFill="1"/>
    <xf numFmtId="166" fontId="1" fillId="0" borderId="0" xfId="0" applyNumberFormat="1" applyFont="1" applyFill="1" applyBorder="1"/>
    <xf numFmtId="0" fontId="1" fillId="0" borderId="0" xfId="0" applyFont="1" applyFill="1" applyAlignment="1">
      <alignment horizontal="left"/>
    </xf>
    <xf numFmtId="167" fontId="1" fillId="0" borderId="0" xfId="4" applyNumberFormat="1" applyFont="1" applyFill="1"/>
    <xf numFmtId="167" fontId="1" fillId="0" borderId="0" xfId="3" applyNumberFormat="1" applyFont="1" applyFill="1" applyBorder="1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left" vertical="top" wrapText="1"/>
    </xf>
    <xf numFmtId="0" fontId="10" fillId="0" borderId="0" xfId="0" applyFont="1" applyFill="1"/>
    <xf numFmtId="0" fontId="11" fillId="0" borderId="0" xfId="0" applyFont="1" applyFill="1" applyAlignment="1">
      <alignment horizontal="left"/>
    </xf>
    <xf numFmtId="0" fontId="8" fillId="0" borderId="0" xfId="0" applyFont="1" applyFill="1"/>
    <xf numFmtId="170" fontId="1" fillId="0" borderId="0" xfId="0" applyNumberFormat="1" applyFont="1" applyFill="1"/>
    <xf numFmtId="172" fontId="1" fillId="0" borderId="0" xfId="0" applyNumberFormat="1" applyFont="1" applyFill="1"/>
    <xf numFmtId="2" fontId="1" fillId="0" borderId="0" xfId="0" applyNumberFormat="1" applyFont="1" applyFill="1"/>
    <xf numFmtId="3" fontId="1" fillId="0" borderId="2" xfId="0" applyNumberFormat="1" applyFont="1" applyFill="1" applyBorder="1"/>
    <xf numFmtId="3" fontId="4" fillId="0" borderId="0" xfId="0" applyNumberFormat="1" applyFont="1" applyFill="1" applyBorder="1"/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left"/>
    </xf>
    <xf numFmtId="3" fontId="2" fillId="0" borderId="0" xfId="0" applyNumberFormat="1" applyFont="1" applyFill="1" applyBorder="1"/>
    <xf numFmtId="0" fontId="0" fillId="0" borderId="0" xfId="0" applyFill="1" applyAlignment="1"/>
    <xf numFmtId="0" fontId="5" fillId="0" borderId="0" xfId="0" applyFont="1" applyFill="1" applyAlignment="1"/>
    <xf numFmtId="37" fontId="0" fillId="0" borderId="0" xfId="0" applyNumberFormat="1" applyFill="1" applyBorder="1"/>
    <xf numFmtId="3" fontId="1" fillId="0" borderId="3" xfId="0" applyNumberFormat="1" applyFont="1" applyFill="1" applyBorder="1"/>
    <xf numFmtId="3" fontId="6" fillId="0" borderId="0" xfId="0" applyNumberFormat="1" applyFont="1" applyFill="1" applyBorder="1"/>
    <xf numFmtId="1" fontId="6" fillId="0" borderId="0" xfId="0" applyNumberFormat="1" applyFont="1" applyFill="1" applyBorder="1"/>
    <xf numFmtId="37" fontId="6" fillId="0" borderId="1" xfId="0" applyNumberFormat="1" applyFont="1" applyFill="1" applyBorder="1"/>
    <xf numFmtId="37" fontId="6" fillId="0" borderId="0" xfId="0" applyNumberFormat="1" applyFont="1" applyFill="1" applyBorder="1"/>
    <xf numFmtId="0" fontId="0" fillId="0" borderId="0" xfId="0" applyFill="1" applyAlignment="1">
      <alignment horizontal="left" vertical="top" wrapText="1"/>
    </xf>
    <xf numFmtId="1" fontId="0" fillId="0" borderId="0" xfId="0" applyNumberFormat="1" applyFill="1"/>
    <xf numFmtId="3" fontId="0" fillId="0" borderId="0" xfId="0" applyNumberFormat="1" applyFill="1" applyAlignment="1">
      <alignment vertical="top" wrapText="1"/>
    </xf>
    <xf numFmtId="164" fontId="0" fillId="0" borderId="0" xfId="0" applyNumberFormat="1" applyFill="1"/>
    <xf numFmtId="38" fontId="0" fillId="0" borderId="0" xfId="0" applyNumberFormat="1" applyFill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9" fontId="1" fillId="0" borderId="0" xfId="2" applyFont="1" applyFill="1"/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center"/>
    </xf>
    <xf numFmtId="167" fontId="1" fillId="0" borderId="0" xfId="1" applyFont="1" applyFill="1" applyAlignment="1">
      <alignment horizontal="center" vertical="center"/>
    </xf>
    <xf numFmtId="167" fontId="1" fillId="0" borderId="0" xfId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167" fontId="1" fillId="0" borderId="0" xfId="1" applyFont="1" applyFill="1" applyAlignment="1">
      <alignment vertical="center"/>
    </xf>
    <xf numFmtId="167" fontId="1" fillId="0" borderId="0" xfId="1" applyFont="1" applyFill="1" applyBorder="1" applyAlignment="1">
      <alignment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168" fontId="0" fillId="0" borderId="0" xfId="0" applyNumberFormat="1" applyFill="1" applyBorder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3" fontId="2" fillId="0" borderId="0" xfId="0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0" fontId="1" fillId="0" borderId="0" xfId="2" applyNumberFormat="1" applyFont="1" applyFill="1"/>
    <xf numFmtId="172" fontId="1" fillId="0" borderId="0" xfId="5" applyNumberFormat="1" applyFont="1" applyFill="1"/>
    <xf numFmtId="10" fontId="0" fillId="0" borderId="1" xfId="2" applyNumberFormat="1" applyFont="1" applyFill="1" applyBorder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vertical="top" wrapText="1"/>
    </xf>
    <xf numFmtId="49" fontId="1" fillId="0" borderId="0" xfId="0" applyNumberFormat="1" applyFont="1" applyFill="1" applyAlignment="1">
      <alignment horizontal="center"/>
    </xf>
    <xf numFmtId="0" fontId="19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top" wrapText="1"/>
    </xf>
  </cellXfs>
  <cellStyles count="6">
    <cellStyle name="Accent2" xfId="4" builtinId="33"/>
    <cellStyle name="Accent4" xfId="3" builtinId="41"/>
    <cellStyle name="Comma" xfId="1" builtinId="3"/>
    <cellStyle name="Normal" xfId="0" builtinId="0"/>
    <cellStyle name="Normal 2" xfId="5"/>
    <cellStyle name="Percent" xfId="2" builtinId="5"/>
  </cellStyles>
  <dxfs count="1">
    <dxf>
      <font>
        <color theme="0"/>
      </font>
      <numFmt numFmtId="2" formatCode="0.00"/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P29"/>
  <sheetViews>
    <sheetView tabSelected="1" view="pageBreakPreview" zoomScale="115" zoomScaleSheetLayoutView="115" workbookViewId="0">
      <selection activeCell="F3" sqref="F3"/>
    </sheetView>
  </sheetViews>
  <sheetFormatPr defaultRowHeight="12.75" x14ac:dyDescent="0.2"/>
  <cols>
    <col min="1" max="1" width="6.7109375" customWidth="1"/>
    <col min="2" max="2" width="9.140625" style="5"/>
    <col min="11" max="11" width="6.5703125" customWidth="1"/>
    <col min="12" max="12" width="4.5703125" customWidth="1"/>
  </cols>
  <sheetData>
    <row r="1" spans="2:16" ht="15.75" x14ac:dyDescent="0.25">
      <c r="D1" s="4"/>
      <c r="F1" s="6" t="s">
        <v>269</v>
      </c>
    </row>
    <row r="2" spans="2:16" x14ac:dyDescent="0.2">
      <c r="D2" s="4"/>
      <c r="E2" s="7"/>
      <c r="F2" s="185" t="s">
        <v>270</v>
      </c>
      <c r="G2" s="7"/>
    </row>
    <row r="3" spans="2:16" x14ac:dyDescent="0.2">
      <c r="D3" s="4"/>
      <c r="F3" s="34"/>
    </row>
    <row r="4" spans="2:16" ht="18" x14ac:dyDescent="0.25">
      <c r="F4" s="32" t="s">
        <v>38</v>
      </c>
    </row>
    <row r="6" spans="2:16" x14ac:dyDescent="0.2">
      <c r="B6" s="5">
        <v>1</v>
      </c>
      <c r="D6" t="str">
        <f>'Schedule 1'!A2</f>
        <v>Computation of Rate Base</v>
      </c>
    </row>
    <row r="8" spans="2:16" x14ac:dyDescent="0.2">
      <c r="B8" s="5">
        <v>2</v>
      </c>
      <c r="D8" t="str">
        <f>'Schedule 2'!A2</f>
        <v>Computation of Allowance for Working Capital</v>
      </c>
    </row>
    <row r="9" spans="2:16" x14ac:dyDescent="0.2">
      <c r="B9" s="5" t="s">
        <v>39</v>
      </c>
      <c r="D9" t="str">
        <f>'Schedule 2A'!A2</f>
        <v>Effect of GST on Working Capital</v>
      </c>
    </row>
    <row r="11" spans="2:16" x14ac:dyDescent="0.2">
      <c r="B11" s="5">
        <v>3</v>
      </c>
      <c r="D11" t="str">
        <f>'Schedule 3'!A2</f>
        <v>Continuity Schedule of Property, Plant and Equipment</v>
      </c>
    </row>
    <row r="12" spans="2:16" x14ac:dyDescent="0.2">
      <c r="B12" s="8"/>
      <c r="C12" s="7"/>
      <c r="D12" s="7"/>
      <c r="E12" s="7"/>
      <c r="F12" s="7"/>
      <c r="G12" s="7"/>
      <c r="H12" s="7"/>
      <c r="K12" s="3"/>
      <c r="L12" s="3"/>
      <c r="M12" s="3"/>
      <c r="N12" s="3"/>
      <c r="O12" s="3"/>
      <c r="P12" s="3"/>
    </row>
    <row r="13" spans="2:16" x14ac:dyDescent="0.2">
      <c r="B13" s="8" t="s">
        <v>40</v>
      </c>
      <c r="C13" s="7"/>
      <c r="D13" s="7" t="s">
        <v>236</v>
      </c>
      <c r="E13" s="7"/>
      <c r="F13" s="7"/>
      <c r="G13" s="7"/>
      <c r="H13" s="7"/>
      <c r="I13" s="7"/>
      <c r="J13" s="7"/>
      <c r="K13" s="3"/>
      <c r="L13" s="3"/>
      <c r="M13" s="3"/>
      <c r="N13" s="3"/>
      <c r="O13" s="3"/>
      <c r="P13" s="3"/>
    </row>
    <row r="14" spans="2:16" x14ac:dyDescent="0.2">
      <c r="B14" s="8" t="s">
        <v>41</v>
      </c>
      <c r="C14" s="7"/>
      <c r="D14" s="7" t="s">
        <v>266</v>
      </c>
      <c r="E14" s="7"/>
      <c r="F14" s="7"/>
      <c r="G14" s="7"/>
      <c r="H14" s="7"/>
      <c r="I14" s="7"/>
      <c r="J14" s="7"/>
      <c r="K14" s="3"/>
      <c r="L14" s="3"/>
      <c r="M14" s="3"/>
      <c r="N14" s="3"/>
      <c r="O14" s="3"/>
      <c r="P14" s="3"/>
    </row>
    <row r="15" spans="2:16" x14ac:dyDescent="0.2">
      <c r="B15" s="8" t="s">
        <v>42</v>
      </c>
      <c r="C15" s="7"/>
      <c r="D15" s="7" t="s">
        <v>237</v>
      </c>
      <c r="E15" s="7"/>
      <c r="F15" s="7"/>
      <c r="G15" s="7"/>
      <c r="H15" s="7"/>
      <c r="I15" s="7"/>
      <c r="J15" s="7"/>
      <c r="K15" s="3"/>
      <c r="L15" s="3"/>
      <c r="M15" s="3"/>
      <c r="N15" s="3"/>
      <c r="O15" s="3"/>
      <c r="P15" s="3"/>
    </row>
    <row r="16" spans="2:16" x14ac:dyDescent="0.2">
      <c r="B16" s="8"/>
      <c r="C16" s="7"/>
      <c r="D16" s="7"/>
      <c r="E16" s="7"/>
      <c r="F16" s="7"/>
      <c r="G16" s="7"/>
      <c r="H16" s="7"/>
      <c r="K16" s="3"/>
    </row>
    <row r="17" spans="2:4" x14ac:dyDescent="0.2">
      <c r="B17" s="5">
        <v>5</v>
      </c>
      <c r="D17" t="str">
        <f>'Schedule 5'!A2</f>
        <v>Utility Revenue Requirement</v>
      </c>
    </row>
    <row r="19" spans="2:4" x14ac:dyDescent="0.2">
      <c r="B19" s="5">
        <v>6</v>
      </c>
      <c r="D19" t="str">
        <f>'Schedule 6'!A2</f>
        <v>Statement of Earnings</v>
      </c>
    </row>
    <row r="21" spans="2:4" x14ac:dyDescent="0.2">
      <c r="B21" s="5">
        <v>7</v>
      </c>
      <c r="D21" t="str">
        <f>'Schedule 7'!A2</f>
        <v>Statement of Retained Earnings</v>
      </c>
    </row>
    <row r="23" spans="2:4" x14ac:dyDescent="0.2">
      <c r="B23" s="5">
        <v>8</v>
      </c>
      <c r="D23" t="str">
        <f>'Schedule 8'!A2</f>
        <v>Reconciliation of Utility Income to Net Earnings</v>
      </c>
    </row>
    <row r="25" spans="2:4" x14ac:dyDescent="0.2">
      <c r="B25" s="5">
        <v>9</v>
      </c>
      <c r="D25" t="str">
        <f>'Schedule 9'!A2</f>
        <v>Summary of Customers, Energy Sales and Revenues</v>
      </c>
    </row>
    <row r="27" spans="2:4" x14ac:dyDescent="0.2">
      <c r="B27" s="5">
        <f>B25+1</f>
        <v>10</v>
      </c>
      <c r="D27" t="str">
        <f>'Schedule 10'!A2</f>
        <v>Summary of Operating and Maintenance Expenses</v>
      </c>
    </row>
    <row r="29" spans="2:4" x14ac:dyDescent="0.2">
      <c r="B29" s="5">
        <f>B27+1</f>
        <v>11</v>
      </c>
      <c r="D29" t="str">
        <f>'Schedule 11'!A2</f>
        <v>Summary of Cost of Long - Term Debt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9" tint="0.39997558519241921"/>
    <pageSetUpPr fitToPage="1"/>
  </sheetPr>
  <dimension ref="A1:AA26"/>
  <sheetViews>
    <sheetView view="pageBreakPreview" zoomScaleSheetLayoutView="100" workbookViewId="0">
      <selection activeCell="L35" sqref="L35"/>
    </sheetView>
  </sheetViews>
  <sheetFormatPr defaultRowHeight="12.75" x14ac:dyDescent="0.2"/>
  <cols>
    <col min="1" max="1" width="5.28515625" style="21" customWidth="1"/>
    <col min="2" max="2" width="1.85546875" style="21" customWidth="1"/>
    <col min="3" max="3" width="32" style="21" customWidth="1"/>
    <col min="4" max="4" width="1.85546875" style="21" customWidth="1"/>
    <col min="5" max="5" width="9.140625" style="47"/>
    <col min="6" max="6" width="1.85546875" style="21" customWidth="1"/>
    <col min="7" max="7" width="10.7109375" style="21" customWidth="1"/>
    <col min="8" max="12" width="9.42578125" style="21" customWidth="1"/>
    <col min="13" max="13" width="1.42578125" style="51" customWidth="1"/>
    <col min="14" max="14" width="10.42578125" style="21" customWidth="1"/>
    <col min="15" max="16384" width="9.140625" style="21"/>
  </cols>
  <sheetData>
    <row r="1" spans="1:27" ht="15.75" x14ac:dyDescent="0.25">
      <c r="A1" s="173" t="s">
        <v>269</v>
      </c>
      <c r="N1" s="78" t="s">
        <v>20</v>
      </c>
    </row>
    <row r="2" spans="1:27" x14ac:dyDescent="0.2">
      <c r="A2" s="174" t="s">
        <v>22</v>
      </c>
      <c r="N2" s="50" t="str">
        <f>Index!F2</f>
        <v>February 25, 2019</v>
      </c>
    </row>
    <row r="3" spans="1:27" x14ac:dyDescent="0.2">
      <c r="A3" s="174" t="s">
        <v>7</v>
      </c>
    </row>
    <row r="6" spans="1:27" s="47" customFormat="1" x14ac:dyDescent="0.2">
      <c r="G6" s="72"/>
      <c r="H6" s="72"/>
      <c r="I6" s="72"/>
      <c r="J6" s="72"/>
      <c r="K6" s="72"/>
      <c r="L6" s="72"/>
      <c r="M6" s="72"/>
      <c r="N6" s="187" t="s">
        <v>3</v>
      </c>
    </row>
    <row r="7" spans="1:27" s="16" customFormat="1" ht="25.5" x14ac:dyDescent="0.2">
      <c r="A7" s="15" t="s">
        <v>0</v>
      </c>
      <c r="C7" s="15" t="s">
        <v>1</v>
      </c>
      <c r="E7" s="15" t="s">
        <v>2</v>
      </c>
      <c r="G7" s="15" t="s">
        <v>227</v>
      </c>
      <c r="H7" s="15" t="s">
        <v>228</v>
      </c>
      <c r="I7" s="15" t="s">
        <v>229</v>
      </c>
      <c r="J7" s="15" t="s">
        <v>230</v>
      </c>
      <c r="K7" s="15" t="s">
        <v>261</v>
      </c>
      <c r="L7" s="15" t="str">
        <f>'Schedule 1'!$L$10</f>
        <v>Proposed 2017</v>
      </c>
      <c r="M7" s="26"/>
      <c r="N7" s="15" t="str">
        <f>'Schedule 1'!$N$10</f>
        <v>Proposed 2018</v>
      </c>
    </row>
    <row r="9" spans="1:27" x14ac:dyDescent="0.2">
      <c r="A9" s="21">
        <v>1</v>
      </c>
      <c r="C9" s="21" t="s">
        <v>193</v>
      </c>
      <c r="E9" s="47" t="s">
        <v>37</v>
      </c>
      <c r="G9" s="55">
        <f>'Schedule 5'!G13</f>
        <v>12347.92850706969</v>
      </c>
      <c r="H9" s="55">
        <f>'Schedule 5'!H13</f>
        <v>11138.051682934969</v>
      </c>
      <c r="I9" s="55">
        <f>'Schedule 5'!I13</f>
        <v>11938.24906430284</v>
      </c>
      <c r="J9" s="55">
        <f>'Schedule 5'!J13</f>
        <v>10828.862002841832</v>
      </c>
      <c r="K9" s="55">
        <f>'Schedule 5'!K13</f>
        <v>12241.758692717751</v>
      </c>
      <c r="L9" s="55">
        <f>'Schedule 5'!L13</f>
        <v>13441.970872006525</v>
      </c>
      <c r="M9" s="27"/>
      <c r="N9" s="128">
        <f>'Schedule 5'!N13</f>
        <v>13850.240943147473</v>
      </c>
      <c r="R9" s="67"/>
      <c r="S9" s="67"/>
      <c r="T9" s="67"/>
      <c r="U9" s="67"/>
      <c r="V9" s="67"/>
      <c r="W9" s="67"/>
      <c r="X9" s="67"/>
      <c r="Y9" s="67"/>
      <c r="Z9" s="67"/>
      <c r="AA9" s="67"/>
    </row>
    <row r="10" spans="1:27" x14ac:dyDescent="0.2">
      <c r="G10" s="55"/>
      <c r="H10" s="55"/>
      <c r="I10" s="55"/>
      <c r="J10" s="55"/>
      <c r="K10" s="55"/>
      <c r="L10" s="55"/>
      <c r="M10" s="27"/>
      <c r="N10" s="55"/>
      <c r="R10" s="67"/>
      <c r="S10" s="67"/>
      <c r="T10" s="67"/>
      <c r="U10" s="67"/>
      <c r="V10" s="67"/>
      <c r="W10" s="67"/>
      <c r="X10" s="67"/>
      <c r="Y10" s="67"/>
      <c r="Z10" s="67"/>
      <c r="AA10" s="67"/>
    </row>
    <row r="11" spans="1:27" x14ac:dyDescent="0.2">
      <c r="C11" s="21" t="s">
        <v>47</v>
      </c>
      <c r="G11" s="55"/>
      <c r="H11" s="55"/>
      <c r="I11" s="55"/>
      <c r="J11" s="55"/>
      <c r="K11" s="55"/>
      <c r="L11" s="55"/>
      <c r="M11" s="27"/>
      <c r="N11" s="55"/>
      <c r="R11" s="67"/>
      <c r="S11" s="67"/>
      <c r="T11" s="67"/>
      <c r="U11" s="67"/>
      <c r="V11" s="67"/>
      <c r="W11" s="67"/>
      <c r="X11" s="67"/>
      <c r="Y11" s="67"/>
      <c r="Z11" s="67"/>
      <c r="AA11" s="67"/>
    </row>
    <row r="12" spans="1:27" x14ac:dyDescent="0.2">
      <c r="A12" s="21">
        <v>2</v>
      </c>
      <c r="C12" s="130" t="s">
        <v>144</v>
      </c>
      <c r="E12" s="47" t="s">
        <v>244</v>
      </c>
      <c r="G12" s="55">
        <f>'Schedule 6'!G24</f>
        <v>500</v>
      </c>
      <c r="H12" s="55">
        <f>'Schedule 6'!H24</f>
        <v>926.82899999999995</v>
      </c>
      <c r="I12" s="55">
        <f>'Schedule 6'!I24</f>
        <v>1188</v>
      </c>
      <c r="J12" s="55">
        <f>'Schedule 6'!J24</f>
        <v>714</v>
      </c>
      <c r="K12" s="55">
        <f>'Schedule 6'!K24</f>
        <v>819.38300000000004</v>
      </c>
      <c r="L12" s="55">
        <f>'Schedule 6'!L24</f>
        <v>465.60369999999995</v>
      </c>
      <c r="M12" s="27"/>
      <c r="N12" s="55">
        <f>'Schedule 6'!N24</f>
        <v>542.43396758909967</v>
      </c>
      <c r="R12" s="67"/>
      <c r="S12" s="67"/>
      <c r="T12" s="67"/>
      <c r="U12" s="67"/>
      <c r="V12" s="67"/>
      <c r="W12" s="67"/>
      <c r="X12" s="67"/>
      <c r="Y12" s="67"/>
      <c r="Z12" s="67"/>
      <c r="AA12" s="67"/>
    </row>
    <row r="13" spans="1:27" x14ac:dyDescent="0.2">
      <c r="A13" s="21">
        <v>3</v>
      </c>
      <c r="C13" s="21" t="s">
        <v>150</v>
      </c>
      <c r="E13" s="47" t="s">
        <v>166</v>
      </c>
      <c r="G13" s="45">
        <f>'Schedule 6'!G25</f>
        <v>-22.602739726027398</v>
      </c>
      <c r="H13" s="45">
        <f>'Schedule 6'!H25</f>
        <v>-491.928</v>
      </c>
      <c r="I13" s="45">
        <f>'Schedule 6'!I25</f>
        <v>-86.138009374510673</v>
      </c>
      <c r="J13" s="45">
        <f>'Schedule 6'!J25</f>
        <v>-97.515433072998192</v>
      </c>
      <c r="K13" s="45">
        <f>'Schedule 6'!K25</f>
        <v>-1591.86</v>
      </c>
      <c r="L13" s="45">
        <f>'Schedule 6'!L25</f>
        <v>-284.56589221544886</v>
      </c>
      <c r="M13" s="27"/>
      <c r="N13" s="45">
        <f>'Schedule 6'!N25</f>
        <v>-514.86460431913849</v>
      </c>
      <c r="R13" s="67"/>
      <c r="S13" s="67"/>
      <c r="T13" s="67"/>
      <c r="U13" s="67"/>
      <c r="V13" s="67"/>
      <c r="W13" s="67"/>
      <c r="X13" s="67"/>
      <c r="Y13" s="67"/>
      <c r="Z13" s="67"/>
      <c r="AA13" s="67"/>
    </row>
    <row r="14" spans="1:27" x14ac:dyDescent="0.2">
      <c r="G14" s="45">
        <f t="shared" ref="G14:K14" si="0">SUM(G9:G13)</f>
        <v>12825.325767343662</v>
      </c>
      <c r="H14" s="45">
        <f t="shared" si="0"/>
        <v>11572.952682934969</v>
      </c>
      <c r="I14" s="45">
        <f t="shared" si="0"/>
        <v>13040.111054928329</v>
      </c>
      <c r="J14" s="45">
        <f t="shared" si="0"/>
        <v>11445.346569768833</v>
      </c>
      <c r="K14" s="45">
        <f t="shared" si="0"/>
        <v>11469.28169271775</v>
      </c>
      <c r="L14" s="45">
        <f t="shared" ref="L14" si="1">SUM(L9:L13)</f>
        <v>13623.008679791075</v>
      </c>
      <c r="M14" s="27"/>
      <c r="N14" s="45">
        <f>SUM(N9:N13)</f>
        <v>13877.810306417434</v>
      </c>
      <c r="R14" s="67"/>
      <c r="S14" s="67"/>
      <c r="T14" s="67"/>
      <c r="U14" s="67"/>
      <c r="V14" s="67"/>
      <c r="W14" s="67"/>
      <c r="X14" s="67"/>
      <c r="Y14" s="67"/>
      <c r="Z14" s="67"/>
      <c r="AA14" s="67"/>
    </row>
    <row r="15" spans="1:27" x14ac:dyDescent="0.2">
      <c r="R15" s="67"/>
      <c r="S15" s="67"/>
      <c r="T15" s="67"/>
      <c r="U15" s="67"/>
      <c r="V15" s="67"/>
      <c r="W15" s="67"/>
      <c r="X15" s="67"/>
      <c r="Y15" s="67"/>
      <c r="Z15" s="67"/>
      <c r="AA15" s="67"/>
    </row>
    <row r="16" spans="1:27" x14ac:dyDescent="0.2">
      <c r="C16" s="21" t="s">
        <v>112</v>
      </c>
      <c r="R16" s="67"/>
      <c r="S16" s="67"/>
      <c r="T16" s="67"/>
      <c r="U16" s="67"/>
      <c r="V16" s="67"/>
      <c r="W16" s="67"/>
      <c r="X16" s="67"/>
      <c r="Y16" s="67"/>
      <c r="Z16" s="67"/>
      <c r="AA16" s="67"/>
    </row>
    <row r="17" spans="1:27" x14ac:dyDescent="0.2">
      <c r="A17" s="21">
        <v>4</v>
      </c>
      <c r="C17" s="21" t="s">
        <v>116</v>
      </c>
      <c r="E17" s="47" t="s">
        <v>160</v>
      </c>
      <c r="G17" s="55">
        <f>'Schedule 6'!G29</f>
        <v>4917.2862240983786</v>
      </c>
      <c r="H17" s="55">
        <f>'Schedule 6'!H29</f>
        <v>4128</v>
      </c>
      <c r="I17" s="55">
        <f>'Schedule 6'!I29</f>
        <v>5225.342419175272</v>
      </c>
      <c r="J17" s="55">
        <f>'Schedule 6'!J29</f>
        <v>3662.4169507675865</v>
      </c>
      <c r="K17" s="55">
        <f>'Schedule 6'!K29</f>
        <v>3356</v>
      </c>
      <c r="L17" s="55">
        <f>'Schedule 6'!L29</f>
        <v>3880.0585452510518</v>
      </c>
      <c r="M17" s="27"/>
      <c r="N17" s="55">
        <f>'Schedule 6'!N29</f>
        <v>4431.4970682795647</v>
      </c>
      <c r="R17" s="67"/>
      <c r="S17" s="67"/>
      <c r="T17" s="67"/>
      <c r="U17" s="67"/>
      <c r="V17" s="67"/>
      <c r="W17" s="67"/>
      <c r="X17" s="67"/>
      <c r="Y17" s="67"/>
      <c r="Z17" s="67"/>
      <c r="AA17" s="67"/>
    </row>
    <row r="18" spans="1:27" x14ac:dyDescent="0.2">
      <c r="A18" s="21">
        <v>5</v>
      </c>
      <c r="C18" s="21" t="s">
        <v>117</v>
      </c>
      <c r="E18" s="47" t="s">
        <v>118</v>
      </c>
      <c r="G18" s="55">
        <f>-'Schedule 5'!G23</f>
        <v>85</v>
      </c>
      <c r="H18" s="55">
        <f>-'Schedule 5'!H23</f>
        <v>84.405000000000001</v>
      </c>
      <c r="I18" s="55">
        <f>-'Schedule 5'!I23</f>
        <v>85</v>
      </c>
      <c r="J18" s="55">
        <f>-'Schedule 5'!J23</f>
        <v>86</v>
      </c>
      <c r="K18" s="55">
        <f>-'Schedule 5'!K23</f>
        <v>95.414000000000001</v>
      </c>
      <c r="L18" s="55">
        <f>-'Schedule 5'!L23</f>
        <v>95.505719999999997</v>
      </c>
      <c r="M18" s="27"/>
      <c r="N18" s="55">
        <f>-'Schedule 5'!N23</f>
        <v>99.999999999999957</v>
      </c>
      <c r="R18" s="67"/>
      <c r="S18" s="67"/>
      <c r="T18" s="67"/>
      <c r="U18" s="67"/>
      <c r="V18" s="67"/>
      <c r="W18" s="67"/>
      <c r="X18" s="67"/>
      <c r="Y18" s="67"/>
      <c r="Z18" s="67"/>
      <c r="AA18" s="67"/>
    </row>
    <row r="19" spans="1:27" x14ac:dyDescent="0.2">
      <c r="A19" s="21">
        <v>6</v>
      </c>
      <c r="C19" s="21" t="s">
        <v>194</v>
      </c>
      <c r="E19" s="47" t="s">
        <v>164</v>
      </c>
      <c r="G19" s="129">
        <f>-'Schedule 5'!G24</f>
        <v>0</v>
      </c>
      <c r="H19" s="129">
        <f>-'Schedule 5'!H24</f>
        <v>0</v>
      </c>
      <c r="I19" s="129">
        <f>-'Schedule 5'!I24</f>
        <v>0</v>
      </c>
      <c r="J19" s="129">
        <f>-'Schedule 5'!J24</f>
        <v>0</v>
      </c>
      <c r="K19" s="129">
        <f>-'Schedule 5'!K24</f>
        <v>0</v>
      </c>
      <c r="L19" s="129">
        <f>-'Schedule 5'!L24</f>
        <v>0</v>
      </c>
      <c r="M19" s="129"/>
      <c r="N19" s="129">
        <f>-'Schedule 5'!N24</f>
        <v>0</v>
      </c>
      <c r="R19" s="67"/>
      <c r="S19" s="67"/>
      <c r="T19" s="67"/>
      <c r="U19" s="67"/>
      <c r="V19" s="67"/>
      <c r="W19" s="67"/>
      <c r="X19" s="67"/>
      <c r="Y19" s="67"/>
      <c r="Z19" s="67"/>
      <c r="AA19" s="67"/>
    </row>
    <row r="20" spans="1:27" x14ac:dyDescent="0.2">
      <c r="A20" s="21">
        <v>7</v>
      </c>
      <c r="C20" s="21" t="s">
        <v>101</v>
      </c>
      <c r="E20" s="47" t="s">
        <v>187</v>
      </c>
      <c r="G20" s="45">
        <f>-'Schedule 5'!G22</f>
        <v>16.278565</v>
      </c>
      <c r="H20" s="45">
        <f>-'Schedule 5'!H22</f>
        <v>16.278565</v>
      </c>
      <c r="I20" s="45">
        <f>-'Schedule 5'!I22</f>
        <v>16.278565</v>
      </c>
      <c r="J20" s="45">
        <f>-'Schedule 5'!J22</f>
        <v>16.278565</v>
      </c>
      <c r="K20" s="45">
        <f>-'Schedule 5'!K22</f>
        <v>16.278565</v>
      </c>
      <c r="L20" s="45">
        <f>-'Schedule 5'!L22</f>
        <v>181.751463</v>
      </c>
      <c r="M20" s="27"/>
      <c r="N20" s="45">
        <f>-'Schedule 5'!N22</f>
        <v>203.80146299999998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</row>
    <row r="21" spans="1:27" x14ac:dyDescent="0.2">
      <c r="G21" s="45">
        <f t="shared" ref="G21:K21" si="2">SUM(G17:G20)</f>
        <v>5018.5647890983782</v>
      </c>
      <c r="H21" s="45">
        <f t="shared" si="2"/>
        <v>4228.6835649999994</v>
      </c>
      <c r="I21" s="45">
        <f t="shared" si="2"/>
        <v>5326.6209841752716</v>
      </c>
      <c r="J21" s="45">
        <f t="shared" si="2"/>
        <v>3764.6955157675866</v>
      </c>
      <c r="K21" s="45">
        <f t="shared" si="2"/>
        <v>3467.6925650000003</v>
      </c>
      <c r="L21" s="45">
        <f t="shared" ref="L21" si="3">SUM(L17:L20)</f>
        <v>4157.315728251052</v>
      </c>
      <c r="M21" s="27"/>
      <c r="N21" s="45">
        <f>SUM(N17:N20)</f>
        <v>4735.2985312795645</v>
      </c>
      <c r="R21" s="67"/>
      <c r="S21" s="67"/>
      <c r="T21" s="67"/>
      <c r="U21" s="67"/>
      <c r="V21" s="67"/>
      <c r="W21" s="67"/>
      <c r="X21" s="67"/>
      <c r="Y21" s="67"/>
      <c r="Z21" s="67"/>
      <c r="AA21" s="67"/>
    </row>
    <row r="22" spans="1:27" x14ac:dyDescent="0.2">
      <c r="G22" s="98"/>
      <c r="H22" s="98"/>
      <c r="I22" s="98"/>
      <c r="J22" s="98"/>
      <c r="K22" s="98"/>
      <c r="L22" s="98"/>
      <c r="M22" s="98"/>
      <c r="N22" s="98"/>
      <c r="R22" s="67"/>
      <c r="S22" s="67"/>
      <c r="T22" s="67"/>
      <c r="U22" s="67"/>
      <c r="V22" s="67"/>
      <c r="W22" s="67"/>
      <c r="X22" s="67"/>
      <c r="Y22" s="67"/>
      <c r="Z22" s="67"/>
      <c r="AA22" s="67"/>
    </row>
    <row r="23" spans="1:27" x14ac:dyDescent="0.2">
      <c r="A23" s="21">
        <v>8</v>
      </c>
      <c r="C23" s="21" t="s">
        <v>110</v>
      </c>
      <c r="E23" s="47" t="s">
        <v>221</v>
      </c>
      <c r="G23" s="55">
        <f t="shared" ref="G23:K23" si="4">G14-G21</f>
        <v>7806.7609782452837</v>
      </c>
      <c r="H23" s="55">
        <f>H14-H21</f>
        <v>7344.2691179349695</v>
      </c>
      <c r="I23" s="55">
        <f t="shared" si="4"/>
        <v>7713.4900707530578</v>
      </c>
      <c r="J23" s="55">
        <f t="shared" si="4"/>
        <v>7680.6510540012468</v>
      </c>
      <c r="K23" s="55">
        <f t="shared" si="4"/>
        <v>8001.5891277177498</v>
      </c>
      <c r="L23" s="55">
        <f t="shared" ref="L23" si="5">L14-L21</f>
        <v>9465.6929515400225</v>
      </c>
      <c r="M23" s="27"/>
      <c r="N23" s="55">
        <f>N14-N21</f>
        <v>9142.5117751378693</v>
      </c>
      <c r="R23" s="67"/>
      <c r="S23" s="67"/>
      <c r="T23" s="67"/>
      <c r="U23" s="67"/>
      <c r="V23" s="67"/>
      <c r="W23" s="67"/>
      <c r="X23" s="67"/>
      <c r="Y23" s="67"/>
      <c r="Z23" s="67"/>
      <c r="AA23" s="67"/>
    </row>
    <row r="24" spans="1:27" x14ac:dyDescent="0.2">
      <c r="G24" s="55"/>
      <c r="H24" s="55"/>
      <c r="I24" s="55"/>
      <c r="J24" s="55"/>
      <c r="K24" s="55"/>
      <c r="L24" s="55"/>
      <c r="M24" s="27"/>
    </row>
    <row r="25" spans="1:27" x14ac:dyDescent="0.2">
      <c r="A25" s="64"/>
      <c r="C25" s="159"/>
      <c r="D25" s="159"/>
      <c r="E25" s="159"/>
      <c r="F25" s="159"/>
      <c r="G25" s="170"/>
      <c r="H25" s="170"/>
      <c r="I25" s="170"/>
      <c r="J25" s="170"/>
      <c r="K25" s="170"/>
      <c r="L25" s="184"/>
      <c r="M25" s="131"/>
    </row>
    <row r="26" spans="1:27" x14ac:dyDescent="0.2">
      <c r="G26" s="40"/>
      <c r="H26" s="40"/>
      <c r="I26" s="40"/>
      <c r="J26" s="40"/>
      <c r="K26" s="40"/>
      <c r="L26" s="40"/>
      <c r="M26" s="98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 tint="0.39997558519241921"/>
    <pageSetUpPr fitToPage="1"/>
  </sheetPr>
  <dimension ref="A1:Y92"/>
  <sheetViews>
    <sheetView view="pageBreakPreview" topLeftCell="B1" zoomScale="115" zoomScaleSheetLayoutView="115" workbookViewId="0">
      <selection activeCell="H23" sqref="H23"/>
    </sheetView>
  </sheetViews>
  <sheetFormatPr defaultRowHeight="12.75" x14ac:dyDescent="0.2"/>
  <cols>
    <col min="1" max="1" width="5.28515625" style="7" customWidth="1"/>
    <col min="2" max="2" width="1.85546875" style="7" customWidth="1"/>
    <col min="3" max="3" width="27.42578125" style="7" customWidth="1"/>
    <col min="4" max="4" width="1.85546875" style="7" customWidth="1"/>
    <col min="5" max="10" width="9.42578125" style="7" customWidth="1"/>
    <col min="11" max="11" width="1.5703125" style="11" customWidth="1"/>
    <col min="12" max="12" width="9.42578125" style="7" customWidth="1"/>
    <col min="13" max="16384" width="9.140625" style="7"/>
  </cols>
  <sheetData>
    <row r="1" spans="1:25" ht="15.75" x14ac:dyDescent="0.25">
      <c r="A1" s="173" t="s">
        <v>269</v>
      </c>
      <c r="K1" s="42"/>
      <c r="L1" s="8" t="s">
        <v>21</v>
      </c>
    </row>
    <row r="2" spans="1:25" x14ac:dyDescent="0.2">
      <c r="A2" s="174" t="s">
        <v>24</v>
      </c>
      <c r="K2" s="72"/>
      <c r="L2" s="43" t="str">
        <f>Index!F2</f>
        <v>February 25, 2019</v>
      </c>
    </row>
    <row r="3" spans="1:25" x14ac:dyDescent="0.2">
      <c r="A3" s="174" t="s">
        <v>7</v>
      </c>
      <c r="K3" s="72"/>
    </row>
    <row r="4" spans="1:25" x14ac:dyDescent="0.2">
      <c r="C4" s="132"/>
    </row>
    <row r="5" spans="1:25" x14ac:dyDescent="0.2">
      <c r="C5" s="102"/>
    </row>
    <row r="6" spans="1:25" s="18" customFormat="1" x14ac:dyDescent="0.2">
      <c r="C6" s="133"/>
      <c r="E6" s="72"/>
      <c r="F6" s="72"/>
      <c r="G6" s="72"/>
      <c r="H6" s="72"/>
      <c r="I6" s="72"/>
      <c r="J6" s="72"/>
      <c r="K6" s="72"/>
    </row>
    <row r="7" spans="1:25" s="16" customFormat="1" ht="38.25" x14ac:dyDescent="0.2">
      <c r="A7" s="15" t="s">
        <v>0</v>
      </c>
      <c r="C7" s="15" t="s">
        <v>1</v>
      </c>
      <c r="E7" s="15" t="s">
        <v>227</v>
      </c>
      <c r="F7" s="15" t="s">
        <v>228</v>
      </c>
      <c r="G7" s="15" t="s">
        <v>229</v>
      </c>
      <c r="H7" s="15" t="s">
        <v>230</v>
      </c>
      <c r="I7" s="15" t="s">
        <v>261</v>
      </c>
      <c r="J7" s="15" t="str">
        <f>'Schedule 1'!$L$10</f>
        <v>Proposed 2017</v>
      </c>
      <c r="K7" s="26"/>
      <c r="L7" s="15" t="str">
        <f>'Schedule 1'!$N$10</f>
        <v>Proposed 2018</v>
      </c>
    </row>
    <row r="8" spans="1:25" x14ac:dyDescent="0.2">
      <c r="A8" s="21">
        <v>1</v>
      </c>
      <c r="B8" s="21"/>
      <c r="C8" s="134" t="s">
        <v>119</v>
      </c>
      <c r="N8" s="73"/>
    </row>
    <row r="9" spans="1:25" x14ac:dyDescent="0.2">
      <c r="A9" s="21">
        <v>2</v>
      </c>
      <c r="B9" s="21"/>
      <c r="C9" s="52" t="s">
        <v>120</v>
      </c>
      <c r="E9" s="20">
        <v>1536.4991666666665</v>
      </c>
      <c r="F9" s="20">
        <v>1559</v>
      </c>
      <c r="G9" s="20">
        <v>1561.1641671666666</v>
      </c>
      <c r="H9" s="20">
        <v>1587.8333333333333</v>
      </c>
      <c r="I9" s="20">
        <v>1609.4375</v>
      </c>
      <c r="J9" s="20">
        <v>1652.6770833333333</v>
      </c>
      <c r="K9" s="20"/>
      <c r="L9" s="20">
        <v>1635.4831134093349</v>
      </c>
      <c r="N9" s="74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x14ac:dyDescent="0.2">
      <c r="A10" s="21">
        <v>3</v>
      </c>
      <c r="B10" s="21"/>
      <c r="C10" s="52" t="s">
        <v>143</v>
      </c>
      <c r="E10" s="20">
        <v>12408.471247515801</v>
      </c>
      <c r="F10" s="20">
        <v>13385.13759</v>
      </c>
      <c r="G10" s="20">
        <v>13326.5862</v>
      </c>
      <c r="H10" s="20">
        <v>13121.233920000001</v>
      </c>
      <c r="I10" s="20">
        <v>13389.606109999999</v>
      </c>
      <c r="J10" s="20">
        <v>14965.2</v>
      </c>
      <c r="K10" s="20"/>
      <c r="L10" s="20">
        <v>13718.756359540899</v>
      </c>
      <c r="N10" s="74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x14ac:dyDescent="0.2">
      <c r="A11" s="21">
        <v>4</v>
      </c>
      <c r="B11" s="21"/>
      <c r="C11" s="52" t="s">
        <v>121</v>
      </c>
      <c r="E11" s="20">
        <v>8.0758073396389545</v>
      </c>
      <c r="F11" s="135">
        <v>8.5857200705580503</v>
      </c>
      <c r="G11" s="135">
        <v>8.5363131439188873</v>
      </c>
      <c r="H11" s="135">
        <v>8.2636090605647112</v>
      </c>
      <c r="I11" s="135">
        <v>8.3194321680711418</v>
      </c>
      <c r="J11" s="135">
        <f>J10/J9</f>
        <v>9.0551264677890053</v>
      </c>
      <c r="K11" s="135"/>
      <c r="L11" s="135">
        <f>L10/L9</f>
        <v>8.3881981092074511</v>
      </c>
      <c r="N11" s="74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x14ac:dyDescent="0.2">
      <c r="A12" s="21">
        <v>5</v>
      </c>
      <c r="B12" s="21"/>
      <c r="C12" s="52" t="s">
        <v>122</v>
      </c>
      <c r="D12" s="102"/>
      <c r="E12" s="20">
        <v>1815.1217575082931</v>
      </c>
      <c r="F12" s="20">
        <v>1942.7577599999997</v>
      </c>
      <c r="G12" s="20">
        <v>1937.5565900000001</v>
      </c>
      <c r="H12" s="20">
        <v>1912.8781300000001</v>
      </c>
      <c r="I12" s="20">
        <v>1955.5832999999998</v>
      </c>
      <c r="J12" s="20">
        <v>2203.2553699999999</v>
      </c>
      <c r="K12" s="20"/>
      <c r="L12" s="20">
        <v>2016.4486459742025</v>
      </c>
      <c r="N12" s="74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x14ac:dyDescent="0.2">
      <c r="A13" s="21">
        <v>6</v>
      </c>
      <c r="B13" s="21"/>
      <c r="C13" s="52" t="s">
        <v>123</v>
      </c>
      <c r="D13" s="132"/>
      <c r="E13" s="136">
        <v>14.628085291906395</v>
      </c>
      <c r="F13" s="135">
        <v>14.514290547535566</v>
      </c>
      <c r="G13" s="135">
        <v>14.539031683898163</v>
      </c>
      <c r="H13" s="135">
        <v>14.578492706271332</v>
      </c>
      <c r="I13" s="135">
        <v>14.605233969798981</v>
      </c>
      <c r="J13" s="135">
        <f>J12/J10*100</f>
        <v>14.722525392243336</v>
      </c>
      <c r="K13" s="135"/>
      <c r="L13" s="135">
        <f>L12/L10*100</f>
        <v>14.698479899541589</v>
      </c>
      <c r="N13" s="74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 x14ac:dyDescent="0.2">
      <c r="A14" s="21">
        <v>7</v>
      </c>
      <c r="B14" s="21"/>
      <c r="C14" s="134" t="s">
        <v>151</v>
      </c>
      <c r="E14" s="20"/>
      <c r="F14" s="20"/>
      <c r="G14" s="20"/>
      <c r="H14" s="20"/>
      <c r="I14" s="20"/>
      <c r="J14" s="20"/>
      <c r="K14" s="21"/>
      <c r="L14" s="20"/>
      <c r="N14" s="73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x14ac:dyDescent="0.2">
      <c r="A15" s="21">
        <v>8</v>
      </c>
      <c r="B15" s="21"/>
      <c r="C15" s="52" t="s">
        <v>120</v>
      </c>
      <c r="E15" s="20">
        <v>466.69523780304013</v>
      </c>
      <c r="F15" s="20">
        <v>469.72222222222217</v>
      </c>
      <c r="G15" s="20">
        <v>474.58333333333331</v>
      </c>
      <c r="H15" s="20">
        <v>480.41666666666669</v>
      </c>
      <c r="I15" s="20">
        <v>488.47222222222223</v>
      </c>
      <c r="J15" s="20">
        <v>499.16666666666669</v>
      </c>
      <c r="K15" s="20"/>
      <c r="L15" s="20">
        <v>489.12268518518516</v>
      </c>
      <c r="N15" s="74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x14ac:dyDescent="0.2">
      <c r="A16" s="21">
        <v>9</v>
      </c>
      <c r="B16" s="21"/>
      <c r="C16" s="52" t="s">
        <v>143</v>
      </c>
      <c r="E16" s="20">
        <v>22619.641098856657</v>
      </c>
      <c r="F16" s="20">
        <v>22282.915860000001</v>
      </c>
      <c r="G16" s="20">
        <v>23615.612929999999</v>
      </c>
      <c r="H16" s="20">
        <v>24550.849829999999</v>
      </c>
      <c r="I16" s="20">
        <v>24993.518829999997</v>
      </c>
      <c r="J16" s="20">
        <v>26131.722000000002</v>
      </c>
      <c r="K16" s="20"/>
      <c r="L16" s="20">
        <v>25436.270312173448</v>
      </c>
      <c r="N16" s="74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 x14ac:dyDescent="0.2">
      <c r="A17" s="21">
        <v>10</v>
      </c>
      <c r="B17" s="21"/>
      <c r="C17" s="52" t="s">
        <v>121</v>
      </c>
      <c r="E17" s="20">
        <v>48.467692118175947</v>
      </c>
      <c r="F17" s="135">
        <v>47.438496212891785</v>
      </c>
      <c r="G17" s="135">
        <v>49.760729615452149</v>
      </c>
      <c r="H17" s="135">
        <v>51.103243358196003</v>
      </c>
      <c r="I17" s="135">
        <v>51.166714693204426</v>
      </c>
      <c r="J17" s="135">
        <f>J16/J15</f>
        <v>52.350695158597667</v>
      </c>
      <c r="K17" s="135"/>
      <c r="L17" s="135">
        <f>L16/L15</f>
        <v>52.00386545666575</v>
      </c>
      <c r="N17" s="74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x14ac:dyDescent="0.2">
      <c r="A18" s="21">
        <v>11</v>
      </c>
      <c r="B18" s="21"/>
      <c r="C18" s="52" t="s">
        <v>122</v>
      </c>
      <c r="E18" s="20">
        <v>3735.1726361000451</v>
      </c>
      <c r="F18" s="20">
        <v>3621.3358099999996</v>
      </c>
      <c r="G18" s="20">
        <v>3894.4867300000001</v>
      </c>
      <c r="H18" s="20">
        <v>4047.5274300000001</v>
      </c>
      <c r="I18" s="20">
        <v>4180.1300999999994</v>
      </c>
      <c r="J18" s="20">
        <v>4350.1840299999994</v>
      </c>
      <c r="K18" s="20"/>
      <c r="L18" s="20">
        <v>4054.4476339490839</v>
      </c>
      <c r="N18" s="74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x14ac:dyDescent="0.2">
      <c r="A19" s="21">
        <v>12</v>
      </c>
      <c r="B19" s="21"/>
      <c r="C19" s="52" t="s">
        <v>123</v>
      </c>
      <c r="E19" s="136">
        <v>16.512961544243268</v>
      </c>
      <c r="F19" s="135">
        <v>16.251624485557787</v>
      </c>
      <c r="G19" s="135">
        <v>16.491152448779573</v>
      </c>
      <c r="H19" s="135">
        <v>16.486302747264208</v>
      </c>
      <c r="I19" s="135">
        <v>16.724856265467281</v>
      </c>
      <c r="J19" s="135">
        <f>J18/J16*100</f>
        <v>16.647138791695394</v>
      </c>
      <c r="K19" s="135"/>
      <c r="L19" s="135">
        <f>L18/L16*100</f>
        <v>15.939631023690925</v>
      </c>
      <c r="N19" s="74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x14ac:dyDescent="0.2">
      <c r="A20" s="21">
        <v>13</v>
      </c>
      <c r="B20" s="21"/>
      <c r="C20" s="134" t="s">
        <v>124</v>
      </c>
      <c r="E20" s="20"/>
      <c r="F20" s="20"/>
      <c r="G20" s="20"/>
      <c r="H20" s="20"/>
      <c r="I20" s="20"/>
      <c r="J20" s="20"/>
      <c r="K20" s="21"/>
      <c r="L20" s="20"/>
      <c r="N20" s="73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x14ac:dyDescent="0.2">
      <c r="A21" s="21">
        <v>14</v>
      </c>
      <c r="B21" s="21"/>
      <c r="C21" s="52" t="s">
        <v>143</v>
      </c>
      <c r="E21" s="20">
        <v>40591.971022043414</v>
      </c>
      <c r="F21" s="20">
        <v>40512.800000000003</v>
      </c>
      <c r="G21" s="20">
        <v>36302.400000000001</v>
      </c>
      <c r="H21" s="20">
        <v>37185.599999999999</v>
      </c>
      <c r="I21" s="20">
        <v>41169.279000000002</v>
      </c>
      <c r="J21" s="20">
        <v>43419.310340000004</v>
      </c>
      <c r="K21" s="20"/>
      <c r="L21" s="20">
        <v>32192.510670058487</v>
      </c>
      <c r="N21" s="74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x14ac:dyDescent="0.2">
      <c r="A22" s="21">
        <v>15</v>
      </c>
      <c r="B22" s="21"/>
      <c r="C22" s="52" t="s">
        <v>122</v>
      </c>
      <c r="E22" s="20">
        <v>4786.6931945921997</v>
      </c>
      <c r="F22" s="20">
        <v>4595.3981599999997</v>
      </c>
      <c r="G22" s="20">
        <v>3958.1982400000002</v>
      </c>
      <c r="H22" s="20">
        <v>4158.740310000001</v>
      </c>
      <c r="I22" s="20">
        <v>4477.6077000000014</v>
      </c>
      <c r="J22" s="20">
        <v>4828.9131499999994</v>
      </c>
      <c r="K22" s="20"/>
      <c r="L22" s="20">
        <v>3951.5815796545494</v>
      </c>
      <c r="N22" s="74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x14ac:dyDescent="0.2">
      <c r="A23" s="21">
        <v>16</v>
      </c>
      <c r="B23" s="21"/>
      <c r="C23" s="52" t="s">
        <v>123</v>
      </c>
      <c r="E23" s="136">
        <v>11.792216721855642</v>
      </c>
      <c r="F23" s="135">
        <v>11.343077150925138</v>
      </c>
      <c r="G23" s="135">
        <v>10.903406496540173</v>
      </c>
      <c r="H23" s="135">
        <v>11.183738624628891</v>
      </c>
      <c r="I23" s="135">
        <v>10.876089668706612</v>
      </c>
      <c r="J23" s="135">
        <f>J22/J21*100</f>
        <v>11.121579574126416</v>
      </c>
      <c r="K23" s="135"/>
      <c r="L23" s="135">
        <f>L22/L21*100</f>
        <v>12.274847464226593</v>
      </c>
      <c r="N23" s="74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x14ac:dyDescent="0.2">
      <c r="A24" s="21">
        <v>17</v>
      </c>
      <c r="B24" s="21"/>
      <c r="C24" s="134" t="s">
        <v>125</v>
      </c>
      <c r="E24" s="20"/>
      <c r="F24" s="20"/>
      <c r="G24" s="20"/>
      <c r="H24" s="20"/>
      <c r="I24" s="20"/>
      <c r="J24" s="20"/>
      <c r="K24" s="21"/>
      <c r="L24" s="20"/>
      <c r="N24" s="73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x14ac:dyDescent="0.2">
      <c r="A25" s="21">
        <v>18</v>
      </c>
      <c r="B25" s="21"/>
      <c r="C25" s="52" t="s">
        <v>143</v>
      </c>
      <c r="E25" s="20">
        <v>278.64</v>
      </c>
      <c r="F25" s="20">
        <v>281.32600000000002</v>
      </c>
      <c r="G25" s="20">
        <v>290.26600000000002</v>
      </c>
      <c r="H25" s="20">
        <v>289.67965000000004</v>
      </c>
      <c r="I25" s="20">
        <v>256.39359999999999</v>
      </c>
      <c r="J25" s="20">
        <v>228.208</v>
      </c>
      <c r="K25" s="20"/>
      <c r="L25" s="20">
        <v>213.636</v>
      </c>
      <c r="N25" s="74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x14ac:dyDescent="0.2">
      <c r="A26" s="21">
        <v>19</v>
      </c>
      <c r="B26" s="21"/>
      <c r="C26" s="52" t="s">
        <v>122</v>
      </c>
      <c r="D26" s="85"/>
      <c r="E26" s="20">
        <v>87.915186791149239</v>
      </c>
      <c r="F26" s="20">
        <v>88.787080000000003</v>
      </c>
      <c r="G26" s="20">
        <v>91.737940000000023</v>
      </c>
      <c r="H26" s="20">
        <v>91.520899999999997</v>
      </c>
      <c r="I26" s="20">
        <v>88.456479999999999</v>
      </c>
      <c r="J26" s="20">
        <v>88.182000000000002</v>
      </c>
      <c r="K26" s="20"/>
      <c r="L26" s="20">
        <v>55.56324295455358</v>
      </c>
      <c r="N26" s="74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x14ac:dyDescent="0.2">
      <c r="A27" s="21">
        <v>20</v>
      </c>
      <c r="B27" s="21"/>
      <c r="C27" s="52" t="s">
        <v>123</v>
      </c>
      <c r="E27" s="136">
        <v>31.551531291684338</v>
      </c>
      <c r="F27" s="135">
        <v>31.560211285128283</v>
      </c>
      <c r="G27" s="135">
        <v>31.604783198858982</v>
      </c>
      <c r="H27" s="135">
        <v>31.59383132367082</v>
      </c>
      <c r="I27" s="135">
        <v>34.500268337431201</v>
      </c>
      <c r="J27" s="135">
        <f>J26/J25*100</f>
        <v>38.641064292224634</v>
      </c>
      <c r="K27" s="135"/>
      <c r="L27" s="135">
        <f>L26/L25*100</f>
        <v>26.008370758932752</v>
      </c>
      <c r="N27" s="74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x14ac:dyDescent="0.2">
      <c r="A28" s="21">
        <v>21</v>
      </c>
      <c r="B28" s="21"/>
      <c r="C28" s="134" t="s">
        <v>126</v>
      </c>
      <c r="E28" s="20"/>
      <c r="F28" s="20"/>
      <c r="G28" s="20"/>
      <c r="H28" s="20"/>
      <c r="I28" s="20"/>
      <c r="J28" s="20"/>
      <c r="K28" s="21"/>
      <c r="L28" s="20"/>
      <c r="N28" s="73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x14ac:dyDescent="0.2">
      <c r="A29" s="21">
        <v>22</v>
      </c>
      <c r="B29" s="21"/>
      <c r="C29" s="52" t="s">
        <v>143</v>
      </c>
      <c r="E29" s="20">
        <v>14.58</v>
      </c>
      <c r="F29" s="20">
        <v>14.14</v>
      </c>
      <c r="G29" s="20">
        <v>14.09867</v>
      </c>
      <c r="H29" s="20">
        <v>14.31067</v>
      </c>
      <c r="I29" s="20">
        <v>14.26933</v>
      </c>
      <c r="J29" s="20">
        <v>11.644</v>
      </c>
      <c r="K29" s="20"/>
      <c r="L29" s="20">
        <v>11.724</v>
      </c>
      <c r="N29" s="74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x14ac:dyDescent="0.2">
      <c r="A30" s="21">
        <v>23</v>
      </c>
      <c r="B30" s="21"/>
      <c r="C30" s="52" t="s">
        <v>122</v>
      </c>
      <c r="E30" s="20">
        <v>3.9022838238728017</v>
      </c>
      <c r="F30" s="20">
        <v>3.7516200000000004</v>
      </c>
      <c r="G30" s="20">
        <v>3.7465200000000003</v>
      </c>
      <c r="H30" s="20">
        <v>3.7070099999999999</v>
      </c>
      <c r="I30" s="20">
        <v>3.7063599999999997</v>
      </c>
      <c r="J30" s="20">
        <v>3.3260000000000001</v>
      </c>
      <c r="K30" s="20"/>
      <c r="L30" s="20">
        <v>2.632959421354049</v>
      </c>
      <c r="N30" s="74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x14ac:dyDescent="0.2">
      <c r="A31" s="21">
        <v>24</v>
      </c>
      <c r="B31" s="21"/>
      <c r="C31" s="52" t="s">
        <v>123</v>
      </c>
      <c r="E31" s="136">
        <v>26.764635280334716</v>
      </c>
      <c r="F31" s="135">
        <v>26.531966053748235</v>
      </c>
      <c r="G31" s="135">
        <v>26.573570414797992</v>
      </c>
      <c r="H31" s="135">
        <v>25.903818619254025</v>
      </c>
      <c r="I31" s="135">
        <v>25.974309936065669</v>
      </c>
      <c r="J31" s="135">
        <f>J30/J29*100</f>
        <v>28.564067330814151</v>
      </c>
      <c r="K31" s="135"/>
      <c r="L31" s="135">
        <f>L30/L29*100</f>
        <v>22.457859274599532</v>
      </c>
      <c r="N31" s="74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x14ac:dyDescent="0.2">
      <c r="A32" s="21">
        <v>25</v>
      </c>
      <c r="B32" s="21"/>
      <c r="C32" s="134" t="s">
        <v>199</v>
      </c>
      <c r="E32" s="20"/>
      <c r="F32" s="20"/>
      <c r="G32" s="20"/>
      <c r="H32" s="20"/>
      <c r="I32" s="20"/>
      <c r="J32" s="20"/>
      <c r="K32" s="21"/>
      <c r="L32" s="20"/>
      <c r="N32" s="75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:25" x14ac:dyDescent="0.2">
      <c r="A33" s="21">
        <v>26</v>
      </c>
      <c r="B33" s="21"/>
      <c r="C33" s="52" t="s">
        <v>120</v>
      </c>
      <c r="E33" s="76">
        <v>2003.1944044697066</v>
      </c>
      <c r="F33" s="76">
        <f t="shared" ref="F33:I33" si="0">F9+F15</f>
        <v>2028.7222222222222</v>
      </c>
      <c r="G33" s="76">
        <f t="shared" si="0"/>
        <v>2035.7475004999999</v>
      </c>
      <c r="H33" s="76">
        <f t="shared" si="0"/>
        <v>2068.25</v>
      </c>
      <c r="I33" s="76">
        <f t="shared" si="0"/>
        <v>2097.9097222222222</v>
      </c>
      <c r="J33" s="76">
        <f t="shared" ref="J33" si="1">J9+J15</f>
        <v>2151.84375</v>
      </c>
      <c r="K33" s="20"/>
      <c r="L33" s="76">
        <f t="shared" ref="L33" si="2">L9+L15</f>
        <v>2124.6057985945199</v>
      </c>
      <c r="N33" s="74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x14ac:dyDescent="0.2">
      <c r="A34" s="21">
        <v>27</v>
      </c>
      <c r="B34" s="21"/>
      <c r="C34" s="52" t="s">
        <v>143</v>
      </c>
      <c r="E34" s="76">
        <v>75913.303368415873</v>
      </c>
      <c r="F34" s="76">
        <f t="shared" ref="F34:I34" si="3">F10+F16+F21+F25+F29</f>
        <v>76476.319449999995</v>
      </c>
      <c r="G34" s="76">
        <f t="shared" si="3"/>
        <v>73548.963800000012</v>
      </c>
      <c r="H34" s="76">
        <f t="shared" si="3"/>
        <v>75161.674070000008</v>
      </c>
      <c r="I34" s="76">
        <f t="shared" si="3"/>
        <v>79823.066869999981</v>
      </c>
      <c r="J34" s="76">
        <f t="shared" ref="J34" si="4">J10+J16+J21+J25+J29</f>
        <v>84756.084340000016</v>
      </c>
      <c r="K34" s="20"/>
      <c r="L34" s="76">
        <f t="shared" ref="L34" si="5">L10+L16+L21+L25+L29</f>
        <v>71572.897341772841</v>
      </c>
      <c r="N34" s="74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x14ac:dyDescent="0.2">
      <c r="A35" s="21">
        <v>28</v>
      </c>
      <c r="B35" s="21"/>
      <c r="C35" s="52" t="s">
        <v>122</v>
      </c>
      <c r="E35" s="76">
        <v>10428.80505881556</v>
      </c>
      <c r="F35" s="76">
        <f t="shared" ref="F35:I35" si="6">F12+F18+F22+F26+F30</f>
        <v>10252.030429999997</v>
      </c>
      <c r="G35" s="76">
        <f t="shared" si="6"/>
        <v>9885.7260200000019</v>
      </c>
      <c r="H35" s="76">
        <f t="shared" si="6"/>
        <v>10214.37378</v>
      </c>
      <c r="I35" s="76">
        <f t="shared" si="6"/>
        <v>10705.483940000002</v>
      </c>
      <c r="J35" s="76">
        <f t="shared" ref="J35" si="7">J12+J18+J22+J26+J30</f>
        <v>11473.860549999999</v>
      </c>
      <c r="K35" s="20"/>
      <c r="L35" s="76">
        <f t="shared" ref="L35" si="8">L12+L18+L22+L26+L30</f>
        <v>10080.674061953745</v>
      </c>
      <c r="N35" s="74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x14ac:dyDescent="0.2">
      <c r="A36" s="21">
        <v>29</v>
      </c>
      <c r="B36" s="21"/>
      <c r="C36" s="52" t="s">
        <v>123</v>
      </c>
      <c r="E36" s="181">
        <v>13.737783229117809</v>
      </c>
      <c r="F36" s="181">
        <f t="shared" ref="F36:I36" si="9">SUM(F35/F34)*100</f>
        <v>13.405496634422562</v>
      </c>
      <c r="G36" s="181">
        <f t="shared" si="9"/>
        <v>13.441013318531619</v>
      </c>
      <c r="H36" s="181">
        <f t="shared" si="9"/>
        <v>13.589869978796759</v>
      </c>
      <c r="I36" s="181">
        <f t="shared" si="9"/>
        <v>13.411516695336919</v>
      </c>
      <c r="J36" s="181">
        <f t="shared" ref="J36" si="10">SUM(J35/J34)*100</f>
        <v>13.537506645508154</v>
      </c>
      <c r="K36" s="136"/>
      <c r="L36" s="181">
        <f t="shared" ref="L36" si="11">SUM(L35/L34)*100</f>
        <v>14.084485100298233</v>
      </c>
      <c r="N36" s="74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x14ac:dyDescent="0.2">
      <c r="A37" s="21">
        <v>30</v>
      </c>
      <c r="B37" s="21"/>
      <c r="C37" s="134" t="s">
        <v>127</v>
      </c>
      <c r="E37" s="20"/>
      <c r="F37" s="20"/>
      <c r="G37" s="20"/>
      <c r="H37" s="20"/>
      <c r="I37" s="20"/>
      <c r="J37" s="20"/>
      <c r="K37" s="21"/>
      <c r="L37" s="20"/>
      <c r="N37" s="73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 x14ac:dyDescent="0.2">
      <c r="A38" s="21">
        <v>31</v>
      </c>
      <c r="B38" s="21"/>
      <c r="C38" s="52" t="s">
        <v>143</v>
      </c>
      <c r="E38" s="20">
        <v>307147.3236449305</v>
      </c>
      <c r="F38" s="20">
        <v>307927.05</v>
      </c>
      <c r="G38" s="20">
        <v>295284.011</v>
      </c>
      <c r="H38" s="20">
        <v>297960.674</v>
      </c>
      <c r="I38" s="20">
        <v>301207.01199999999</v>
      </c>
      <c r="J38" s="20">
        <v>328426.15192000003</v>
      </c>
      <c r="K38" s="20"/>
      <c r="L38" s="20">
        <v>314700</v>
      </c>
      <c r="N38" s="74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5" x14ac:dyDescent="0.2">
      <c r="A39" s="21">
        <v>32</v>
      </c>
      <c r="B39" s="21"/>
      <c r="C39" s="52" t="s">
        <v>122</v>
      </c>
      <c r="E39" s="20">
        <v>25487.084916056334</v>
      </c>
      <c r="F39" s="20">
        <v>25546.006649999996</v>
      </c>
      <c r="G39" s="20">
        <v>24502.667219999999</v>
      </c>
      <c r="H39" s="20">
        <v>24724.776679999999</v>
      </c>
      <c r="I39" s="20">
        <v>24994.157849999996</v>
      </c>
      <c r="J39" s="20">
        <v>27252.801879999999</v>
      </c>
      <c r="K39" s="20"/>
      <c r="L39" s="20">
        <v>26113.806</v>
      </c>
      <c r="N39" s="74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x14ac:dyDescent="0.2">
      <c r="A40" s="21">
        <v>33</v>
      </c>
      <c r="B40" s="21"/>
      <c r="C40" s="52" t="s">
        <v>123</v>
      </c>
      <c r="E40" s="136">
        <v>8.298</v>
      </c>
      <c r="F40" s="135">
        <v>8.2961229453534511</v>
      </c>
      <c r="G40" s="135">
        <v>8.2979999956719634</v>
      </c>
      <c r="H40" s="135">
        <v>8.2979999837159717</v>
      </c>
      <c r="I40" s="135">
        <v>8.2979999980876933</v>
      </c>
      <c r="J40" s="135">
        <f>J39/J38*100</f>
        <v>8.2979999371786928</v>
      </c>
      <c r="K40" s="135"/>
      <c r="L40" s="135">
        <f>L39/L38*100</f>
        <v>8.298</v>
      </c>
      <c r="N40" s="74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25" x14ac:dyDescent="0.2">
      <c r="A41" s="21">
        <v>34</v>
      </c>
      <c r="B41" s="21"/>
      <c r="C41" s="134" t="s">
        <v>152</v>
      </c>
      <c r="E41" s="20"/>
      <c r="F41" s="20"/>
      <c r="G41" s="20"/>
      <c r="H41" s="20"/>
      <c r="I41" s="20"/>
      <c r="J41" s="20"/>
      <c r="K41" s="21"/>
      <c r="L41" s="20"/>
      <c r="N41" s="75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1:25" x14ac:dyDescent="0.2">
      <c r="A42" s="21">
        <v>35</v>
      </c>
      <c r="B42" s="21"/>
      <c r="C42" s="52" t="s">
        <v>143</v>
      </c>
      <c r="E42" s="77">
        <v>383060.62701334635</v>
      </c>
      <c r="F42" s="77">
        <f t="shared" ref="F42:I42" si="12">F34+F38</f>
        <v>384403.36945</v>
      </c>
      <c r="G42" s="77">
        <f t="shared" si="12"/>
        <v>368832.97480000003</v>
      </c>
      <c r="H42" s="77">
        <f t="shared" si="12"/>
        <v>373122.34807000001</v>
      </c>
      <c r="I42" s="77">
        <f t="shared" si="12"/>
        <v>381030.07886999997</v>
      </c>
      <c r="J42" s="77">
        <f t="shared" ref="J42" si="13">J34+J38</f>
        <v>413182.23626000003</v>
      </c>
      <c r="K42" s="20"/>
      <c r="L42" s="77">
        <f t="shared" ref="L42:L43" si="14">L34+L38</f>
        <v>386272.89734177286</v>
      </c>
      <c r="N42" s="74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x14ac:dyDescent="0.2">
      <c r="A43" s="21">
        <v>36</v>
      </c>
      <c r="B43" s="21"/>
      <c r="C43" s="52" t="s">
        <v>122</v>
      </c>
      <c r="E43" s="77">
        <v>35915.889974871898</v>
      </c>
      <c r="F43" s="77">
        <f t="shared" ref="F43:I43" si="15">F35+F39</f>
        <v>35798.037079999995</v>
      </c>
      <c r="G43" s="77">
        <f t="shared" si="15"/>
        <v>34388.393240000005</v>
      </c>
      <c r="H43" s="77">
        <f t="shared" si="15"/>
        <v>34939.150459999997</v>
      </c>
      <c r="I43" s="77">
        <f t="shared" si="15"/>
        <v>35699.641789999994</v>
      </c>
      <c r="J43" s="77">
        <f t="shared" ref="J43" si="16">J35+J39</f>
        <v>38726.662429999997</v>
      </c>
      <c r="K43" s="20"/>
      <c r="L43" s="77">
        <f t="shared" si="14"/>
        <v>36194.480061953742</v>
      </c>
      <c r="N43" s="74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:25" x14ac:dyDescent="0.2">
      <c r="A44" s="21">
        <v>37</v>
      </c>
      <c r="B44" s="21"/>
      <c r="C44" s="52" t="s">
        <v>123</v>
      </c>
      <c r="E44" s="136">
        <v>9.376032784914889</v>
      </c>
      <c r="F44" s="136">
        <f t="shared" ref="F44:I44" si="17">F43/F42*100</f>
        <v>9.3126231258637038</v>
      </c>
      <c r="G44" s="136">
        <f t="shared" si="17"/>
        <v>9.3235680076183911</v>
      </c>
      <c r="H44" s="136">
        <f t="shared" si="17"/>
        <v>9.3639929746167869</v>
      </c>
      <c r="I44" s="136">
        <f t="shared" si="17"/>
        <v>9.3692450464468493</v>
      </c>
      <c r="J44" s="136">
        <f t="shared" ref="J44" si="18">J43/J42*100</f>
        <v>9.3727801031675444</v>
      </c>
      <c r="K44" s="136"/>
      <c r="L44" s="136">
        <f t="shared" ref="L44" si="19">L43/L42*100</f>
        <v>9.3701836994090204</v>
      </c>
      <c r="N44" s="74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:25" x14ac:dyDescent="0.2">
      <c r="A45" s="21">
        <v>38</v>
      </c>
      <c r="B45" s="21"/>
      <c r="C45" s="134" t="s">
        <v>153</v>
      </c>
      <c r="E45" s="20"/>
      <c r="F45" s="20"/>
      <c r="G45" s="20"/>
      <c r="H45" s="20"/>
      <c r="I45" s="20"/>
      <c r="J45" s="20"/>
      <c r="K45" s="20"/>
      <c r="L45" s="20"/>
      <c r="N45" s="73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x14ac:dyDescent="0.2">
      <c r="A46" s="21">
        <v>39</v>
      </c>
      <c r="B46" s="21"/>
      <c r="C46" s="52" t="s">
        <v>143</v>
      </c>
      <c r="E46" s="20">
        <v>0</v>
      </c>
      <c r="F46" s="20">
        <v>3959.4</v>
      </c>
      <c r="G46" s="20">
        <v>5414.58</v>
      </c>
      <c r="H46" s="20">
        <v>7030.02</v>
      </c>
      <c r="I46" s="20">
        <v>4835.1000000000004</v>
      </c>
      <c r="J46" s="20">
        <v>8385.0300000000007</v>
      </c>
      <c r="K46" s="20"/>
      <c r="L46" s="20">
        <v>2059.48</v>
      </c>
      <c r="N46" s="74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x14ac:dyDescent="0.2">
      <c r="A47" s="21">
        <v>40</v>
      </c>
      <c r="B47" s="21"/>
      <c r="C47" s="52" t="s">
        <v>122</v>
      </c>
      <c r="E47" s="20">
        <v>0</v>
      </c>
      <c r="F47" s="20">
        <v>274.86635999999999</v>
      </c>
      <c r="G47" s="20">
        <v>409.85460999999998</v>
      </c>
      <c r="H47" s="20">
        <v>543.65023999999994</v>
      </c>
      <c r="I47" s="20">
        <v>371.29411000000005</v>
      </c>
      <c r="J47" s="20">
        <v>469.56168000000002</v>
      </c>
      <c r="K47" s="20"/>
      <c r="L47" s="20">
        <v>115.33088000000001</v>
      </c>
      <c r="N47" s="74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x14ac:dyDescent="0.2">
      <c r="A48" s="21">
        <v>41</v>
      </c>
      <c r="B48" s="21"/>
      <c r="C48" s="52" t="s">
        <v>123</v>
      </c>
      <c r="E48" s="137"/>
      <c r="F48" s="135">
        <v>6.9421215335656914</v>
      </c>
      <c r="G48" s="135">
        <v>7.5694626360678017</v>
      </c>
      <c r="H48" s="135">
        <v>7.7332673306761563</v>
      </c>
      <c r="I48" s="135">
        <v>7.6791402452896538</v>
      </c>
      <c r="J48" s="136">
        <f t="shared" ref="J48" si="20">J47/J46*100</f>
        <v>5.6000000000000005</v>
      </c>
      <c r="K48" s="135"/>
      <c r="L48" s="136">
        <f t="shared" ref="L48" si="21">L47/L46*100</f>
        <v>5.6000000000000005</v>
      </c>
      <c r="N48" s="74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x14ac:dyDescent="0.2">
      <c r="A49" s="21">
        <v>42</v>
      </c>
      <c r="B49" s="21"/>
      <c r="C49" s="134" t="s">
        <v>128</v>
      </c>
      <c r="E49" s="20"/>
      <c r="F49" s="20"/>
      <c r="G49" s="20"/>
      <c r="H49" s="20"/>
      <c r="I49" s="20"/>
      <c r="J49" s="20"/>
      <c r="K49" s="21"/>
      <c r="L49" s="20"/>
      <c r="N49" s="73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:25" x14ac:dyDescent="0.2">
      <c r="A50" s="21">
        <v>43</v>
      </c>
      <c r="B50" s="21"/>
      <c r="C50" s="52" t="s">
        <v>143</v>
      </c>
      <c r="E50" s="20">
        <v>383060.62701334635</v>
      </c>
      <c r="F50" s="20">
        <f t="shared" ref="F50:I50" si="22">F42+F46</f>
        <v>388362.76945000002</v>
      </c>
      <c r="G50" s="20">
        <f t="shared" si="22"/>
        <v>374247.55480000004</v>
      </c>
      <c r="H50" s="20">
        <f t="shared" si="22"/>
        <v>380152.36807000003</v>
      </c>
      <c r="I50" s="20">
        <f t="shared" si="22"/>
        <v>385865.17886999995</v>
      </c>
      <c r="J50" s="20">
        <f t="shared" ref="J50" si="23">J42+J46</f>
        <v>421567.26626000006</v>
      </c>
      <c r="K50" s="20"/>
      <c r="L50" s="20">
        <f t="shared" ref="L50" si="24">L42+L46</f>
        <v>388332.37734177284</v>
      </c>
      <c r="N50" s="74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:25" x14ac:dyDescent="0.2">
      <c r="A51" s="21">
        <v>44</v>
      </c>
      <c r="B51" s="21"/>
      <c r="C51" s="52" t="s">
        <v>122</v>
      </c>
      <c r="E51" s="20">
        <v>35915.889974871898</v>
      </c>
      <c r="F51" s="20">
        <f t="shared" ref="F51:I51" si="25">F43+F47</f>
        <v>36072.903439999995</v>
      </c>
      <c r="G51" s="20">
        <f t="shared" si="25"/>
        <v>34798.247850000007</v>
      </c>
      <c r="H51" s="20">
        <f t="shared" si="25"/>
        <v>35482.8007</v>
      </c>
      <c r="I51" s="20">
        <f t="shared" si="25"/>
        <v>36070.935899999997</v>
      </c>
      <c r="J51" s="20">
        <f t="shared" ref="J51" si="26">J43+J47</f>
        <v>39196.224109999996</v>
      </c>
      <c r="K51" s="20"/>
      <c r="L51" s="20">
        <f t="shared" ref="L51" si="27">L43+L47</f>
        <v>36309.810941953743</v>
      </c>
      <c r="N51" s="74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x14ac:dyDescent="0.2">
      <c r="A52" s="21">
        <v>45</v>
      </c>
      <c r="B52" s="21"/>
      <c r="C52" s="52" t="s">
        <v>123</v>
      </c>
      <c r="E52" s="136">
        <v>9.376032784914889</v>
      </c>
      <c r="F52" s="136">
        <f t="shared" ref="F52:I52" si="28">F51/F50*100</f>
        <v>9.2884556084216037</v>
      </c>
      <c r="G52" s="136">
        <f t="shared" si="28"/>
        <v>9.2981897686937156</v>
      </c>
      <c r="H52" s="136">
        <f t="shared" si="28"/>
        <v>9.3338365561532708</v>
      </c>
      <c r="I52" s="136">
        <f t="shared" si="28"/>
        <v>9.3480671165076767</v>
      </c>
      <c r="J52" s="136">
        <f t="shared" ref="J52" si="29">J51/J50*100</f>
        <v>9.2977389961358785</v>
      </c>
      <c r="K52" s="136"/>
      <c r="L52" s="136">
        <f t="shared" ref="L52" si="30">L51/L50*100</f>
        <v>9.3501889259152193</v>
      </c>
      <c r="N52" s="74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x14ac:dyDescent="0.2">
      <c r="A53" s="21"/>
      <c r="B53" s="21"/>
      <c r="C53" s="21"/>
      <c r="E53" s="20"/>
      <c r="F53" s="20"/>
      <c r="G53" s="20"/>
      <c r="H53" s="20"/>
      <c r="I53" s="20"/>
      <c r="J53" s="20"/>
      <c r="K53" s="137"/>
      <c r="L53" s="20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x14ac:dyDescent="0.2">
      <c r="A54" s="21">
        <v>46</v>
      </c>
      <c r="B54" s="21"/>
      <c r="C54" s="127" t="s">
        <v>267</v>
      </c>
      <c r="E54" s="20"/>
      <c r="F54" s="20">
        <v>6287.5362699999996</v>
      </c>
      <c r="G54" s="20">
        <v>6167.2565299999987</v>
      </c>
      <c r="H54" s="20">
        <v>6172.2883099999999</v>
      </c>
      <c r="I54" s="20">
        <v>6342.0355799999998</v>
      </c>
      <c r="J54" s="20">
        <v>6952.3138204990491</v>
      </c>
      <c r="K54" s="20"/>
      <c r="L54" s="20">
        <v>6468.9078982402716</v>
      </c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x14ac:dyDescent="0.2">
      <c r="A55" s="21">
        <f>A54+1</f>
        <v>47</v>
      </c>
      <c r="B55" s="21"/>
      <c r="C55" s="127" t="s">
        <v>202</v>
      </c>
      <c r="E55" s="20"/>
      <c r="F55" s="20"/>
      <c r="G55" s="20"/>
      <c r="H55" s="20"/>
      <c r="I55" s="20"/>
      <c r="J55" s="20"/>
      <c r="K55" s="20"/>
      <c r="L55" s="20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x14ac:dyDescent="0.2">
      <c r="A56" s="21">
        <f>A55+1</f>
        <v>48</v>
      </c>
      <c r="B56" s="21"/>
      <c r="C56" s="157" t="s">
        <v>213</v>
      </c>
      <c r="E56" s="20">
        <v>6163</v>
      </c>
      <c r="F56" s="20"/>
      <c r="G56" s="20"/>
      <c r="H56" s="20"/>
      <c r="I56" s="20"/>
      <c r="J56" s="20">
        <v>2734.373781878694</v>
      </c>
      <c r="K56" s="20"/>
      <c r="L56" s="20">
        <v>6761.8839838167214</v>
      </c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x14ac:dyDescent="0.2">
      <c r="E57" s="20"/>
      <c r="F57" s="20"/>
      <c r="G57" s="20"/>
      <c r="H57" s="20"/>
      <c r="I57" s="20"/>
      <c r="J57" s="20"/>
      <c r="K57" s="20"/>
      <c r="L57" s="20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5" ht="13.5" thickBot="1" x14ac:dyDescent="0.25">
      <c r="A58" s="21">
        <f>A56+1</f>
        <v>49</v>
      </c>
      <c r="B58" s="21"/>
      <c r="C58" s="127" t="s">
        <v>154</v>
      </c>
      <c r="E58" s="138">
        <f>E56+E51</f>
        <v>42078.889974871898</v>
      </c>
      <c r="F58" s="138">
        <f t="shared" ref="F58:H58" si="31">F54+F51</f>
        <v>42360.439709999991</v>
      </c>
      <c r="G58" s="138">
        <f t="shared" si="31"/>
        <v>40965.504380000006</v>
      </c>
      <c r="H58" s="138">
        <f t="shared" si="31"/>
        <v>41655.089009999996</v>
      </c>
      <c r="I58" s="138">
        <f>I54+I51</f>
        <v>42412.971479999993</v>
      </c>
      <c r="J58" s="138">
        <f t="shared" ref="J58" si="32">J54+J51+J56</f>
        <v>48882.91171237774</v>
      </c>
      <c r="K58" s="138"/>
      <c r="L58" s="138">
        <f t="shared" ref="L58" si="33">L54+L51+L56</f>
        <v>49540.602824010733</v>
      </c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x14ac:dyDescent="0.2">
      <c r="A59" s="21"/>
      <c r="B59" s="21"/>
      <c r="C59" s="127"/>
      <c r="E59" s="20"/>
      <c r="F59" s="20"/>
      <c r="G59" s="20"/>
      <c r="H59" s="20"/>
      <c r="I59" s="20"/>
      <c r="J59" s="20"/>
      <c r="K59" s="20"/>
      <c r="L59" s="20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x14ac:dyDescent="0.2">
      <c r="A60" s="21">
        <f>A58+1</f>
        <v>50</v>
      </c>
      <c r="B60" s="21"/>
      <c r="C60" s="127" t="s">
        <v>155</v>
      </c>
      <c r="E60" s="20">
        <v>184</v>
      </c>
      <c r="F60" s="20">
        <v>1537</v>
      </c>
      <c r="G60" s="20">
        <v>280</v>
      </c>
      <c r="H60" s="20">
        <v>200</v>
      </c>
      <c r="I60" s="20">
        <v>273.24900000000002</v>
      </c>
      <c r="J60" s="20">
        <v>318.73534999999998</v>
      </c>
      <c r="K60" s="20"/>
      <c r="L60" s="20">
        <v>252.96</v>
      </c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x14ac:dyDescent="0.2">
      <c r="A61" s="21"/>
      <c r="B61" s="21"/>
      <c r="C61" s="127"/>
      <c r="E61" s="20"/>
      <c r="F61" s="20"/>
      <c r="G61" s="20"/>
      <c r="H61" s="20"/>
      <c r="I61" s="20"/>
      <c r="J61" s="20"/>
      <c r="K61" s="20"/>
      <c r="L61" s="20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x14ac:dyDescent="0.2">
      <c r="A62" s="21">
        <f>A60+1</f>
        <v>51</v>
      </c>
      <c r="B62" s="21"/>
      <c r="C62" s="168" t="s">
        <v>224</v>
      </c>
      <c r="E62" s="20">
        <f t="shared" ref="E62:I62" si="34">E58+E60</f>
        <v>42262.889974871898</v>
      </c>
      <c r="F62" s="20">
        <f t="shared" si="34"/>
        <v>43897.439709999991</v>
      </c>
      <c r="G62" s="20">
        <f t="shared" si="34"/>
        <v>41245.504380000006</v>
      </c>
      <c r="H62" s="20">
        <f t="shared" si="34"/>
        <v>41855.089009999996</v>
      </c>
      <c r="I62" s="20">
        <f t="shared" si="34"/>
        <v>42686.220479999996</v>
      </c>
      <c r="J62" s="20">
        <f t="shared" ref="J62" si="35">J58+J60</f>
        <v>49201.647062377742</v>
      </c>
      <c r="K62" s="20"/>
      <c r="L62" s="20">
        <f t="shared" ref="L62" si="36">L58+L60</f>
        <v>49793.562824010733</v>
      </c>
      <c r="M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x14ac:dyDescent="0.2">
      <c r="A63" s="21"/>
      <c r="B63" s="21"/>
      <c r="C63" s="127"/>
      <c r="E63" s="20"/>
      <c r="F63" s="20"/>
      <c r="G63" s="20"/>
      <c r="H63" s="20"/>
      <c r="I63" s="20"/>
      <c r="J63" s="20"/>
      <c r="K63" s="28"/>
    </row>
    <row r="64" spans="1:25" ht="14.25" x14ac:dyDescent="0.2">
      <c r="A64" s="21"/>
      <c r="B64" s="186"/>
      <c r="C64" s="157"/>
      <c r="E64" s="20"/>
      <c r="F64" s="20"/>
      <c r="G64" s="20"/>
      <c r="H64" s="20"/>
      <c r="I64" s="20"/>
      <c r="J64" s="20"/>
      <c r="K64" s="28"/>
    </row>
    <row r="65" spans="1:11" x14ac:dyDescent="0.2">
      <c r="A65" s="21"/>
      <c r="B65" s="21"/>
      <c r="C65" s="190"/>
      <c r="D65" s="190"/>
      <c r="E65" s="190"/>
      <c r="F65" s="190"/>
      <c r="G65" s="190"/>
      <c r="H65" s="190"/>
      <c r="I65" s="190"/>
      <c r="J65" s="190"/>
      <c r="K65" s="190"/>
    </row>
    <row r="66" spans="1:11" x14ac:dyDescent="0.2">
      <c r="A66" s="21"/>
      <c r="B66" s="21"/>
      <c r="C66" s="127"/>
      <c r="E66" s="20"/>
      <c r="F66" s="20"/>
      <c r="G66" s="20"/>
      <c r="H66" s="20"/>
      <c r="I66" s="20"/>
      <c r="J66" s="20"/>
      <c r="K66" s="28"/>
    </row>
    <row r="67" spans="1:11" x14ac:dyDescent="0.2">
      <c r="A67" s="21"/>
      <c r="B67" s="21"/>
      <c r="C67" s="127"/>
      <c r="E67" s="20"/>
      <c r="F67" s="20"/>
      <c r="G67" s="20"/>
      <c r="H67" s="20"/>
      <c r="I67" s="20"/>
      <c r="J67" s="20"/>
      <c r="K67" s="28"/>
    </row>
    <row r="68" spans="1:11" x14ac:dyDescent="0.2">
      <c r="A68" s="21"/>
      <c r="B68" s="21"/>
      <c r="C68" s="127"/>
      <c r="E68" s="20"/>
      <c r="F68" s="20"/>
      <c r="G68" s="20"/>
      <c r="H68" s="20"/>
      <c r="I68" s="20"/>
      <c r="J68" s="20"/>
      <c r="K68" s="20"/>
    </row>
    <row r="69" spans="1:11" x14ac:dyDescent="0.2">
      <c r="A69" s="21"/>
      <c r="B69" s="21"/>
      <c r="C69" s="127"/>
      <c r="E69" s="20"/>
      <c r="F69" s="20"/>
      <c r="G69" s="20"/>
      <c r="H69" s="20"/>
      <c r="I69" s="20"/>
      <c r="J69" s="20"/>
      <c r="K69" s="20"/>
    </row>
    <row r="70" spans="1:11" x14ac:dyDescent="0.2">
      <c r="A70" s="21"/>
      <c r="B70" s="21"/>
      <c r="C70" s="127"/>
      <c r="E70" s="20"/>
      <c r="F70" s="20"/>
      <c r="G70" s="20"/>
      <c r="H70" s="20"/>
      <c r="I70" s="20"/>
      <c r="J70" s="20"/>
      <c r="K70" s="28"/>
    </row>
    <row r="71" spans="1:11" x14ac:dyDescent="0.2">
      <c r="A71" s="21"/>
      <c r="B71" s="21"/>
      <c r="C71" s="127"/>
      <c r="E71" s="20"/>
      <c r="F71" s="20"/>
      <c r="G71" s="20"/>
      <c r="H71" s="20"/>
      <c r="I71" s="20"/>
      <c r="J71" s="20"/>
      <c r="K71" s="20"/>
    </row>
    <row r="72" spans="1:11" x14ac:dyDescent="0.2">
      <c r="A72" s="21"/>
      <c r="B72" s="21"/>
      <c r="C72" s="127"/>
      <c r="E72" s="106"/>
      <c r="F72" s="106"/>
      <c r="G72" s="106"/>
      <c r="H72" s="106"/>
      <c r="I72" s="106"/>
      <c r="J72" s="106"/>
      <c r="K72" s="139"/>
    </row>
    <row r="73" spans="1:11" x14ac:dyDescent="0.2">
      <c r="A73" s="21"/>
      <c r="B73" s="21"/>
      <c r="C73" s="127"/>
      <c r="E73" s="106"/>
      <c r="F73" s="106"/>
      <c r="G73" s="106"/>
      <c r="H73" s="106"/>
      <c r="I73" s="106"/>
      <c r="J73" s="106"/>
      <c r="K73" s="139"/>
    </row>
    <row r="74" spans="1:11" x14ac:dyDescent="0.2">
      <c r="A74" s="21"/>
      <c r="B74" s="21"/>
      <c r="C74" s="127"/>
      <c r="E74" s="106"/>
      <c r="F74" s="106"/>
      <c r="G74" s="106"/>
      <c r="H74" s="106"/>
      <c r="I74" s="106"/>
      <c r="J74" s="106"/>
      <c r="K74" s="139"/>
    </row>
    <row r="75" spans="1:11" x14ac:dyDescent="0.2">
      <c r="A75" s="21"/>
      <c r="B75" s="21"/>
      <c r="C75" s="127"/>
      <c r="E75" s="106"/>
      <c r="F75" s="106"/>
      <c r="G75" s="106"/>
      <c r="H75" s="106"/>
      <c r="I75" s="106"/>
      <c r="J75" s="106"/>
      <c r="K75" s="139"/>
    </row>
    <row r="76" spans="1:11" x14ac:dyDescent="0.2">
      <c r="A76" s="21"/>
      <c r="B76" s="21"/>
      <c r="C76" s="127"/>
      <c r="E76" s="106"/>
      <c r="F76" s="106"/>
      <c r="G76" s="106"/>
      <c r="H76" s="106"/>
      <c r="I76" s="106"/>
      <c r="J76" s="106"/>
      <c r="K76" s="139"/>
    </row>
    <row r="77" spans="1:11" x14ac:dyDescent="0.2">
      <c r="A77" s="21"/>
      <c r="B77" s="21"/>
      <c r="C77" s="127"/>
      <c r="E77" s="106"/>
      <c r="F77" s="106"/>
      <c r="G77" s="106"/>
      <c r="H77" s="106"/>
      <c r="I77" s="106"/>
      <c r="J77" s="106"/>
      <c r="K77" s="139"/>
    </row>
    <row r="78" spans="1:11" x14ac:dyDescent="0.2">
      <c r="A78" s="21"/>
      <c r="B78" s="21"/>
      <c r="C78" s="127"/>
      <c r="E78" s="106"/>
      <c r="F78" s="106"/>
      <c r="G78" s="106"/>
      <c r="H78" s="106"/>
      <c r="I78" s="106"/>
      <c r="J78" s="106"/>
      <c r="K78" s="139"/>
    </row>
    <row r="79" spans="1:11" x14ac:dyDescent="0.2">
      <c r="C79" s="140"/>
      <c r="E79" s="106"/>
      <c r="F79" s="106"/>
      <c r="G79" s="106"/>
      <c r="H79" s="106"/>
      <c r="I79" s="106"/>
      <c r="J79" s="106"/>
      <c r="K79" s="139"/>
    </row>
    <row r="80" spans="1:11" x14ac:dyDescent="0.2">
      <c r="C80" s="140"/>
      <c r="E80" s="106"/>
      <c r="F80" s="106"/>
      <c r="G80" s="106"/>
      <c r="H80" s="106"/>
      <c r="I80" s="106"/>
      <c r="J80" s="106"/>
      <c r="K80" s="139"/>
    </row>
    <row r="81" spans="2:16" x14ac:dyDescent="0.2">
      <c r="C81" s="140"/>
      <c r="E81" s="106"/>
      <c r="F81" s="106"/>
      <c r="G81" s="106"/>
      <c r="H81" s="106"/>
      <c r="I81" s="106"/>
      <c r="J81" s="106"/>
      <c r="K81" s="139"/>
    </row>
    <row r="82" spans="2:16" x14ac:dyDescent="0.2">
      <c r="C82" s="140"/>
      <c r="E82" s="106"/>
      <c r="F82" s="106"/>
      <c r="G82" s="106"/>
      <c r="H82" s="106"/>
      <c r="I82" s="106"/>
      <c r="J82" s="106"/>
      <c r="K82" s="139"/>
    </row>
    <row r="83" spans="2:16" x14ac:dyDescent="0.2">
      <c r="C83" s="140"/>
      <c r="E83" s="106"/>
      <c r="F83" s="106"/>
      <c r="G83" s="106"/>
      <c r="H83" s="106"/>
      <c r="I83" s="106"/>
      <c r="J83" s="106"/>
      <c r="K83" s="139"/>
    </row>
    <row r="84" spans="2:16" x14ac:dyDescent="0.2">
      <c r="C84" s="140"/>
      <c r="E84" s="106"/>
      <c r="F84" s="106"/>
      <c r="G84" s="106"/>
      <c r="H84" s="106"/>
      <c r="I84" s="106"/>
      <c r="J84" s="106"/>
      <c r="K84" s="139"/>
    </row>
    <row r="85" spans="2:16" x14ac:dyDescent="0.2">
      <c r="C85" s="140"/>
      <c r="E85" s="139"/>
      <c r="F85" s="139"/>
      <c r="G85" s="139"/>
      <c r="H85" s="139"/>
      <c r="I85" s="139"/>
      <c r="J85" s="139"/>
      <c r="K85" s="139"/>
      <c r="L85" s="11"/>
      <c r="M85" s="11"/>
      <c r="N85" s="11"/>
      <c r="O85" s="11"/>
      <c r="P85" s="11"/>
    </row>
    <row r="86" spans="2:16" x14ac:dyDescent="0.2">
      <c r="C86" s="140"/>
      <c r="E86" s="139"/>
      <c r="F86" s="139"/>
      <c r="G86" s="139"/>
      <c r="H86" s="139"/>
      <c r="I86" s="139"/>
      <c r="J86" s="139"/>
      <c r="K86" s="139"/>
      <c r="L86" s="11"/>
      <c r="M86" s="11"/>
      <c r="N86" s="11"/>
      <c r="O86" s="11"/>
      <c r="P86" s="11"/>
    </row>
    <row r="87" spans="2:16" x14ac:dyDescent="0.2">
      <c r="B87" s="17"/>
      <c r="C87" s="141"/>
      <c r="E87" s="142"/>
      <c r="F87" s="142"/>
      <c r="G87" s="142"/>
      <c r="H87" s="142"/>
      <c r="I87" s="142"/>
      <c r="J87" s="142"/>
      <c r="K87" s="142"/>
      <c r="L87" s="11"/>
      <c r="M87" s="11"/>
      <c r="N87" s="11"/>
      <c r="O87" s="11"/>
      <c r="P87" s="11"/>
    </row>
    <row r="88" spans="2:16" x14ac:dyDescent="0.2">
      <c r="C88" s="140"/>
      <c r="E88" s="112"/>
      <c r="F88" s="112"/>
      <c r="G88" s="112"/>
      <c r="H88" s="112"/>
      <c r="I88" s="112"/>
      <c r="J88" s="112"/>
      <c r="K88" s="112"/>
      <c r="L88" s="11"/>
      <c r="M88" s="11"/>
      <c r="N88" s="11"/>
      <c r="O88" s="11"/>
      <c r="P88" s="11"/>
    </row>
    <row r="89" spans="2:16" x14ac:dyDescent="0.2">
      <c r="E89" s="112"/>
      <c r="F89" s="112"/>
      <c r="G89" s="112"/>
      <c r="H89" s="112"/>
      <c r="I89" s="112"/>
      <c r="J89" s="112"/>
      <c r="K89" s="112"/>
      <c r="L89" s="11"/>
      <c r="M89" s="11"/>
      <c r="N89" s="11"/>
      <c r="O89" s="11"/>
      <c r="P89" s="11"/>
    </row>
    <row r="90" spans="2:16" x14ac:dyDescent="0.2">
      <c r="C90" s="140"/>
      <c r="E90" s="112"/>
      <c r="F90" s="112"/>
      <c r="G90" s="112"/>
      <c r="H90" s="112"/>
      <c r="I90" s="112"/>
      <c r="J90" s="112"/>
      <c r="K90" s="112"/>
      <c r="L90" s="11"/>
      <c r="M90" s="11"/>
      <c r="N90" s="11"/>
      <c r="O90" s="11"/>
      <c r="P90" s="11"/>
    </row>
    <row r="91" spans="2:16" x14ac:dyDescent="0.2">
      <c r="C91" s="140"/>
      <c r="E91" s="112"/>
      <c r="F91" s="112"/>
      <c r="G91" s="112"/>
      <c r="H91" s="112"/>
      <c r="I91" s="112"/>
      <c r="J91" s="112"/>
      <c r="K91" s="112"/>
      <c r="L91" s="11"/>
      <c r="M91" s="11"/>
      <c r="N91" s="11"/>
      <c r="O91" s="11"/>
      <c r="P91" s="11"/>
    </row>
    <row r="92" spans="2:16" x14ac:dyDescent="0.2">
      <c r="E92" s="11"/>
      <c r="F92" s="11"/>
      <c r="G92" s="11"/>
      <c r="H92" s="11"/>
      <c r="I92" s="11"/>
      <c r="J92" s="11"/>
      <c r="L92" s="11"/>
      <c r="M92" s="11"/>
      <c r="N92" s="11"/>
      <c r="O92" s="11"/>
      <c r="P92" s="11"/>
    </row>
  </sheetData>
  <mergeCells count="1">
    <mergeCell ref="C65:K65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3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9" tint="0.39997558519241921"/>
    <pageSetUpPr fitToPage="1"/>
  </sheetPr>
  <dimension ref="A1:AB57"/>
  <sheetViews>
    <sheetView view="pageBreakPreview" zoomScaleSheetLayoutView="100" workbookViewId="0"/>
  </sheetViews>
  <sheetFormatPr defaultRowHeight="12.75" x14ac:dyDescent="0.2"/>
  <cols>
    <col min="1" max="1" width="5.28515625" style="7" customWidth="1"/>
    <col min="2" max="2" width="1.85546875" style="7" customWidth="1"/>
    <col min="3" max="3" width="27.42578125" style="7" customWidth="1"/>
    <col min="4" max="4" width="1.85546875" style="7" customWidth="1"/>
    <col min="5" max="5" width="9.140625" style="18"/>
    <col min="6" max="6" width="1.85546875" style="7" customWidth="1"/>
    <col min="7" max="12" width="9.42578125" style="7" customWidth="1"/>
    <col min="13" max="13" width="1.7109375" style="11" customWidth="1"/>
    <col min="14" max="14" width="10" style="7" customWidth="1"/>
    <col min="15" max="16384" width="9.140625" style="7"/>
  </cols>
  <sheetData>
    <row r="1" spans="1:28" ht="15.75" x14ac:dyDescent="0.25">
      <c r="A1" s="173" t="s">
        <v>269</v>
      </c>
      <c r="G1" s="22"/>
      <c r="H1" s="22"/>
      <c r="I1" s="22"/>
      <c r="J1" s="22"/>
      <c r="K1" s="22"/>
      <c r="L1" s="22"/>
      <c r="M1" s="42"/>
      <c r="N1" s="8" t="s">
        <v>216</v>
      </c>
    </row>
    <row r="2" spans="1:28" x14ac:dyDescent="0.2">
      <c r="A2" s="174" t="s">
        <v>25</v>
      </c>
      <c r="G2" s="23"/>
      <c r="H2" s="23"/>
      <c r="I2" s="23"/>
      <c r="J2" s="23"/>
      <c r="K2" s="23"/>
      <c r="L2" s="23"/>
      <c r="M2" s="72"/>
      <c r="N2" s="43" t="str">
        <f>Index!F2</f>
        <v>February 25, 2019</v>
      </c>
    </row>
    <row r="3" spans="1:28" x14ac:dyDescent="0.2">
      <c r="A3" s="174" t="s">
        <v>7</v>
      </c>
      <c r="G3" s="23"/>
      <c r="H3" s="23"/>
      <c r="I3" s="23"/>
      <c r="J3" s="23"/>
      <c r="K3" s="23"/>
      <c r="L3" s="23"/>
      <c r="M3" s="72"/>
    </row>
    <row r="6" spans="1:28" s="18" customFormat="1" x14ac:dyDescent="0.2">
      <c r="G6" s="72"/>
      <c r="H6" s="72"/>
      <c r="I6" s="72"/>
      <c r="J6" s="72"/>
      <c r="K6" s="72"/>
      <c r="L6" s="72"/>
      <c r="M6" s="72"/>
      <c r="N6" s="187" t="s">
        <v>3</v>
      </c>
    </row>
    <row r="7" spans="1:28" s="16" customFormat="1" ht="38.25" x14ac:dyDescent="0.2">
      <c r="A7" s="15" t="s">
        <v>0</v>
      </c>
      <c r="C7" s="15" t="s">
        <v>1</v>
      </c>
      <c r="E7" s="15" t="s">
        <v>2</v>
      </c>
      <c r="G7" s="15" t="s">
        <v>227</v>
      </c>
      <c r="H7" s="15" t="s">
        <v>228</v>
      </c>
      <c r="I7" s="15" t="s">
        <v>229</v>
      </c>
      <c r="J7" s="15" t="s">
        <v>230</v>
      </c>
      <c r="K7" s="15" t="s">
        <v>261</v>
      </c>
      <c r="L7" s="15" t="str">
        <f>'Schedule 1'!$L$10</f>
        <v>Proposed 2017</v>
      </c>
      <c r="M7" s="26"/>
      <c r="N7" s="15" t="str">
        <f>'Schedule 1'!$N$10</f>
        <v>Proposed 2018</v>
      </c>
    </row>
    <row r="9" spans="1:28" x14ac:dyDescent="0.2">
      <c r="A9" s="7">
        <v>1</v>
      </c>
      <c r="C9" s="17" t="s">
        <v>139</v>
      </c>
    </row>
    <row r="10" spans="1:28" x14ac:dyDescent="0.2">
      <c r="A10" s="7">
        <v>2</v>
      </c>
      <c r="C10" s="143" t="s">
        <v>129</v>
      </c>
      <c r="G10" s="20">
        <v>4493.8101194040901</v>
      </c>
      <c r="H10" s="20">
        <v>5309.8517899999997</v>
      </c>
      <c r="I10" s="20">
        <v>5587.5106649999998</v>
      </c>
      <c r="J10" s="20">
        <v>5471.8039699999999</v>
      </c>
      <c r="K10" s="20">
        <v>6038.6984499999999</v>
      </c>
      <c r="L10" s="20">
        <v>6366.2304577463228</v>
      </c>
      <c r="M10" s="20"/>
      <c r="N10" s="20">
        <v>5929.7446340374845</v>
      </c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</row>
    <row r="11" spans="1:28" x14ac:dyDescent="0.2">
      <c r="A11" s="7">
        <v>3</v>
      </c>
      <c r="C11" s="143" t="s">
        <v>130</v>
      </c>
      <c r="G11" s="20">
        <v>2111.6255378631517</v>
      </c>
      <c r="H11" s="20">
        <v>2959.7927</v>
      </c>
      <c r="I11" s="20">
        <v>2565.3416900000002</v>
      </c>
      <c r="J11" s="20">
        <v>2529.5140099999999</v>
      </c>
      <c r="K11" s="20">
        <v>2450.3849200000004</v>
      </c>
      <c r="L11" s="20">
        <v>3535.0581399999996</v>
      </c>
      <c r="M11" s="20"/>
      <c r="N11" s="20">
        <v>3444.5274438309857</v>
      </c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8" x14ac:dyDescent="0.2">
      <c r="A12" s="7">
        <v>4</v>
      </c>
      <c r="C12" s="143" t="s">
        <v>131</v>
      </c>
      <c r="G12" s="20">
        <v>1404.5387641206576</v>
      </c>
      <c r="H12" s="20">
        <v>1484.5264499999998</v>
      </c>
      <c r="I12" s="20">
        <v>1735.2760600000001</v>
      </c>
      <c r="J12" s="20">
        <v>1749.1211699999999</v>
      </c>
      <c r="K12" s="20">
        <v>1522.0632200000002</v>
      </c>
      <c r="L12" s="20">
        <v>1771.9328999999998</v>
      </c>
      <c r="M12" s="20"/>
      <c r="N12" s="20">
        <v>1614.9398830970731</v>
      </c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8" x14ac:dyDescent="0.2">
      <c r="A13" s="7">
        <v>5</v>
      </c>
      <c r="C13" s="143" t="s">
        <v>204</v>
      </c>
      <c r="G13" s="20">
        <v>8653.6196122476576</v>
      </c>
      <c r="H13" s="20">
        <v>8079.6540299999988</v>
      </c>
      <c r="I13" s="20">
        <v>8494.7097599999997</v>
      </c>
      <c r="J13" s="20">
        <v>8100.6048599999986</v>
      </c>
      <c r="K13" s="20">
        <v>8509.2970100000002</v>
      </c>
      <c r="L13" s="20">
        <v>8574.8055399999994</v>
      </c>
      <c r="M13" s="20"/>
      <c r="N13" s="20">
        <v>8917.062041097266</v>
      </c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8" x14ac:dyDescent="0.2">
      <c r="A14" s="7">
        <v>6</v>
      </c>
      <c r="C14" s="144" t="s">
        <v>203</v>
      </c>
      <c r="G14" s="20">
        <v>895</v>
      </c>
      <c r="H14" s="20">
        <v>990.13</v>
      </c>
      <c r="I14" s="20">
        <v>1017</v>
      </c>
      <c r="J14" s="20">
        <v>1030</v>
      </c>
      <c r="K14" s="20">
        <v>1036.896</v>
      </c>
      <c r="L14" s="20">
        <v>1032.4394233333333</v>
      </c>
      <c r="M14" s="20"/>
      <c r="N14" s="20">
        <v>1031.4720000000002</v>
      </c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 spans="1:28" x14ac:dyDescent="0.2">
      <c r="A15" s="7">
        <v>7</v>
      </c>
      <c r="C15" s="143" t="s">
        <v>132</v>
      </c>
      <c r="G15" s="120">
        <f t="shared" ref="G15:K15" si="0">SUM(G10:G14)</f>
        <v>17558.594033635556</v>
      </c>
      <c r="H15" s="120">
        <f t="shared" si="0"/>
        <v>18823.954969999999</v>
      </c>
      <c r="I15" s="120">
        <f t="shared" si="0"/>
        <v>19399.838174999997</v>
      </c>
      <c r="J15" s="120">
        <f t="shared" si="0"/>
        <v>18881.044009999998</v>
      </c>
      <c r="K15" s="120">
        <f t="shared" si="0"/>
        <v>19557.339599999999</v>
      </c>
      <c r="L15" s="120">
        <f t="shared" ref="L15" si="1">SUM(L10:L14)</f>
        <v>21280.466461079657</v>
      </c>
      <c r="M15" s="20"/>
      <c r="N15" s="120">
        <f>SUM(N10:N14)</f>
        <v>20937.746002062813</v>
      </c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1:28" x14ac:dyDescent="0.2">
      <c r="C16" s="143"/>
      <c r="G16" s="11"/>
      <c r="H16" s="11"/>
      <c r="I16" s="11"/>
      <c r="J16" s="11"/>
      <c r="K16" s="11"/>
      <c r="L16" s="11"/>
      <c r="N16" s="1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x14ac:dyDescent="0.2">
      <c r="A17" s="7">
        <v>8</v>
      </c>
      <c r="C17" s="144" t="s">
        <v>117</v>
      </c>
      <c r="G17" s="69">
        <v>85</v>
      </c>
      <c r="H17" s="69">
        <f>-'Schedule 5'!H23</f>
        <v>84.405000000000001</v>
      </c>
      <c r="I17" s="69">
        <f>-'Schedule 5'!I23</f>
        <v>85</v>
      </c>
      <c r="J17" s="69">
        <f>-'Schedule 5'!J23</f>
        <v>86</v>
      </c>
      <c r="K17" s="69">
        <f>-'Schedule 5'!K23</f>
        <v>95.414000000000001</v>
      </c>
      <c r="L17" s="69">
        <f>-'Schedule 5'!L23</f>
        <v>95.505719999999997</v>
      </c>
      <c r="M17" s="69"/>
      <c r="N17" s="69">
        <f>-'Schedule 5'!N23</f>
        <v>99.999999999999957</v>
      </c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x14ac:dyDescent="0.2">
      <c r="C18" s="144"/>
      <c r="G18" s="11"/>
      <c r="H18" s="11"/>
      <c r="I18" s="11"/>
      <c r="J18" s="11"/>
      <c r="K18" s="11"/>
      <c r="L18" s="11"/>
      <c r="N18" s="1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x14ac:dyDescent="0.2">
      <c r="A19" s="7">
        <v>9</v>
      </c>
      <c r="C19" s="143" t="s">
        <v>132</v>
      </c>
      <c r="G19" s="120">
        <f t="shared" ref="G19:K19" si="2">SUM(G17:G17)</f>
        <v>85</v>
      </c>
      <c r="H19" s="120">
        <f t="shared" si="2"/>
        <v>84.405000000000001</v>
      </c>
      <c r="I19" s="120">
        <f t="shared" si="2"/>
        <v>85</v>
      </c>
      <c r="J19" s="120">
        <f t="shared" si="2"/>
        <v>86</v>
      </c>
      <c r="K19" s="120">
        <f t="shared" si="2"/>
        <v>95.414000000000001</v>
      </c>
      <c r="L19" s="120">
        <f t="shared" ref="L19" si="3">SUM(L17:L17)</f>
        <v>95.505719999999997</v>
      </c>
      <c r="M19" s="28"/>
      <c r="N19" s="120">
        <f t="shared" ref="N19" si="4">SUM(N17:N17)</f>
        <v>99.999999999999957</v>
      </c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x14ac:dyDescent="0.2">
      <c r="C20" s="143"/>
      <c r="G20" s="11"/>
      <c r="H20" s="11"/>
      <c r="I20" s="11"/>
      <c r="J20" s="11"/>
      <c r="K20" s="11"/>
      <c r="L20" s="11"/>
      <c r="N20" s="1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x14ac:dyDescent="0.2">
      <c r="A21" s="7">
        <v>10</v>
      </c>
      <c r="C21" s="143" t="s">
        <v>133</v>
      </c>
      <c r="G21" s="11"/>
      <c r="H21" s="11"/>
      <c r="I21" s="11"/>
      <c r="J21" s="11"/>
      <c r="K21" s="11"/>
      <c r="L21" s="11"/>
      <c r="N21" s="1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 spans="1:27" ht="13.5" thickBot="1" x14ac:dyDescent="0.25">
      <c r="A22" s="7">
        <v>11</v>
      </c>
      <c r="C22" s="143" t="s">
        <v>134</v>
      </c>
      <c r="G22" s="146">
        <f t="shared" ref="G22:K22" si="5">SUM(G15+G19)</f>
        <v>17643.594033635556</v>
      </c>
      <c r="H22" s="146">
        <f>SUM(H15+H19)</f>
        <v>18908.359969999998</v>
      </c>
      <c r="I22" s="146">
        <f t="shared" si="5"/>
        <v>19484.838174999997</v>
      </c>
      <c r="J22" s="146">
        <f t="shared" si="5"/>
        <v>18967.044009999998</v>
      </c>
      <c r="K22" s="146">
        <f t="shared" si="5"/>
        <v>19652.7536</v>
      </c>
      <c r="L22" s="146">
        <f t="shared" ref="L22" si="6">SUM(L15+L19)</f>
        <v>21375.972181079658</v>
      </c>
      <c r="M22" s="28"/>
      <c r="N22" s="146">
        <f t="shared" ref="N22" si="7">SUM(N15+N19)</f>
        <v>21037.746002062813</v>
      </c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x14ac:dyDescent="0.2">
      <c r="G23" s="11"/>
      <c r="H23" s="11"/>
      <c r="I23" s="11"/>
      <c r="J23" s="11"/>
      <c r="K23" s="11"/>
      <c r="L23" s="11"/>
      <c r="N23" s="1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x14ac:dyDescent="0.2">
      <c r="A24" s="7">
        <v>12</v>
      </c>
      <c r="C24" s="7" t="s">
        <v>135</v>
      </c>
      <c r="G24" s="145">
        <v>3160.2135919238253</v>
      </c>
      <c r="H24" s="145">
        <v>3847.962</v>
      </c>
      <c r="I24" s="145">
        <v>1528</v>
      </c>
      <c r="J24" s="145">
        <v>2720</v>
      </c>
      <c r="K24" s="145">
        <v>2113.556</v>
      </c>
      <c r="L24" s="145">
        <v>2411.2751399999997</v>
      </c>
      <c r="M24" s="145"/>
      <c r="N24" s="145">
        <v>2637.9343046544213</v>
      </c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x14ac:dyDescent="0.2">
      <c r="A25" s="7">
        <v>13</v>
      </c>
      <c r="C25" s="7" t="s">
        <v>138</v>
      </c>
      <c r="G25" s="145">
        <v>40</v>
      </c>
      <c r="H25" s="145">
        <v>29.620999999999999</v>
      </c>
      <c r="I25" s="145">
        <v>41</v>
      </c>
      <c r="J25" s="145">
        <v>36</v>
      </c>
      <c r="K25" s="145">
        <v>45.447000000000003</v>
      </c>
      <c r="L25" s="145">
        <v>48.694460000000007</v>
      </c>
      <c r="M25" s="145"/>
      <c r="N25" s="145">
        <v>39.175874811781597</v>
      </c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x14ac:dyDescent="0.2">
      <c r="A26" s="7">
        <v>14</v>
      </c>
      <c r="C26" s="7" t="s">
        <v>132</v>
      </c>
      <c r="G26" s="120">
        <f t="shared" ref="G26:K26" si="8">SUM(G24:G25)</f>
        <v>3200.2135919238253</v>
      </c>
      <c r="H26" s="120">
        <f>SUM(H24:H25)</f>
        <v>3877.5830000000001</v>
      </c>
      <c r="I26" s="120">
        <f t="shared" si="8"/>
        <v>1569</v>
      </c>
      <c r="J26" s="120">
        <f t="shared" si="8"/>
        <v>2756</v>
      </c>
      <c r="K26" s="120">
        <f t="shared" si="8"/>
        <v>2159.0030000000002</v>
      </c>
      <c r="L26" s="120">
        <f t="shared" ref="L26" si="9">SUM(L24:L25)</f>
        <v>2459.9695999999999</v>
      </c>
      <c r="M26" s="28"/>
      <c r="N26" s="120">
        <f t="shared" ref="N26" si="10">SUM(N24:N25)</f>
        <v>2677.1101794662031</v>
      </c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x14ac:dyDescent="0.2">
      <c r="G27" s="11"/>
      <c r="H27" s="11"/>
      <c r="I27" s="11"/>
      <c r="J27" s="11"/>
      <c r="K27" s="11"/>
      <c r="L27" s="11"/>
      <c r="N27" s="1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ht="13.5" thickBot="1" x14ac:dyDescent="0.25">
      <c r="A28" s="7">
        <v>15</v>
      </c>
      <c r="C28" s="7" t="s">
        <v>136</v>
      </c>
      <c r="E28" s="18" t="s">
        <v>140</v>
      </c>
      <c r="G28" s="146">
        <f>SUM(G15+G19+G26)</f>
        <v>20843.807625559381</v>
      </c>
      <c r="H28" s="146">
        <f>SUM(H15+H19+H26)</f>
        <v>22785.942969999996</v>
      </c>
      <c r="I28" s="146">
        <f t="shared" ref="I28:K28" si="11">SUM(I15+I19+I26)</f>
        <v>21053.838174999997</v>
      </c>
      <c r="J28" s="146">
        <f t="shared" si="11"/>
        <v>21723.044009999998</v>
      </c>
      <c r="K28" s="146">
        <f t="shared" si="11"/>
        <v>21811.756600000001</v>
      </c>
      <c r="L28" s="146">
        <f t="shared" ref="L28" si="12">SUM(L15+L19+L26)</f>
        <v>23835.941781079659</v>
      </c>
      <c r="M28" s="28"/>
      <c r="N28" s="146">
        <f t="shared" ref="N28" si="13">SUM(N15+N19+N26)</f>
        <v>23714.856181529016</v>
      </c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27" x14ac:dyDescent="0.2">
      <c r="G29" s="28"/>
      <c r="H29" s="28"/>
      <c r="I29" s="28"/>
      <c r="J29" s="28"/>
      <c r="K29" s="28"/>
      <c r="L29" s="28"/>
      <c r="M29" s="28"/>
      <c r="N29" s="28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spans="1:27" s="14" customFormat="1" x14ac:dyDescent="0.2">
      <c r="C30" s="119" t="s">
        <v>191</v>
      </c>
      <c r="E30" s="25"/>
      <c r="G30" s="147"/>
      <c r="H30" s="147"/>
      <c r="I30" s="147"/>
      <c r="J30" s="147"/>
      <c r="K30" s="147"/>
      <c r="L30" s="147"/>
      <c r="M30" s="147"/>
      <c r="N30" s="147"/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 spans="1:27" s="14" customFormat="1" x14ac:dyDescent="0.2">
      <c r="A31" s="14">
        <v>16</v>
      </c>
      <c r="C31" s="14" t="s">
        <v>161</v>
      </c>
      <c r="E31" s="25"/>
      <c r="G31" s="147">
        <v>226.09889199999998</v>
      </c>
      <c r="H31" s="147">
        <f>'Schedule 6'!H15</f>
        <v>226</v>
      </c>
      <c r="I31" s="147">
        <f>'Schedule 6'!I15</f>
        <v>226</v>
      </c>
      <c r="J31" s="147">
        <f>'Schedule 6'!J15</f>
        <v>226</v>
      </c>
      <c r="K31" s="147">
        <f>'Schedule 6'!K15</f>
        <v>226</v>
      </c>
      <c r="L31" s="147">
        <f>'Schedule 6'!L15</f>
        <v>478.93700000000001</v>
      </c>
      <c r="M31" s="147"/>
      <c r="N31" s="147">
        <f>'Schedule 6'!N15</f>
        <v>478.93700000000001</v>
      </c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spans="1:27" s="14" customFormat="1" x14ac:dyDescent="0.2">
      <c r="A32" s="14">
        <v>17</v>
      </c>
      <c r="C32" s="14" t="s">
        <v>189</v>
      </c>
      <c r="E32" s="25"/>
      <c r="G32" s="148">
        <v>326.40211583999996</v>
      </c>
      <c r="H32" s="148">
        <f>'Schedule 6'!H13</f>
        <v>330.96499999999997</v>
      </c>
      <c r="I32" s="148">
        <f>'Schedule 6'!I13</f>
        <v>331</v>
      </c>
      <c r="J32" s="148">
        <f>'Schedule 6'!J13</f>
        <v>473</v>
      </c>
      <c r="K32" s="148">
        <f>'Schedule 6'!K13</f>
        <v>686.43100000000004</v>
      </c>
      <c r="L32" s="148">
        <f>'Schedule 6'!L13</f>
        <v>692.78601753333351</v>
      </c>
      <c r="M32" s="39"/>
      <c r="N32" s="148">
        <f>'Schedule 6'!N13</f>
        <v>708.13965357545919</v>
      </c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27" s="14" customFormat="1" x14ac:dyDescent="0.2">
      <c r="A33" s="14">
        <v>18</v>
      </c>
      <c r="C33" s="14" t="s">
        <v>190</v>
      </c>
      <c r="E33" s="25"/>
      <c r="G33" s="149">
        <v>-85</v>
      </c>
      <c r="H33" s="149">
        <f t="shared" ref="H33:K33" si="14">-H17</f>
        <v>-84.405000000000001</v>
      </c>
      <c r="I33" s="149">
        <f t="shared" si="14"/>
        <v>-85</v>
      </c>
      <c r="J33" s="149">
        <f t="shared" si="14"/>
        <v>-86</v>
      </c>
      <c r="K33" s="149">
        <f t="shared" si="14"/>
        <v>-95.414000000000001</v>
      </c>
      <c r="L33" s="149">
        <f t="shared" ref="L33" si="15">-L17</f>
        <v>-95.505719999999997</v>
      </c>
      <c r="M33" s="150"/>
      <c r="N33" s="149">
        <f t="shared" ref="N33" si="16">-N17</f>
        <v>-99.999999999999957</v>
      </c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s="14" customFormat="1" x14ac:dyDescent="0.2">
      <c r="E34" s="25"/>
      <c r="G34" s="147"/>
      <c r="H34" s="147"/>
      <c r="I34" s="147"/>
      <c r="J34" s="147"/>
      <c r="K34" s="147"/>
      <c r="L34" s="147"/>
      <c r="M34" s="147"/>
      <c r="N34" s="147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s="14" customFormat="1" x14ac:dyDescent="0.2">
      <c r="A35" s="14">
        <v>19</v>
      </c>
      <c r="C35" s="14" t="s">
        <v>222</v>
      </c>
      <c r="E35" s="25"/>
      <c r="G35" s="147">
        <f>G22+G33+G32+G31</f>
        <v>18111.095041475557</v>
      </c>
      <c r="H35" s="147">
        <f t="shared" ref="H35:K35" si="17">H22+H33+H32+H31</f>
        <v>19380.919969999999</v>
      </c>
      <c r="I35" s="147">
        <f t="shared" si="17"/>
        <v>19956.838174999997</v>
      </c>
      <c r="J35" s="147">
        <f t="shared" si="17"/>
        <v>19580.044009999998</v>
      </c>
      <c r="K35" s="147">
        <f t="shared" si="17"/>
        <v>20469.7706</v>
      </c>
      <c r="L35" s="147">
        <f t="shared" ref="L35" si="18">L22+L33+L32+L31</f>
        <v>22452.189478612992</v>
      </c>
      <c r="M35" s="147"/>
      <c r="N35" s="147">
        <f t="shared" ref="N35" si="19">N22+N33+N32+N31</f>
        <v>22124.822655638272</v>
      </c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x14ac:dyDescent="0.2">
      <c r="G36" s="28"/>
      <c r="H36" s="28"/>
      <c r="I36" s="28"/>
      <c r="J36" s="28"/>
      <c r="K36" s="28"/>
      <c r="L36" s="28"/>
      <c r="M36" s="28"/>
    </row>
    <row r="37" spans="1:27" x14ac:dyDescent="0.2">
      <c r="G37" s="28"/>
      <c r="H37" s="28"/>
      <c r="I37" s="28"/>
      <c r="J37" s="28"/>
      <c r="K37" s="28"/>
      <c r="L37" s="28"/>
      <c r="M37" s="28"/>
    </row>
    <row r="38" spans="1:27" s="14" customFormat="1" x14ac:dyDescent="0.2">
      <c r="E38" s="25"/>
      <c r="G38" s="147"/>
      <c r="H38" s="147"/>
      <c r="I38" s="147"/>
      <c r="J38" s="147"/>
      <c r="K38" s="147"/>
      <c r="L38" s="147"/>
      <c r="M38" s="147"/>
      <c r="N38" s="147"/>
    </row>
    <row r="39" spans="1:27" s="14" customFormat="1" x14ac:dyDescent="0.2">
      <c r="E39" s="25"/>
      <c r="G39" s="147"/>
      <c r="H39" s="147"/>
      <c r="I39" s="147"/>
      <c r="J39" s="147"/>
      <c r="K39" s="147"/>
      <c r="L39" s="147"/>
      <c r="M39" s="147"/>
      <c r="N39" s="147"/>
    </row>
    <row r="40" spans="1:27" s="14" customFormat="1" x14ac:dyDescent="0.2">
      <c r="E40" s="25"/>
      <c r="G40" s="147"/>
      <c r="H40" s="147"/>
      <c r="I40" s="147"/>
      <c r="J40" s="147"/>
      <c r="K40" s="147"/>
      <c r="L40" s="147"/>
      <c r="M40" s="147"/>
      <c r="N40" s="147"/>
    </row>
    <row r="41" spans="1:27" s="14" customFormat="1" x14ac:dyDescent="0.2">
      <c r="E41" s="25"/>
      <c r="G41" s="147"/>
      <c r="H41" s="147"/>
      <c r="I41" s="147"/>
      <c r="J41" s="147"/>
      <c r="K41" s="147"/>
      <c r="L41" s="147"/>
      <c r="M41" s="147"/>
      <c r="N41" s="147"/>
    </row>
    <row r="42" spans="1:27" s="14" customFormat="1" x14ac:dyDescent="0.2">
      <c r="E42" s="25"/>
      <c r="G42" s="147"/>
      <c r="H42" s="147"/>
      <c r="I42" s="147"/>
      <c r="J42" s="147"/>
      <c r="K42" s="147"/>
      <c r="L42" s="147"/>
      <c r="M42" s="147"/>
      <c r="N42" s="147"/>
    </row>
    <row r="43" spans="1:27" ht="18.75" customHeight="1" x14ac:dyDescent="0.2">
      <c r="A43" s="30"/>
      <c r="C43" s="151"/>
      <c r="D43" s="151"/>
      <c r="E43" s="151"/>
      <c r="F43" s="151"/>
      <c r="G43" s="171"/>
      <c r="H43" s="171"/>
      <c r="I43" s="171"/>
      <c r="J43" s="171"/>
      <c r="K43" s="171"/>
      <c r="L43" s="171"/>
      <c r="M43" s="151"/>
    </row>
    <row r="44" spans="1:27" ht="18.75" customHeight="1" x14ac:dyDescent="0.2">
      <c r="A44" s="30"/>
      <c r="C44" s="151"/>
      <c r="D44" s="151"/>
      <c r="E44" s="151"/>
      <c r="F44" s="151"/>
      <c r="G44" s="171"/>
      <c r="H44" s="171"/>
      <c r="I44" s="171"/>
      <c r="J44" s="171"/>
      <c r="K44" s="171"/>
      <c r="L44" s="171"/>
      <c r="M44" s="151"/>
    </row>
    <row r="45" spans="1:27" ht="18.75" customHeight="1" x14ac:dyDescent="0.2">
      <c r="A45" s="30"/>
      <c r="C45" s="151"/>
      <c r="D45" s="151"/>
      <c r="E45" s="151"/>
      <c r="F45" s="151"/>
      <c r="G45" s="171"/>
      <c r="H45" s="171"/>
      <c r="I45" s="171"/>
      <c r="J45" s="171"/>
      <c r="K45" s="171"/>
      <c r="L45" s="171"/>
      <c r="M45" s="151"/>
    </row>
    <row r="46" spans="1:27" ht="18.75" customHeight="1" x14ac:dyDescent="0.2">
      <c r="A46" s="30"/>
      <c r="C46" s="151"/>
      <c r="D46" s="151"/>
      <c r="E46" s="151"/>
      <c r="F46" s="151"/>
      <c r="G46" s="171"/>
      <c r="H46" s="171"/>
      <c r="I46" s="171"/>
      <c r="J46" s="171"/>
      <c r="K46" s="171"/>
      <c r="L46" s="171"/>
      <c r="M46" s="151"/>
    </row>
    <row r="47" spans="1:27" ht="18.75" customHeight="1" x14ac:dyDescent="0.2">
      <c r="A47" s="30"/>
      <c r="C47" s="151"/>
      <c r="D47" s="151"/>
      <c r="E47" s="151"/>
      <c r="F47" s="151"/>
      <c r="G47" s="171"/>
      <c r="H47" s="171"/>
      <c r="I47" s="171"/>
      <c r="J47" s="171"/>
      <c r="K47" s="171"/>
      <c r="L47" s="171"/>
      <c r="M47" s="151"/>
    </row>
    <row r="48" spans="1:27" x14ac:dyDescent="0.2">
      <c r="G48" s="152"/>
      <c r="H48" s="152"/>
      <c r="I48" s="152"/>
      <c r="J48" s="152"/>
      <c r="K48" s="152"/>
      <c r="L48" s="152"/>
      <c r="M48" s="152"/>
    </row>
    <row r="51" spans="7:13" x14ac:dyDescent="0.2">
      <c r="G51" s="153"/>
      <c r="H51" s="153"/>
      <c r="I51" s="153"/>
      <c r="J51" s="153"/>
      <c r="K51" s="153"/>
      <c r="L51" s="153"/>
      <c r="M51" s="153"/>
    </row>
    <row r="53" spans="7:13" x14ac:dyDescent="0.2">
      <c r="G53" s="154"/>
      <c r="H53" s="154"/>
      <c r="I53" s="154"/>
      <c r="J53" s="154"/>
      <c r="K53" s="154"/>
      <c r="L53" s="154"/>
      <c r="M53" s="154"/>
    </row>
    <row r="55" spans="7:13" x14ac:dyDescent="0.2">
      <c r="G55" s="155"/>
      <c r="H55" s="155"/>
      <c r="I55" s="155"/>
      <c r="J55" s="155"/>
      <c r="K55" s="155"/>
      <c r="L55" s="155"/>
      <c r="M55" s="155"/>
    </row>
    <row r="57" spans="7:13" x14ac:dyDescent="0.2">
      <c r="G57" s="154"/>
      <c r="H57" s="154"/>
      <c r="I57" s="154"/>
      <c r="J57" s="154"/>
      <c r="K57" s="154"/>
      <c r="L57" s="154"/>
      <c r="M57" s="154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39997558519241921"/>
    <pageSetUpPr fitToPage="1"/>
  </sheetPr>
  <dimension ref="A1:AD65"/>
  <sheetViews>
    <sheetView view="pageBreakPreview" zoomScaleSheetLayoutView="100" workbookViewId="0">
      <selection activeCell="C2" sqref="C2"/>
    </sheetView>
  </sheetViews>
  <sheetFormatPr defaultRowHeight="12.75" x14ac:dyDescent="0.2"/>
  <cols>
    <col min="1" max="1" width="5.28515625" style="21" customWidth="1"/>
    <col min="2" max="2" width="1.85546875" style="21" customWidth="1"/>
    <col min="3" max="3" width="27.42578125" style="12" customWidth="1"/>
    <col min="4" max="4" width="1.85546875" style="12" customWidth="1"/>
    <col min="5" max="5" width="9.140625" style="47" customWidth="1"/>
    <col min="6" max="6" width="1.85546875" style="12" customWidth="1"/>
    <col min="7" max="12" width="10.42578125" style="12" customWidth="1"/>
    <col min="13" max="13" width="2" style="21" customWidth="1"/>
    <col min="14" max="14" width="10.42578125" style="12" customWidth="1"/>
    <col min="15" max="16384" width="9.140625" style="12"/>
  </cols>
  <sheetData>
    <row r="1" spans="1:30" ht="15.75" x14ac:dyDescent="0.25">
      <c r="A1" s="178" t="s">
        <v>269</v>
      </c>
      <c r="N1" s="49" t="s">
        <v>23</v>
      </c>
    </row>
    <row r="2" spans="1:30" x14ac:dyDescent="0.2">
      <c r="A2" s="179" t="s">
        <v>172</v>
      </c>
      <c r="N2" s="50" t="str">
        <f>Index!F2</f>
        <v>February 25, 2019</v>
      </c>
    </row>
    <row r="3" spans="1:30" x14ac:dyDescent="0.2">
      <c r="A3" s="179" t="s">
        <v>7</v>
      </c>
    </row>
    <row r="6" spans="1:30" s="46" customFormat="1" x14ac:dyDescent="0.2">
      <c r="A6" s="47"/>
      <c r="B6" s="47"/>
      <c r="E6" s="47"/>
      <c r="G6" s="9"/>
      <c r="H6" s="9"/>
      <c r="I6" s="9"/>
      <c r="J6" s="9"/>
      <c r="K6" s="9"/>
      <c r="L6" s="9"/>
      <c r="M6" s="72"/>
      <c r="N6" s="187" t="s">
        <v>3</v>
      </c>
    </row>
    <row r="7" spans="1:30" s="2" customFormat="1" ht="25.5" x14ac:dyDescent="0.2">
      <c r="A7" s="15" t="s">
        <v>0</v>
      </c>
      <c r="B7" s="16"/>
      <c r="C7" s="1" t="s">
        <v>1</v>
      </c>
      <c r="E7" s="15" t="s">
        <v>2</v>
      </c>
      <c r="G7" s="15" t="s">
        <v>227</v>
      </c>
      <c r="H7" s="15" t="s">
        <v>228</v>
      </c>
      <c r="I7" s="15" t="s">
        <v>229</v>
      </c>
      <c r="J7" s="15" t="s">
        <v>230</v>
      </c>
      <c r="K7" s="15" t="s">
        <v>261</v>
      </c>
      <c r="L7" s="15" t="str">
        <f>'Schedule 1'!$L$10</f>
        <v>Proposed 2017</v>
      </c>
      <c r="M7" s="15"/>
      <c r="N7" s="15" t="str">
        <f>'Schedule 1'!$N$10</f>
        <v>Proposed 2018</v>
      </c>
    </row>
    <row r="8" spans="1:30" ht="12.75" customHeight="1" x14ac:dyDescent="0.2">
      <c r="N8" s="21"/>
    </row>
    <row r="9" spans="1:30" ht="12.75" customHeight="1" x14ac:dyDescent="0.2">
      <c r="C9" s="17" t="s">
        <v>169</v>
      </c>
      <c r="D9" s="21"/>
      <c r="F9" s="21"/>
      <c r="G9" s="21"/>
      <c r="H9" s="21"/>
      <c r="I9" s="21"/>
      <c r="J9" s="21"/>
      <c r="K9" s="21"/>
      <c r="L9" s="21"/>
      <c r="N9" s="21"/>
    </row>
    <row r="10" spans="1:30" ht="12.75" customHeight="1" x14ac:dyDescent="0.2">
      <c r="C10" s="52"/>
      <c r="D10" s="21"/>
      <c r="F10" s="21"/>
      <c r="G10" s="20"/>
      <c r="H10" s="20"/>
      <c r="I10" s="20"/>
      <c r="J10" s="20"/>
      <c r="K10" s="20"/>
      <c r="L10" s="20"/>
      <c r="M10" s="20"/>
      <c r="N10" s="20"/>
    </row>
    <row r="11" spans="1:30" ht="12.75" customHeight="1" x14ac:dyDescent="0.2">
      <c r="A11" s="21">
        <v>1</v>
      </c>
      <c r="C11" s="53" t="s">
        <v>255</v>
      </c>
      <c r="D11" s="21"/>
      <c r="F11" s="21"/>
      <c r="G11" s="20">
        <v>2945.3639718602963</v>
      </c>
      <c r="H11" s="20">
        <v>2946</v>
      </c>
      <c r="I11" s="20">
        <v>1912</v>
      </c>
      <c r="J11" s="20">
        <v>837</v>
      </c>
      <c r="K11" s="20">
        <v>0</v>
      </c>
      <c r="L11" s="20">
        <v>0</v>
      </c>
      <c r="M11" s="20"/>
      <c r="N11" s="20">
        <v>0</v>
      </c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 ht="12.75" customHeight="1" x14ac:dyDescent="0.2">
      <c r="A12" s="21">
        <f t="shared" ref="A12:A24" si="0">A11+1</f>
        <v>2</v>
      </c>
      <c r="C12" s="53" t="s">
        <v>257</v>
      </c>
      <c r="D12" s="21"/>
      <c r="F12" s="21"/>
      <c r="G12" s="20">
        <v>72890.87328</v>
      </c>
      <c r="H12" s="20">
        <v>72891</v>
      </c>
      <c r="I12" s="20">
        <v>69891</v>
      </c>
      <c r="J12" s="20">
        <v>0</v>
      </c>
      <c r="K12" s="20">
        <v>0</v>
      </c>
      <c r="L12" s="20">
        <v>0</v>
      </c>
      <c r="M12" s="20"/>
      <c r="N12" s="20">
        <v>0</v>
      </c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 spans="1:30" ht="12.75" customHeight="1" x14ac:dyDescent="0.2">
      <c r="A13" s="21">
        <f t="shared" si="0"/>
        <v>3</v>
      </c>
      <c r="C13" s="53" t="s">
        <v>250</v>
      </c>
      <c r="D13" s="21"/>
      <c r="F13" s="21"/>
      <c r="G13" s="20">
        <v>21226.153846153848</v>
      </c>
      <c r="H13" s="20">
        <v>21226</v>
      </c>
      <c r="I13" s="20">
        <v>20889</v>
      </c>
      <c r="J13" s="20">
        <v>20552</v>
      </c>
      <c r="K13" s="20">
        <v>20215.384719999998</v>
      </c>
      <c r="L13" s="20">
        <v>19878.461719999999</v>
      </c>
      <c r="M13" s="20"/>
      <c r="N13" s="20">
        <v>19541.53872</v>
      </c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30" ht="12.75" customHeight="1" x14ac:dyDescent="0.2">
      <c r="A14" s="21">
        <f t="shared" si="0"/>
        <v>4</v>
      </c>
      <c r="C14" s="53" t="s">
        <v>256</v>
      </c>
      <c r="D14" s="21"/>
      <c r="F14" s="21"/>
      <c r="G14" s="20">
        <v>15899.733333333332</v>
      </c>
      <c r="H14" s="20">
        <v>10687.177974672346</v>
      </c>
      <c r="I14" s="20">
        <v>10365.836508846234</v>
      </c>
      <c r="J14" s="20">
        <v>10035.743582841045</v>
      </c>
      <c r="K14" s="20">
        <v>9696.6612752774217</v>
      </c>
      <c r="L14" s="20">
        <v>9348.3439223527403</v>
      </c>
      <c r="M14" s="20"/>
      <c r="N14" s="20">
        <v>8990.5404440194852</v>
      </c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30" ht="12.75" customHeight="1" x14ac:dyDescent="0.2">
      <c r="A15" s="21">
        <f t="shared" si="0"/>
        <v>5</v>
      </c>
      <c r="C15" s="53" t="s">
        <v>258</v>
      </c>
      <c r="D15" s="21"/>
      <c r="F15" s="21"/>
      <c r="G15" s="20">
        <v>17780.399999999998</v>
      </c>
      <c r="H15" s="20">
        <v>15727</v>
      </c>
      <c r="I15" s="20">
        <v>15044</v>
      </c>
      <c r="J15" s="20">
        <v>0</v>
      </c>
      <c r="K15" s="20">
        <v>0</v>
      </c>
      <c r="L15" s="20">
        <v>0</v>
      </c>
      <c r="M15" s="20"/>
      <c r="N15" s="20">
        <v>0</v>
      </c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30" ht="12.75" customHeight="1" x14ac:dyDescent="0.2">
      <c r="A16" s="21">
        <f t="shared" si="0"/>
        <v>6</v>
      </c>
      <c r="C16" s="53" t="s">
        <v>259</v>
      </c>
      <c r="D16" s="21"/>
      <c r="F16" s="21"/>
      <c r="G16" s="20"/>
      <c r="H16" s="20">
        <v>2053</v>
      </c>
      <c r="I16" s="20">
        <v>2053</v>
      </c>
      <c r="J16" s="20">
        <v>0</v>
      </c>
      <c r="K16" s="20">
        <v>0</v>
      </c>
      <c r="L16" s="20">
        <v>0</v>
      </c>
      <c r="M16" s="20"/>
      <c r="N16" s="20">
        <v>0</v>
      </c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spans="1:28" ht="12.75" customHeight="1" x14ac:dyDescent="0.2">
      <c r="A17" s="21">
        <f t="shared" si="0"/>
        <v>7</v>
      </c>
      <c r="C17" s="53" t="s">
        <v>260</v>
      </c>
      <c r="D17" s="21"/>
      <c r="F17" s="21"/>
      <c r="G17" s="20">
        <v>7773.8270000000002</v>
      </c>
      <c r="H17" s="20">
        <v>5471</v>
      </c>
      <c r="I17" s="20">
        <v>5471</v>
      </c>
      <c r="J17" s="20">
        <v>0</v>
      </c>
      <c r="K17" s="20">
        <v>0</v>
      </c>
      <c r="L17" s="20">
        <v>0</v>
      </c>
      <c r="M17" s="20"/>
      <c r="N17" s="20">
        <v>0</v>
      </c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spans="1:28" ht="12.75" customHeight="1" x14ac:dyDescent="0.2">
      <c r="A18" s="21">
        <f t="shared" si="0"/>
        <v>8</v>
      </c>
      <c r="C18" s="53" t="s">
        <v>248</v>
      </c>
      <c r="D18" s="21"/>
      <c r="F18" s="21"/>
      <c r="G18" s="20"/>
      <c r="H18" s="20">
        <v>2553.4053092007534</v>
      </c>
      <c r="I18" s="20">
        <v>2586.2672998262428</v>
      </c>
      <c r="J18" s="20">
        <v>2612.7518667532445</v>
      </c>
      <c r="K18" s="20">
        <v>2636.1048667532446</v>
      </c>
      <c r="L18" s="20">
        <v>2659.8278245377955</v>
      </c>
      <c r="M18" s="20"/>
      <c r="N18" s="20">
        <v>2683.7642940935402</v>
      </c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ht="12.75" customHeight="1" x14ac:dyDescent="0.2">
      <c r="A19" s="21">
        <f t="shared" si="0"/>
        <v>9</v>
      </c>
      <c r="C19" s="53" t="s">
        <v>254</v>
      </c>
      <c r="D19" s="21"/>
      <c r="F19" s="21"/>
      <c r="G19" s="20"/>
      <c r="H19" s="20"/>
      <c r="I19" s="20">
        <v>5505</v>
      </c>
      <c r="J19" s="20">
        <v>5505</v>
      </c>
      <c r="K19" s="20">
        <v>5505</v>
      </c>
      <c r="L19" s="20">
        <v>5505</v>
      </c>
      <c r="M19" s="20"/>
      <c r="N19" s="20">
        <v>5505</v>
      </c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ht="12.75" customHeight="1" x14ac:dyDescent="0.2">
      <c r="A20" s="21">
        <f t="shared" si="0"/>
        <v>10</v>
      </c>
      <c r="C20" s="53" t="s">
        <v>253</v>
      </c>
      <c r="D20" s="21"/>
      <c r="F20" s="21"/>
      <c r="G20" s="20"/>
      <c r="H20" s="20"/>
      <c r="I20" s="20"/>
      <c r="J20" s="20">
        <v>88774.673280000003</v>
      </c>
      <c r="K20" s="20">
        <v>85090.87328</v>
      </c>
      <c r="L20" s="20">
        <v>81407.073279999997</v>
      </c>
      <c r="M20" s="20"/>
      <c r="N20" s="20">
        <v>77723.273279999994</v>
      </c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spans="1:28" ht="12.75" customHeight="1" x14ac:dyDescent="0.2">
      <c r="A21" s="21">
        <f t="shared" si="0"/>
        <v>11</v>
      </c>
      <c r="C21" s="53" t="s">
        <v>252</v>
      </c>
      <c r="D21" s="21"/>
      <c r="F21" s="21"/>
      <c r="G21" s="20"/>
      <c r="H21" s="20"/>
      <c r="I21" s="20"/>
      <c r="J21" s="20">
        <v>20984.403999999999</v>
      </c>
      <c r="K21" s="20">
        <v>20145.027839999999</v>
      </c>
      <c r="L21" s="20">
        <v>19305.651679999999</v>
      </c>
      <c r="M21" s="20"/>
      <c r="N21" s="20">
        <v>18466.275519999999</v>
      </c>
      <c r="S21" s="13"/>
      <c r="T21" s="13"/>
      <c r="U21" s="13"/>
      <c r="V21" s="13"/>
      <c r="W21" s="13"/>
      <c r="X21" s="13"/>
      <c r="Y21" s="13"/>
      <c r="Z21" s="13"/>
      <c r="AA21" s="13"/>
      <c r="AB21" s="13"/>
    </row>
    <row r="22" spans="1:28" ht="12.75" customHeight="1" x14ac:dyDescent="0.2">
      <c r="A22" s="21">
        <f t="shared" si="0"/>
        <v>12</v>
      </c>
      <c r="C22" s="21" t="s">
        <v>251</v>
      </c>
      <c r="D22" s="21"/>
      <c r="F22" s="21"/>
      <c r="G22" s="20"/>
      <c r="H22" s="20"/>
      <c r="I22" s="20"/>
      <c r="J22" s="20"/>
      <c r="K22" s="20">
        <v>12136</v>
      </c>
      <c r="L22" s="20">
        <v>12136</v>
      </c>
      <c r="M22" s="20"/>
      <c r="N22" s="20">
        <v>12136</v>
      </c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spans="1:28" ht="12.75" customHeight="1" x14ac:dyDescent="0.2">
      <c r="A23" s="21">
        <f t="shared" si="0"/>
        <v>13</v>
      </c>
      <c r="C23" s="53" t="s">
        <v>264</v>
      </c>
      <c r="D23" s="21"/>
      <c r="F23" s="21"/>
      <c r="G23" s="20"/>
      <c r="H23" s="20"/>
      <c r="I23" s="20"/>
      <c r="J23" s="20"/>
      <c r="K23" s="20"/>
      <c r="L23" s="20">
        <v>21940.489223909401</v>
      </c>
      <c r="M23" s="20"/>
      <c r="N23" s="20">
        <v>21940.489223909401</v>
      </c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spans="1:28" ht="12.75" customHeight="1" x14ac:dyDescent="0.2">
      <c r="A24" s="21">
        <f t="shared" si="0"/>
        <v>14</v>
      </c>
      <c r="C24" s="53" t="s">
        <v>249</v>
      </c>
      <c r="D24" s="21"/>
      <c r="F24" s="21"/>
      <c r="G24" s="20"/>
      <c r="H24" s="20"/>
      <c r="I24" s="20"/>
      <c r="J24" s="20"/>
      <c r="K24" s="20"/>
      <c r="L24" s="20"/>
      <c r="M24" s="20"/>
      <c r="N24" s="20">
        <v>5775.9572671775386</v>
      </c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 x14ac:dyDescent="0.2">
      <c r="C25" s="53"/>
      <c r="D25" s="21"/>
      <c r="F25" s="21"/>
      <c r="G25" s="20"/>
      <c r="H25" s="20"/>
      <c r="I25" s="20"/>
      <c r="J25" s="20"/>
      <c r="K25" s="20"/>
      <c r="L25" s="20"/>
      <c r="M25" s="20"/>
      <c r="N25" s="40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spans="1:28" ht="12.75" customHeight="1" x14ac:dyDescent="0.2">
      <c r="A26" s="21">
        <f>A24+1</f>
        <v>15</v>
      </c>
      <c r="C26" s="12" t="s">
        <v>51</v>
      </c>
      <c r="D26" s="21"/>
      <c r="F26" s="21"/>
      <c r="G26" s="28">
        <f t="shared" ref="G26:K26" si="1">SUM(G11:G25)</f>
        <v>138516.35143134746</v>
      </c>
      <c r="H26" s="28">
        <f t="shared" si="1"/>
        <v>133554.5832838731</v>
      </c>
      <c r="I26" s="28">
        <f t="shared" si="1"/>
        <v>133717.10380867246</v>
      </c>
      <c r="J26" s="28">
        <f t="shared" si="1"/>
        <v>149301.57272959431</v>
      </c>
      <c r="K26" s="28">
        <f t="shared" si="1"/>
        <v>155425.05198203065</v>
      </c>
      <c r="L26" s="28">
        <f t="shared" ref="L26" si="2">SUM(L11:L25)</f>
        <v>172180.84765079993</v>
      </c>
      <c r="M26" s="28"/>
      <c r="N26" s="28">
        <f>SUM(N11:N25)</f>
        <v>172762.83874919993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 ht="12.75" customHeight="1" x14ac:dyDescent="0.2">
      <c r="A27" s="21">
        <f>A26+1</f>
        <v>16</v>
      </c>
      <c r="C27" s="12" t="s">
        <v>52</v>
      </c>
      <c r="D27" s="21"/>
      <c r="F27" s="21"/>
      <c r="G27" s="54">
        <v>136304.27001674729</v>
      </c>
      <c r="H27" s="54">
        <v>133409</v>
      </c>
      <c r="I27" s="54">
        <f t="shared" ref="I27" si="3">H26</f>
        <v>133554.5832838731</v>
      </c>
      <c r="J27" s="54">
        <f t="shared" ref="J27" si="4">I26</f>
        <v>133717.10380867246</v>
      </c>
      <c r="K27" s="54">
        <f t="shared" ref="K27:L27" si="5">J26</f>
        <v>149301.57272959431</v>
      </c>
      <c r="L27" s="54">
        <f t="shared" si="5"/>
        <v>155425.05198203065</v>
      </c>
      <c r="M27" s="54"/>
      <c r="N27" s="54">
        <f>L26</f>
        <v>172180.84765079993</v>
      </c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28" x14ac:dyDescent="0.2">
      <c r="A28" s="21">
        <f>A27+1</f>
        <v>17</v>
      </c>
      <c r="C28" s="21" t="s">
        <v>168</v>
      </c>
      <c r="D28" s="21"/>
      <c r="F28" s="21"/>
      <c r="G28" s="28">
        <f t="shared" ref="G28:K28" si="6">(G27+G26)/2</f>
        <v>137410.31072404736</v>
      </c>
      <c r="H28" s="28">
        <f>(H27+H26)/2</f>
        <v>133481.79164193655</v>
      </c>
      <c r="I28" s="28">
        <f t="shared" si="6"/>
        <v>133635.84354627278</v>
      </c>
      <c r="J28" s="28">
        <f t="shared" si="6"/>
        <v>141509.33826913338</v>
      </c>
      <c r="K28" s="28">
        <f t="shared" si="6"/>
        <v>152363.31235581246</v>
      </c>
      <c r="L28" s="28">
        <f t="shared" ref="L28" si="7">(L27+L26)/2</f>
        <v>163802.94981641529</v>
      </c>
      <c r="M28" s="28"/>
      <c r="N28" s="28">
        <f t="shared" ref="N28" si="8">(N27+N26)/2</f>
        <v>172471.84319999994</v>
      </c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 x14ac:dyDescent="0.2">
      <c r="C29" s="21"/>
      <c r="D29" s="21"/>
      <c r="F29" s="21"/>
      <c r="G29" s="21"/>
      <c r="H29" s="21"/>
      <c r="I29" s="21"/>
      <c r="J29" s="21"/>
      <c r="K29" s="21"/>
      <c r="L29" s="21"/>
      <c r="N29" s="21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28" x14ac:dyDescent="0.2">
      <c r="C30" s="36"/>
      <c r="D30" s="36"/>
      <c r="E30" s="37"/>
      <c r="F30" s="36"/>
      <c r="G30" s="38"/>
      <c r="H30" s="38"/>
      <c r="I30" s="38"/>
      <c r="J30" s="38"/>
      <c r="K30" s="38"/>
      <c r="L30" s="38"/>
      <c r="M30" s="38"/>
      <c r="N30" s="38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28" s="21" customFormat="1" x14ac:dyDescent="0.2">
      <c r="C31" s="17" t="s">
        <v>167</v>
      </c>
      <c r="S31" s="13"/>
      <c r="T31" s="13"/>
      <c r="U31" s="13"/>
      <c r="V31" s="13"/>
      <c r="W31" s="13"/>
      <c r="X31" s="13"/>
      <c r="Y31" s="13"/>
      <c r="Z31" s="13"/>
      <c r="AA31" s="13"/>
      <c r="AB31" s="13"/>
    </row>
    <row r="32" spans="1:28" x14ac:dyDescent="0.2">
      <c r="G32" s="21"/>
      <c r="H32" s="21"/>
      <c r="I32" s="21"/>
      <c r="J32" s="21"/>
      <c r="K32" s="21"/>
      <c r="L32" s="21"/>
      <c r="N32" s="21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spans="1:28" x14ac:dyDescent="0.2">
      <c r="A33" s="21">
        <f>A28+1</f>
        <v>18</v>
      </c>
      <c r="C33" s="53" t="str">
        <f>C11</f>
        <v>TD Canada Trust (4.02%)</v>
      </c>
      <c r="G33" s="28">
        <v>140.05443739068608</v>
      </c>
      <c r="H33" s="28">
        <v>140</v>
      </c>
      <c r="I33" s="28">
        <v>99.416288549782621</v>
      </c>
      <c r="J33" s="28">
        <v>57.097506377351365</v>
      </c>
      <c r="K33" s="28">
        <v>14.045999999999999</v>
      </c>
      <c r="L33" s="28">
        <v>0</v>
      </c>
      <c r="M33" s="28"/>
      <c r="N33" s="28">
        <v>0</v>
      </c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 x14ac:dyDescent="0.2">
      <c r="A34" s="21">
        <f>A33+1</f>
        <v>19</v>
      </c>
      <c r="C34" s="53" t="str">
        <f t="shared" ref="C34:C46" si="9">C12</f>
        <v>YDC $81.9M Loan (4.25%)</v>
      </c>
      <c r="D34" s="21"/>
      <c r="F34" s="21"/>
      <c r="G34" s="28">
        <v>3225.3621144000008</v>
      </c>
      <c r="H34" s="28">
        <v>3225</v>
      </c>
      <c r="I34" s="28">
        <v>3098</v>
      </c>
      <c r="J34" s="28">
        <v>0</v>
      </c>
      <c r="K34" s="28">
        <v>0</v>
      </c>
      <c r="L34" s="28">
        <v>0</v>
      </c>
      <c r="M34" s="28"/>
      <c r="N34" s="28">
        <v>0</v>
      </c>
      <c r="S34" s="13"/>
      <c r="T34" s="13"/>
      <c r="U34" s="13"/>
      <c r="V34" s="13"/>
      <c r="W34" s="13"/>
      <c r="X34" s="13"/>
      <c r="Y34" s="13"/>
      <c r="Z34" s="13"/>
      <c r="AA34" s="13"/>
      <c r="AB34" s="13"/>
    </row>
    <row r="35" spans="1:28" x14ac:dyDescent="0.2">
      <c r="A35" s="21">
        <f>A34+1</f>
        <v>20</v>
      </c>
      <c r="C35" s="53" t="str">
        <f t="shared" si="9"/>
        <v>YDC Mayo B Flexible Term Debt</v>
      </c>
      <c r="D35" s="21"/>
      <c r="F35" s="21"/>
      <c r="G35" s="28">
        <v>211.80669230769229</v>
      </c>
      <c r="H35" s="28">
        <v>130</v>
      </c>
      <c r="I35" s="28">
        <v>-112</v>
      </c>
      <c r="J35" s="28">
        <v>128</v>
      </c>
      <c r="K35" s="28">
        <v>166.708</v>
      </c>
      <c r="L35" s="28">
        <v>770.49063348250149</v>
      </c>
      <c r="M35" s="28"/>
      <c r="N35" s="28">
        <v>333.94520784752348</v>
      </c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spans="1:28" x14ac:dyDescent="0.2">
      <c r="A36" s="21">
        <f t="shared" ref="A36:A46" si="10">A35+1</f>
        <v>21</v>
      </c>
      <c r="C36" s="53" t="str">
        <f t="shared" si="9"/>
        <v>TD Bank Swap (2.69%)</v>
      </c>
      <c r="D36" s="21"/>
      <c r="F36" s="21"/>
      <c r="G36" s="28">
        <v>687.07738000000006</v>
      </c>
      <c r="H36" s="28">
        <v>292.06188000000003</v>
      </c>
      <c r="I36" s="28">
        <v>283.54243999999994</v>
      </c>
      <c r="J36" s="28">
        <v>274.79097999999999</v>
      </c>
      <c r="K36" s="28">
        <v>265.80099999999999</v>
      </c>
      <c r="L36" s="28">
        <v>256.56655000000001</v>
      </c>
      <c r="M36" s="28"/>
      <c r="N36" s="28">
        <v>247.08043000000004</v>
      </c>
      <c r="S36" s="13"/>
      <c r="T36" s="13"/>
      <c r="U36" s="13"/>
      <c r="V36" s="13"/>
      <c r="W36" s="13"/>
      <c r="X36" s="13"/>
      <c r="Y36" s="13"/>
      <c r="Z36" s="13"/>
      <c r="AA36" s="13"/>
      <c r="AB36" s="13"/>
    </row>
    <row r="37" spans="1:28" x14ac:dyDescent="0.2">
      <c r="A37" s="21">
        <f t="shared" si="10"/>
        <v>22</v>
      </c>
      <c r="C37" s="53" t="str">
        <f t="shared" si="9"/>
        <v>YDC $17.1M Debt (3.69%)</v>
      </c>
      <c r="D37" s="21"/>
      <c r="F37" s="21"/>
      <c r="G37" s="28">
        <v>652.98559999999998</v>
      </c>
      <c r="H37" s="28">
        <v>606</v>
      </c>
      <c r="I37" s="28">
        <v>580</v>
      </c>
      <c r="J37" s="28">
        <v>0</v>
      </c>
      <c r="K37" s="28">
        <v>0</v>
      </c>
      <c r="L37" s="28">
        <v>0</v>
      </c>
      <c r="M37" s="28"/>
      <c r="N37" s="28">
        <v>0</v>
      </c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 spans="1:28" x14ac:dyDescent="0.2">
      <c r="A38" s="21">
        <f t="shared" si="10"/>
        <v>23</v>
      </c>
      <c r="C38" s="53" t="str">
        <f t="shared" si="9"/>
        <v>YDC $2.1M Debt (3.97%)</v>
      </c>
      <c r="D38" s="21"/>
      <c r="F38" s="21"/>
      <c r="G38" s="28"/>
      <c r="H38" s="28">
        <v>82</v>
      </c>
      <c r="I38" s="28">
        <v>82</v>
      </c>
      <c r="J38" s="28">
        <v>0</v>
      </c>
      <c r="K38" s="28">
        <v>0</v>
      </c>
      <c r="L38" s="28">
        <v>0</v>
      </c>
      <c r="M38" s="28"/>
      <c r="N38" s="28">
        <v>0</v>
      </c>
      <c r="S38" s="13"/>
      <c r="T38" s="13"/>
      <c r="U38" s="13"/>
      <c r="V38" s="13"/>
      <c r="W38" s="13"/>
      <c r="X38" s="13"/>
      <c r="Y38" s="13"/>
      <c r="Z38" s="13"/>
      <c r="AA38" s="13"/>
      <c r="AB38" s="13"/>
    </row>
    <row r="39" spans="1:28" x14ac:dyDescent="0.2">
      <c r="A39" s="21">
        <f>A38+1</f>
        <v>24</v>
      </c>
      <c r="C39" s="53" t="str">
        <f t="shared" si="9"/>
        <v>YDC $5.5M Debt (4.27%)</v>
      </c>
      <c r="D39" s="21"/>
      <c r="F39" s="21"/>
      <c r="G39" s="28"/>
      <c r="H39" s="28"/>
      <c r="I39" s="28">
        <v>233.61170000000001</v>
      </c>
      <c r="J39" s="28">
        <v>0</v>
      </c>
      <c r="K39" s="28">
        <v>0</v>
      </c>
      <c r="L39" s="28">
        <v>0</v>
      </c>
      <c r="M39" s="28"/>
      <c r="N39" s="28">
        <v>0</v>
      </c>
      <c r="S39" s="13"/>
      <c r="T39" s="13"/>
      <c r="U39" s="13"/>
      <c r="V39" s="13"/>
      <c r="W39" s="13"/>
      <c r="X39" s="13"/>
      <c r="Y39" s="13"/>
      <c r="Z39" s="13"/>
      <c r="AA39" s="13"/>
      <c r="AB39" s="13"/>
    </row>
    <row r="40" spans="1:28" x14ac:dyDescent="0.2">
      <c r="A40" s="21">
        <f t="shared" si="10"/>
        <v>25</v>
      </c>
      <c r="C40" s="53" t="str">
        <f t="shared" si="9"/>
        <v>Minto Decommissioning Reserve</v>
      </c>
      <c r="D40" s="21"/>
      <c r="F40" s="21"/>
      <c r="G40" s="28"/>
      <c r="H40" s="28">
        <v>31.469309200753479</v>
      </c>
      <c r="I40" s="28">
        <v>32.861990625489327</v>
      </c>
      <c r="J40" s="28">
        <v>26.484566927001811</v>
      </c>
      <c r="K40" s="28">
        <v>23.353000000000002</v>
      </c>
      <c r="L40" s="28">
        <v>23.722957784551173</v>
      </c>
      <c r="M40" s="28"/>
      <c r="N40" s="28">
        <v>23.936469555744466</v>
      </c>
      <c r="S40" s="13"/>
      <c r="T40" s="13"/>
      <c r="U40" s="13"/>
      <c r="V40" s="13"/>
      <c r="W40" s="13"/>
      <c r="X40" s="13"/>
      <c r="Y40" s="13"/>
      <c r="Z40" s="13"/>
      <c r="AA40" s="13"/>
      <c r="AB40" s="13"/>
    </row>
    <row r="41" spans="1:28" x14ac:dyDescent="0.2">
      <c r="A41" s="21">
        <f t="shared" si="10"/>
        <v>26</v>
      </c>
      <c r="C41" s="53" t="str">
        <f t="shared" si="9"/>
        <v>YDC $5.5M Debt (2.40%)</v>
      </c>
      <c r="D41" s="21"/>
      <c r="F41" s="21"/>
      <c r="G41" s="28"/>
      <c r="H41" s="28"/>
      <c r="I41" s="28"/>
      <c r="J41" s="28">
        <v>132.12</v>
      </c>
      <c r="K41" s="28">
        <v>132.12</v>
      </c>
      <c r="L41" s="28">
        <v>132.12</v>
      </c>
      <c r="M41" s="28"/>
      <c r="N41" s="28">
        <v>132.12</v>
      </c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28" s="21" customFormat="1" x14ac:dyDescent="0.2">
      <c r="A42" s="21">
        <f t="shared" si="10"/>
        <v>27</v>
      </c>
      <c r="C42" s="53" t="str">
        <f t="shared" si="9"/>
        <v>YDC $92.5M Debt (2.40%)</v>
      </c>
      <c r="E42" s="47"/>
      <c r="G42" s="28"/>
      <c r="H42" s="28"/>
      <c r="I42" s="28"/>
      <c r="J42" s="28">
        <v>2212.9238974632335</v>
      </c>
      <c r="K42" s="28">
        <v>2130.5920000000001</v>
      </c>
      <c r="L42" s="28">
        <v>2042.1809587199998</v>
      </c>
      <c r="M42" s="28"/>
      <c r="N42" s="28">
        <v>1953.7697587200005</v>
      </c>
      <c r="S42" s="13"/>
      <c r="T42" s="13"/>
      <c r="U42" s="13"/>
      <c r="V42" s="13"/>
      <c r="W42" s="13"/>
      <c r="X42" s="13"/>
      <c r="Y42" s="13"/>
      <c r="Z42" s="13"/>
      <c r="AA42" s="13"/>
      <c r="AB42" s="13"/>
    </row>
    <row r="43" spans="1:28" s="21" customFormat="1" x14ac:dyDescent="0.2">
      <c r="A43" s="21">
        <f t="shared" si="10"/>
        <v>28</v>
      </c>
      <c r="C43" s="53" t="str">
        <f t="shared" si="9"/>
        <v>YDC $21.0M Debt (2.21%)</v>
      </c>
      <c r="E43" s="47"/>
      <c r="G43" s="28"/>
      <c r="H43" s="28"/>
      <c r="I43" s="28"/>
      <c r="J43" s="28"/>
      <c r="K43" s="28">
        <v>463.75532840000005</v>
      </c>
      <c r="L43" s="28">
        <v>445.20511526400003</v>
      </c>
      <c r="M43" s="28"/>
      <c r="N43" s="28">
        <v>426.65490212800006</v>
      </c>
      <c r="S43" s="13"/>
      <c r="T43" s="13"/>
      <c r="U43" s="13"/>
      <c r="V43" s="13"/>
      <c r="W43" s="13"/>
      <c r="X43" s="13"/>
      <c r="Y43" s="13"/>
      <c r="Z43" s="13"/>
      <c r="AA43" s="13"/>
      <c r="AB43" s="13"/>
    </row>
    <row r="44" spans="1:28" s="21" customFormat="1" x14ac:dyDescent="0.2">
      <c r="A44" s="21">
        <f t="shared" si="10"/>
        <v>29</v>
      </c>
      <c r="C44" s="53" t="str">
        <f t="shared" si="9"/>
        <v>YDC $12.1M Debt (2.10%)</v>
      </c>
      <c r="E44" s="47"/>
      <c r="G44" s="28"/>
      <c r="H44" s="28"/>
      <c r="I44" s="28"/>
      <c r="J44" s="28"/>
      <c r="K44" s="28"/>
      <c r="L44" s="28">
        <v>254.85600000000005</v>
      </c>
      <c r="M44" s="28"/>
      <c r="N44" s="28">
        <v>254.85600000000005</v>
      </c>
      <c r="S44" s="13"/>
      <c r="T44" s="13"/>
      <c r="U44" s="13"/>
      <c r="V44" s="13"/>
      <c r="W44" s="13"/>
      <c r="X44" s="13"/>
      <c r="Y44" s="13"/>
      <c r="Z44" s="13"/>
      <c r="AA44" s="13"/>
      <c r="AB44" s="13"/>
    </row>
    <row r="45" spans="1:28" s="21" customFormat="1" x14ac:dyDescent="0.2">
      <c r="A45" s="21">
        <f t="shared" si="10"/>
        <v>30</v>
      </c>
      <c r="C45" s="53" t="str">
        <f t="shared" si="9"/>
        <v>New 2017 Debt (2.15%)</v>
      </c>
      <c r="E45" s="47"/>
      <c r="G45" s="28"/>
      <c r="H45" s="28"/>
      <c r="I45" s="28"/>
      <c r="J45" s="28"/>
      <c r="K45" s="28"/>
      <c r="L45" s="28"/>
      <c r="M45" s="28"/>
      <c r="N45" s="28">
        <v>471.72051831405207</v>
      </c>
      <c r="S45" s="13"/>
      <c r="T45" s="13"/>
      <c r="U45" s="13"/>
      <c r="V45" s="13"/>
      <c r="W45" s="13"/>
      <c r="X45" s="13"/>
      <c r="Y45" s="13"/>
      <c r="Z45" s="13"/>
      <c r="AA45" s="13"/>
      <c r="AB45" s="13"/>
    </row>
    <row r="46" spans="1:28" s="21" customFormat="1" x14ac:dyDescent="0.2">
      <c r="A46" s="21">
        <f t="shared" si="10"/>
        <v>31</v>
      </c>
      <c r="C46" s="53" t="str">
        <f t="shared" si="9"/>
        <v>New 2018 Debt</v>
      </c>
      <c r="E46" s="47"/>
      <c r="G46" s="28"/>
      <c r="H46" s="28"/>
      <c r="I46" s="28"/>
      <c r="J46" s="28"/>
      <c r="K46" s="28"/>
      <c r="L46" s="28"/>
      <c r="M46" s="28"/>
      <c r="N46" s="28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spans="1:28" x14ac:dyDescent="0.2">
      <c r="C47" s="35"/>
      <c r="D47" s="21"/>
      <c r="F47" s="21"/>
      <c r="G47" s="28"/>
      <c r="H47" s="28"/>
      <c r="I47" s="28"/>
      <c r="J47" s="28"/>
      <c r="K47" s="28"/>
      <c r="L47" s="28"/>
      <c r="M47" s="28"/>
      <c r="N47" s="28"/>
      <c r="S47" s="13"/>
      <c r="T47" s="13"/>
      <c r="U47" s="13"/>
      <c r="V47" s="13"/>
      <c r="W47" s="13"/>
      <c r="X47" s="13"/>
      <c r="Y47" s="13"/>
      <c r="Z47" s="13"/>
      <c r="AA47" s="13"/>
      <c r="AB47" s="13"/>
    </row>
    <row r="48" spans="1:28" x14ac:dyDescent="0.2">
      <c r="A48" s="21">
        <f>A46+1</f>
        <v>32</v>
      </c>
      <c r="C48" s="3" t="s">
        <v>170</v>
      </c>
      <c r="G48" s="28">
        <f t="shared" ref="G48:K48" si="11">SUM(G33:G46)</f>
        <v>4917.2862240983786</v>
      </c>
      <c r="H48" s="28">
        <f t="shared" si="11"/>
        <v>4506.5311892007539</v>
      </c>
      <c r="I48" s="28">
        <f t="shared" si="11"/>
        <v>4297.4324191752721</v>
      </c>
      <c r="J48" s="28">
        <f t="shared" si="11"/>
        <v>2831.416950767587</v>
      </c>
      <c r="K48" s="28">
        <f t="shared" si="11"/>
        <v>3196.3753283999999</v>
      </c>
      <c r="L48" s="28">
        <f t="shared" ref="L48" si="12">SUM(L33:L46)</f>
        <v>3925.1422152510531</v>
      </c>
      <c r="M48" s="28"/>
      <c r="N48" s="28">
        <f>SUM(N33:N46)</f>
        <v>3844.083286565321</v>
      </c>
      <c r="S48" s="13"/>
      <c r="T48" s="13"/>
      <c r="U48" s="13"/>
      <c r="V48" s="13"/>
      <c r="W48" s="13"/>
      <c r="X48" s="13"/>
      <c r="Y48" s="13"/>
      <c r="Z48" s="13"/>
      <c r="AA48" s="13"/>
      <c r="AB48" s="13"/>
    </row>
    <row r="49" spans="1:28" x14ac:dyDescent="0.2">
      <c r="G49" s="21"/>
      <c r="H49" s="21"/>
      <c r="I49" s="21"/>
      <c r="J49" s="21"/>
      <c r="K49" s="21"/>
      <c r="L49" s="21"/>
      <c r="N49" s="21"/>
      <c r="S49" s="13"/>
      <c r="T49" s="13"/>
      <c r="U49" s="13"/>
      <c r="V49" s="13"/>
      <c r="W49" s="13"/>
      <c r="X49" s="13"/>
      <c r="Y49" s="13"/>
      <c r="Z49" s="13"/>
      <c r="AA49" s="13"/>
      <c r="AB49" s="13"/>
    </row>
    <row r="50" spans="1:28" x14ac:dyDescent="0.2">
      <c r="A50" s="21">
        <f>A48+1</f>
        <v>33</v>
      </c>
      <c r="C50" s="12" t="s">
        <v>171</v>
      </c>
      <c r="G50" s="180">
        <f t="shared" ref="G50:J50" si="13">G48/G28</f>
        <v>3.5785423948086842E-2</v>
      </c>
      <c r="H50" s="180">
        <f t="shared" si="13"/>
        <v>3.3761392724555833E-2</v>
      </c>
      <c r="I50" s="180">
        <f t="shared" si="13"/>
        <v>3.2157782711097579E-2</v>
      </c>
      <c r="J50" s="180">
        <f t="shared" si="13"/>
        <v>2.0008693315932125E-2</v>
      </c>
      <c r="K50" s="180">
        <f>K48/K28</f>
        <v>2.0978641636088469E-2</v>
      </c>
      <c r="L50" s="180">
        <f>L48/L28</f>
        <v>2.396258565337326E-2</v>
      </c>
      <c r="M50" s="180"/>
      <c r="N50" s="180">
        <f>N48/N28</f>
        <v>2.2288178842662952E-2</v>
      </c>
      <c r="S50" s="13"/>
      <c r="T50" s="13"/>
      <c r="U50" s="13"/>
      <c r="V50" s="13"/>
      <c r="W50" s="13"/>
      <c r="X50" s="13"/>
      <c r="Y50" s="13"/>
      <c r="Z50" s="13"/>
      <c r="AA50" s="13"/>
      <c r="AB50" s="13"/>
    </row>
    <row r="51" spans="1:28" x14ac:dyDescent="0.2">
      <c r="G51" s="56"/>
      <c r="H51" s="56"/>
      <c r="I51" s="56"/>
      <c r="J51" s="56"/>
      <c r="K51" s="56"/>
      <c r="L51" s="56"/>
      <c r="M51" s="180"/>
      <c r="N51" s="56"/>
      <c r="S51" s="13"/>
      <c r="T51" s="13"/>
      <c r="U51" s="13"/>
      <c r="V51" s="13"/>
      <c r="W51" s="13"/>
      <c r="X51" s="13"/>
      <c r="Y51" s="13"/>
      <c r="Z51" s="13"/>
      <c r="AA51" s="13"/>
      <c r="AB51" s="13"/>
    </row>
    <row r="52" spans="1:28" x14ac:dyDescent="0.2">
      <c r="G52" s="56"/>
      <c r="H52" s="56"/>
      <c r="I52" s="56"/>
      <c r="J52" s="56"/>
      <c r="K52" s="56"/>
      <c r="L52" s="56"/>
      <c r="M52" s="180"/>
      <c r="N52" s="56"/>
    </row>
    <row r="54" spans="1:28" s="57" customFormat="1" x14ac:dyDescent="0.2">
      <c r="B54" s="21"/>
      <c r="E54" s="58"/>
      <c r="G54" s="59"/>
      <c r="H54" s="59"/>
      <c r="I54" s="59"/>
      <c r="J54" s="59"/>
      <c r="K54" s="59"/>
      <c r="L54" s="59"/>
      <c r="M54" s="99"/>
      <c r="N54" s="59"/>
    </row>
    <row r="57" spans="1:28" x14ac:dyDescent="0.2">
      <c r="A57" s="57"/>
      <c r="C57" s="57"/>
      <c r="D57" s="57"/>
      <c r="E57" s="58"/>
      <c r="F57" s="57"/>
      <c r="G57" s="60"/>
      <c r="H57" s="60"/>
      <c r="I57" s="60"/>
      <c r="J57" s="60"/>
      <c r="K57" s="60"/>
      <c r="L57" s="60"/>
      <c r="M57" s="40"/>
      <c r="N57" s="60"/>
    </row>
    <row r="61" spans="1:28" x14ac:dyDescent="0.2">
      <c r="C61" s="29"/>
      <c r="D61" s="21"/>
      <c r="F61" s="21"/>
      <c r="G61" s="21"/>
      <c r="H61" s="21"/>
      <c r="I61" s="21"/>
      <c r="J61" s="21"/>
      <c r="K61" s="21"/>
      <c r="L61" s="21"/>
    </row>
    <row r="62" spans="1:28" x14ac:dyDescent="0.2">
      <c r="D62" s="21"/>
      <c r="F62" s="21"/>
    </row>
    <row r="63" spans="1:28" x14ac:dyDescent="0.2">
      <c r="D63" s="21"/>
      <c r="F63" s="21"/>
      <c r="G63" s="28"/>
      <c r="H63" s="28"/>
      <c r="I63" s="28"/>
      <c r="J63" s="28"/>
      <c r="K63" s="28"/>
      <c r="L63" s="28"/>
      <c r="M63" s="28"/>
    </row>
    <row r="64" spans="1:28" x14ac:dyDescent="0.2">
      <c r="D64" s="21"/>
      <c r="F64" s="21"/>
      <c r="G64" s="54"/>
      <c r="H64" s="54"/>
      <c r="I64" s="54"/>
      <c r="J64" s="54"/>
      <c r="K64" s="54"/>
      <c r="L64" s="54"/>
      <c r="M64" s="54"/>
    </row>
    <row r="65" spans="3:13" x14ac:dyDescent="0.2">
      <c r="C65" s="21"/>
      <c r="D65" s="21"/>
      <c r="F65" s="21"/>
      <c r="G65" s="28"/>
      <c r="H65" s="28"/>
      <c r="I65" s="28"/>
      <c r="J65" s="28"/>
      <c r="K65" s="28"/>
      <c r="L65" s="28"/>
      <c r="M65" s="28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7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39997558519241921"/>
  </sheetPr>
  <dimension ref="A1:T68"/>
  <sheetViews>
    <sheetView view="pageBreakPreview" zoomScaleNormal="100" zoomScaleSheetLayoutView="100" workbookViewId="0">
      <selection activeCell="C40" sqref="C40"/>
    </sheetView>
  </sheetViews>
  <sheetFormatPr defaultRowHeight="12.75" x14ac:dyDescent="0.2"/>
  <cols>
    <col min="1" max="1" width="5.28515625" style="21" customWidth="1"/>
    <col min="2" max="2" width="1.85546875" style="21" customWidth="1"/>
    <col min="3" max="3" width="30.28515625" style="21" customWidth="1"/>
    <col min="4" max="4" width="1.85546875" style="21" customWidth="1"/>
    <col min="5" max="5" width="9.140625" style="47" customWidth="1"/>
    <col min="6" max="6" width="1.85546875" style="21" customWidth="1"/>
    <col min="7" max="12" width="9.7109375" style="21" customWidth="1"/>
    <col min="13" max="13" width="1.7109375" style="51" customWidth="1"/>
    <col min="14" max="14" width="10.42578125" style="21" customWidth="1"/>
    <col min="15" max="16384" width="9.140625" style="21"/>
  </cols>
  <sheetData>
    <row r="1" spans="1:15" ht="15.75" x14ac:dyDescent="0.25">
      <c r="A1" s="173" t="s">
        <v>269</v>
      </c>
    </row>
    <row r="2" spans="1:15" x14ac:dyDescent="0.2">
      <c r="A2" s="174" t="s">
        <v>6</v>
      </c>
    </row>
    <row r="3" spans="1:15" x14ac:dyDescent="0.2">
      <c r="A3" s="174" t="s">
        <v>7</v>
      </c>
    </row>
    <row r="4" spans="1:15" x14ac:dyDescent="0.2">
      <c r="A4" s="174"/>
      <c r="N4" s="78" t="s">
        <v>4</v>
      </c>
    </row>
    <row r="5" spans="1:15" x14ac:dyDescent="0.2">
      <c r="A5" s="174"/>
      <c r="N5" s="50" t="str">
        <f>Index!F2</f>
        <v>February 25, 2019</v>
      </c>
    </row>
    <row r="6" spans="1:15" x14ac:dyDescent="0.2">
      <c r="A6" s="174"/>
    </row>
    <row r="9" spans="1:15" s="47" customFormat="1" x14ac:dyDescent="0.2">
      <c r="G9" s="72"/>
      <c r="H9" s="72"/>
      <c r="I9" s="72"/>
      <c r="J9" s="72"/>
      <c r="K9" s="72"/>
      <c r="L9" s="72"/>
      <c r="M9" s="72"/>
      <c r="N9" s="188" t="s">
        <v>3</v>
      </c>
    </row>
    <row r="10" spans="1:15" s="16" customFormat="1" ht="25.5" x14ac:dyDescent="0.2">
      <c r="A10" s="15" t="s">
        <v>0</v>
      </c>
      <c r="C10" s="15" t="s">
        <v>1</v>
      </c>
      <c r="E10" s="15" t="s">
        <v>2</v>
      </c>
      <c r="G10" s="15" t="s">
        <v>227</v>
      </c>
      <c r="H10" s="15" t="s">
        <v>228</v>
      </c>
      <c r="I10" s="15" t="s">
        <v>229</v>
      </c>
      <c r="J10" s="15" t="s">
        <v>230</v>
      </c>
      <c r="K10" s="15" t="s">
        <v>261</v>
      </c>
      <c r="L10" s="15" t="s">
        <v>231</v>
      </c>
      <c r="M10" s="26"/>
      <c r="N10" s="15" t="s">
        <v>268</v>
      </c>
    </row>
    <row r="12" spans="1:15" x14ac:dyDescent="0.2">
      <c r="A12" s="21">
        <v>1</v>
      </c>
      <c r="C12" s="17" t="s">
        <v>43</v>
      </c>
    </row>
    <row r="13" spans="1:15" x14ac:dyDescent="0.2">
      <c r="A13" s="21">
        <v>2</v>
      </c>
      <c r="C13" s="21" t="s">
        <v>44</v>
      </c>
      <c r="E13" s="47" t="s">
        <v>84</v>
      </c>
      <c r="G13" s="55">
        <f>'Schedule 3'!G15</f>
        <v>520650.63055999996</v>
      </c>
      <c r="H13" s="55">
        <f>'Schedule 3'!H15</f>
        <v>520406</v>
      </c>
      <c r="I13" s="55">
        <f>'Schedule 3'!I15</f>
        <v>555552</v>
      </c>
      <c r="J13" s="55">
        <f>'Schedule 3'!J15</f>
        <v>577887.69799999986</v>
      </c>
      <c r="K13" s="55">
        <f>'Schedule 3'!K15</f>
        <v>589387.23499999999</v>
      </c>
      <c r="L13" s="55">
        <f>'Schedule 3'!L15</f>
        <v>598756.32657999999</v>
      </c>
      <c r="M13" s="27"/>
      <c r="N13" s="55">
        <f>'Schedule 3'!N15</f>
        <v>612434.74924000003</v>
      </c>
      <c r="O13" s="158"/>
    </row>
    <row r="14" spans="1:15" x14ac:dyDescent="0.2">
      <c r="E14" s="47" t="s">
        <v>142</v>
      </c>
      <c r="G14" s="55"/>
      <c r="H14" s="55"/>
      <c r="I14" s="55"/>
      <c r="J14" s="55"/>
      <c r="K14" s="55"/>
      <c r="L14" s="55"/>
      <c r="M14" s="27"/>
      <c r="N14" s="55"/>
    </row>
    <row r="15" spans="1:15" x14ac:dyDescent="0.2">
      <c r="C15" s="21" t="s">
        <v>45</v>
      </c>
      <c r="G15" s="55"/>
      <c r="H15" s="55"/>
      <c r="I15" s="55"/>
      <c r="J15" s="55"/>
      <c r="K15" s="55"/>
      <c r="L15" s="55"/>
      <c r="M15" s="27"/>
      <c r="N15" s="55"/>
    </row>
    <row r="16" spans="1:15" x14ac:dyDescent="0.2">
      <c r="A16" s="21">
        <v>3</v>
      </c>
      <c r="C16" s="21" t="s">
        <v>178</v>
      </c>
      <c r="E16" s="47" t="s">
        <v>80</v>
      </c>
      <c r="G16" s="55">
        <f>'Schedule 3'!G23</f>
        <v>120694.28926439608</v>
      </c>
      <c r="H16" s="55">
        <f>'Schedule 3'!H23</f>
        <v>119279.17033000001</v>
      </c>
      <c r="I16" s="55">
        <f>'Schedule 3'!I23</f>
        <v>125757.31244000001</v>
      </c>
      <c r="J16" s="55">
        <f>'Schedule 3'!J23</f>
        <v>134977.88227</v>
      </c>
      <c r="K16" s="55">
        <f>'Schedule 3'!K23</f>
        <v>144702.619595</v>
      </c>
      <c r="L16" s="55">
        <f>'Schedule 3'!L23</f>
        <v>155161.74186499999</v>
      </c>
      <c r="M16" s="27"/>
      <c r="N16" s="55">
        <f>'Schedule 3'!N23</f>
        <v>167191.42675500002</v>
      </c>
    </row>
    <row r="17" spans="1:20" x14ac:dyDescent="0.2">
      <c r="G17" s="55"/>
      <c r="H17" s="55"/>
      <c r="I17" s="55"/>
      <c r="J17" s="55"/>
      <c r="K17" s="55"/>
      <c r="L17" s="55"/>
      <c r="M17" s="27"/>
      <c r="N17" s="55"/>
    </row>
    <row r="18" spans="1:20" x14ac:dyDescent="0.2">
      <c r="A18" s="21">
        <v>4</v>
      </c>
      <c r="C18" s="21" t="s">
        <v>58</v>
      </c>
      <c r="E18" s="47" t="s">
        <v>179</v>
      </c>
      <c r="G18" s="55">
        <v>19798.032009999948</v>
      </c>
      <c r="H18" s="55">
        <v>24137.313411499999</v>
      </c>
      <c r="I18" s="55">
        <v>53893.180619999999</v>
      </c>
      <c r="J18" s="55">
        <v>13361.516600000003</v>
      </c>
      <c r="K18" s="55">
        <v>18467.332810000018</v>
      </c>
      <c r="L18" s="55">
        <v>4776.4065900000023</v>
      </c>
      <c r="M18" s="27"/>
      <c r="N18" s="55">
        <v>7620.4991900000023</v>
      </c>
      <c r="O18" s="67"/>
      <c r="P18" s="67"/>
    </row>
    <row r="19" spans="1:20" x14ac:dyDescent="0.2">
      <c r="A19" s="21">
        <v>5</v>
      </c>
      <c r="C19" s="21" t="s">
        <v>78</v>
      </c>
      <c r="E19" s="47" t="s">
        <v>90</v>
      </c>
      <c r="G19" s="55">
        <v>691.1425999999999</v>
      </c>
      <c r="H19" s="55">
        <v>691.1425999999999</v>
      </c>
      <c r="I19" s="55">
        <v>691.1425999999999</v>
      </c>
      <c r="J19" s="55">
        <v>691.1425999999999</v>
      </c>
      <c r="K19" s="55">
        <v>691.1425999999999</v>
      </c>
      <c r="L19" s="55">
        <v>2745.85358</v>
      </c>
      <c r="M19" s="27"/>
      <c r="N19" s="55">
        <v>2745.85358</v>
      </c>
    </row>
    <row r="20" spans="1:20" x14ac:dyDescent="0.2">
      <c r="A20" s="21">
        <v>6</v>
      </c>
      <c r="C20" s="21" t="s">
        <v>141</v>
      </c>
      <c r="E20" s="47" t="s">
        <v>91</v>
      </c>
      <c r="G20" s="45">
        <v>5903.6934640176814</v>
      </c>
      <c r="H20" s="45">
        <v>5684.2520000000004</v>
      </c>
      <c r="I20" s="45">
        <v>5452.2430000000004</v>
      </c>
      <c r="J20" s="45">
        <v>5223.2810100000006</v>
      </c>
      <c r="K20" s="45">
        <v>4169.0540000000001</v>
      </c>
      <c r="L20" s="45">
        <v>3719.4955299999997</v>
      </c>
      <c r="M20" s="27"/>
      <c r="N20" s="45">
        <v>3669.3339299999998</v>
      </c>
    </row>
    <row r="21" spans="1:20" x14ac:dyDescent="0.2">
      <c r="A21" s="21">
        <v>7</v>
      </c>
      <c r="C21" s="21" t="s">
        <v>46</v>
      </c>
      <c r="G21" s="55">
        <f t="shared" ref="G21:K21" si="0">SUM(G16:G20)</f>
        <v>147087.1573384137</v>
      </c>
      <c r="H21" s="55">
        <f t="shared" si="0"/>
        <v>149791.87834150001</v>
      </c>
      <c r="I21" s="55">
        <f t="shared" si="0"/>
        <v>185793.87865999999</v>
      </c>
      <c r="J21" s="55">
        <f t="shared" si="0"/>
        <v>154253.82248</v>
      </c>
      <c r="K21" s="55">
        <f t="shared" si="0"/>
        <v>168030.14900500001</v>
      </c>
      <c r="L21" s="55">
        <f t="shared" ref="L21" si="1">SUM(L16:L20)</f>
        <v>166403.49756499997</v>
      </c>
      <c r="M21" s="27"/>
      <c r="N21" s="55">
        <f>SUM(N16:N20)</f>
        <v>181227.11345500001</v>
      </c>
    </row>
    <row r="22" spans="1:20" x14ac:dyDescent="0.2">
      <c r="G22" s="55"/>
      <c r="H22" s="55"/>
      <c r="I22" s="55"/>
      <c r="J22" s="55"/>
      <c r="K22" s="55"/>
      <c r="L22" s="55"/>
      <c r="M22" s="27"/>
      <c r="N22" s="55"/>
    </row>
    <row r="23" spans="1:20" x14ac:dyDescent="0.2">
      <c r="C23" s="21" t="s">
        <v>47</v>
      </c>
      <c r="G23" s="55"/>
      <c r="H23" s="55"/>
      <c r="I23" s="55"/>
      <c r="J23" s="55"/>
      <c r="K23" s="55"/>
      <c r="L23" s="55"/>
      <c r="M23" s="27"/>
      <c r="N23" s="55"/>
      <c r="R23" s="55"/>
      <c r="S23" s="55"/>
      <c r="T23" s="55"/>
    </row>
    <row r="24" spans="1:20" x14ac:dyDescent="0.2">
      <c r="A24" s="21">
        <v>8</v>
      </c>
      <c r="C24" s="21" t="s">
        <v>173</v>
      </c>
      <c r="E24" s="47" t="s">
        <v>180</v>
      </c>
      <c r="G24" s="27">
        <v>27890.809482999994</v>
      </c>
      <c r="H24" s="27">
        <v>24106.14041</v>
      </c>
      <c r="I24" s="27">
        <v>24615.19356</v>
      </c>
      <c r="J24" s="27">
        <v>21956.874739999999</v>
      </c>
      <c r="K24" s="27">
        <v>27212.1656</v>
      </c>
      <c r="L24" s="27">
        <v>29037.629899</v>
      </c>
      <c r="M24" s="27"/>
      <c r="N24" s="27">
        <v>41695.403659000003</v>
      </c>
      <c r="R24" s="55"/>
      <c r="S24" s="55"/>
      <c r="T24" s="55"/>
    </row>
    <row r="25" spans="1:20" x14ac:dyDescent="0.2">
      <c r="A25" s="21">
        <v>9</v>
      </c>
      <c r="C25" s="21" t="s">
        <v>176</v>
      </c>
      <c r="E25" s="47" t="s">
        <v>181</v>
      </c>
      <c r="G25" s="27">
        <v>-14742.2582</v>
      </c>
      <c r="H25" s="27">
        <f>-(11913994.09+1704128.09)/1000</f>
        <v>-13618.12218</v>
      </c>
      <c r="I25" s="27">
        <v>-16773.019649999998</v>
      </c>
      <c r="J25" s="27">
        <v>-19069.57286</v>
      </c>
      <c r="K25" s="27">
        <v>-24728.083129999995</v>
      </c>
      <c r="L25" s="27">
        <v>-14964.09175</v>
      </c>
      <c r="M25" s="27"/>
      <c r="N25" s="27">
        <v>-29497.820849999996</v>
      </c>
      <c r="R25" s="55"/>
      <c r="S25" s="55"/>
      <c r="T25" s="55"/>
    </row>
    <row r="26" spans="1:20" x14ac:dyDescent="0.2">
      <c r="A26" s="21">
        <v>10</v>
      </c>
      <c r="C26" s="21" t="s">
        <v>177</v>
      </c>
      <c r="E26" s="47" t="s">
        <v>156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/>
      <c r="N26" s="27">
        <v>0</v>
      </c>
      <c r="R26" s="55"/>
      <c r="S26" s="55"/>
      <c r="T26" s="55"/>
    </row>
    <row r="27" spans="1:20" x14ac:dyDescent="0.2">
      <c r="A27" s="21">
        <v>11</v>
      </c>
      <c r="C27" s="21" t="s">
        <v>48</v>
      </c>
      <c r="E27" s="47" t="s">
        <v>92</v>
      </c>
      <c r="G27" s="27">
        <v>118.55713</v>
      </c>
      <c r="H27" s="27">
        <v>118.55713</v>
      </c>
      <c r="I27" s="27">
        <v>134.83569499999999</v>
      </c>
      <c r="J27" s="27">
        <v>151.11426</v>
      </c>
      <c r="K27" s="27">
        <v>167.39282500000002</v>
      </c>
      <c r="L27" s="27">
        <v>349.14428800000002</v>
      </c>
      <c r="M27" s="27"/>
      <c r="N27" s="27">
        <v>552.94575099999997</v>
      </c>
      <c r="R27" s="55"/>
      <c r="S27" s="55"/>
      <c r="T27" s="55"/>
    </row>
    <row r="28" spans="1:20" x14ac:dyDescent="0.2">
      <c r="A28" s="21">
        <v>12</v>
      </c>
      <c r="C28" s="21" t="s">
        <v>49</v>
      </c>
      <c r="G28" s="79">
        <f t="shared" ref="G28:K28" si="2">SUM(G24:G27)</f>
        <v>13267.108412999993</v>
      </c>
      <c r="H28" s="79">
        <f t="shared" si="2"/>
        <v>10606.575359999999</v>
      </c>
      <c r="I28" s="79">
        <f>SUM(I24:I27)</f>
        <v>7977.0096050000011</v>
      </c>
      <c r="J28" s="79">
        <f t="shared" si="2"/>
        <v>3038.4161399999989</v>
      </c>
      <c r="K28" s="79">
        <f t="shared" si="2"/>
        <v>2651.4752950000047</v>
      </c>
      <c r="L28" s="79">
        <f t="shared" ref="L28" si="3">SUM(L24:L27)</f>
        <v>14422.682436999999</v>
      </c>
      <c r="M28" s="27"/>
      <c r="N28" s="79">
        <f>SUM(N24:N27)</f>
        <v>12750.528560000006</v>
      </c>
      <c r="R28" s="67"/>
      <c r="S28" s="67"/>
      <c r="T28" s="67"/>
    </row>
    <row r="29" spans="1:20" x14ac:dyDescent="0.2">
      <c r="G29" s="55"/>
      <c r="H29" s="55"/>
      <c r="I29" s="55"/>
      <c r="J29" s="55"/>
      <c r="K29" s="55"/>
      <c r="L29" s="55"/>
      <c r="M29" s="27"/>
      <c r="N29" s="55"/>
      <c r="S29" s="67"/>
      <c r="T29" s="67"/>
    </row>
    <row r="30" spans="1:20" x14ac:dyDescent="0.2">
      <c r="C30" s="17" t="s">
        <v>50</v>
      </c>
      <c r="G30" s="55"/>
      <c r="H30" s="55"/>
      <c r="I30" s="55"/>
      <c r="J30" s="55"/>
      <c r="K30" s="55"/>
      <c r="L30" s="55"/>
      <c r="M30" s="27"/>
      <c r="N30" s="55"/>
      <c r="S30" s="67"/>
      <c r="T30" s="67"/>
    </row>
    <row r="31" spans="1:20" x14ac:dyDescent="0.2">
      <c r="A31" s="21">
        <v>13</v>
      </c>
      <c r="C31" s="21" t="s">
        <v>51</v>
      </c>
      <c r="E31" s="47" t="s">
        <v>182</v>
      </c>
      <c r="G31" s="55">
        <f t="shared" ref="G31:K31" si="4">G13-G21+G28</f>
        <v>386830.58163458627</v>
      </c>
      <c r="H31" s="55">
        <f t="shared" si="4"/>
        <v>381220.69701850001</v>
      </c>
      <c r="I31" s="55">
        <f>I13-I21+I28</f>
        <v>377735.13094500004</v>
      </c>
      <c r="J31" s="55">
        <f t="shared" si="4"/>
        <v>426672.29165999987</v>
      </c>
      <c r="K31" s="55">
        <f t="shared" si="4"/>
        <v>424008.56128999998</v>
      </c>
      <c r="L31" s="55">
        <f t="shared" ref="L31" si="5">L13-L21+L28</f>
        <v>446775.51145200001</v>
      </c>
      <c r="M31" s="27"/>
      <c r="N31" s="55">
        <f>N13-N21+N28</f>
        <v>443958.16434500006</v>
      </c>
      <c r="O31" s="158"/>
      <c r="Q31" s="67"/>
      <c r="R31" s="67"/>
      <c r="S31" s="55"/>
      <c r="T31" s="55"/>
    </row>
    <row r="32" spans="1:20" x14ac:dyDescent="0.2">
      <c r="A32" s="21">
        <v>14</v>
      </c>
      <c r="C32" s="21" t="s">
        <v>52</v>
      </c>
      <c r="G32" s="45">
        <v>387051.08695172559</v>
      </c>
      <c r="H32" s="45">
        <v>383931</v>
      </c>
      <c r="I32" s="45">
        <f t="shared" ref="I32" si="6">H31</f>
        <v>381220.69701850001</v>
      </c>
      <c r="J32" s="45">
        <f t="shared" ref="J32" si="7">I31</f>
        <v>377735.13094500004</v>
      </c>
      <c r="K32" s="45">
        <f t="shared" ref="K32:L32" si="8">J31</f>
        <v>426672.29165999987</v>
      </c>
      <c r="L32" s="45">
        <f t="shared" si="8"/>
        <v>424008.56128999998</v>
      </c>
      <c r="M32" s="27"/>
      <c r="N32" s="45">
        <f>L31</f>
        <v>446775.51145200001</v>
      </c>
    </row>
    <row r="33" spans="1:15" x14ac:dyDescent="0.2">
      <c r="A33" s="21">
        <v>15</v>
      </c>
      <c r="C33" s="21" t="s">
        <v>36</v>
      </c>
      <c r="G33" s="55">
        <f t="shared" ref="G33:K33" si="9">G32+G31</f>
        <v>773881.66858631186</v>
      </c>
      <c r="H33" s="55">
        <f t="shared" si="9"/>
        <v>765151.69701849995</v>
      </c>
      <c r="I33" s="55">
        <f t="shared" si="9"/>
        <v>758955.82796350005</v>
      </c>
      <c r="J33" s="55">
        <f t="shared" si="9"/>
        <v>804407.42260499997</v>
      </c>
      <c r="K33" s="55">
        <f t="shared" si="9"/>
        <v>850680.85294999985</v>
      </c>
      <c r="L33" s="55">
        <f t="shared" ref="L33" si="10">L32+L31</f>
        <v>870784.07274199999</v>
      </c>
      <c r="M33" s="27"/>
      <c r="N33" s="55">
        <f>N32+N31</f>
        <v>890733.67579700006</v>
      </c>
    </row>
    <row r="34" spans="1:15" x14ac:dyDescent="0.2">
      <c r="G34" s="55"/>
      <c r="H34" s="55"/>
      <c r="I34" s="55"/>
      <c r="J34" s="55"/>
      <c r="K34" s="55"/>
      <c r="L34" s="55"/>
      <c r="M34" s="27"/>
      <c r="N34" s="55"/>
    </row>
    <row r="35" spans="1:15" x14ac:dyDescent="0.2">
      <c r="A35" s="21">
        <v>16</v>
      </c>
      <c r="C35" s="21" t="s">
        <v>53</v>
      </c>
      <c r="G35" s="55">
        <f t="shared" ref="G35:K35" si="11">(G32+G31)/2</f>
        <v>386940.83429315593</v>
      </c>
      <c r="H35" s="55">
        <f t="shared" si="11"/>
        <v>382575.84850924998</v>
      </c>
      <c r="I35" s="55">
        <f t="shared" si="11"/>
        <v>379477.91398175003</v>
      </c>
      <c r="J35" s="55">
        <f t="shared" si="11"/>
        <v>402203.71130249999</v>
      </c>
      <c r="K35" s="55">
        <f t="shared" si="11"/>
        <v>425340.42647499993</v>
      </c>
      <c r="L35" s="55">
        <f t="shared" ref="L35" si="12">(L32+L31)/2</f>
        <v>435392.03637099999</v>
      </c>
      <c r="M35" s="27"/>
      <c r="N35" s="55">
        <f>(N32+N31)/2</f>
        <v>445366.83789850003</v>
      </c>
      <c r="O35" s="158"/>
    </row>
    <row r="36" spans="1:15" x14ac:dyDescent="0.2">
      <c r="G36" s="55"/>
      <c r="H36" s="55"/>
      <c r="I36" s="55"/>
      <c r="J36" s="55"/>
      <c r="K36" s="55"/>
      <c r="L36" s="55"/>
      <c r="M36" s="27"/>
      <c r="N36" s="55"/>
    </row>
    <row r="37" spans="1:15" x14ac:dyDescent="0.2">
      <c r="A37" s="21">
        <v>18</v>
      </c>
      <c r="C37" s="21" t="s">
        <v>263</v>
      </c>
      <c r="G37" s="55">
        <v>1485.8750700000005</v>
      </c>
      <c r="H37" s="55">
        <v>1693</v>
      </c>
      <c r="I37" s="55">
        <v>1367</v>
      </c>
      <c r="J37" s="55">
        <v>2007</v>
      </c>
      <c r="K37" s="55">
        <v>2061</v>
      </c>
      <c r="L37" s="55">
        <v>3034</v>
      </c>
      <c r="M37" s="27"/>
      <c r="N37" s="55">
        <v>3879</v>
      </c>
      <c r="O37" s="67"/>
    </row>
    <row r="38" spans="1:15" x14ac:dyDescent="0.2">
      <c r="A38" s="21">
        <v>19</v>
      </c>
      <c r="C38" s="21" t="s">
        <v>54</v>
      </c>
      <c r="E38" s="47" t="s">
        <v>215</v>
      </c>
      <c r="G38" s="45">
        <f>'Schedule 2'!G21</f>
        <v>4280.0125738843381</v>
      </c>
      <c r="H38" s="45">
        <f>'Schedule 2'!H21</f>
        <v>4520.4261841643829</v>
      </c>
      <c r="I38" s="45">
        <f>'Schedule 2'!I21</f>
        <v>4495.4392845799093</v>
      </c>
      <c r="J38" s="45">
        <f>'Schedule 2'!J21</f>
        <v>4790.8049248127845</v>
      </c>
      <c r="K38" s="45">
        <f>'Schedule 2'!K21</f>
        <v>4927.9258347031964</v>
      </c>
      <c r="L38" s="45">
        <f>'Schedule 2'!L21</f>
        <v>5290.4650530480831</v>
      </c>
      <c r="M38" s="27"/>
      <c r="N38" s="45">
        <f>'Schedule 2'!N21</f>
        <v>5344.1102083501937</v>
      </c>
    </row>
    <row r="39" spans="1:15" x14ac:dyDescent="0.2">
      <c r="G39" s="55"/>
      <c r="H39" s="55"/>
      <c r="I39" s="55"/>
      <c r="J39" s="55"/>
      <c r="K39" s="55"/>
      <c r="L39" s="55"/>
      <c r="M39" s="27"/>
      <c r="N39" s="55"/>
    </row>
    <row r="40" spans="1:15" x14ac:dyDescent="0.2">
      <c r="G40" s="55"/>
      <c r="H40" s="55"/>
      <c r="I40" s="55"/>
      <c r="J40" s="55"/>
      <c r="K40" s="55"/>
      <c r="L40" s="55"/>
      <c r="M40" s="27"/>
      <c r="N40" s="55"/>
    </row>
    <row r="41" spans="1:15" x14ac:dyDescent="0.2">
      <c r="A41" s="21">
        <v>20</v>
      </c>
      <c r="C41" s="17" t="s">
        <v>55</v>
      </c>
      <c r="G41" s="55">
        <f t="shared" ref="G41:K41" si="13">G35+G37+G38+G40</f>
        <v>392706.72193704027</v>
      </c>
      <c r="H41" s="55">
        <f t="shared" si="13"/>
        <v>388789.27469341434</v>
      </c>
      <c r="I41" s="55">
        <f t="shared" si="13"/>
        <v>385340.35326632991</v>
      </c>
      <c r="J41" s="55">
        <f t="shared" si="13"/>
        <v>409001.51622731279</v>
      </c>
      <c r="K41" s="55">
        <f t="shared" si="13"/>
        <v>432329.35230970313</v>
      </c>
      <c r="L41" s="55">
        <f t="shared" ref="L41" si="14">L35+L37+L38+L40</f>
        <v>443716.5014240481</v>
      </c>
      <c r="M41" s="27"/>
      <c r="N41" s="55">
        <f>N35+N37+N38+N40</f>
        <v>454589.94810685021</v>
      </c>
    </row>
    <row r="42" spans="1:15" x14ac:dyDescent="0.2">
      <c r="G42" s="55"/>
      <c r="H42" s="55"/>
      <c r="I42" s="55"/>
      <c r="J42" s="55"/>
      <c r="K42" s="55"/>
      <c r="L42" s="55"/>
      <c r="M42" s="27"/>
      <c r="N42" s="55"/>
    </row>
    <row r="43" spans="1:15" x14ac:dyDescent="0.2">
      <c r="C43" s="21" t="s">
        <v>45</v>
      </c>
      <c r="G43" s="55"/>
      <c r="H43" s="55"/>
      <c r="I43" s="55"/>
      <c r="J43" s="55"/>
      <c r="K43" s="55"/>
      <c r="L43" s="55"/>
      <c r="M43" s="27"/>
      <c r="N43" s="55"/>
    </row>
    <row r="44" spans="1:15" x14ac:dyDescent="0.2">
      <c r="C44" s="17" t="s">
        <v>56</v>
      </c>
      <c r="G44" s="55"/>
      <c r="H44" s="55"/>
      <c r="I44" s="55"/>
      <c r="J44" s="55"/>
      <c r="K44" s="55"/>
      <c r="L44" s="55"/>
      <c r="M44" s="27"/>
      <c r="N44" s="55"/>
    </row>
    <row r="45" spans="1:15" x14ac:dyDescent="0.2">
      <c r="A45" s="21">
        <v>21</v>
      </c>
      <c r="C45" s="21" t="s">
        <v>51</v>
      </c>
      <c r="G45" s="55">
        <v>191243.22876</v>
      </c>
      <c r="H45" s="55">
        <v>180581.76048000003</v>
      </c>
      <c r="I45" s="55">
        <v>181163.20923000001</v>
      </c>
      <c r="J45" s="55">
        <v>200166.91560000004</v>
      </c>
      <c r="K45" s="55">
        <v>200499.73363</v>
      </c>
      <c r="L45" s="55">
        <v>200831.61713999999</v>
      </c>
      <c r="M45" s="27"/>
      <c r="N45" s="55">
        <v>201231.61713999999</v>
      </c>
    </row>
    <row r="46" spans="1:15" x14ac:dyDescent="0.2">
      <c r="A46" s="21">
        <f>A45+1</f>
        <v>22</v>
      </c>
      <c r="C46" s="21" t="s">
        <v>145</v>
      </c>
      <c r="G46" s="45">
        <v>10500</v>
      </c>
      <c r="H46" s="45">
        <v>173.67617000000001</v>
      </c>
      <c r="I46" s="45">
        <v>262.28035999999997</v>
      </c>
      <c r="J46" s="45">
        <v>605.49467000000004</v>
      </c>
      <c r="K46" s="45">
        <v>167.49753000000001</v>
      </c>
      <c r="L46" s="45">
        <v>20.69265</v>
      </c>
      <c r="M46" s="27"/>
      <c r="N46" s="45">
        <v>0</v>
      </c>
    </row>
    <row r="47" spans="1:15" x14ac:dyDescent="0.2">
      <c r="A47" s="21">
        <f t="shared" ref="A47:A49" si="15">A46+1</f>
        <v>23</v>
      </c>
      <c r="C47" s="21" t="s">
        <v>147</v>
      </c>
      <c r="G47" s="55">
        <f t="shared" ref="G47:K47" si="16">G45-G46</f>
        <v>180743.22876</v>
      </c>
      <c r="H47" s="55">
        <f t="shared" si="16"/>
        <v>180408.08431000003</v>
      </c>
      <c r="I47" s="55">
        <f t="shared" si="16"/>
        <v>180900.92887</v>
      </c>
      <c r="J47" s="55">
        <f t="shared" si="16"/>
        <v>199561.42093000002</v>
      </c>
      <c r="K47" s="55">
        <f t="shared" si="16"/>
        <v>200332.23610000001</v>
      </c>
      <c r="L47" s="55">
        <f t="shared" ref="L47" si="17">L45-L46</f>
        <v>200810.92448999998</v>
      </c>
      <c r="M47" s="27"/>
      <c r="N47" s="55">
        <f>N45-N46</f>
        <v>201231.61713999999</v>
      </c>
    </row>
    <row r="48" spans="1:15" x14ac:dyDescent="0.2">
      <c r="A48" s="21">
        <f t="shared" si="15"/>
        <v>24</v>
      </c>
      <c r="C48" s="21" t="s">
        <v>148</v>
      </c>
      <c r="G48" s="45">
        <v>16304.854601341</v>
      </c>
      <c r="H48" s="45">
        <v>16389.826699999998</v>
      </c>
      <c r="I48" s="45">
        <v>20001.96557</v>
      </c>
      <c r="J48" s="45">
        <v>23626.19196</v>
      </c>
      <c r="K48" s="45">
        <v>27728.598469999997</v>
      </c>
      <c r="L48" s="45">
        <v>31843.843449999997</v>
      </c>
      <c r="M48" s="27"/>
      <c r="N48" s="45">
        <v>35975.578200000004</v>
      </c>
    </row>
    <row r="49" spans="1:16" x14ac:dyDescent="0.2">
      <c r="A49" s="21">
        <f t="shared" si="15"/>
        <v>25</v>
      </c>
      <c r="C49" s="21" t="s">
        <v>149</v>
      </c>
      <c r="G49" s="55">
        <f t="shared" ref="G49:K49" si="18">G47-G48</f>
        <v>164438.37415865899</v>
      </c>
      <c r="H49" s="55">
        <f t="shared" si="18"/>
        <v>164018.25761000003</v>
      </c>
      <c r="I49" s="55">
        <f t="shared" si="18"/>
        <v>160898.9633</v>
      </c>
      <c r="J49" s="55">
        <f t="shared" si="18"/>
        <v>175935.22897000003</v>
      </c>
      <c r="K49" s="55">
        <f t="shared" si="18"/>
        <v>172603.63763000001</v>
      </c>
      <c r="L49" s="55">
        <f t="shared" ref="L49" si="19">L47-L48</f>
        <v>168967.08103999999</v>
      </c>
      <c r="M49" s="27"/>
      <c r="N49" s="55">
        <f>N47-N48</f>
        <v>165256.03894</v>
      </c>
    </row>
    <row r="50" spans="1:16" x14ac:dyDescent="0.2">
      <c r="G50" s="55"/>
      <c r="H50" s="55"/>
      <c r="I50" s="55"/>
      <c r="J50" s="55"/>
      <c r="K50" s="55"/>
      <c r="L50" s="55"/>
      <c r="M50" s="27"/>
      <c r="N50" s="55"/>
    </row>
    <row r="51" spans="1:16" x14ac:dyDescent="0.2">
      <c r="A51" s="21">
        <f>A49+1</f>
        <v>26</v>
      </c>
      <c r="C51" s="21" t="s">
        <v>52</v>
      </c>
      <c r="G51" s="45">
        <v>167607.19244536699</v>
      </c>
      <c r="H51" s="45">
        <v>167445</v>
      </c>
      <c r="I51" s="45">
        <f t="shared" ref="I51" si="20">H49</f>
        <v>164018.25761000003</v>
      </c>
      <c r="J51" s="45">
        <f t="shared" ref="J51" si="21">I49</f>
        <v>160898.9633</v>
      </c>
      <c r="K51" s="45">
        <f t="shared" ref="K51:L51" si="22">J49</f>
        <v>175935.22897000003</v>
      </c>
      <c r="L51" s="45">
        <f t="shared" si="22"/>
        <v>172603.63763000001</v>
      </c>
      <c r="M51" s="27"/>
      <c r="N51" s="45">
        <f>L49</f>
        <v>168967.08103999999</v>
      </c>
    </row>
    <row r="52" spans="1:16" x14ac:dyDescent="0.2">
      <c r="A52" s="21">
        <f>A51+1</f>
        <v>27</v>
      </c>
      <c r="C52" s="21" t="s">
        <v>36</v>
      </c>
      <c r="G52" s="55">
        <f t="shared" ref="G52:K52" si="23">(G51+G49)</f>
        <v>332045.56660402601</v>
      </c>
      <c r="H52" s="55">
        <f t="shared" si="23"/>
        <v>331463.25761000003</v>
      </c>
      <c r="I52" s="55">
        <f t="shared" si="23"/>
        <v>324917.22091000003</v>
      </c>
      <c r="J52" s="55">
        <f t="shared" si="23"/>
        <v>336834.19227</v>
      </c>
      <c r="K52" s="55">
        <f t="shared" si="23"/>
        <v>348538.86660000007</v>
      </c>
      <c r="L52" s="55">
        <f t="shared" ref="L52" si="24">(L51+L49)</f>
        <v>341570.71866999997</v>
      </c>
      <c r="M52" s="27"/>
      <c r="N52" s="55">
        <f>(N51+N49)</f>
        <v>334223.11997999996</v>
      </c>
    </row>
    <row r="53" spans="1:16" x14ac:dyDescent="0.2">
      <c r="G53" s="55"/>
      <c r="H53" s="55"/>
      <c r="I53" s="55"/>
      <c r="J53" s="55"/>
      <c r="K53" s="55"/>
      <c r="L53" s="55"/>
      <c r="M53" s="27"/>
      <c r="N53" s="55"/>
    </row>
    <row r="54" spans="1:16" x14ac:dyDescent="0.2">
      <c r="A54" s="21">
        <f>A52+1</f>
        <v>28</v>
      </c>
      <c r="C54" s="21" t="s">
        <v>53</v>
      </c>
      <c r="G54" s="45">
        <f t="shared" ref="G54:K54" si="25">G52/2</f>
        <v>166022.78330201301</v>
      </c>
      <c r="H54" s="45">
        <f t="shared" si="25"/>
        <v>165731.62880500001</v>
      </c>
      <c r="I54" s="45">
        <f t="shared" si="25"/>
        <v>162458.61045500002</v>
      </c>
      <c r="J54" s="45">
        <f t="shared" si="25"/>
        <v>168417.096135</v>
      </c>
      <c r="K54" s="45">
        <f t="shared" si="25"/>
        <v>174269.43330000003</v>
      </c>
      <c r="L54" s="45">
        <f t="shared" ref="L54" si="26">L52/2</f>
        <v>170785.35933499999</v>
      </c>
      <c r="M54" s="27"/>
      <c r="N54" s="45">
        <f>N52/2</f>
        <v>167111.55998999998</v>
      </c>
      <c r="O54" s="158"/>
    </row>
    <row r="55" spans="1:16" x14ac:dyDescent="0.2">
      <c r="G55" s="55"/>
      <c r="H55" s="55"/>
      <c r="I55" s="55"/>
      <c r="J55" s="55"/>
      <c r="K55" s="55"/>
      <c r="L55" s="55"/>
      <c r="M55" s="27"/>
      <c r="N55" s="55"/>
    </row>
    <row r="56" spans="1:16" ht="13.5" thickBot="1" x14ac:dyDescent="0.25">
      <c r="A56" s="21">
        <f>A54+1</f>
        <v>29</v>
      </c>
      <c r="C56" s="17" t="s">
        <v>57</v>
      </c>
      <c r="E56" s="47" t="s">
        <v>93</v>
      </c>
      <c r="G56" s="80">
        <f t="shared" ref="G56:K56" si="27">G41-G54</f>
        <v>226683.93863502727</v>
      </c>
      <c r="H56" s="80">
        <f t="shared" si="27"/>
        <v>223057.64588841432</v>
      </c>
      <c r="I56" s="80">
        <f>I41-I54</f>
        <v>222881.7428113299</v>
      </c>
      <c r="J56" s="80">
        <f t="shared" si="27"/>
        <v>240584.42009231279</v>
      </c>
      <c r="K56" s="80">
        <f t="shared" si="27"/>
        <v>258059.9190097031</v>
      </c>
      <c r="L56" s="80">
        <f t="shared" ref="L56" si="28">L41-L54</f>
        <v>272931.14208904811</v>
      </c>
      <c r="M56" s="27"/>
      <c r="N56" s="80">
        <f>N41-N54</f>
        <v>287478.38811685023</v>
      </c>
      <c r="O56" s="67"/>
      <c r="P56" s="67"/>
    </row>
    <row r="57" spans="1:16" x14ac:dyDescent="0.2">
      <c r="G57" s="55"/>
      <c r="H57" s="55"/>
      <c r="I57" s="55"/>
      <c r="J57" s="55"/>
      <c r="K57" s="55"/>
      <c r="L57" s="55"/>
      <c r="M57" s="27"/>
    </row>
    <row r="58" spans="1:16" x14ac:dyDescent="0.2">
      <c r="C58" s="21" t="s">
        <v>197</v>
      </c>
      <c r="G58" s="55"/>
      <c r="H58" s="55"/>
      <c r="I58" s="55"/>
      <c r="J58" s="55"/>
      <c r="K58" s="55"/>
      <c r="L58" s="55"/>
      <c r="M58" s="27"/>
    </row>
    <row r="59" spans="1:16" x14ac:dyDescent="0.2">
      <c r="C59" s="21" t="s">
        <v>246</v>
      </c>
    </row>
    <row r="60" spans="1:16" x14ac:dyDescent="0.2">
      <c r="C60" s="190"/>
      <c r="D60" s="190"/>
      <c r="E60" s="190"/>
      <c r="F60" s="190"/>
      <c r="G60" s="169"/>
      <c r="H60" s="169"/>
      <c r="I60" s="169"/>
      <c r="J60" s="169"/>
      <c r="K60" s="169"/>
      <c r="L60" s="183"/>
      <c r="M60" s="81"/>
    </row>
    <row r="61" spans="1:16" x14ac:dyDescent="0.2">
      <c r="G61" s="67"/>
      <c r="H61" s="67"/>
      <c r="I61" s="67"/>
      <c r="J61" s="67"/>
      <c r="K61" s="67"/>
      <c r="L61" s="67"/>
      <c r="M61" s="67"/>
    </row>
    <row r="62" spans="1:16" x14ac:dyDescent="0.2">
      <c r="G62" s="67"/>
      <c r="H62" s="67"/>
      <c r="I62" s="67"/>
      <c r="J62" s="67"/>
      <c r="K62" s="67"/>
      <c r="L62" s="67"/>
    </row>
    <row r="63" spans="1:16" x14ac:dyDescent="0.2">
      <c r="G63" s="67"/>
      <c r="H63" s="67"/>
      <c r="I63" s="67"/>
      <c r="J63" s="67"/>
      <c r="K63" s="67"/>
      <c r="L63" s="67"/>
    </row>
    <row r="67" spans="7:13" x14ac:dyDescent="0.2">
      <c r="G67" s="67"/>
      <c r="H67" s="67"/>
      <c r="I67" s="67"/>
      <c r="J67" s="67"/>
      <c r="K67" s="67"/>
      <c r="L67" s="67"/>
      <c r="M67" s="67"/>
    </row>
    <row r="68" spans="7:13" x14ac:dyDescent="0.2">
      <c r="G68" s="67"/>
      <c r="H68" s="67"/>
      <c r="I68" s="67"/>
      <c r="J68" s="67"/>
      <c r="K68" s="67"/>
      <c r="L68" s="67"/>
      <c r="M68" s="67"/>
    </row>
  </sheetData>
  <mergeCells count="1">
    <mergeCell ref="C60:F60"/>
  </mergeCells>
  <phoneticPr fontId="0" type="noConversion"/>
  <printOptions horizontalCentered="1"/>
  <pageMargins left="0.55118110236220474" right="0.31496062992125984" top="0.5" bottom="0.5" header="0.51181102362204722" footer="0.51181102362204722"/>
  <pageSetup scale="70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  <pageSetUpPr fitToPage="1"/>
  </sheetPr>
  <dimension ref="A1:N25"/>
  <sheetViews>
    <sheetView view="pageBreakPreview" zoomScaleSheetLayoutView="100" workbookViewId="0"/>
  </sheetViews>
  <sheetFormatPr defaultRowHeight="12.75" x14ac:dyDescent="0.2"/>
  <cols>
    <col min="1" max="1" width="5.28515625" style="21" customWidth="1"/>
    <col min="2" max="2" width="1.85546875" style="21" customWidth="1"/>
    <col min="3" max="3" width="27.5703125" style="21" customWidth="1"/>
    <col min="4" max="4" width="1.85546875" style="21" customWidth="1"/>
    <col min="5" max="5" width="9.140625" style="47"/>
    <col min="6" max="6" width="1.85546875" style="21" customWidth="1"/>
    <col min="7" max="12" width="9.42578125" style="21" customWidth="1"/>
    <col min="13" max="13" width="1.42578125" style="51" customWidth="1"/>
    <col min="14" max="14" width="10.28515625" style="21" customWidth="1"/>
    <col min="15" max="16384" width="9.140625" style="21"/>
  </cols>
  <sheetData>
    <row r="1" spans="1:14" ht="15.75" x14ac:dyDescent="0.25">
      <c r="A1" s="173" t="s">
        <v>269</v>
      </c>
      <c r="N1" s="78" t="s">
        <v>8</v>
      </c>
    </row>
    <row r="2" spans="1:14" ht="15" x14ac:dyDescent="0.25">
      <c r="A2" s="175" t="s">
        <v>9</v>
      </c>
      <c r="E2" s="33"/>
      <c r="F2" s="82"/>
      <c r="N2" s="50" t="str">
        <f>Index!F2</f>
        <v>February 25, 2019</v>
      </c>
    </row>
    <row r="3" spans="1:14" x14ac:dyDescent="0.2">
      <c r="A3" s="174" t="s">
        <v>7</v>
      </c>
    </row>
    <row r="6" spans="1:14" s="47" customFormat="1" x14ac:dyDescent="0.2">
      <c r="G6" s="72"/>
      <c r="H6" s="72"/>
      <c r="I6" s="72"/>
      <c r="J6" s="72"/>
      <c r="K6" s="72"/>
      <c r="L6" s="72"/>
      <c r="M6" s="72"/>
      <c r="N6" s="187" t="s">
        <v>3</v>
      </c>
    </row>
    <row r="7" spans="1:14" s="16" customFormat="1" ht="38.25" x14ac:dyDescent="0.2">
      <c r="A7" s="15" t="s">
        <v>0</v>
      </c>
      <c r="C7" s="15" t="s">
        <v>1</v>
      </c>
      <c r="E7" s="15" t="s">
        <v>2</v>
      </c>
      <c r="G7" s="15" t="s">
        <v>227</v>
      </c>
      <c r="H7" s="15" t="s">
        <v>228</v>
      </c>
      <c r="I7" s="15" t="s">
        <v>229</v>
      </c>
      <c r="J7" s="15" t="s">
        <v>230</v>
      </c>
      <c r="K7" s="15" t="s">
        <v>261</v>
      </c>
      <c r="L7" s="15" t="str">
        <f>'Schedule 1'!$L$10</f>
        <v>Proposed 2017</v>
      </c>
      <c r="M7" s="26"/>
      <c r="N7" s="15" t="str">
        <f>'Schedule 1'!$N$10</f>
        <v>Proposed 2018</v>
      </c>
    </row>
    <row r="9" spans="1:14" x14ac:dyDescent="0.2">
      <c r="A9" s="21">
        <v>1</v>
      </c>
      <c r="C9" s="21" t="s">
        <v>59</v>
      </c>
      <c r="E9" s="47" t="s">
        <v>88</v>
      </c>
      <c r="G9" s="55">
        <f>'Schedule 5'!G16</f>
        <v>20843.807625559384</v>
      </c>
      <c r="H9" s="55">
        <f>'Schedule 5'!H16</f>
        <v>22785.942859999999</v>
      </c>
      <c r="I9" s="55">
        <f>'Schedule 5'!I16</f>
        <v>21051.803415000002</v>
      </c>
      <c r="J9" s="55">
        <f>'Schedule 5'!J16</f>
        <v>21723.302069999998</v>
      </c>
      <c r="K9" s="55">
        <f>'Schedule 5'!K16</f>
        <v>21811.756999999998</v>
      </c>
      <c r="L9" s="55">
        <f>'Schedule 5'!L16</f>
        <v>23835.941951079658</v>
      </c>
      <c r="M9" s="27"/>
      <c r="N9" s="55">
        <f>'Schedule 5'!N16</f>
        <v>23714.856181529012</v>
      </c>
    </row>
    <row r="10" spans="1:14" x14ac:dyDescent="0.2">
      <c r="A10" s="21">
        <v>2</v>
      </c>
      <c r="C10" s="21" t="s">
        <v>60</v>
      </c>
      <c r="E10" s="47" t="s">
        <v>89</v>
      </c>
      <c r="G10" s="55">
        <f>'Schedule 5'!G17</f>
        <v>326.40211583999996</v>
      </c>
      <c r="H10" s="55">
        <f>'Schedule 5'!H17</f>
        <v>330.96499999999997</v>
      </c>
      <c r="I10" s="55">
        <f>'Schedule 5'!I17</f>
        <v>331</v>
      </c>
      <c r="J10" s="55">
        <f>'Schedule 5'!J17</f>
        <v>473</v>
      </c>
      <c r="K10" s="55">
        <f>'Schedule 5'!K17</f>
        <v>686.43100000000004</v>
      </c>
      <c r="L10" s="55">
        <f>'Schedule 5'!L17</f>
        <v>692.78601753333351</v>
      </c>
      <c r="M10" s="27"/>
      <c r="N10" s="55">
        <f>'Schedule 5'!N17</f>
        <v>708.13965357545919</v>
      </c>
    </row>
    <row r="11" spans="1:14" x14ac:dyDescent="0.2">
      <c r="A11" s="21">
        <v>3</v>
      </c>
      <c r="C11" s="21" t="s">
        <v>61</v>
      </c>
      <c r="G11" s="55">
        <v>-85</v>
      </c>
      <c r="H11" s="55">
        <v>-84.405000000000001</v>
      </c>
      <c r="I11" s="55">
        <v>-85</v>
      </c>
      <c r="J11" s="55">
        <v>-86</v>
      </c>
      <c r="K11" s="55">
        <v>-95.414000000000001</v>
      </c>
      <c r="L11" s="55">
        <v>-95.505719999999997</v>
      </c>
      <c r="M11" s="27"/>
      <c r="N11" s="55">
        <v>-99.999999999999957</v>
      </c>
    </row>
    <row r="12" spans="1:14" x14ac:dyDescent="0.2">
      <c r="G12" s="55"/>
      <c r="H12" s="55"/>
      <c r="I12" s="55"/>
      <c r="J12" s="55"/>
      <c r="K12" s="55"/>
      <c r="L12" s="55"/>
      <c r="M12" s="27"/>
      <c r="N12" s="55"/>
    </row>
    <row r="13" spans="1:14" x14ac:dyDescent="0.2">
      <c r="A13" s="21">
        <v>4</v>
      </c>
      <c r="C13" s="21" t="s">
        <v>63</v>
      </c>
      <c r="G13" s="55">
        <f t="shared" ref="G13:K13" si="0">SUM(G9:G11)</f>
        <v>21085.209741399383</v>
      </c>
      <c r="H13" s="55">
        <f t="shared" si="0"/>
        <v>23032.502860000001</v>
      </c>
      <c r="I13" s="55">
        <f t="shared" si="0"/>
        <v>21297.803415000002</v>
      </c>
      <c r="J13" s="55">
        <f t="shared" si="0"/>
        <v>22110.302069999998</v>
      </c>
      <c r="K13" s="55">
        <f t="shared" si="0"/>
        <v>22402.773999999998</v>
      </c>
      <c r="L13" s="55">
        <f t="shared" ref="L13" si="1">SUM(L9:L11)</f>
        <v>24433.22224861299</v>
      </c>
      <c r="M13" s="27"/>
      <c r="N13" s="55">
        <f>SUM(N9:N11)</f>
        <v>24322.99583510447</v>
      </c>
    </row>
    <row r="14" spans="1:14" x14ac:dyDescent="0.2">
      <c r="G14" s="83"/>
      <c r="H14" s="83"/>
      <c r="I14" s="83"/>
      <c r="J14" s="83"/>
      <c r="K14" s="83"/>
      <c r="L14" s="83"/>
      <c r="M14" s="84"/>
      <c r="N14" s="83"/>
    </row>
    <row r="15" spans="1:14" x14ac:dyDescent="0.2">
      <c r="A15" s="21">
        <v>5</v>
      </c>
      <c r="C15" s="21" t="s">
        <v>239</v>
      </c>
      <c r="G15" s="83">
        <f t="shared" ref="G15:K15" si="2">G13*27/365</f>
        <v>1559.7278438843377</v>
      </c>
      <c r="H15" s="83">
        <f t="shared" si="2"/>
        <v>1703.7741841643835</v>
      </c>
      <c r="I15" s="83">
        <f t="shared" si="2"/>
        <v>1575.4539512465756</v>
      </c>
      <c r="J15" s="83">
        <f t="shared" si="2"/>
        <v>1635.556591479452</v>
      </c>
      <c r="K15" s="83">
        <f t="shared" si="2"/>
        <v>1657.1915013698629</v>
      </c>
      <c r="L15" s="83">
        <f t="shared" ref="L15" si="3">L13*27/365</f>
        <v>1807.3890430480842</v>
      </c>
      <c r="M15" s="84"/>
      <c r="N15" s="83">
        <f>N13*27/365</f>
        <v>1799.2353083501937</v>
      </c>
    </row>
    <row r="16" spans="1:14" x14ac:dyDescent="0.2">
      <c r="G16" s="55"/>
      <c r="H16" s="55"/>
      <c r="I16" s="55"/>
      <c r="J16" s="55"/>
      <c r="K16" s="55"/>
      <c r="L16" s="55"/>
      <c r="M16" s="27"/>
      <c r="N16" s="55"/>
    </row>
    <row r="17" spans="1:14" x14ac:dyDescent="0.2">
      <c r="A17" s="21">
        <v>6</v>
      </c>
      <c r="C17" s="21" t="s">
        <v>219</v>
      </c>
      <c r="G17" s="55">
        <v>2830.2847299999999</v>
      </c>
      <c r="H17" s="55">
        <v>2947.6519999999996</v>
      </c>
      <c r="I17" s="55">
        <v>3025.9853333333335</v>
      </c>
      <c r="J17" s="55">
        <v>3300.248333333333</v>
      </c>
      <c r="K17" s="55">
        <v>3425.7343333333333</v>
      </c>
      <c r="L17" s="55">
        <v>3665.0760099999993</v>
      </c>
      <c r="M17" s="27"/>
      <c r="N17" s="55">
        <v>3702.8749000000003</v>
      </c>
    </row>
    <row r="18" spans="1:14" x14ac:dyDescent="0.2">
      <c r="G18" s="55"/>
      <c r="H18" s="55"/>
      <c r="I18" s="55"/>
      <c r="J18" s="55"/>
      <c r="K18" s="55"/>
      <c r="L18" s="55"/>
      <c r="M18" s="27"/>
      <c r="N18" s="55"/>
    </row>
    <row r="19" spans="1:14" x14ac:dyDescent="0.2">
      <c r="A19" s="21">
        <v>7</v>
      </c>
      <c r="C19" s="21" t="s">
        <v>62</v>
      </c>
      <c r="E19" s="47" t="s">
        <v>64</v>
      </c>
      <c r="G19" s="45">
        <f>'Schedule 2A'!G30</f>
        <v>-110</v>
      </c>
      <c r="H19" s="45">
        <f>'Schedule 2A'!H30</f>
        <v>-131</v>
      </c>
      <c r="I19" s="45">
        <f>'Schedule 2A'!I30</f>
        <v>-106</v>
      </c>
      <c r="J19" s="45">
        <f>'Schedule 2A'!J30</f>
        <v>-145</v>
      </c>
      <c r="K19" s="45">
        <f>'Schedule 2A'!K30</f>
        <v>-155</v>
      </c>
      <c r="L19" s="45">
        <f>'Schedule 2A'!L30</f>
        <v>-182</v>
      </c>
      <c r="M19" s="27"/>
      <c r="N19" s="45">
        <f>'Schedule 2A'!N30</f>
        <v>-158</v>
      </c>
    </row>
    <row r="20" spans="1:14" x14ac:dyDescent="0.2">
      <c r="G20" s="55"/>
      <c r="H20" s="55"/>
      <c r="I20" s="55"/>
      <c r="J20" s="55"/>
      <c r="K20" s="55"/>
      <c r="L20" s="55"/>
      <c r="M20" s="27"/>
      <c r="N20" s="55"/>
    </row>
    <row r="21" spans="1:14" ht="13.5" thickBot="1" x14ac:dyDescent="0.25">
      <c r="A21" s="21">
        <v>8</v>
      </c>
      <c r="C21" s="21" t="s">
        <v>54</v>
      </c>
      <c r="E21" s="47" t="s">
        <v>200</v>
      </c>
      <c r="G21" s="86">
        <f t="shared" ref="G21:K21" si="4">G15+G17+G19</f>
        <v>4280.0125738843381</v>
      </c>
      <c r="H21" s="86">
        <f t="shared" si="4"/>
        <v>4520.4261841643829</v>
      </c>
      <c r="I21" s="86">
        <f t="shared" si="4"/>
        <v>4495.4392845799093</v>
      </c>
      <c r="J21" s="86">
        <f t="shared" si="4"/>
        <v>4790.8049248127845</v>
      </c>
      <c r="K21" s="86">
        <f t="shared" si="4"/>
        <v>4927.9258347031964</v>
      </c>
      <c r="L21" s="86">
        <f t="shared" ref="L21" si="5">L15+L17+L19</f>
        <v>5290.4650530480831</v>
      </c>
      <c r="M21" s="84"/>
      <c r="N21" s="86">
        <f>N15+N17+N19</f>
        <v>5344.1102083501937</v>
      </c>
    </row>
    <row r="22" spans="1:14" x14ac:dyDescent="0.2">
      <c r="G22" s="55"/>
      <c r="H22" s="55"/>
      <c r="I22" s="55"/>
      <c r="J22" s="55"/>
      <c r="K22" s="55"/>
      <c r="L22" s="55"/>
      <c r="M22" s="27"/>
    </row>
    <row r="23" spans="1:14" x14ac:dyDescent="0.2">
      <c r="C23" s="85" t="s">
        <v>142</v>
      </c>
      <c r="G23" s="55"/>
      <c r="H23" s="55"/>
      <c r="I23" s="55"/>
      <c r="J23" s="55"/>
      <c r="K23" s="55"/>
      <c r="L23" s="55"/>
      <c r="M23" s="27"/>
    </row>
    <row r="25" spans="1:14" x14ac:dyDescent="0.2">
      <c r="E25" s="23"/>
      <c r="F25" s="17"/>
      <c r="G25" s="87"/>
      <c r="H25" s="87"/>
      <c r="I25" s="87"/>
      <c r="J25" s="87"/>
      <c r="K25" s="87"/>
      <c r="L25" s="87"/>
      <c r="M25" s="88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  <pageSetUpPr fitToPage="1"/>
  </sheetPr>
  <dimension ref="A1:AA30"/>
  <sheetViews>
    <sheetView view="pageBreakPreview" zoomScaleSheetLayoutView="100" workbookViewId="0"/>
  </sheetViews>
  <sheetFormatPr defaultRowHeight="12.75" x14ac:dyDescent="0.2"/>
  <cols>
    <col min="1" max="1" width="5.28515625" style="7" customWidth="1"/>
    <col min="2" max="2" width="1.85546875" style="7" customWidth="1"/>
    <col min="3" max="3" width="35.28515625" style="7" customWidth="1"/>
    <col min="4" max="4" width="1.85546875" style="7" customWidth="1"/>
    <col min="5" max="5" width="9.140625" style="7"/>
    <col min="6" max="6" width="1.85546875" style="7" customWidth="1"/>
    <col min="7" max="12" width="9.42578125" style="7" customWidth="1"/>
    <col min="13" max="13" width="1.42578125" style="11" customWidth="1"/>
    <col min="14" max="14" width="10" style="7" customWidth="1"/>
    <col min="15" max="16384" width="9.140625" style="7"/>
  </cols>
  <sheetData>
    <row r="1" spans="1:27" ht="15.75" x14ac:dyDescent="0.25">
      <c r="A1" s="173" t="s">
        <v>269</v>
      </c>
      <c r="N1" s="8" t="s">
        <v>11</v>
      </c>
    </row>
    <row r="2" spans="1:27" x14ac:dyDescent="0.2">
      <c r="A2" s="174" t="s">
        <v>10</v>
      </c>
      <c r="N2" s="43" t="str">
        <f>Index!F2</f>
        <v>February 25, 2019</v>
      </c>
    </row>
    <row r="3" spans="1:27" x14ac:dyDescent="0.2">
      <c r="A3" s="174" t="s">
        <v>7</v>
      </c>
    </row>
    <row r="6" spans="1:27" s="18" customFormat="1" x14ac:dyDescent="0.2">
      <c r="G6" s="72"/>
      <c r="H6" s="72"/>
      <c r="I6" s="72"/>
      <c r="J6" s="72"/>
      <c r="K6" s="72"/>
      <c r="L6" s="72"/>
      <c r="M6" s="72"/>
      <c r="N6" s="187" t="s">
        <v>3</v>
      </c>
    </row>
    <row r="7" spans="1:27" s="16" customFormat="1" ht="38.25" x14ac:dyDescent="0.2">
      <c r="A7" s="15" t="s">
        <v>0</v>
      </c>
      <c r="C7" s="15" t="s">
        <v>1</v>
      </c>
      <c r="E7" s="15" t="s">
        <v>2</v>
      </c>
      <c r="G7" s="15" t="s">
        <v>227</v>
      </c>
      <c r="H7" s="15" t="s">
        <v>228</v>
      </c>
      <c r="I7" s="15" t="s">
        <v>229</v>
      </c>
      <c r="J7" s="15" t="s">
        <v>230</v>
      </c>
      <c r="K7" s="15" t="s">
        <v>261</v>
      </c>
      <c r="L7" s="15" t="str">
        <f>'Schedule 1'!$L$10</f>
        <v>Proposed 2017</v>
      </c>
      <c r="M7" s="26"/>
      <c r="N7" s="15" t="str">
        <f>'Schedule 1'!$N$10</f>
        <v>Proposed 2018</v>
      </c>
    </row>
    <row r="9" spans="1:27" x14ac:dyDescent="0.2">
      <c r="A9" s="7">
        <v>1</v>
      </c>
      <c r="C9" s="7" t="s">
        <v>65</v>
      </c>
      <c r="G9" s="90">
        <v>39395.104328842048</v>
      </c>
      <c r="H9" s="90">
        <v>33078.695693400034</v>
      </c>
      <c r="I9" s="90">
        <v>47769.513537900115</v>
      </c>
      <c r="J9" s="90">
        <v>29426.97975869981</v>
      </c>
      <c r="K9" s="90">
        <v>26209.656739700018</v>
      </c>
      <c r="L9" s="90">
        <v>28301.283975333266</v>
      </c>
      <c r="M9" s="91"/>
      <c r="N9" s="90">
        <v>42083.91804234391</v>
      </c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</row>
    <row r="10" spans="1:27" x14ac:dyDescent="0.2">
      <c r="Q10" s="90"/>
      <c r="R10" s="90"/>
      <c r="S10" s="90"/>
      <c r="T10" s="90"/>
      <c r="U10" s="90"/>
      <c r="V10" s="90"/>
      <c r="W10" s="90"/>
      <c r="X10" s="90"/>
      <c r="Y10" s="90"/>
      <c r="Z10" s="90"/>
    </row>
    <row r="11" spans="1:27" x14ac:dyDescent="0.2">
      <c r="A11" s="7">
        <v>2</v>
      </c>
      <c r="C11" s="7" t="s">
        <v>66</v>
      </c>
      <c r="G11" s="92">
        <v>0.05</v>
      </c>
      <c r="H11" s="92">
        <v>0.05</v>
      </c>
      <c r="I11" s="92">
        <v>0.05</v>
      </c>
      <c r="J11" s="92">
        <v>0.05</v>
      </c>
      <c r="K11" s="92">
        <v>0.05</v>
      </c>
      <c r="L11" s="92">
        <v>0.05</v>
      </c>
      <c r="M11" s="93"/>
      <c r="N11" s="92">
        <v>0.05</v>
      </c>
      <c r="Q11" s="90"/>
      <c r="R11" s="90"/>
      <c r="S11" s="90"/>
      <c r="T11" s="90"/>
      <c r="U11" s="90"/>
      <c r="V11" s="90"/>
      <c r="W11" s="90"/>
      <c r="X11" s="90"/>
      <c r="Y11" s="90"/>
      <c r="Z11" s="90"/>
    </row>
    <row r="12" spans="1:27" x14ac:dyDescent="0.2">
      <c r="Q12" s="90"/>
      <c r="R12" s="90"/>
      <c r="S12" s="90"/>
      <c r="T12" s="90"/>
      <c r="U12" s="90"/>
      <c r="V12" s="90"/>
      <c r="W12" s="90"/>
      <c r="X12" s="90"/>
      <c r="Y12" s="90"/>
      <c r="Z12" s="90"/>
    </row>
    <row r="13" spans="1:27" x14ac:dyDescent="0.2">
      <c r="A13" s="7">
        <v>3</v>
      </c>
      <c r="C13" s="7" t="s">
        <v>67</v>
      </c>
      <c r="G13" s="89">
        <f>G11*G9</f>
        <v>1969.7552164421024</v>
      </c>
      <c r="H13" s="89">
        <f t="shared" ref="H13:K13" si="0">H11*H9</f>
        <v>1653.9347846700018</v>
      </c>
      <c r="I13" s="89">
        <f t="shared" si="0"/>
        <v>2388.475676895006</v>
      </c>
      <c r="J13" s="89">
        <f t="shared" si="0"/>
        <v>1471.3489879349906</v>
      </c>
      <c r="K13" s="89">
        <f t="shared" si="0"/>
        <v>1310.4828369850011</v>
      </c>
      <c r="L13" s="89">
        <f t="shared" ref="L13" si="1">L11*L9</f>
        <v>1415.0641987666634</v>
      </c>
      <c r="M13" s="94"/>
      <c r="N13" s="89">
        <f>N11*N9</f>
        <v>2104.1959021171956</v>
      </c>
      <c r="Q13" s="90"/>
      <c r="R13" s="90"/>
      <c r="S13" s="90"/>
      <c r="T13" s="90"/>
      <c r="U13" s="90"/>
      <c r="V13" s="90"/>
      <c r="W13" s="90"/>
      <c r="X13" s="90"/>
      <c r="Y13" s="90"/>
      <c r="Z13" s="90"/>
    </row>
    <row r="14" spans="1:27" x14ac:dyDescent="0.2">
      <c r="Q14" s="90"/>
      <c r="R14" s="90"/>
      <c r="S14" s="90"/>
      <c r="T14" s="90"/>
      <c r="U14" s="90"/>
      <c r="V14" s="90"/>
      <c r="W14" s="90"/>
      <c r="X14" s="90"/>
      <c r="Y14" s="90"/>
      <c r="Z14" s="90"/>
    </row>
    <row r="15" spans="1:27" x14ac:dyDescent="0.2">
      <c r="A15" s="7">
        <v>4</v>
      </c>
      <c r="C15" s="7" t="s">
        <v>68</v>
      </c>
      <c r="G15" s="95">
        <v>14</v>
      </c>
      <c r="H15" s="95">
        <v>14</v>
      </c>
      <c r="I15" s="95">
        <v>14</v>
      </c>
      <c r="J15" s="95">
        <v>14</v>
      </c>
      <c r="K15" s="95">
        <v>14</v>
      </c>
      <c r="L15" s="95">
        <v>14</v>
      </c>
      <c r="M15" s="94"/>
      <c r="N15" s="95">
        <v>14</v>
      </c>
      <c r="Q15" s="90"/>
      <c r="R15" s="90"/>
      <c r="S15" s="90"/>
      <c r="T15" s="90"/>
      <c r="U15" s="90"/>
      <c r="V15" s="90"/>
      <c r="W15" s="90"/>
      <c r="X15" s="90"/>
      <c r="Y15" s="90"/>
      <c r="Z15" s="90"/>
    </row>
    <row r="16" spans="1:27" x14ac:dyDescent="0.2">
      <c r="Q16" s="90"/>
      <c r="R16" s="90"/>
      <c r="S16" s="90"/>
      <c r="T16" s="90"/>
      <c r="U16" s="90"/>
      <c r="V16" s="90"/>
      <c r="W16" s="90"/>
      <c r="X16" s="90"/>
      <c r="Y16" s="90"/>
      <c r="Z16" s="90"/>
    </row>
    <row r="17" spans="1:26" x14ac:dyDescent="0.2">
      <c r="A17" s="7">
        <v>5</v>
      </c>
      <c r="C17" s="7" t="s">
        <v>69</v>
      </c>
      <c r="G17" s="95">
        <f t="shared" ref="G17:K17" si="2">ROUND(G13*G15/365,0)</f>
        <v>76</v>
      </c>
      <c r="H17" s="95">
        <f t="shared" si="2"/>
        <v>63</v>
      </c>
      <c r="I17" s="95">
        <f t="shared" si="2"/>
        <v>92</v>
      </c>
      <c r="J17" s="95">
        <f t="shared" si="2"/>
        <v>56</v>
      </c>
      <c r="K17" s="95">
        <f t="shared" si="2"/>
        <v>50</v>
      </c>
      <c r="L17" s="95">
        <f t="shared" ref="L17" si="3">ROUND(L13*L15/365,0)</f>
        <v>54</v>
      </c>
      <c r="M17" s="94"/>
      <c r="N17" s="95">
        <f>ROUND(N13*N15/365,0)</f>
        <v>81</v>
      </c>
      <c r="Q17" s="90"/>
      <c r="R17" s="90"/>
      <c r="S17" s="90"/>
      <c r="T17" s="90"/>
      <c r="U17" s="90"/>
      <c r="V17" s="90"/>
      <c r="W17" s="90"/>
      <c r="X17" s="90"/>
      <c r="Y17" s="90"/>
      <c r="Z17" s="90"/>
    </row>
    <row r="18" spans="1:26" x14ac:dyDescent="0.2">
      <c r="Q18" s="90"/>
      <c r="R18" s="90"/>
      <c r="S18" s="90"/>
      <c r="T18" s="90"/>
      <c r="U18" s="90"/>
      <c r="V18" s="90"/>
      <c r="W18" s="90"/>
      <c r="X18" s="90"/>
      <c r="Y18" s="90"/>
      <c r="Z18" s="90"/>
    </row>
    <row r="19" spans="1:26" x14ac:dyDescent="0.2">
      <c r="Q19" s="90"/>
      <c r="R19" s="90"/>
      <c r="S19" s="90"/>
      <c r="T19" s="90"/>
      <c r="U19" s="90"/>
      <c r="V19" s="90"/>
      <c r="W19" s="90"/>
      <c r="X19" s="90"/>
      <c r="Y19" s="90"/>
      <c r="Z19" s="90"/>
    </row>
    <row r="20" spans="1:26" x14ac:dyDescent="0.2">
      <c r="A20" s="7">
        <v>6</v>
      </c>
      <c r="C20" s="7" t="s">
        <v>70</v>
      </c>
      <c r="G20" s="89">
        <v>42262.889974871898</v>
      </c>
      <c r="H20" s="89">
        <v>40492.211019999995</v>
      </c>
      <c r="I20" s="89">
        <v>41245</v>
      </c>
      <c r="J20" s="89">
        <v>41855.427067248616</v>
      </c>
      <c r="K20" s="89">
        <v>42686.221000000005</v>
      </c>
      <c r="L20" s="89">
        <v>49201.647952377738</v>
      </c>
      <c r="M20" s="94"/>
      <c r="N20" s="89">
        <v>49793.562824010733</v>
      </c>
      <c r="Q20" s="90"/>
      <c r="R20" s="90"/>
      <c r="S20" s="90"/>
      <c r="T20" s="90"/>
      <c r="U20" s="90"/>
      <c r="V20" s="90"/>
      <c r="W20" s="90"/>
      <c r="X20" s="90"/>
      <c r="Y20" s="90"/>
      <c r="Z20" s="90"/>
    </row>
    <row r="21" spans="1:26" x14ac:dyDescent="0.2">
      <c r="G21" s="11"/>
      <c r="H21" s="11"/>
      <c r="I21" s="11"/>
      <c r="J21" s="11"/>
      <c r="K21" s="11"/>
      <c r="L21" s="11"/>
      <c r="N21" s="11"/>
      <c r="Q21" s="90"/>
      <c r="R21" s="90"/>
      <c r="S21" s="90"/>
      <c r="T21" s="90"/>
      <c r="U21" s="90"/>
      <c r="V21" s="90"/>
      <c r="W21" s="90"/>
      <c r="X21" s="90"/>
      <c r="Y21" s="90"/>
      <c r="Z21" s="90"/>
    </row>
    <row r="22" spans="1:26" x14ac:dyDescent="0.2">
      <c r="A22" s="7">
        <v>7</v>
      </c>
      <c r="C22" s="7" t="s">
        <v>214</v>
      </c>
      <c r="G22" s="92">
        <v>4.5785714285714291E-2</v>
      </c>
      <c r="H22" s="92">
        <v>0.05</v>
      </c>
      <c r="I22" s="92">
        <v>0.05</v>
      </c>
      <c r="J22" s="92">
        <v>0.05</v>
      </c>
      <c r="K22" s="92">
        <v>0.05</v>
      </c>
      <c r="L22" s="92">
        <v>0.05</v>
      </c>
      <c r="M22" s="93"/>
      <c r="N22" s="92">
        <v>0.05</v>
      </c>
      <c r="Q22" s="90"/>
      <c r="R22" s="90"/>
      <c r="S22" s="90"/>
      <c r="T22" s="90"/>
      <c r="U22" s="90"/>
      <c r="V22" s="90"/>
      <c r="W22" s="90"/>
      <c r="X22" s="90"/>
      <c r="Y22" s="90"/>
      <c r="Z22" s="90"/>
    </row>
    <row r="23" spans="1:26" x14ac:dyDescent="0.2"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spans="1:26" x14ac:dyDescent="0.2">
      <c r="A24" s="7">
        <v>8</v>
      </c>
      <c r="C24" s="7" t="s">
        <v>71</v>
      </c>
      <c r="G24" s="89">
        <f t="shared" ref="G24:K24" si="4">G22*G20</f>
        <v>1935.0366052780635</v>
      </c>
      <c r="H24" s="89">
        <f t="shared" si="4"/>
        <v>2024.6105509999998</v>
      </c>
      <c r="I24" s="89">
        <f t="shared" si="4"/>
        <v>2062.25</v>
      </c>
      <c r="J24" s="89">
        <f t="shared" si="4"/>
        <v>2092.771353362431</v>
      </c>
      <c r="K24" s="89">
        <f t="shared" si="4"/>
        <v>2134.3110500000003</v>
      </c>
      <c r="L24" s="89">
        <f t="shared" ref="L24" si="5">L22*L20</f>
        <v>2460.0823976188872</v>
      </c>
      <c r="M24" s="94"/>
      <c r="N24" s="89">
        <f>N22*N20</f>
        <v>2489.6781412005366</v>
      </c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spans="1:26" x14ac:dyDescent="0.2">
      <c r="Q25" s="90"/>
      <c r="R25" s="90"/>
      <c r="S25" s="90"/>
      <c r="T25" s="90"/>
      <c r="U25" s="90"/>
      <c r="V25" s="90"/>
      <c r="W25" s="90"/>
      <c r="X25" s="90"/>
      <c r="Y25" s="90"/>
      <c r="Z25" s="90"/>
    </row>
    <row r="26" spans="1:26" x14ac:dyDescent="0.2">
      <c r="A26" s="7">
        <v>9</v>
      </c>
      <c r="C26" s="7" t="s">
        <v>72</v>
      </c>
      <c r="F26" s="7" t="s">
        <v>142</v>
      </c>
      <c r="G26" s="95">
        <v>35</v>
      </c>
      <c r="H26" s="95">
        <v>35</v>
      </c>
      <c r="I26" s="95">
        <v>35</v>
      </c>
      <c r="J26" s="95">
        <v>35</v>
      </c>
      <c r="K26" s="95">
        <v>35</v>
      </c>
      <c r="L26" s="95">
        <v>35</v>
      </c>
      <c r="M26" s="94"/>
      <c r="N26" s="95">
        <v>35</v>
      </c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 spans="1:26" x14ac:dyDescent="0.2"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 spans="1:26" x14ac:dyDescent="0.2">
      <c r="A28" s="7">
        <v>10</v>
      </c>
      <c r="C28" s="7" t="s">
        <v>73</v>
      </c>
      <c r="G28" s="95">
        <f>ROUND(G24*G26/365,0)</f>
        <v>186</v>
      </c>
      <c r="H28" s="95">
        <f t="shared" ref="H28:K28" si="6">ROUND(H24*H26/365,0)</f>
        <v>194</v>
      </c>
      <c r="I28" s="95">
        <f t="shared" si="6"/>
        <v>198</v>
      </c>
      <c r="J28" s="95">
        <f t="shared" si="6"/>
        <v>201</v>
      </c>
      <c r="K28" s="95">
        <f t="shared" si="6"/>
        <v>205</v>
      </c>
      <c r="L28" s="95">
        <f t="shared" ref="L28" si="7">ROUND(L24*L26/365,0)</f>
        <v>236</v>
      </c>
      <c r="M28" s="94"/>
      <c r="N28" s="95">
        <f>ROUND(N24*N26/365,0)</f>
        <v>239</v>
      </c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spans="1:26" x14ac:dyDescent="0.2">
      <c r="Q29" s="90"/>
      <c r="R29" s="90"/>
      <c r="S29" s="90"/>
      <c r="T29" s="90"/>
      <c r="U29" s="90"/>
      <c r="V29" s="90"/>
      <c r="W29" s="90"/>
      <c r="X29" s="90"/>
      <c r="Y29" s="90"/>
      <c r="Z29" s="90"/>
    </row>
    <row r="30" spans="1:26" ht="13.5" thickBot="1" x14ac:dyDescent="0.25">
      <c r="A30" s="7">
        <v>11</v>
      </c>
      <c r="C30" s="7" t="s">
        <v>74</v>
      </c>
      <c r="E30" s="7" t="s">
        <v>201</v>
      </c>
      <c r="G30" s="96">
        <f t="shared" ref="G30:K30" si="8">G17-G28</f>
        <v>-110</v>
      </c>
      <c r="H30" s="96">
        <f t="shared" si="8"/>
        <v>-131</v>
      </c>
      <c r="I30" s="96">
        <f t="shared" si="8"/>
        <v>-106</v>
      </c>
      <c r="J30" s="96">
        <f t="shared" si="8"/>
        <v>-145</v>
      </c>
      <c r="K30" s="96">
        <f t="shared" si="8"/>
        <v>-155</v>
      </c>
      <c r="L30" s="96">
        <f t="shared" ref="L30" si="9">L17-L28</f>
        <v>-182</v>
      </c>
      <c r="M30" s="91"/>
      <c r="N30" s="96">
        <f>N17-N28</f>
        <v>-158</v>
      </c>
      <c r="Q30" s="90"/>
      <c r="R30" s="90"/>
      <c r="S30" s="90"/>
      <c r="T30" s="90"/>
      <c r="U30" s="90"/>
      <c r="V30" s="90"/>
      <c r="W30" s="90"/>
      <c r="X30" s="90"/>
      <c r="Y30" s="90"/>
      <c r="Z30" s="90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39997558519241921"/>
    <pageSetUpPr fitToPage="1"/>
  </sheetPr>
  <dimension ref="A1:AD57"/>
  <sheetViews>
    <sheetView view="pageBreakPreview" zoomScaleSheetLayoutView="100" workbookViewId="0"/>
  </sheetViews>
  <sheetFormatPr defaultRowHeight="12.75" x14ac:dyDescent="0.2"/>
  <cols>
    <col min="1" max="1" width="5.28515625" style="21" customWidth="1"/>
    <col min="2" max="2" width="1.85546875" style="21" customWidth="1"/>
    <col min="3" max="3" width="43.85546875" style="21" customWidth="1"/>
    <col min="4" max="4" width="1.85546875" style="21" customWidth="1"/>
    <col min="5" max="5" width="9.140625" style="47" customWidth="1"/>
    <col min="6" max="6" width="1.85546875" style="21" customWidth="1"/>
    <col min="7" max="8" width="9.42578125" style="21" customWidth="1"/>
    <col min="9" max="9" width="9.28515625" style="21" customWidth="1"/>
    <col min="10" max="10" width="9.42578125" style="21" customWidth="1"/>
    <col min="11" max="11" width="10.28515625" style="21" bestFit="1" customWidth="1"/>
    <col min="12" max="12" width="10.85546875" style="21" bestFit="1" customWidth="1"/>
    <col min="13" max="13" width="1.42578125" style="51" customWidth="1"/>
    <col min="14" max="14" width="10.140625" style="21" customWidth="1"/>
    <col min="15" max="16384" width="9.140625" style="21"/>
  </cols>
  <sheetData>
    <row r="1" spans="1:30" ht="15.75" x14ac:dyDescent="0.25">
      <c r="A1" s="173" t="s">
        <v>269</v>
      </c>
      <c r="N1" s="78" t="s">
        <v>12</v>
      </c>
    </row>
    <row r="2" spans="1:30" x14ac:dyDescent="0.2">
      <c r="A2" s="174" t="s">
        <v>13</v>
      </c>
      <c r="N2" s="50" t="str">
        <f>Index!F2</f>
        <v>February 25, 2019</v>
      </c>
    </row>
    <row r="3" spans="1:30" x14ac:dyDescent="0.2">
      <c r="A3" s="174" t="s">
        <v>7</v>
      </c>
    </row>
    <row r="6" spans="1:30" s="47" customFormat="1" x14ac:dyDescent="0.2">
      <c r="E6" s="47" t="s">
        <v>142</v>
      </c>
      <c r="G6" s="72"/>
      <c r="H6" s="72"/>
      <c r="I6" s="72"/>
      <c r="J6" s="72"/>
      <c r="K6" s="72"/>
      <c r="L6" s="72"/>
      <c r="M6" s="72"/>
      <c r="N6" s="187" t="s">
        <v>3</v>
      </c>
    </row>
    <row r="7" spans="1:30" s="16" customFormat="1" ht="38.25" x14ac:dyDescent="0.2">
      <c r="A7" s="15" t="s">
        <v>0</v>
      </c>
      <c r="C7" s="15" t="s">
        <v>1</v>
      </c>
      <c r="E7" s="15" t="s">
        <v>2</v>
      </c>
      <c r="G7" s="15" t="s">
        <v>227</v>
      </c>
      <c r="H7" s="15" t="s">
        <v>228</v>
      </c>
      <c r="I7" s="15" t="s">
        <v>229</v>
      </c>
      <c r="J7" s="15" t="s">
        <v>230</v>
      </c>
      <c r="K7" s="15" t="s">
        <v>261</v>
      </c>
      <c r="L7" s="15" t="str">
        <f>'Schedule 1'!$L$10</f>
        <v>Proposed 2017</v>
      </c>
      <c r="M7" s="26"/>
      <c r="N7" s="15" t="str">
        <f>'Schedule 1'!$N$10</f>
        <v>Proposed 2018</v>
      </c>
    </row>
    <row r="9" spans="1:30" x14ac:dyDescent="0.2">
      <c r="A9" s="21">
        <v>1</v>
      </c>
      <c r="C9" s="17" t="s">
        <v>43</v>
      </c>
    </row>
    <row r="11" spans="1:30" x14ac:dyDescent="0.2">
      <c r="A11" s="21">
        <v>2</v>
      </c>
      <c r="C11" s="21" t="s">
        <v>75</v>
      </c>
      <c r="F11" s="14"/>
      <c r="G11" s="55">
        <v>496937.72555999999</v>
      </c>
      <c r="H11" s="55">
        <v>495794.93400000007</v>
      </c>
      <c r="I11" s="55">
        <f t="shared" ref="I11" si="0">H15</f>
        <v>520406</v>
      </c>
      <c r="J11" s="55">
        <f t="shared" ref="J11" si="1">I15</f>
        <v>555552</v>
      </c>
      <c r="K11" s="55">
        <f t="shared" ref="K11:L11" si="2">J15</f>
        <v>577887.69799999986</v>
      </c>
      <c r="L11" s="55">
        <f t="shared" si="2"/>
        <v>589387.23499999999</v>
      </c>
      <c r="M11" s="27"/>
      <c r="N11" s="55">
        <f>L15</f>
        <v>598756.32657999999</v>
      </c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</row>
    <row r="12" spans="1:30" x14ac:dyDescent="0.2">
      <c r="A12" s="21">
        <v>3</v>
      </c>
      <c r="C12" s="21" t="s">
        <v>218</v>
      </c>
      <c r="F12" s="14"/>
      <c r="G12" s="55">
        <v>23712.904999999999</v>
      </c>
      <c r="H12" s="55">
        <v>25716.99373999994</v>
      </c>
      <c r="I12" s="55">
        <v>37582.555950000002</v>
      </c>
      <c r="J12" s="55">
        <v>22727.938679999879</v>
      </c>
      <c r="K12" s="55">
        <v>12314.069810000119</v>
      </c>
      <c r="L12" s="55">
        <v>9797.7634099999977</v>
      </c>
      <c r="M12" s="27"/>
      <c r="N12" s="55">
        <v>13678.42266</v>
      </c>
      <c r="T12" s="67"/>
      <c r="U12" s="67"/>
      <c r="V12" s="67"/>
      <c r="W12" s="67"/>
      <c r="X12" s="67"/>
      <c r="Y12" s="67"/>
      <c r="Z12" s="67"/>
      <c r="AA12" s="67"/>
      <c r="AB12" s="67"/>
      <c r="AC12" s="67"/>
    </row>
    <row r="13" spans="1:30" x14ac:dyDescent="0.2">
      <c r="A13" s="21">
        <v>4</v>
      </c>
      <c r="C13" s="21" t="s">
        <v>146</v>
      </c>
      <c r="F13" s="14"/>
      <c r="G13" s="45">
        <v>0</v>
      </c>
      <c r="H13" s="45">
        <v>-1105.9277400000001</v>
      </c>
      <c r="I13" s="45">
        <v>-2436.5559500000008</v>
      </c>
      <c r="J13" s="45">
        <v>-392.24068</v>
      </c>
      <c r="K13" s="45">
        <v>-814.53281000000106</v>
      </c>
      <c r="L13" s="45">
        <v>-428.67182999999994</v>
      </c>
      <c r="M13" s="27"/>
      <c r="N13" s="66">
        <v>0</v>
      </c>
      <c r="T13" s="67"/>
      <c r="U13" s="67"/>
      <c r="V13" s="67"/>
      <c r="W13" s="67"/>
      <c r="X13" s="67"/>
      <c r="Y13" s="67"/>
      <c r="Z13" s="67"/>
      <c r="AA13" s="67"/>
      <c r="AB13" s="67"/>
      <c r="AC13" s="67"/>
    </row>
    <row r="14" spans="1:30" x14ac:dyDescent="0.2">
      <c r="F14" s="14"/>
      <c r="G14" s="55"/>
      <c r="H14" s="55"/>
      <c r="I14" s="55"/>
      <c r="J14" s="55"/>
      <c r="K14" s="55"/>
      <c r="L14" s="55"/>
      <c r="M14" s="27"/>
      <c r="N14" s="55"/>
      <c r="T14" s="67"/>
      <c r="U14" s="67"/>
      <c r="V14" s="67"/>
      <c r="W14" s="67"/>
      <c r="X14" s="67"/>
      <c r="Y14" s="67"/>
      <c r="Z14" s="67"/>
      <c r="AA14" s="67"/>
      <c r="AB14" s="67"/>
      <c r="AC14" s="67"/>
    </row>
    <row r="15" spans="1:30" x14ac:dyDescent="0.2">
      <c r="A15" s="21">
        <v>5</v>
      </c>
      <c r="C15" s="21" t="s">
        <v>76</v>
      </c>
      <c r="E15" s="47" t="s">
        <v>85</v>
      </c>
      <c r="F15" s="14"/>
      <c r="G15" s="55">
        <f t="shared" ref="G15:K15" si="3">G11+G12+G13</f>
        <v>520650.63055999996</v>
      </c>
      <c r="H15" s="55">
        <f t="shared" si="3"/>
        <v>520406</v>
      </c>
      <c r="I15" s="55">
        <f t="shared" si="3"/>
        <v>555552</v>
      </c>
      <c r="J15" s="55">
        <f t="shared" si="3"/>
        <v>577887.69799999986</v>
      </c>
      <c r="K15" s="55">
        <f t="shared" si="3"/>
        <v>589387.23499999999</v>
      </c>
      <c r="L15" s="55">
        <f t="shared" ref="L15" si="4">L11+L12+L13</f>
        <v>598756.32657999999</v>
      </c>
      <c r="M15" s="27"/>
      <c r="N15" s="55">
        <f>N11+N12+N13</f>
        <v>612434.74924000003</v>
      </c>
      <c r="T15" s="67"/>
      <c r="U15" s="67"/>
      <c r="V15" s="67"/>
      <c r="W15" s="67"/>
      <c r="X15" s="67"/>
      <c r="Y15" s="67"/>
      <c r="Z15" s="67"/>
      <c r="AA15" s="67"/>
      <c r="AB15" s="67"/>
      <c r="AC15" s="67"/>
    </row>
    <row r="16" spans="1:30" x14ac:dyDescent="0.2">
      <c r="F16" s="14"/>
      <c r="T16" s="67"/>
      <c r="U16" s="67"/>
      <c r="V16" s="67"/>
      <c r="W16" s="67"/>
      <c r="X16" s="67"/>
      <c r="Y16" s="67"/>
      <c r="Z16" s="67"/>
      <c r="AA16" s="67"/>
      <c r="AB16" s="67"/>
      <c r="AC16" s="67"/>
    </row>
    <row r="17" spans="1:29" x14ac:dyDescent="0.2">
      <c r="A17" s="21">
        <v>6</v>
      </c>
      <c r="C17" s="17" t="s">
        <v>195</v>
      </c>
      <c r="T17" s="67"/>
      <c r="U17" s="67"/>
      <c r="V17" s="67"/>
      <c r="W17" s="67"/>
      <c r="X17" s="67"/>
      <c r="Y17" s="67"/>
      <c r="Z17" s="67"/>
      <c r="AA17" s="67"/>
      <c r="AB17" s="67"/>
      <c r="AC17" s="67"/>
    </row>
    <row r="18" spans="1:29" x14ac:dyDescent="0.2">
      <c r="T18" s="67"/>
      <c r="U18" s="67"/>
      <c r="V18" s="67"/>
      <c r="W18" s="67"/>
      <c r="X18" s="67"/>
      <c r="Y18" s="67"/>
      <c r="Z18" s="67"/>
      <c r="AA18" s="67"/>
      <c r="AB18" s="67"/>
      <c r="AC18" s="67"/>
    </row>
    <row r="19" spans="1:29" x14ac:dyDescent="0.2">
      <c r="A19" s="21">
        <v>7</v>
      </c>
      <c r="C19" s="21" t="s">
        <v>75</v>
      </c>
      <c r="G19" s="55">
        <v>111705.74409225678</v>
      </c>
      <c r="H19" s="55">
        <v>111476.06013</v>
      </c>
      <c r="I19" s="55">
        <v>119279.17033000001</v>
      </c>
      <c r="J19" s="55">
        <v>125757.31244000001</v>
      </c>
      <c r="K19" s="55">
        <v>134977.88227</v>
      </c>
      <c r="L19" s="55">
        <v>144702.619595</v>
      </c>
      <c r="M19" s="27"/>
      <c r="N19" s="55">
        <v>155161.74186500002</v>
      </c>
      <c r="T19" s="67"/>
      <c r="U19" s="67"/>
      <c r="V19" s="67"/>
      <c r="W19" s="67"/>
      <c r="X19" s="67"/>
      <c r="Y19" s="67"/>
      <c r="Z19" s="67"/>
      <c r="AA19" s="67"/>
      <c r="AB19" s="67"/>
      <c r="AC19" s="67"/>
    </row>
    <row r="20" spans="1:29" x14ac:dyDescent="0.2">
      <c r="A20" s="21">
        <v>8</v>
      </c>
      <c r="C20" s="21" t="s">
        <v>77</v>
      </c>
      <c r="E20" s="47" t="s">
        <v>95</v>
      </c>
      <c r="G20" s="55">
        <v>8988.5451721392983</v>
      </c>
      <c r="H20" s="55">
        <v>8853.6523100000068</v>
      </c>
      <c r="I20" s="55">
        <v>8906.2113099999988</v>
      </c>
      <c r="J20" s="55">
        <v>9524.0033100000019</v>
      </c>
      <c r="K20" s="55">
        <v>10606.737325</v>
      </c>
      <c r="L20" s="55">
        <v>12267.585129999999</v>
      </c>
      <c r="M20" s="27"/>
      <c r="N20" s="55">
        <v>12031.26757</v>
      </c>
      <c r="T20" s="67"/>
      <c r="U20" s="67"/>
      <c r="V20" s="67"/>
      <c r="W20" s="67"/>
      <c r="X20" s="67"/>
      <c r="Y20" s="67"/>
      <c r="Z20" s="67"/>
      <c r="AA20" s="67"/>
      <c r="AB20" s="67"/>
      <c r="AC20" s="67"/>
    </row>
    <row r="21" spans="1:29" x14ac:dyDescent="0.2">
      <c r="A21" s="21">
        <v>9</v>
      </c>
      <c r="C21" s="21" t="s">
        <v>146</v>
      </c>
      <c r="G21" s="45">
        <v>0</v>
      </c>
      <c r="H21" s="45">
        <v>-1050.5421099999999</v>
      </c>
      <c r="I21" s="45">
        <v>-2428.0692000000004</v>
      </c>
      <c r="J21" s="45">
        <v>-303.43347999999997</v>
      </c>
      <c r="K21" s="45">
        <v>-882</v>
      </c>
      <c r="L21" s="45">
        <v>-1808.4628599999999</v>
      </c>
      <c r="M21" s="27"/>
      <c r="N21" s="45">
        <v>-1.5826800000000001</v>
      </c>
      <c r="T21" s="67"/>
      <c r="U21" s="67"/>
      <c r="V21" s="67"/>
      <c r="W21" s="67"/>
      <c r="X21" s="67"/>
      <c r="Y21" s="67"/>
      <c r="Z21" s="67"/>
      <c r="AA21" s="67"/>
      <c r="AB21" s="67"/>
      <c r="AC21" s="67"/>
    </row>
    <row r="22" spans="1:29" x14ac:dyDescent="0.2">
      <c r="G22" s="55"/>
      <c r="H22" s="55"/>
      <c r="I22" s="55"/>
      <c r="J22" s="55"/>
      <c r="K22" s="55"/>
      <c r="L22" s="55"/>
      <c r="M22" s="27"/>
      <c r="N22" s="55"/>
      <c r="T22" s="67"/>
      <c r="U22" s="67"/>
      <c r="V22" s="67"/>
      <c r="W22" s="67"/>
      <c r="X22" s="67"/>
      <c r="Y22" s="67"/>
      <c r="Z22" s="67"/>
      <c r="AA22" s="67"/>
      <c r="AB22" s="67"/>
      <c r="AC22" s="67"/>
    </row>
    <row r="23" spans="1:29" x14ac:dyDescent="0.2">
      <c r="A23" s="21">
        <v>10</v>
      </c>
      <c r="C23" s="21" t="s">
        <v>76</v>
      </c>
      <c r="G23" s="67">
        <f>SUM(G19:G21)</f>
        <v>120694.28926439608</v>
      </c>
      <c r="H23" s="67">
        <f t="shared" ref="H23:L23" si="5">SUM(H19:H21)</f>
        <v>119279.17033000001</v>
      </c>
      <c r="I23" s="67">
        <f t="shared" si="5"/>
        <v>125757.31244000001</v>
      </c>
      <c r="J23" s="67">
        <f t="shared" si="5"/>
        <v>134977.88227</v>
      </c>
      <c r="K23" s="67">
        <f t="shared" si="5"/>
        <v>144702.619595</v>
      </c>
      <c r="L23" s="67">
        <f t="shared" si="5"/>
        <v>155161.74186499999</v>
      </c>
      <c r="M23" s="68"/>
      <c r="N23" s="67">
        <f>SUM(N19:N21)</f>
        <v>167191.42675500002</v>
      </c>
      <c r="T23" s="67"/>
      <c r="U23" s="67"/>
      <c r="V23" s="67"/>
      <c r="W23" s="67"/>
      <c r="X23" s="67"/>
      <c r="Y23" s="67"/>
      <c r="Z23" s="67"/>
      <c r="AA23" s="67"/>
      <c r="AB23" s="67"/>
      <c r="AC23" s="67"/>
    </row>
    <row r="24" spans="1:29" x14ac:dyDescent="0.2">
      <c r="G24" s="67"/>
      <c r="H24" s="67"/>
      <c r="I24" s="67"/>
      <c r="J24" s="67"/>
      <c r="K24" s="67"/>
      <c r="L24" s="67"/>
      <c r="M24" s="68"/>
      <c r="N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</row>
    <row r="25" spans="1:29" x14ac:dyDescent="0.2">
      <c r="C25" s="21" t="s">
        <v>45</v>
      </c>
      <c r="T25" s="67"/>
      <c r="U25" s="67"/>
      <c r="V25" s="67"/>
      <c r="W25" s="67"/>
      <c r="X25" s="67"/>
      <c r="Y25" s="67"/>
      <c r="Z25" s="67"/>
      <c r="AA25" s="67"/>
      <c r="AB25" s="67"/>
      <c r="AC25" s="67"/>
    </row>
    <row r="26" spans="1:29" x14ac:dyDescent="0.2">
      <c r="A26" s="21">
        <v>11</v>
      </c>
      <c r="C26" s="21" t="s">
        <v>58</v>
      </c>
      <c r="E26" s="47" t="s">
        <v>86</v>
      </c>
      <c r="G26" s="55">
        <f>'Schedule 1'!G18</f>
        <v>19798.032009999948</v>
      </c>
      <c r="H26" s="55">
        <f>'Schedule 1'!H18</f>
        <v>24137.313411499999</v>
      </c>
      <c r="I26" s="55">
        <f>'Schedule 1'!I18</f>
        <v>53893.180619999999</v>
      </c>
      <c r="J26" s="55">
        <f>'Schedule 1'!J18</f>
        <v>13361.516600000003</v>
      </c>
      <c r="K26" s="55">
        <f>'Schedule 1'!K18</f>
        <v>18467.332810000018</v>
      </c>
      <c r="L26" s="55">
        <f>'Schedule 1'!L18</f>
        <v>4776.4065900000023</v>
      </c>
      <c r="M26" s="27"/>
      <c r="N26" s="55">
        <f>'Schedule 1'!N18</f>
        <v>7620.4991900000023</v>
      </c>
      <c r="T26" s="67"/>
      <c r="U26" s="67"/>
      <c r="V26" s="67"/>
      <c r="W26" s="67"/>
      <c r="X26" s="67"/>
      <c r="Y26" s="67"/>
      <c r="Z26" s="67"/>
      <c r="AA26" s="67"/>
      <c r="AB26" s="67"/>
      <c r="AC26" s="67"/>
    </row>
    <row r="27" spans="1:29" x14ac:dyDescent="0.2">
      <c r="A27" s="21">
        <v>12</v>
      </c>
      <c r="C27" s="21" t="s">
        <v>78</v>
      </c>
      <c r="E27" s="47" t="s">
        <v>82</v>
      </c>
      <c r="G27" s="55">
        <f>'Schedule 1'!G19</f>
        <v>691.1425999999999</v>
      </c>
      <c r="H27" s="55">
        <f>'Schedule 1'!H19</f>
        <v>691.1425999999999</v>
      </c>
      <c r="I27" s="55">
        <f>'Schedule 1'!I19</f>
        <v>691.1425999999999</v>
      </c>
      <c r="J27" s="55">
        <f>'Schedule 1'!J19</f>
        <v>691.1425999999999</v>
      </c>
      <c r="K27" s="55">
        <f>'Schedule 1'!K19</f>
        <v>691.1425999999999</v>
      </c>
      <c r="L27" s="55">
        <f>'Schedule 1'!L19</f>
        <v>2745.85358</v>
      </c>
      <c r="M27" s="27"/>
      <c r="N27" s="55">
        <f>'Schedule 1'!N19</f>
        <v>2745.85358</v>
      </c>
      <c r="T27" s="67"/>
      <c r="U27" s="67"/>
      <c r="V27" s="67"/>
      <c r="W27" s="67"/>
      <c r="X27" s="67"/>
      <c r="Y27" s="67"/>
      <c r="Z27" s="67"/>
      <c r="AA27" s="67"/>
      <c r="AB27" s="67"/>
      <c r="AC27" s="67"/>
    </row>
    <row r="28" spans="1:29" x14ac:dyDescent="0.2">
      <c r="A28" s="21">
        <v>13</v>
      </c>
      <c r="C28" s="21" t="s">
        <v>241</v>
      </c>
      <c r="E28" s="47" t="s">
        <v>87</v>
      </c>
      <c r="G28" s="45">
        <f>'Schedule 1'!G20</f>
        <v>5903.6934640176814</v>
      </c>
      <c r="H28" s="45">
        <f>'Schedule 1'!H20</f>
        <v>5684.2520000000004</v>
      </c>
      <c r="I28" s="45">
        <f>'Schedule 1'!I20</f>
        <v>5452.2430000000004</v>
      </c>
      <c r="J28" s="45">
        <f>'Schedule 1'!J20</f>
        <v>5223.2810100000006</v>
      </c>
      <c r="K28" s="45">
        <f>'Schedule 1'!K20</f>
        <v>4169.0540000000001</v>
      </c>
      <c r="L28" s="45">
        <f>'Schedule 1'!L20</f>
        <v>3719.4955299999997</v>
      </c>
      <c r="M28" s="27"/>
      <c r="N28" s="66">
        <f>'Schedule 1'!N20</f>
        <v>3669.3339299999998</v>
      </c>
      <c r="T28" s="67"/>
      <c r="U28" s="67"/>
      <c r="V28" s="67"/>
      <c r="W28" s="67"/>
      <c r="X28" s="67"/>
      <c r="Y28" s="67"/>
      <c r="Z28" s="67"/>
      <c r="AA28" s="67"/>
      <c r="AB28" s="67"/>
      <c r="AC28" s="67"/>
    </row>
    <row r="29" spans="1:29" x14ac:dyDescent="0.2">
      <c r="A29" s="21">
        <v>14</v>
      </c>
      <c r="C29" s="21" t="s">
        <v>36</v>
      </c>
      <c r="G29" s="55">
        <f t="shared" ref="G29:K29" si="6">G28+G27+G26</f>
        <v>26392.868074017628</v>
      </c>
      <c r="H29" s="55">
        <f t="shared" si="6"/>
        <v>30512.708011499999</v>
      </c>
      <c r="I29" s="55">
        <f t="shared" si="6"/>
        <v>60036.566220000001</v>
      </c>
      <c r="J29" s="55">
        <f t="shared" si="6"/>
        <v>19275.940210000004</v>
      </c>
      <c r="K29" s="55">
        <f t="shared" si="6"/>
        <v>23327.529410000017</v>
      </c>
      <c r="L29" s="55">
        <f t="shared" ref="L29" si="7">L28+L27+L26</f>
        <v>11241.755700000002</v>
      </c>
      <c r="M29" s="27"/>
      <c r="N29" s="55">
        <f>N28+N27+N26</f>
        <v>14035.686700000002</v>
      </c>
      <c r="T29" s="67"/>
      <c r="U29" s="67"/>
      <c r="V29" s="67"/>
      <c r="W29" s="67"/>
      <c r="X29" s="67"/>
      <c r="Y29" s="67"/>
      <c r="Z29" s="67"/>
      <c r="AA29" s="67"/>
      <c r="AB29" s="67"/>
      <c r="AC29" s="67"/>
    </row>
    <row r="30" spans="1:29" x14ac:dyDescent="0.2">
      <c r="T30" s="67"/>
      <c r="U30" s="67"/>
      <c r="V30" s="67"/>
      <c r="W30" s="67"/>
      <c r="X30" s="67"/>
      <c r="Y30" s="67"/>
      <c r="Z30" s="67"/>
      <c r="AA30" s="67"/>
      <c r="AB30" s="67"/>
      <c r="AC30" s="67"/>
    </row>
    <row r="31" spans="1:29" x14ac:dyDescent="0.2">
      <c r="C31" s="21" t="s">
        <v>47</v>
      </c>
      <c r="T31" s="67"/>
      <c r="U31" s="67"/>
      <c r="V31" s="67"/>
      <c r="W31" s="67"/>
      <c r="X31" s="67"/>
      <c r="Y31" s="67"/>
      <c r="Z31" s="67"/>
      <c r="AA31" s="67"/>
      <c r="AB31" s="67"/>
      <c r="AC31" s="67"/>
    </row>
    <row r="32" spans="1:29" x14ac:dyDescent="0.2">
      <c r="A32" s="21">
        <v>15</v>
      </c>
      <c r="C32" s="21" t="s">
        <v>173</v>
      </c>
      <c r="E32" s="47" t="s">
        <v>183</v>
      </c>
      <c r="G32" s="55">
        <f>'Schedule 1'!G24</f>
        <v>27890.809482999994</v>
      </c>
      <c r="H32" s="55">
        <f>'Schedule 1'!H24</f>
        <v>24106.14041</v>
      </c>
      <c r="I32" s="55">
        <f>'Schedule 1'!I24</f>
        <v>24615.19356</v>
      </c>
      <c r="J32" s="55">
        <f>'Schedule 1'!J24</f>
        <v>21956.874739999999</v>
      </c>
      <c r="K32" s="55">
        <f>'Schedule 1'!K24</f>
        <v>27212.1656</v>
      </c>
      <c r="L32" s="55">
        <f>'Schedule 1'!L24</f>
        <v>29037.629899</v>
      </c>
      <c r="M32" s="55">
        <f>'Schedule 1'!M24</f>
        <v>0</v>
      </c>
      <c r="N32" s="55">
        <f>'Schedule 1'!N24</f>
        <v>41695.403659000003</v>
      </c>
      <c r="T32" s="67"/>
      <c r="U32" s="67"/>
      <c r="V32" s="67"/>
      <c r="W32" s="67"/>
      <c r="X32" s="67"/>
      <c r="Y32" s="67"/>
      <c r="Z32" s="67"/>
      <c r="AA32" s="67"/>
      <c r="AB32" s="67"/>
      <c r="AC32" s="67"/>
    </row>
    <row r="33" spans="1:29" x14ac:dyDescent="0.2">
      <c r="A33" s="21">
        <v>16</v>
      </c>
      <c r="C33" s="21" t="s">
        <v>176</v>
      </c>
      <c r="E33" s="47" t="s">
        <v>184</v>
      </c>
      <c r="G33" s="55">
        <f>'Schedule 1'!G25</f>
        <v>-14742.2582</v>
      </c>
      <c r="H33" s="55">
        <f>'Schedule 1'!H25</f>
        <v>-13618.12218</v>
      </c>
      <c r="I33" s="55">
        <f>'Schedule 1'!I25</f>
        <v>-16773.019649999998</v>
      </c>
      <c r="J33" s="55">
        <f>'Schedule 1'!J25</f>
        <v>-19069.57286</v>
      </c>
      <c r="K33" s="55">
        <f>'Schedule 1'!K25</f>
        <v>-24728.083129999995</v>
      </c>
      <c r="L33" s="55">
        <f>'Schedule 1'!L25</f>
        <v>-14964.09175</v>
      </c>
      <c r="M33" s="55">
        <f>'Schedule 1'!M25</f>
        <v>0</v>
      </c>
      <c r="N33" s="55">
        <f>'Schedule 1'!N25</f>
        <v>-29497.820849999996</v>
      </c>
      <c r="T33" s="67"/>
      <c r="U33" s="67"/>
      <c r="V33" s="67"/>
      <c r="W33" s="67"/>
      <c r="X33" s="67"/>
      <c r="Y33" s="67"/>
      <c r="Z33" s="67"/>
      <c r="AA33" s="67"/>
      <c r="AB33" s="67"/>
      <c r="AC33" s="67"/>
    </row>
    <row r="34" spans="1:29" x14ac:dyDescent="0.2">
      <c r="A34" s="21">
        <v>17</v>
      </c>
      <c r="C34" s="21" t="s">
        <v>177</v>
      </c>
      <c r="E34" s="47" t="s">
        <v>157</v>
      </c>
      <c r="G34" s="55">
        <f>'Schedule 1'!G26</f>
        <v>0</v>
      </c>
      <c r="H34" s="55">
        <f>'Schedule 1'!H26</f>
        <v>0</v>
      </c>
      <c r="I34" s="55">
        <f>'Schedule 1'!I26</f>
        <v>0</v>
      </c>
      <c r="J34" s="55">
        <f>'Schedule 1'!J26</f>
        <v>0</v>
      </c>
      <c r="K34" s="55">
        <f>'Schedule 1'!K26</f>
        <v>0</v>
      </c>
      <c r="L34" s="55">
        <f>'Schedule 1'!L26</f>
        <v>0</v>
      </c>
      <c r="M34" s="27"/>
      <c r="N34" s="55">
        <f>'Schedule 1'!N26</f>
        <v>0</v>
      </c>
      <c r="T34" s="67"/>
      <c r="U34" s="67"/>
      <c r="V34" s="67"/>
      <c r="W34" s="67"/>
      <c r="X34" s="67"/>
      <c r="Y34" s="67"/>
      <c r="Z34" s="67"/>
      <c r="AA34" s="67"/>
      <c r="AB34" s="67"/>
      <c r="AC34" s="67"/>
    </row>
    <row r="35" spans="1:29" x14ac:dyDescent="0.2">
      <c r="A35" s="21">
        <v>18</v>
      </c>
      <c r="C35" s="21" t="s">
        <v>48</v>
      </c>
      <c r="E35" s="47" t="s">
        <v>83</v>
      </c>
      <c r="G35" s="45">
        <f>'Schedule 1'!G27</f>
        <v>118.55713</v>
      </c>
      <c r="H35" s="45">
        <f>'Schedule 1'!H27</f>
        <v>118.55713</v>
      </c>
      <c r="I35" s="45">
        <f>'Schedule 1'!I27</f>
        <v>134.83569499999999</v>
      </c>
      <c r="J35" s="45">
        <f>'Schedule 1'!J27</f>
        <v>151.11426</v>
      </c>
      <c r="K35" s="45">
        <f>'Schedule 1'!K27</f>
        <v>167.39282500000002</v>
      </c>
      <c r="L35" s="45">
        <f>'Schedule 1'!L27</f>
        <v>349.14428800000002</v>
      </c>
      <c r="M35" s="27"/>
      <c r="N35" s="45">
        <f>'Schedule 1'!N27</f>
        <v>552.94575099999997</v>
      </c>
      <c r="T35" s="67"/>
      <c r="U35" s="67"/>
      <c r="V35" s="67"/>
      <c r="W35" s="67"/>
      <c r="X35" s="67"/>
      <c r="Y35" s="67"/>
      <c r="Z35" s="67"/>
      <c r="AA35" s="67"/>
      <c r="AB35" s="67"/>
      <c r="AC35" s="67"/>
    </row>
    <row r="36" spans="1:29" x14ac:dyDescent="0.2">
      <c r="A36" s="21">
        <v>19</v>
      </c>
      <c r="C36" s="21" t="s">
        <v>36</v>
      </c>
      <c r="G36" s="45">
        <f t="shared" ref="G36:K36" si="8">SUM(G32:G35)</f>
        <v>13267.108412999993</v>
      </c>
      <c r="H36" s="45">
        <f t="shared" si="8"/>
        <v>10606.575359999999</v>
      </c>
      <c r="I36" s="45">
        <f t="shared" si="8"/>
        <v>7977.0096050000011</v>
      </c>
      <c r="J36" s="45">
        <f t="shared" si="8"/>
        <v>3038.4161399999989</v>
      </c>
      <c r="K36" s="45">
        <f t="shared" si="8"/>
        <v>2651.4752950000047</v>
      </c>
      <c r="L36" s="45">
        <f t="shared" ref="L36" si="9">SUM(L32:L35)</f>
        <v>14422.682436999999</v>
      </c>
      <c r="M36" s="45">
        <f t="shared" ref="M36" si="10">SUM(M32:M35)</f>
        <v>0</v>
      </c>
      <c r="N36" s="45">
        <f t="shared" ref="N36" si="11">SUM(N32:N35)</f>
        <v>12750.528560000006</v>
      </c>
      <c r="T36" s="67"/>
      <c r="U36" s="67"/>
      <c r="V36" s="67"/>
      <c r="W36" s="67"/>
      <c r="X36" s="67"/>
      <c r="Y36" s="67"/>
      <c r="Z36" s="67"/>
      <c r="AA36" s="67"/>
      <c r="AB36" s="67"/>
      <c r="AC36" s="67"/>
    </row>
    <row r="37" spans="1:29" x14ac:dyDescent="0.2">
      <c r="T37" s="67"/>
      <c r="U37" s="67"/>
      <c r="V37" s="67"/>
      <c r="W37" s="67"/>
      <c r="X37" s="67"/>
      <c r="Y37" s="67"/>
      <c r="Z37" s="67"/>
      <c r="AA37" s="67"/>
      <c r="AB37" s="67"/>
      <c r="AC37" s="67"/>
    </row>
    <row r="38" spans="1:29" ht="13.5" thickBot="1" x14ac:dyDescent="0.25">
      <c r="A38" s="21">
        <v>20</v>
      </c>
      <c r="C38" s="21" t="s">
        <v>79</v>
      </c>
      <c r="E38" s="47" t="s">
        <v>185</v>
      </c>
      <c r="G38" s="71">
        <f t="shared" ref="G38:L38" si="12">G15-G23-G29+G36</f>
        <v>386830.58163458627</v>
      </c>
      <c r="H38" s="71">
        <f t="shared" si="12"/>
        <v>381220.69701850001</v>
      </c>
      <c r="I38" s="71">
        <f t="shared" si="12"/>
        <v>377735.13094500004</v>
      </c>
      <c r="J38" s="71">
        <f t="shared" si="12"/>
        <v>426672.29165999981</v>
      </c>
      <c r="K38" s="71">
        <f t="shared" si="12"/>
        <v>424008.56128999998</v>
      </c>
      <c r="L38" s="71">
        <f t="shared" si="12"/>
        <v>446775.51145200001</v>
      </c>
      <c r="M38" s="68"/>
      <c r="N38" s="71">
        <f>N15-N23-N29+N36</f>
        <v>443958.164345</v>
      </c>
      <c r="T38" s="67"/>
      <c r="U38" s="67"/>
      <c r="V38" s="67"/>
      <c r="W38" s="67"/>
      <c r="X38" s="67"/>
      <c r="Y38" s="67"/>
      <c r="Z38" s="67"/>
      <c r="AA38" s="67"/>
      <c r="AB38" s="67"/>
      <c r="AC38" s="67"/>
    </row>
    <row r="41" spans="1:29" x14ac:dyDescent="0.2">
      <c r="C41" s="190" t="s">
        <v>240</v>
      </c>
      <c r="D41" s="190"/>
      <c r="E41" s="190"/>
      <c r="F41" s="190"/>
      <c r="G41" s="190"/>
      <c r="H41" s="190"/>
      <c r="I41" s="190"/>
      <c r="J41" s="190"/>
      <c r="K41" s="190"/>
      <c r="L41" s="190"/>
      <c r="M41" s="190"/>
    </row>
    <row r="42" spans="1:29" ht="12.75" customHeight="1" x14ac:dyDescent="0.2">
      <c r="C42" s="191" t="s">
        <v>225</v>
      </c>
      <c r="D42" s="191"/>
      <c r="E42" s="191"/>
      <c r="F42" s="191"/>
      <c r="G42" s="191"/>
      <c r="H42" s="191"/>
      <c r="I42" s="191"/>
      <c r="J42" s="191"/>
      <c r="K42" s="191"/>
      <c r="L42" s="191"/>
      <c r="M42" s="191"/>
    </row>
    <row r="43" spans="1:29" ht="12.75" customHeight="1" x14ac:dyDescent="0.2">
      <c r="E43" s="21"/>
      <c r="M43" s="21"/>
    </row>
    <row r="44" spans="1:29" ht="12.75" customHeight="1" x14ac:dyDescent="0.2">
      <c r="C44" s="156"/>
      <c r="D44" s="156"/>
      <c r="E44" s="156"/>
      <c r="F44" s="156"/>
      <c r="G44" s="169"/>
      <c r="H44" s="169"/>
      <c r="I44" s="169"/>
      <c r="J44" s="169"/>
      <c r="K44" s="169"/>
      <c r="L44" s="183"/>
      <c r="M44" s="169"/>
    </row>
    <row r="45" spans="1:29" ht="12.75" customHeight="1" x14ac:dyDescent="0.2">
      <c r="C45" s="156"/>
      <c r="D45" s="156"/>
      <c r="E45" s="156"/>
      <c r="F45" s="156"/>
      <c r="G45" s="169"/>
      <c r="H45" s="169"/>
      <c r="I45" s="169"/>
      <c r="J45" s="169"/>
      <c r="K45" s="169"/>
      <c r="L45" s="183"/>
      <c r="M45" s="169"/>
    </row>
    <row r="46" spans="1:29" x14ac:dyDescent="0.2">
      <c r="G46" s="67"/>
      <c r="H46" s="67"/>
      <c r="I46" s="67"/>
      <c r="J46" s="67"/>
      <c r="K46" s="67"/>
      <c r="L46" s="67"/>
      <c r="M46" s="67"/>
    </row>
    <row r="47" spans="1:29" x14ac:dyDescent="0.2">
      <c r="E47" s="67"/>
      <c r="F47" s="67"/>
      <c r="G47" s="67"/>
      <c r="H47" s="67"/>
      <c r="I47" s="67"/>
      <c r="J47" s="67"/>
      <c r="K47" s="67"/>
      <c r="L47" s="67"/>
      <c r="M47" s="67"/>
    </row>
    <row r="48" spans="1:29" x14ac:dyDescent="0.2">
      <c r="E48" s="21"/>
      <c r="M48" s="21"/>
    </row>
    <row r="49" spans="5:13" x14ac:dyDescent="0.2">
      <c r="E49" s="67"/>
      <c r="F49" s="67"/>
      <c r="G49" s="67"/>
      <c r="H49" s="67"/>
      <c r="I49" s="67"/>
      <c r="J49" s="67"/>
      <c r="K49" s="67"/>
      <c r="L49" s="67"/>
      <c r="M49" s="67"/>
    </row>
    <row r="51" spans="5:13" x14ac:dyDescent="0.2">
      <c r="G51" s="67"/>
      <c r="H51" s="67"/>
      <c r="I51" s="67"/>
      <c r="J51" s="67"/>
      <c r="K51" s="67"/>
      <c r="L51" s="67"/>
      <c r="M51" s="67"/>
    </row>
    <row r="56" spans="5:13" x14ac:dyDescent="0.2">
      <c r="G56" s="67"/>
      <c r="H56" s="67"/>
      <c r="I56" s="67"/>
      <c r="J56" s="67"/>
      <c r="K56" s="67"/>
      <c r="L56" s="67"/>
      <c r="M56" s="67"/>
    </row>
    <row r="57" spans="5:13" x14ac:dyDescent="0.2">
      <c r="G57" s="67"/>
      <c r="H57" s="67"/>
      <c r="I57" s="67"/>
      <c r="J57" s="67"/>
      <c r="K57" s="67"/>
      <c r="L57" s="67"/>
      <c r="M57" s="67"/>
    </row>
  </sheetData>
  <mergeCells count="2">
    <mergeCell ref="C41:M41"/>
    <mergeCell ref="C42:M42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39997558519241921"/>
    <pageSetUpPr fitToPage="1"/>
  </sheetPr>
  <dimension ref="A1:AJ82"/>
  <sheetViews>
    <sheetView view="pageBreakPreview" zoomScaleSheetLayoutView="100" workbookViewId="0">
      <selection activeCell="A31" sqref="A31"/>
    </sheetView>
  </sheetViews>
  <sheetFormatPr defaultRowHeight="12.75" x14ac:dyDescent="0.2"/>
  <cols>
    <col min="1" max="1" width="5.28515625" style="7" customWidth="1"/>
    <col min="2" max="2" width="1.85546875" style="7" customWidth="1"/>
    <col min="3" max="3" width="35.7109375" style="7" customWidth="1"/>
    <col min="4" max="4" width="1.85546875" style="7" customWidth="1"/>
    <col min="5" max="5" width="11.28515625" style="24" customWidth="1"/>
    <col min="6" max="6" width="1.85546875" style="7" customWidth="1"/>
    <col min="7" max="7" width="15.5703125" style="31" customWidth="1"/>
    <col min="8" max="8" width="1.85546875" style="7" customWidth="1"/>
    <col min="9" max="9" width="15.5703125" style="7" customWidth="1"/>
    <col min="10" max="10" width="1.85546875" style="7" customWidth="1"/>
    <col min="11" max="11" width="15.5703125" style="31" customWidth="1"/>
    <col min="12" max="12" width="1.85546875" style="7" customWidth="1"/>
    <col min="13" max="13" width="15.5703125" style="7" customWidth="1"/>
    <col min="14" max="14" width="1.85546875" style="7" customWidth="1"/>
    <col min="15" max="15" width="15.5703125" style="31" customWidth="1"/>
    <col min="16" max="17" width="1.85546875" style="7" customWidth="1"/>
    <col min="18" max="18" width="11.28515625" style="7" customWidth="1"/>
    <col min="19" max="19" width="1.85546875" style="7" customWidth="1"/>
    <col min="20" max="20" width="11.28515625" style="7" customWidth="1"/>
    <col min="21" max="21" width="1.85546875" style="7" customWidth="1"/>
    <col min="22" max="22" width="11.28515625" style="7" customWidth="1"/>
    <col min="23" max="23" width="1.85546875" style="7" customWidth="1"/>
    <col min="24" max="24" width="11.28515625" style="7" customWidth="1"/>
    <col min="25" max="25" width="1.85546875" style="7" customWidth="1"/>
    <col min="26" max="26" width="11.28515625" style="7" customWidth="1"/>
    <col min="27" max="16384" width="9.140625" style="7"/>
  </cols>
  <sheetData>
    <row r="1" spans="1:36" x14ac:dyDescent="0.2">
      <c r="G1" s="112"/>
      <c r="I1" s="93"/>
      <c r="K1" s="112"/>
      <c r="M1" s="113"/>
      <c r="N1" s="19"/>
      <c r="O1" s="112"/>
    </row>
    <row r="2" spans="1:36" x14ac:dyDescent="0.2">
      <c r="G2" s="112"/>
      <c r="I2" s="93"/>
      <c r="K2" s="112"/>
      <c r="M2" s="113"/>
      <c r="N2" s="19"/>
      <c r="O2" s="112"/>
    </row>
    <row r="3" spans="1:36" ht="15.75" x14ac:dyDescent="0.25">
      <c r="A3" s="176" t="s">
        <v>269</v>
      </c>
      <c r="O3" s="41" t="s">
        <v>32</v>
      </c>
    </row>
    <row r="4" spans="1:36" x14ac:dyDescent="0.2">
      <c r="A4" s="177" t="s">
        <v>26</v>
      </c>
      <c r="O4" s="43" t="str">
        <f>Index!F2</f>
        <v>February 25, 2019</v>
      </c>
      <c r="P4" s="44"/>
    </row>
    <row r="5" spans="1:36" x14ac:dyDescent="0.2">
      <c r="A5" s="177" t="s">
        <v>235</v>
      </c>
    </row>
    <row r="6" spans="1:36" x14ac:dyDescent="0.2">
      <c r="A6" s="177" t="s">
        <v>7</v>
      </c>
    </row>
    <row r="9" spans="1:36" x14ac:dyDescent="0.2">
      <c r="A9" s="18"/>
      <c r="B9" s="18"/>
      <c r="C9" s="18"/>
      <c r="D9" s="18"/>
      <c r="F9" s="18"/>
      <c r="G9" s="103"/>
      <c r="H9" s="18"/>
      <c r="I9" s="18"/>
      <c r="J9" s="18"/>
      <c r="K9" s="103"/>
      <c r="L9" s="18"/>
      <c r="M9" s="18"/>
      <c r="N9" s="18"/>
      <c r="O9" s="103"/>
    </row>
    <row r="10" spans="1:36" ht="25.5" x14ac:dyDescent="0.2">
      <c r="A10" s="15" t="s">
        <v>0</v>
      </c>
      <c r="B10" s="16"/>
      <c r="C10" s="15" t="s">
        <v>1</v>
      </c>
      <c r="D10" s="16"/>
      <c r="E10" s="15" t="s">
        <v>2</v>
      </c>
      <c r="F10" s="16"/>
      <c r="G10" s="104" t="s">
        <v>27</v>
      </c>
      <c r="H10" s="16"/>
      <c r="I10" s="15" t="s">
        <v>28</v>
      </c>
      <c r="J10" s="16"/>
      <c r="K10" s="104" t="s">
        <v>29</v>
      </c>
      <c r="L10" s="16"/>
      <c r="M10" s="15" t="s">
        <v>30</v>
      </c>
      <c r="N10" s="16"/>
      <c r="O10" s="104" t="s">
        <v>31</v>
      </c>
    </row>
    <row r="12" spans="1:36" x14ac:dyDescent="0.2">
      <c r="C12" s="17" t="s">
        <v>227</v>
      </c>
    </row>
    <row r="14" spans="1:36" x14ac:dyDescent="0.2">
      <c r="A14" s="7">
        <v>1</v>
      </c>
      <c r="C14" s="7" t="s">
        <v>34</v>
      </c>
      <c r="E14" s="24" t="s">
        <v>207</v>
      </c>
      <c r="G14" s="109">
        <f>'Schedule 11'!G28</f>
        <v>137410.31072404736</v>
      </c>
      <c r="I14" s="65">
        <f>SUM(G14)/(G14+G16)</f>
        <v>0.59999970069952779</v>
      </c>
      <c r="K14" s="109">
        <v>136010.29533440649</v>
      </c>
      <c r="M14" s="97">
        <f>'Schedule 11'!G50</f>
        <v>3.5785423948086842E-2</v>
      </c>
      <c r="N14" s="19"/>
      <c r="O14" s="31">
        <f>SUM(K14)*(M14)</f>
        <v>4867.186079846234</v>
      </c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</row>
    <row r="15" spans="1:36" x14ac:dyDescent="0.2">
      <c r="G15" s="31" t="s">
        <v>142</v>
      </c>
      <c r="I15" s="65"/>
      <c r="M15" s="19"/>
      <c r="N15" s="19" t="s">
        <v>142</v>
      </c>
      <c r="O15" s="31" t="s">
        <v>142</v>
      </c>
      <c r="Z15" s="31"/>
      <c r="AA15" s="31"/>
      <c r="AB15" s="31"/>
      <c r="AC15" s="31"/>
      <c r="AD15" s="31"/>
      <c r="AE15" s="31"/>
      <c r="AF15" s="31"/>
      <c r="AG15" s="31"/>
      <c r="AH15" s="31"/>
    </row>
    <row r="16" spans="1:36" x14ac:dyDescent="0.2">
      <c r="A16" s="7">
        <v>2</v>
      </c>
      <c r="C16" s="7" t="s">
        <v>35</v>
      </c>
      <c r="E16" s="24" t="s">
        <v>206</v>
      </c>
      <c r="G16" s="110">
        <v>91606.98805767436</v>
      </c>
      <c r="I16" s="114">
        <f>SUM(G16)/(G14+G16)</f>
        <v>0.40000029930047221</v>
      </c>
      <c r="K16" s="110">
        <v>90673.643300620781</v>
      </c>
      <c r="M16" s="92">
        <v>8.2501840170044638E-2</v>
      </c>
      <c r="N16" s="19"/>
      <c r="O16" s="105">
        <f>SUM(K16)*(M16)</f>
        <v>7480.7424272234548</v>
      </c>
      <c r="Z16" s="31"/>
      <c r="AA16" s="31"/>
      <c r="AB16" s="31"/>
      <c r="AC16" s="31"/>
      <c r="AD16" s="31"/>
      <c r="AE16" s="31"/>
      <c r="AF16" s="31"/>
      <c r="AG16" s="31"/>
      <c r="AH16" s="31"/>
    </row>
    <row r="17" spans="1:34" x14ac:dyDescent="0.2">
      <c r="I17" s="65"/>
      <c r="M17" s="19"/>
      <c r="N17" s="19"/>
      <c r="O17" s="31" t="s">
        <v>142</v>
      </c>
      <c r="Z17" s="31"/>
      <c r="AA17" s="31"/>
      <c r="AB17" s="31"/>
      <c r="AC17" s="31"/>
      <c r="AD17" s="31"/>
      <c r="AE17" s="31"/>
      <c r="AF17" s="31"/>
      <c r="AG17" s="31"/>
      <c r="AH17" s="31"/>
    </row>
    <row r="18" spans="1:34" ht="13.5" thickBot="1" x14ac:dyDescent="0.25">
      <c r="A18" s="7">
        <v>3</v>
      </c>
      <c r="C18" s="7" t="s">
        <v>36</v>
      </c>
      <c r="E18" s="24" t="s">
        <v>37</v>
      </c>
      <c r="G18" s="111">
        <f>SUM(G14+G16)</f>
        <v>229017.29878172174</v>
      </c>
      <c r="I18" s="115">
        <f>SUM(I14+I16)</f>
        <v>1</v>
      </c>
      <c r="K18" s="111">
        <v>226683.93863502727</v>
      </c>
      <c r="M18" s="108">
        <f>SUM(I14)*(M14)+SUM(I16)*(M16)</f>
        <v>5.44720044191154E-2</v>
      </c>
      <c r="N18" s="19"/>
      <c r="O18" s="111">
        <f>O16+O14</f>
        <v>12347.92850706969</v>
      </c>
      <c r="Z18" s="31"/>
      <c r="AA18" s="31"/>
      <c r="AB18" s="31"/>
      <c r="AC18" s="31"/>
      <c r="AD18" s="31"/>
      <c r="AE18" s="31"/>
      <c r="AF18" s="31"/>
      <c r="AG18" s="31"/>
      <c r="AH18" s="31"/>
    </row>
    <row r="19" spans="1:34" x14ac:dyDescent="0.2">
      <c r="R19" s="116"/>
      <c r="Z19" s="31"/>
      <c r="AA19" s="31"/>
      <c r="AB19" s="31"/>
      <c r="AC19" s="31"/>
      <c r="AD19" s="31"/>
      <c r="AE19" s="31"/>
      <c r="AF19" s="31"/>
      <c r="AG19" s="31"/>
      <c r="AH19" s="31"/>
    </row>
    <row r="20" spans="1:34" x14ac:dyDescent="0.2">
      <c r="Z20" s="31"/>
      <c r="AA20" s="31"/>
      <c r="AB20" s="31"/>
      <c r="AC20" s="31"/>
      <c r="AD20" s="31"/>
      <c r="AE20" s="31"/>
      <c r="AF20" s="31"/>
      <c r="AG20" s="31"/>
      <c r="AH20" s="31"/>
    </row>
    <row r="21" spans="1:34" x14ac:dyDescent="0.2">
      <c r="C21" s="17" t="s">
        <v>232</v>
      </c>
      <c r="Z21" s="31"/>
      <c r="AA21" s="31"/>
      <c r="AB21" s="31"/>
      <c r="AC21" s="31"/>
      <c r="AD21" s="31"/>
      <c r="AE21" s="31"/>
      <c r="AF21" s="31"/>
      <c r="AG21" s="31"/>
      <c r="AH21" s="31"/>
    </row>
    <row r="22" spans="1:34" x14ac:dyDescent="0.2">
      <c r="Z22" s="31"/>
      <c r="AA22" s="31"/>
      <c r="AB22" s="31"/>
      <c r="AC22" s="31"/>
      <c r="AD22" s="31"/>
      <c r="AE22" s="31"/>
      <c r="AF22" s="31"/>
      <c r="AG22" s="31"/>
      <c r="AH22" s="31"/>
    </row>
    <row r="23" spans="1:34" x14ac:dyDescent="0.2">
      <c r="A23" s="7">
        <v>4</v>
      </c>
      <c r="C23" s="7" t="s">
        <v>34</v>
      </c>
      <c r="E23" s="24" t="s">
        <v>207</v>
      </c>
      <c r="G23" s="31">
        <f>'Schedule 11'!$H$28</f>
        <v>133481.79164193655</v>
      </c>
      <c r="I23" s="65">
        <f>SUM(G23)/(G23+G25)</f>
        <v>0.60040714802426776</v>
      </c>
      <c r="K23" s="31">
        <f>SUM(K27)*(I23)</f>
        <v>133925.40501286989</v>
      </c>
      <c r="M23" s="97">
        <f>'Schedule 11'!H50</f>
        <v>3.3761392724555833E-2</v>
      </c>
      <c r="N23" s="19"/>
      <c r="O23" s="31">
        <f>SUM(K23)*(M23)</f>
        <v>4521.5081944346985</v>
      </c>
      <c r="Z23" s="31"/>
      <c r="AA23" s="31"/>
      <c r="AB23" s="31"/>
      <c r="AC23" s="31"/>
      <c r="AD23" s="31"/>
      <c r="AE23" s="31"/>
      <c r="AF23" s="31"/>
      <c r="AG23" s="31"/>
      <c r="AH23" s="31"/>
    </row>
    <row r="24" spans="1:34" x14ac:dyDescent="0.2">
      <c r="G24" s="31" t="s">
        <v>142</v>
      </c>
      <c r="I24" s="65"/>
      <c r="M24" s="19"/>
      <c r="N24" s="19" t="s">
        <v>142</v>
      </c>
      <c r="O24" s="31" t="s">
        <v>142</v>
      </c>
      <c r="Z24" s="31"/>
      <c r="AA24" s="31"/>
      <c r="AB24" s="31"/>
      <c r="AC24" s="31"/>
      <c r="AD24" s="31"/>
      <c r="AE24" s="31"/>
      <c r="AF24" s="31"/>
      <c r="AG24" s="31"/>
      <c r="AH24" s="31"/>
    </row>
    <row r="25" spans="1:34" x14ac:dyDescent="0.2">
      <c r="A25" s="7">
        <v>5</v>
      </c>
      <c r="C25" s="7" t="s">
        <v>35</v>
      </c>
      <c r="E25" s="24" t="s">
        <v>206</v>
      </c>
      <c r="G25" s="105">
        <v>88837</v>
      </c>
      <c r="I25" s="114">
        <f>SUM(G25)/(G23+G25)</f>
        <v>0.39959285197573219</v>
      </c>
      <c r="K25" s="105">
        <f>SUM(K27)*(I25)</f>
        <v>89132.240875544434</v>
      </c>
      <c r="M25" s="182">
        <v>7.4232886142052312E-2</v>
      </c>
      <c r="N25" s="19"/>
      <c r="O25" s="105">
        <f>K25*M25</f>
        <v>6616.5434885002715</v>
      </c>
      <c r="Z25" s="31"/>
      <c r="AA25" s="31"/>
      <c r="AB25" s="31"/>
      <c r="AC25" s="31"/>
      <c r="AD25" s="31"/>
      <c r="AE25" s="31"/>
      <c r="AF25" s="31"/>
      <c r="AG25" s="31"/>
      <c r="AH25" s="31"/>
    </row>
    <row r="26" spans="1:34" x14ac:dyDescent="0.2">
      <c r="I26" s="65"/>
      <c r="M26" s="19"/>
      <c r="N26" s="19"/>
      <c r="O26" s="31" t="s">
        <v>142</v>
      </c>
      <c r="Z26" s="31"/>
      <c r="AA26" s="31"/>
      <c r="AB26" s="31"/>
      <c r="AC26" s="31"/>
      <c r="AD26" s="31"/>
      <c r="AE26" s="31"/>
      <c r="AF26" s="31"/>
      <c r="AG26" s="31"/>
      <c r="AH26" s="31"/>
    </row>
    <row r="27" spans="1:34" ht="13.5" thickBot="1" x14ac:dyDescent="0.25">
      <c r="A27" s="7">
        <v>6</v>
      </c>
      <c r="C27" s="7" t="s">
        <v>36</v>
      </c>
      <c r="E27" s="24" t="s">
        <v>37</v>
      </c>
      <c r="G27" s="107">
        <f>SUM(G23+G25)</f>
        <v>222318.79164193655</v>
      </c>
      <c r="I27" s="115">
        <f>SUM(I23+I25)</f>
        <v>1</v>
      </c>
      <c r="K27" s="107">
        <f>'Schedule 1'!H56</f>
        <v>223057.64588841432</v>
      </c>
      <c r="M27" s="108">
        <f>SUM(I23)*(M23)+SUM(I25)*(M25)</f>
        <v>4.993351220297032E-2</v>
      </c>
      <c r="N27" s="19"/>
      <c r="O27" s="107">
        <f>O23+O25</f>
        <v>11138.051682934969</v>
      </c>
      <c r="Z27" s="31"/>
      <c r="AA27" s="31"/>
      <c r="AB27" s="31"/>
      <c r="AC27" s="31"/>
      <c r="AD27" s="31"/>
      <c r="AE27" s="31"/>
      <c r="AF27" s="31"/>
      <c r="AG27" s="31"/>
      <c r="AH27" s="31"/>
    </row>
    <row r="28" spans="1:34" x14ac:dyDescent="0.2">
      <c r="I28" s="65"/>
      <c r="R28" s="116"/>
      <c r="Z28" s="31"/>
      <c r="AA28" s="31"/>
      <c r="AB28" s="31"/>
      <c r="AC28" s="31"/>
      <c r="AD28" s="31"/>
      <c r="AE28" s="31"/>
      <c r="AF28" s="31"/>
      <c r="AG28" s="31"/>
      <c r="AH28" s="31"/>
    </row>
    <row r="29" spans="1:34" x14ac:dyDescent="0.2">
      <c r="I29" s="65"/>
      <c r="Z29" s="31"/>
      <c r="AA29" s="31"/>
      <c r="AB29" s="31"/>
      <c r="AC29" s="31"/>
      <c r="AD29" s="31"/>
      <c r="AE29" s="31"/>
      <c r="AF29" s="31"/>
      <c r="AG29" s="31"/>
      <c r="AH29" s="31"/>
    </row>
    <row r="30" spans="1:34" x14ac:dyDescent="0.2">
      <c r="C30" s="17" t="s">
        <v>233</v>
      </c>
      <c r="I30" s="65"/>
      <c r="Z30" s="31"/>
      <c r="AA30" s="31"/>
      <c r="AB30" s="31"/>
      <c r="AC30" s="31"/>
      <c r="AD30" s="31"/>
      <c r="AE30" s="31"/>
      <c r="AF30" s="31"/>
      <c r="AG30" s="31"/>
      <c r="AH30" s="31"/>
    </row>
    <row r="31" spans="1:34" x14ac:dyDescent="0.2">
      <c r="I31" s="65"/>
      <c r="Z31" s="31"/>
      <c r="AA31" s="31"/>
      <c r="AB31" s="31"/>
      <c r="AC31" s="31"/>
      <c r="AD31" s="31"/>
      <c r="AE31" s="31"/>
      <c r="AF31" s="31"/>
      <c r="AG31" s="31"/>
      <c r="AH31" s="31"/>
    </row>
    <row r="32" spans="1:34" x14ac:dyDescent="0.2">
      <c r="A32" s="7">
        <v>7</v>
      </c>
      <c r="C32" s="7" t="s">
        <v>34</v>
      </c>
      <c r="E32" s="24" t="s">
        <v>207</v>
      </c>
      <c r="G32" s="31">
        <f>'Schedule 11'!$I$28</f>
        <v>133635.84354627278</v>
      </c>
      <c r="I32" s="65">
        <f>SUM(G32)/(G32+G34)</f>
        <v>0.58993467871632399</v>
      </c>
      <c r="K32" s="31">
        <f>SUM(K36)*(I32)</f>
        <v>131485.66933713626</v>
      </c>
      <c r="M32" s="97">
        <f>'Schedule 11'!I50</f>
        <v>3.2157782711097579E-2</v>
      </c>
      <c r="N32" s="19"/>
      <c r="O32" s="31">
        <f>SUM(K32)*(M32)</f>
        <v>4228.2875841668538</v>
      </c>
      <c r="Z32" s="31"/>
      <c r="AA32" s="31"/>
      <c r="AB32" s="31"/>
      <c r="AC32" s="31"/>
      <c r="AD32" s="31"/>
      <c r="AE32" s="31"/>
      <c r="AF32" s="31"/>
      <c r="AG32" s="31"/>
      <c r="AH32" s="31"/>
    </row>
    <row r="33" spans="1:34" x14ac:dyDescent="0.2">
      <c r="G33" s="31" t="s">
        <v>142</v>
      </c>
      <c r="I33" s="65"/>
      <c r="M33" s="19"/>
      <c r="N33" s="19" t="s">
        <v>142</v>
      </c>
      <c r="O33" s="31" t="s">
        <v>142</v>
      </c>
      <c r="Z33" s="31"/>
      <c r="AA33" s="31"/>
      <c r="AB33" s="31"/>
      <c r="AC33" s="31"/>
      <c r="AD33" s="31"/>
      <c r="AE33" s="31"/>
      <c r="AF33" s="31"/>
      <c r="AG33" s="31"/>
      <c r="AH33" s="31"/>
    </row>
    <row r="34" spans="1:34" x14ac:dyDescent="0.2">
      <c r="A34" s="7">
        <v>8</v>
      </c>
      <c r="C34" s="7" t="s">
        <v>35</v>
      </c>
      <c r="E34" s="24" t="s">
        <v>206</v>
      </c>
      <c r="G34" s="105">
        <f>AVERAGE('Schedule 7'!H25:I25)</f>
        <v>92890.665858225082</v>
      </c>
      <c r="I34" s="114">
        <f>SUM(G34)/(G32+G34)</f>
        <v>0.41006532128367607</v>
      </c>
      <c r="K34" s="105">
        <f>SUM(K36)*(I34)</f>
        <v>91396.073474193647</v>
      </c>
      <c r="M34" s="92">
        <v>8.4357688323590294E-2</v>
      </c>
      <c r="N34" s="19"/>
      <c r="O34" s="105">
        <f>K34*M34</f>
        <v>7709.9614801359858</v>
      </c>
      <c r="Z34" s="31"/>
      <c r="AA34" s="31"/>
      <c r="AB34" s="31"/>
      <c r="AC34" s="31"/>
      <c r="AD34" s="31"/>
      <c r="AE34" s="31"/>
      <c r="AF34" s="31"/>
      <c r="AG34" s="31"/>
      <c r="AH34" s="31"/>
    </row>
    <row r="35" spans="1:34" x14ac:dyDescent="0.2">
      <c r="I35" s="65"/>
      <c r="M35" s="19"/>
      <c r="N35" s="19"/>
      <c r="O35" s="31" t="s">
        <v>142</v>
      </c>
      <c r="Z35" s="31"/>
      <c r="AA35" s="31"/>
      <c r="AB35" s="31"/>
      <c r="AC35" s="31"/>
      <c r="AD35" s="31"/>
      <c r="AE35" s="31"/>
      <c r="AF35" s="31"/>
      <c r="AG35" s="31"/>
      <c r="AH35" s="31"/>
    </row>
    <row r="36" spans="1:34" ht="13.5" thickBot="1" x14ac:dyDescent="0.25">
      <c r="A36" s="7">
        <v>9</v>
      </c>
      <c r="C36" s="7" t="s">
        <v>36</v>
      </c>
      <c r="E36" s="24" t="s">
        <v>37</v>
      </c>
      <c r="G36" s="107">
        <f>SUM(G32+G34)</f>
        <v>226526.50940449786</v>
      </c>
      <c r="I36" s="115">
        <f>SUM(I32+I34)</f>
        <v>1</v>
      </c>
      <c r="K36" s="107">
        <f>'Schedule 1'!I56</f>
        <v>222881.7428113299</v>
      </c>
      <c r="M36" s="108">
        <f>SUM(I32)*(M32)+SUM(I34)*(M34)</f>
        <v>5.3563153777061973E-2</v>
      </c>
      <c r="N36" s="19"/>
      <c r="O36" s="107">
        <f>O32+O34</f>
        <v>11938.24906430284</v>
      </c>
      <c r="Z36" s="31"/>
      <c r="AA36" s="31"/>
      <c r="AB36" s="31"/>
      <c r="AC36" s="31"/>
      <c r="AD36" s="31"/>
      <c r="AE36" s="31"/>
      <c r="AF36" s="31"/>
      <c r="AG36" s="31"/>
      <c r="AH36" s="31"/>
    </row>
    <row r="37" spans="1:34" x14ac:dyDescent="0.2">
      <c r="G37" s="112"/>
      <c r="I37" s="172"/>
      <c r="K37" s="112"/>
      <c r="M37" s="93"/>
      <c r="N37" s="19"/>
      <c r="O37" s="112"/>
      <c r="Z37" s="31"/>
      <c r="AA37" s="31"/>
      <c r="AB37" s="31"/>
      <c r="AC37" s="31"/>
      <c r="AD37" s="31"/>
      <c r="AE37" s="31"/>
      <c r="AF37" s="31"/>
      <c r="AG37" s="31"/>
      <c r="AH37" s="31"/>
    </row>
    <row r="38" spans="1:34" x14ac:dyDescent="0.2">
      <c r="G38" s="112"/>
      <c r="I38" s="172"/>
      <c r="K38" s="112"/>
      <c r="M38" s="93"/>
      <c r="N38" s="19"/>
      <c r="O38" s="112"/>
      <c r="Z38" s="31"/>
      <c r="AA38" s="31"/>
      <c r="AB38" s="31"/>
      <c r="AC38" s="31"/>
      <c r="AD38" s="31"/>
      <c r="AE38" s="31"/>
      <c r="AF38" s="31"/>
      <c r="AG38" s="31"/>
      <c r="AH38" s="31"/>
    </row>
    <row r="39" spans="1:34" x14ac:dyDescent="0.2">
      <c r="C39" s="17" t="s">
        <v>234</v>
      </c>
      <c r="I39" s="65"/>
      <c r="Z39" s="31"/>
      <c r="AA39" s="31"/>
      <c r="AB39" s="31"/>
      <c r="AC39" s="31"/>
      <c r="AD39" s="31"/>
      <c r="AE39" s="31"/>
      <c r="AF39" s="31"/>
      <c r="AG39" s="31"/>
      <c r="AH39" s="31"/>
    </row>
    <row r="40" spans="1:34" x14ac:dyDescent="0.2">
      <c r="I40" s="65"/>
      <c r="Z40" s="31"/>
      <c r="AA40" s="31"/>
      <c r="AB40" s="31"/>
      <c r="AC40" s="31"/>
      <c r="AD40" s="31"/>
      <c r="AE40" s="31"/>
      <c r="AF40" s="31"/>
      <c r="AG40" s="31"/>
      <c r="AH40" s="31"/>
    </row>
    <row r="41" spans="1:34" x14ac:dyDescent="0.2">
      <c r="A41" s="7">
        <v>10</v>
      </c>
      <c r="C41" s="7" t="s">
        <v>34</v>
      </c>
      <c r="E41" s="24" t="s">
        <v>207</v>
      </c>
      <c r="G41" s="31">
        <f>'Schedule 11'!$J$28</f>
        <v>141509.33826913338</v>
      </c>
      <c r="I41" s="65">
        <f>SUM(G41)/(G41+G43)</f>
        <v>0.590023907051755</v>
      </c>
      <c r="K41" s="31">
        <f>SUM(K45)*(I41)</f>
        <v>141950.55951864715</v>
      </c>
      <c r="M41" s="97">
        <f>'Schedule 11'!J50</f>
        <v>2.0008693315932125E-2</v>
      </c>
      <c r="N41" s="19"/>
      <c r="O41" s="31">
        <f>SUM(K41)*(M41)</f>
        <v>2840.2452114335806</v>
      </c>
      <c r="Z41" s="31"/>
      <c r="AA41" s="31"/>
      <c r="AB41" s="31"/>
      <c r="AC41" s="31"/>
      <c r="AD41" s="31"/>
      <c r="AE41" s="31"/>
      <c r="AF41" s="31"/>
      <c r="AG41" s="31"/>
      <c r="AH41" s="31"/>
    </row>
    <row r="42" spans="1:34" x14ac:dyDescent="0.2">
      <c r="G42" s="31" t="s">
        <v>142</v>
      </c>
      <c r="I42" s="65"/>
      <c r="M42" s="19"/>
      <c r="N42" s="19" t="s">
        <v>142</v>
      </c>
      <c r="O42" s="31" t="s">
        <v>142</v>
      </c>
      <c r="Z42" s="31"/>
      <c r="AA42" s="31"/>
      <c r="AB42" s="31"/>
      <c r="AC42" s="31"/>
      <c r="AD42" s="31"/>
      <c r="AE42" s="31"/>
      <c r="AF42" s="31"/>
      <c r="AG42" s="31"/>
      <c r="AH42" s="31"/>
    </row>
    <row r="43" spans="1:34" x14ac:dyDescent="0.2">
      <c r="A43" s="7">
        <v>11</v>
      </c>
      <c r="C43" s="7" t="s">
        <v>35</v>
      </c>
      <c r="E43" s="24" t="s">
        <v>206</v>
      </c>
      <c r="G43" s="105">
        <f>AVERAGE('Schedule 7'!I25:J25)</f>
        <v>98327.27949815421</v>
      </c>
      <c r="I43" s="114">
        <f>SUM(G43)/(G41+G43)</f>
        <v>0.409976092948245</v>
      </c>
      <c r="K43" s="105">
        <f>SUM(K45)*(I43)</f>
        <v>98633.860573665646</v>
      </c>
      <c r="M43" s="92">
        <v>8.0992640305728239E-2</v>
      </c>
      <c r="N43" s="19"/>
      <c r="O43" s="105">
        <f>K43*M43</f>
        <v>7988.6167914082516</v>
      </c>
      <c r="Z43" s="31"/>
      <c r="AA43" s="31"/>
      <c r="AB43" s="31"/>
      <c r="AC43" s="31"/>
      <c r="AD43" s="31"/>
      <c r="AE43" s="31"/>
      <c r="AF43" s="31"/>
      <c r="AG43" s="31"/>
      <c r="AH43" s="31"/>
    </row>
    <row r="44" spans="1:34" x14ac:dyDescent="0.2">
      <c r="I44" s="65"/>
      <c r="M44" s="19"/>
      <c r="N44" s="19"/>
      <c r="O44" s="31" t="s">
        <v>142</v>
      </c>
      <c r="Z44" s="31"/>
      <c r="AA44" s="31"/>
      <c r="AB44" s="31"/>
      <c r="AC44" s="31"/>
      <c r="AD44" s="31"/>
      <c r="AE44" s="31"/>
      <c r="AF44" s="31"/>
      <c r="AG44" s="31"/>
      <c r="AH44" s="31"/>
    </row>
    <row r="45" spans="1:34" ht="13.5" thickBot="1" x14ac:dyDescent="0.25">
      <c r="A45" s="7">
        <v>12</v>
      </c>
      <c r="C45" s="7" t="s">
        <v>36</v>
      </c>
      <c r="E45" s="24" t="s">
        <v>37</v>
      </c>
      <c r="G45" s="107">
        <f>SUM(G41+G43)</f>
        <v>239836.61776728759</v>
      </c>
      <c r="I45" s="115">
        <f>SUM(I41+I43)</f>
        <v>1</v>
      </c>
      <c r="K45" s="107">
        <f>'Schedule 1'!J56</f>
        <v>240584.42009231279</v>
      </c>
      <c r="M45" s="108">
        <f>SUM(I41)*(M41)+SUM(I43)*(M43)</f>
        <v>4.5010653635371621E-2</v>
      </c>
      <c r="N45" s="19"/>
      <c r="O45" s="107">
        <f>O41+O43</f>
        <v>10828.862002841832</v>
      </c>
      <c r="Z45" s="31"/>
      <c r="AA45" s="31"/>
      <c r="AB45" s="31"/>
      <c r="AC45" s="31"/>
      <c r="AD45" s="31"/>
      <c r="AE45" s="31"/>
      <c r="AF45" s="31"/>
      <c r="AG45" s="31"/>
      <c r="AH45" s="31"/>
    </row>
    <row r="46" spans="1:34" x14ac:dyDescent="0.2">
      <c r="G46" s="112"/>
      <c r="I46" s="172"/>
      <c r="K46" s="112"/>
      <c r="M46" s="93"/>
      <c r="N46" s="19"/>
      <c r="O46" s="112"/>
      <c r="Z46" s="31"/>
      <c r="AA46" s="31"/>
      <c r="AB46" s="31"/>
      <c r="AC46" s="31"/>
      <c r="AD46" s="31"/>
      <c r="AE46" s="31"/>
      <c r="AF46" s="31"/>
      <c r="AG46" s="31"/>
      <c r="AH46" s="31"/>
    </row>
    <row r="47" spans="1:34" x14ac:dyDescent="0.2">
      <c r="G47" s="112"/>
      <c r="I47" s="172"/>
      <c r="K47" s="112"/>
      <c r="M47" s="93"/>
      <c r="N47" s="19"/>
      <c r="O47" s="112"/>
      <c r="Z47" s="31"/>
      <c r="AA47" s="31"/>
      <c r="AB47" s="31"/>
      <c r="AC47" s="31"/>
      <c r="AD47" s="31"/>
      <c r="AE47" s="31"/>
      <c r="AF47" s="31"/>
      <c r="AG47" s="31"/>
      <c r="AH47" s="31"/>
    </row>
    <row r="48" spans="1:34" x14ac:dyDescent="0.2">
      <c r="I48" s="65"/>
      <c r="Z48" s="31"/>
      <c r="AA48" s="31"/>
      <c r="AB48" s="31"/>
      <c r="AC48" s="31"/>
      <c r="AD48" s="31"/>
      <c r="AE48" s="31"/>
      <c r="AF48" s="31"/>
      <c r="AG48" s="31"/>
      <c r="AH48" s="31"/>
    </row>
    <row r="49" spans="1:34" ht="15.75" x14ac:dyDescent="0.25">
      <c r="A49" s="176" t="s">
        <v>5</v>
      </c>
      <c r="I49" s="65"/>
      <c r="O49" s="41" t="s">
        <v>33</v>
      </c>
      <c r="Z49" s="31"/>
      <c r="AA49" s="31"/>
      <c r="AB49" s="31"/>
      <c r="AC49" s="31"/>
      <c r="AD49" s="31"/>
      <c r="AE49" s="31"/>
      <c r="AF49" s="31"/>
      <c r="AG49" s="31"/>
      <c r="AH49" s="31"/>
    </row>
    <row r="50" spans="1:34" x14ac:dyDescent="0.2">
      <c r="A50" s="177" t="s">
        <v>26</v>
      </c>
      <c r="I50" s="65"/>
      <c r="O50" s="43" t="str">
        <f>O4</f>
        <v>February 25, 2019</v>
      </c>
      <c r="Z50" s="31"/>
      <c r="AA50" s="31"/>
      <c r="AB50" s="31"/>
      <c r="AC50" s="31"/>
      <c r="AD50" s="31"/>
      <c r="AE50" s="31"/>
      <c r="AF50" s="31"/>
      <c r="AG50" s="31"/>
      <c r="AH50" s="31"/>
    </row>
    <row r="51" spans="1:34" x14ac:dyDescent="0.2">
      <c r="A51" s="177" t="s">
        <v>265</v>
      </c>
      <c r="I51" s="65"/>
      <c r="Z51" s="31"/>
      <c r="AA51" s="31"/>
      <c r="AB51" s="31"/>
      <c r="AC51" s="31"/>
      <c r="AD51" s="31"/>
      <c r="AE51" s="31"/>
      <c r="AF51" s="31"/>
      <c r="AG51" s="31"/>
      <c r="AH51" s="31"/>
    </row>
    <row r="52" spans="1:34" x14ac:dyDescent="0.2">
      <c r="A52" s="177" t="s">
        <v>7</v>
      </c>
      <c r="I52" s="65"/>
      <c r="Z52" s="31"/>
      <c r="AA52" s="31"/>
      <c r="AB52" s="31"/>
      <c r="AC52" s="31"/>
      <c r="AD52" s="31"/>
      <c r="AE52" s="31"/>
      <c r="AF52" s="31"/>
      <c r="AG52" s="31"/>
      <c r="AH52" s="31"/>
    </row>
    <row r="53" spans="1:34" x14ac:dyDescent="0.2">
      <c r="I53" s="65"/>
      <c r="Z53" s="31"/>
      <c r="AA53" s="31"/>
      <c r="AB53" s="31"/>
      <c r="AC53" s="31"/>
      <c r="AD53" s="31"/>
      <c r="AE53" s="31"/>
      <c r="AF53" s="31"/>
      <c r="AG53" s="31"/>
      <c r="AH53" s="31"/>
    </row>
    <row r="54" spans="1:34" x14ac:dyDescent="0.2">
      <c r="I54" s="65"/>
      <c r="Z54" s="31"/>
      <c r="AA54" s="31"/>
      <c r="AB54" s="31"/>
      <c r="AC54" s="31"/>
      <c r="AD54" s="31"/>
      <c r="AE54" s="31"/>
      <c r="AF54" s="31"/>
      <c r="AG54" s="31"/>
      <c r="AH54" s="31"/>
    </row>
    <row r="55" spans="1:34" x14ac:dyDescent="0.2">
      <c r="A55" s="18"/>
      <c r="B55" s="18"/>
      <c r="C55" s="18"/>
      <c r="D55" s="18"/>
      <c r="F55" s="18"/>
      <c r="G55" s="103"/>
      <c r="H55" s="18"/>
      <c r="I55" s="117"/>
      <c r="J55" s="18"/>
      <c r="K55" s="103"/>
      <c r="L55" s="18"/>
      <c r="M55" s="18"/>
      <c r="N55" s="18"/>
      <c r="O55" s="103"/>
      <c r="Z55" s="31"/>
      <c r="AA55" s="31"/>
      <c r="AB55" s="31"/>
      <c r="AC55" s="31"/>
      <c r="AD55" s="31"/>
      <c r="AE55" s="31"/>
      <c r="AF55" s="31"/>
      <c r="AG55" s="31"/>
      <c r="AH55" s="31"/>
    </row>
    <row r="56" spans="1:34" ht="25.5" x14ac:dyDescent="0.2">
      <c r="A56" s="15" t="s">
        <v>0</v>
      </c>
      <c r="B56" s="16"/>
      <c r="C56" s="15" t="s">
        <v>1</v>
      </c>
      <c r="D56" s="16"/>
      <c r="E56" s="15" t="s">
        <v>2</v>
      </c>
      <c r="F56" s="16"/>
      <c r="G56" s="104" t="s">
        <v>27</v>
      </c>
      <c r="H56" s="16"/>
      <c r="I56" s="118" t="s">
        <v>28</v>
      </c>
      <c r="J56" s="16"/>
      <c r="K56" s="104" t="s">
        <v>29</v>
      </c>
      <c r="L56" s="16"/>
      <c r="M56" s="15" t="s">
        <v>30</v>
      </c>
      <c r="N56" s="16"/>
      <c r="O56" s="104" t="s">
        <v>31</v>
      </c>
      <c r="Z56" s="31"/>
      <c r="AA56" s="31"/>
      <c r="AB56" s="31"/>
      <c r="AC56" s="31"/>
      <c r="AD56" s="31"/>
      <c r="AE56" s="31"/>
      <c r="AF56" s="31"/>
      <c r="AG56" s="31"/>
      <c r="AH56" s="31"/>
    </row>
    <row r="57" spans="1:34" x14ac:dyDescent="0.2">
      <c r="I57" s="65"/>
      <c r="Z57" s="31"/>
      <c r="AA57" s="31"/>
      <c r="AB57" s="31"/>
      <c r="AC57" s="31"/>
      <c r="AD57" s="31"/>
      <c r="AE57" s="31"/>
      <c r="AF57" s="31"/>
      <c r="AG57" s="31"/>
      <c r="AH57" s="31"/>
    </row>
    <row r="58" spans="1:34" x14ac:dyDescent="0.2">
      <c r="C58" s="17" t="s">
        <v>262</v>
      </c>
      <c r="I58" s="65"/>
      <c r="Z58" s="31"/>
      <c r="AA58" s="31"/>
      <c r="AB58" s="31"/>
      <c r="AC58" s="31"/>
      <c r="AD58" s="31"/>
      <c r="AE58" s="31"/>
      <c r="AF58" s="31"/>
      <c r="AG58" s="31"/>
      <c r="AH58" s="31"/>
    </row>
    <row r="59" spans="1:34" x14ac:dyDescent="0.2">
      <c r="I59" s="65"/>
      <c r="Z59" s="31"/>
      <c r="AA59" s="31"/>
      <c r="AB59" s="31"/>
      <c r="AC59" s="31"/>
      <c r="AD59" s="31"/>
      <c r="AE59" s="31"/>
      <c r="AF59" s="31"/>
      <c r="AG59" s="31"/>
      <c r="AH59" s="31"/>
    </row>
    <row r="60" spans="1:34" x14ac:dyDescent="0.2">
      <c r="A60" s="7">
        <v>1</v>
      </c>
      <c r="C60" s="7" t="s">
        <v>34</v>
      </c>
      <c r="E60" s="24" t="s">
        <v>207</v>
      </c>
      <c r="G60" s="31">
        <f>'Schedule 11'!$K$28</f>
        <v>152363.31235581246</v>
      </c>
      <c r="I60" s="65">
        <f>SUM(G60)/(G60+G62)</f>
        <v>0.59835827590052515</v>
      </c>
      <c r="K60" s="31">
        <f>SUM(K64)*(I60)</f>
        <v>154412.28821767509</v>
      </c>
      <c r="M60" s="97">
        <f>'Schedule 11'!K50</f>
        <v>2.0978641636088469E-2</v>
      </c>
      <c r="N60" s="19"/>
      <c r="O60" s="31">
        <f>SUM(K60)*(M60)</f>
        <v>3239.3600587270116</v>
      </c>
      <c r="Z60" s="31"/>
      <c r="AA60" s="31"/>
      <c r="AB60" s="31"/>
      <c r="AC60" s="31"/>
      <c r="AD60" s="31"/>
      <c r="AE60" s="31"/>
      <c r="AF60" s="31"/>
      <c r="AG60" s="31"/>
      <c r="AH60" s="31"/>
    </row>
    <row r="61" spans="1:34" x14ac:dyDescent="0.2">
      <c r="G61" s="31" t="s">
        <v>142</v>
      </c>
      <c r="I61" s="65"/>
      <c r="M61" s="19"/>
      <c r="N61" s="19" t="s">
        <v>142</v>
      </c>
      <c r="O61" s="31" t="s">
        <v>142</v>
      </c>
      <c r="Z61" s="31"/>
      <c r="AA61" s="31"/>
      <c r="AB61" s="31"/>
      <c r="AC61" s="31"/>
      <c r="AD61" s="31"/>
      <c r="AE61" s="31"/>
      <c r="AF61" s="31"/>
      <c r="AG61" s="31"/>
      <c r="AH61" s="31"/>
    </row>
    <row r="62" spans="1:34" x14ac:dyDescent="0.2">
      <c r="A62" s="7">
        <v>2</v>
      </c>
      <c r="C62" s="7" t="s">
        <v>35</v>
      </c>
      <c r="E62" s="24" t="s">
        <v>206</v>
      </c>
      <c r="G62" s="105">
        <f>AVERAGE('Schedule 7'!J25:K25)</f>
        <v>102272.27721049999</v>
      </c>
      <c r="I62" s="114">
        <f>SUM(G62)/(G60+G62)</f>
        <v>0.40164172409947491</v>
      </c>
      <c r="K62" s="105">
        <f>SUM(K64)*(I62)</f>
        <v>103647.63079202801</v>
      </c>
      <c r="M62" s="92">
        <v>8.6855807172807595E-2</v>
      </c>
      <c r="N62" s="19"/>
      <c r="O62" s="105">
        <f>K62*M62</f>
        <v>9002.3986339907387</v>
      </c>
      <c r="Z62" s="31"/>
      <c r="AA62" s="31"/>
      <c r="AB62" s="31"/>
      <c r="AC62" s="31"/>
      <c r="AD62" s="31"/>
      <c r="AE62" s="31"/>
      <c r="AF62" s="31"/>
      <c r="AG62" s="31"/>
      <c r="AH62" s="31"/>
    </row>
    <row r="63" spans="1:34" x14ac:dyDescent="0.2">
      <c r="I63" s="65"/>
      <c r="M63" s="19"/>
      <c r="N63" s="19"/>
      <c r="O63" s="31" t="s">
        <v>142</v>
      </c>
      <c r="Z63" s="31"/>
      <c r="AA63" s="31"/>
      <c r="AB63" s="31"/>
      <c r="AC63" s="31"/>
      <c r="AD63" s="31"/>
      <c r="AE63" s="31"/>
      <c r="AF63" s="31"/>
      <c r="AG63" s="31"/>
      <c r="AH63" s="31"/>
    </row>
    <row r="64" spans="1:34" ht="13.5" thickBot="1" x14ac:dyDescent="0.25">
      <c r="A64" s="7">
        <v>3</v>
      </c>
      <c r="C64" s="7" t="s">
        <v>36</v>
      </c>
      <c r="E64" s="24" t="s">
        <v>37</v>
      </c>
      <c r="G64" s="107">
        <f>SUM(G60+G62)</f>
        <v>254635.58956631244</v>
      </c>
      <c r="I64" s="115">
        <f>SUM(I60+I62)</f>
        <v>1</v>
      </c>
      <c r="K64" s="107">
        <f>'Schedule 1'!K56</f>
        <v>258059.9190097031</v>
      </c>
      <c r="M64" s="108">
        <f>SUM(I60)*(M60)+SUM(I62)*(M62)</f>
        <v>4.7437659981042851E-2</v>
      </c>
      <c r="N64" s="19"/>
      <c r="O64" s="107">
        <f>O60+O62</f>
        <v>12241.758692717751</v>
      </c>
      <c r="Z64" s="31"/>
      <c r="AA64" s="31"/>
      <c r="AB64" s="31"/>
      <c r="AC64" s="31"/>
      <c r="AD64" s="31"/>
      <c r="AE64" s="31"/>
      <c r="AF64" s="31"/>
      <c r="AG64" s="31"/>
      <c r="AH64" s="31"/>
    </row>
    <row r="65" spans="1:34" x14ac:dyDescent="0.2">
      <c r="I65" s="65"/>
      <c r="R65" s="116"/>
      <c r="Z65" s="31"/>
      <c r="AA65" s="31"/>
      <c r="AB65" s="31"/>
      <c r="AC65" s="31"/>
      <c r="AD65" s="31"/>
      <c r="AE65" s="31"/>
      <c r="AF65" s="31"/>
      <c r="AG65" s="31"/>
      <c r="AH65" s="31"/>
    </row>
    <row r="66" spans="1:34" x14ac:dyDescent="0.2">
      <c r="I66" s="65"/>
      <c r="Z66" s="31"/>
      <c r="AA66" s="31"/>
      <c r="AB66" s="31"/>
      <c r="AC66" s="31"/>
      <c r="AD66" s="31"/>
      <c r="AE66" s="31"/>
      <c r="AF66" s="31"/>
      <c r="AG66" s="31"/>
      <c r="AH66" s="31"/>
    </row>
    <row r="67" spans="1:34" x14ac:dyDescent="0.2">
      <c r="C67" s="189" t="str">
        <f>'Schedule 1'!$L$10</f>
        <v>Proposed 2017</v>
      </c>
      <c r="I67" s="65"/>
      <c r="Z67" s="31"/>
      <c r="AA67" s="31"/>
      <c r="AB67" s="31"/>
      <c r="AC67" s="31"/>
      <c r="AD67" s="31"/>
      <c r="AE67" s="31"/>
      <c r="AF67" s="31"/>
      <c r="AG67" s="31"/>
      <c r="AH67" s="31"/>
    </row>
    <row r="68" spans="1:34" x14ac:dyDescent="0.2">
      <c r="I68" s="65"/>
      <c r="Z68" s="31"/>
      <c r="AA68" s="31"/>
      <c r="AB68" s="31"/>
      <c r="AC68" s="31"/>
      <c r="AD68" s="31"/>
      <c r="AE68" s="31"/>
      <c r="AF68" s="31"/>
      <c r="AG68" s="31"/>
      <c r="AH68" s="31"/>
    </row>
    <row r="69" spans="1:34" x14ac:dyDescent="0.2">
      <c r="A69" s="7">
        <v>4</v>
      </c>
      <c r="C69" s="7" t="s">
        <v>34</v>
      </c>
      <c r="E69" s="24" t="s">
        <v>207</v>
      </c>
      <c r="G69" s="31">
        <f>'Schedule 11'!$L$28</f>
        <v>163802.94981641529</v>
      </c>
      <c r="I69" s="65">
        <f>SUM(G69)/(G69+G71)</f>
        <v>0.59887607664612474</v>
      </c>
      <c r="K69" s="31">
        <f>SUM(K73)*(I69)</f>
        <v>163451.93156883513</v>
      </c>
      <c r="M69" s="97">
        <f>'Schedule 11'!L50</f>
        <v>2.396258565337326E-2</v>
      </c>
      <c r="N69" s="19"/>
      <c r="O69" s="31">
        <f>SUM(K69)*(M69)</f>
        <v>3916.7309104275164</v>
      </c>
      <c r="Z69" s="31"/>
      <c r="AA69" s="31"/>
      <c r="AB69" s="31"/>
      <c r="AC69" s="31"/>
      <c r="AD69" s="31"/>
      <c r="AE69" s="31"/>
      <c r="AF69" s="31"/>
      <c r="AG69" s="31"/>
      <c r="AH69" s="31"/>
    </row>
    <row r="70" spans="1:34" x14ac:dyDescent="0.2">
      <c r="G70" s="31" t="s">
        <v>142</v>
      </c>
      <c r="I70" s="65"/>
      <c r="M70" s="19"/>
      <c r="N70" s="19" t="s">
        <v>142</v>
      </c>
      <c r="O70" s="31" t="s">
        <v>142</v>
      </c>
      <c r="Z70" s="31"/>
      <c r="AA70" s="31"/>
      <c r="AB70" s="31"/>
      <c r="AC70" s="31"/>
      <c r="AD70" s="31"/>
      <c r="AE70" s="31"/>
      <c r="AF70" s="31"/>
      <c r="AG70" s="31"/>
      <c r="AH70" s="31"/>
    </row>
    <row r="71" spans="1:34" x14ac:dyDescent="0.2">
      <c r="A71" s="7">
        <v>5</v>
      </c>
      <c r="C71" s="7" t="s">
        <v>35</v>
      </c>
      <c r="E71" s="24" t="s">
        <v>206</v>
      </c>
      <c r="G71" s="105">
        <f>AVERAGE('Schedule 7'!K25:L25)</f>
        <v>109714.32062417087</v>
      </c>
      <c r="I71" s="114">
        <f>SUM(G71)/(G69+G71)</f>
        <v>0.40112392335387531</v>
      </c>
      <c r="K71" s="105">
        <f>SUM(K73)*(I71)</f>
        <v>109479.21052021299</v>
      </c>
      <c r="M71" s="92">
        <v>8.700501142013968E-2</v>
      </c>
      <c r="N71" s="19"/>
      <c r="O71" s="105">
        <f>K71*M71</f>
        <v>9525.2399615790073</v>
      </c>
      <c r="Z71" s="31"/>
      <c r="AA71" s="31"/>
      <c r="AB71" s="31"/>
      <c r="AC71" s="31"/>
      <c r="AD71" s="31"/>
      <c r="AE71" s="31"/>
      <c r="AF71" s="31"/>
      <c r="AG71" s="31"/>
      <c r="AH71" s="31"/>
    </row>
    <row r="72" spans="1:34" x14ac:dyDescent="0.2">
      <c r="I72" s="65"/>
      <c r="M72" s="19"/>
      <c r="N72" s="19"/>
      <c r="O72" s="31" t="s">
        <v>142</v>
      </c>
      <c r="Z72" s="31"/>
      <c r="AA72" s="31"/>
      <c r="AB72" s="31"/>
      <c r="AC72" s="31"/>
      <c r="AD72" s="31"/>
      <c r="AE72" s="31"/>
      <c r="AF72" s="31"/>
      <c r="AG72" s="31"/>
      <c r="AH72" s="31"/>
    </row>
    <row r="73" spans="1:34" ht="13.5" thickBot="1" x14ac:dyDescent="0.25">
      <c r="A73" s="7">
        <v>6</v>
      </c>
      <c r="C73" s="7" t="s">
        <v>36</v>
      </c>
      <c r="E73" s="24" t="s">
        <v>37</v>
      </c>
      <c r="G73" s="107">
        <f>SUM(G69+G71)</f>
        <v>273517.27044058614</v>
      </c>
      <c r="I73" s="115">
        <f>SUM(I69+I71)</f>
        <v>1</v>
      </c>
      <c r="K73" s="107">
        <f>'Schedule 1'!L56</f>
        <v>272931.14208904811</v>
      </c>
      <c r="M73" s="108">
        <f>SUM(I69)*(M69)+SUM(I71)*(M71)</f>
        <v>4.9250410814684044E-2</v>
      </c>
      <c r="N73" s="19"/>
      <c r="O73" s="107">
        <f>O69+O71</f>
        <v>13441.970872006525</v>
      </c>
      <c r="Z73" s="31"/>
      <c r="AA73" s="31"/>
      <c r="AB73" s="31"/>
      <c r="AC73" s="31"/>
      <c r="AD73" s="31"/>
      <c r="AE73" s="31"/>
      <c r="AF73" s="31"/>
      <c r="AG73" s="31"/>
      <c r="AH73" s="31"/>
    </row>
    <row r="74" spans="1:34" x14ac:dyDescent="0.2">
      <c r="I74" s="65"/>
      <c r="Z74" s="31"/>
      <c r="AA74" s="31"/>
      <c r="AB74" s="31"/>
      <c r="AC74" s="31"/>
      <c r="AD74" s="31"/>
      <c r="AE74" s="31"/>
      <c r="AF74" s="31"/>
      <c r="AG74" s="31"/>
      <c r="AH74" s="31"/>
    </row>
    <row r="75" spans="1:34" x14ac:dyDescent="0.2">
      <c r="I75" s="65"/>
      <c r="Z75" s="31"/>
      <c r="AA75" s="31"/>
      <c r="AB75" s="31"/>
      <c r="AC75" s="31"/>
      <c r="AD75" s="31"/>
      <c r="AE75" s="31"/>
      <c r="AF75" s="31"/>
      <c r="AG75" s="31"/>
      <c r="AH75" s="31"/>
    </row>
    <row r="76" spans="1:34" x14ac:dyDescent="0.2">
      <c r="C76" s="17" t="s">
        <v>268</v>
      </c>
      <c r="I76" s="65"/>
      <c r="Z76" s="31"/>
      <c r="AA76" s="31"/>
      <c r="AB76" s="31"/>
      <c r="AC76" s="31"/>
      <c r="AD76" s="31"/>
      <c r="AE76" s="31"/>
      <c r="AF76" s="31"/>
      <c r="AG76" s="31"/>
      <c r="AH76" s="31"/>
    </row>
    <row r="77" spans="1:34" x14ac:dyDescent="0.2">
      <c r="I77" s="65"/>
      <c r="Z77" s="31"/>
      <c r="AA77" s="31"/>
      <c r="AB77" s="31"/>
      <c r="AC77" s="31"/>
      <c r="AD77" s="31"/>
      <c r="AE77" s="31"/>
      <c r="AF77" s="31"/>
      <c r="AG77" s="31"/>
      <c r="AH77" s="31"/>
    </row>
    <row r="78" spans="1:34" x14ac:dyDescent="0.2">
      <c r="A78" s="7">
        <v>10</v>
      </c>
      <c r="C78" s="7" t="s">
        <v>34</v>
      </c>
      <c r="E78" s="24" t="s">
        <v>207</v>
      </c>
      <c r="G78" s="31">
        <f>'Schedule 11'!$N$28</f>
        <v>172471.84319999994</v>
      </c>
      <c r="I78" s="65">
        <f>SUM(G78)/(G78+G80)</f>
        <v>0.59999165092727302</v>
      </c>
      <c r="K78" s="109">
        <f>SUM(K82)*(I78)</f>
        <v>172484.63269214032</v>
      </c>
      <c r="M78" s="97">
        <f>'Schedule 11'!N50</f>
        <v>2.2288178842662952E-2</v>
      </c>
      <c r="N78" s="19"/>
      <c r="O78" s="109">
        <f>SUM(K78)*(M78)</f>
        <v>3844.3683410534527</v>
      </c>
      <c r="Z78" s="31"/>
      <c r="AA78" s="31"/>
      <c r="AB78" s="31"/>
      <c r="AC78" s="31"/>
      <c r="AD78" s="31"/>
      <c r="AE78" s="31"/>
      <c r="AF78" s="31"/>
      <c r="AG78" s="31"/>
      <c r="AH78" s="31"/>
    </row>
    <row r="79" spans="1:34" x14ac:dyDescent="0.2">
      <c r="G79" s="31" t="s">
        <v>142</v>
      </c>
      <c r="I79" s="65"/>
      <c r="M79" s="19"/>
      <c r="N79" s="19" t="s">
        <v>142</v>
      </c>
      <c r="O79" s="31" t="s">
        <v>142</v>
      </c>
      <c r="Z79" s="31"/>
      <c r="AA79" s="31"/>
      <c r="AB79" s="31"/>
      <c r="AC79" s="31"/>
      <c r="AD79" s="31"/>
      <c r="AE79" s="31"/>
      <c r="AF79" s="31"/>
      <c r="AG79" s="31"/>
      <c r="AH79" s="31"/>
    </row>
    <row r="80" spans="1:34" x14ac:dyDescent="0.2">
      <c r="A80" s="7">
        <v>11</v>
      </c>
      <c r="C80" s="7" t="s">
        <v>35</v>
      </c>
      <c r="E80" s="24" t="s">
        <v>206</v>
      </c>
      <c r="G80" s="105">
        <f>AVERAGE('Schedule 7'!L25,'Schedule 7'!N25)</f>
        <v>114985.22879999998</v>
      </c>
      <c r="I80" s="114">
        <f>SUM(G80)/(G78+G80)</f>
        <v>0.40000834907272698</v>
      </c>
      <c r="K80" s="110">
        <f>SUM(K82)*(I80)</f>
        <v>114993.75542470992</v>
      </c>
      <c r="M80" s="92">
        <v>8.7012312669840455E-2</v>
      </c>
      <c r="N80" s="19"/>
      <c r="O80" s="110">
        <f>SUM(K80)*(M80)</f>
        <v>10005.872602094021</v>
      </c>
      <c r="Z80" s="31"/>
      <c r="AA80" s="31"/>
      <c r="AB80" s="31"/>
      <c r="AC80" s="31"/>
      <c r="AD80" s="31"/>
      <c r="AE80" s="31"/>
      <c r="AF80" s="31"/>
      <c r="AG80" s="31"/>
      <c r="AH80" s="31"/>
    </row>
    <row r="81" spans="1:34" x14ac:dyDescent="0.2">
      <c r="I81" s="65"/>
      <c r="M81" s="19"/>
      <c r="N81" s="19"/>
      <c r="O81" s="31" t="s">
        <v>142</v>
      </c>
      <c r="Z81" s="31"/>
      <c r="AA81" s="31"/>
      <c r="AB81" s="31"/>
      <c r="AC81" s="31"/>
      <c r="AD81" s="31"/>
      <c r="AE81" s="31"/>
      <c r="AF81" s="31"/>
      <c r="AG81" s="31"/>
      <c r="AH81" s="31"/>
    </row>
    <row r="82" spans="1:34" ht="13.5" thickBot="1" x14ac:dyDescent="0.25">
      <c r="A82" s="7">
        <v>12</v>
      </c>
      <c r="C82" s="7" t="s">
        <v>36</v>
      </c>
      <c r="E82" s="24" t="s">
        <v>37</v>
      </c>
      <c r="G82" s="111">
        <f>SUM(G78+G80)</f>
        <v>287457.07199999993</v>
      </c>
      <c r="I82" s="115">
        <f>SUM(I78+I80)</f>
        <v>1</v>
      </c>
      <c r="K82" s="111">
        <f>'Schedule 1'!N56</f>
        <v>287478.38811685023</v>
      </c>
      <c r="M82" s="108">
        <f>SUM(I78)*(M78)+SUM(I80)*(M80)</f>
        <v>4.817837276003447E-2</v>
      </c>
      <c r="N82" s="19"/>
      <c r="O82" s="111">
        <f>O78+O80</f>
        <v>13850.240943147473</v>
      </c>
      <c r="V82" s="31"/>
      <c r="Z82" s="31"/>
      <c r="AA82" s="31"/>
      <c r="AB82" s="31"/>
      <c r="AC82" s="31"/>
      <c r="AD82" s="31"/>
      <c r="AE82" s="31"/>
      <c r="AF82" s="31"/>
      <c r="AG82" s="31"/>
      <c r="AH82" s="31"/>
    </row>
  </sheetData>
  <phoneticPr fontId="0" type="noConversion"/>
  <conditionalFormatting sqref="R65 R28 R19">
    <cfRule type="cellIs" dxfId="0" priority="8" operator="equal">
      <formula>0</formula>
    </cfRule>
  </conditionalFormatting>
  <printOptions horizontalCentered="1"/>
  <pageMargins left="0.55118110236220474" right="0.31496062992125984" top="0.82677165354330717" bottom="0.9055118110236221" header="0.51181102362204722" footer="0.51181102362204722"/>
  <pageSetup scale="46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39997558519241921"/>
    <pageSetUpPr fitToPage="1"/>
  </sheetPr>
  <dimension ref="A1:AB32"/>
  <sheetViews>
    <sheetView view="pageBreakPreview" zoomScaleSheetLayoutView="100" workbookViewId="0">
      <selection activeCell="A12" sqref="A12"/>
    </sheetView>
  </sheetViews>
  <sheetFormatPr defaultRowHeight="12.75" x14ac:dyDescent="0.2"/>
  <cols>
    <col min="1" max="1" width="7.42578125" style="21" customWidth="1"/>
    <col min="2" max="2" width="1.85546875" style="21" customWidth="1"/>
    <col min="3" max="3" width="28" style="21" customWidth="1"/>
    <col min="4" max="4" width="3.5703125" style="21" customWidth="1"/>
    <col min="5" max="5" width="9.140625" style="47"/>
    <col min="6" max="6" width="1.85546875" style="21" customWidth="1"/>
    <col min="7" max="7" width="10.42578125" style="21" customWidth="1"/>
    <col min="8" max="12" width="9.28515625" style="21" customWidth="1"/>
    <col min="13" max="13" width="1.42578125" style="51" customWidth="1"/>
    <col min="14" max="14" width="10.140625" style="21" customWidth="1"/>
    <col min="15" max="16384" width="9.140625" style="21"/>
  </cols>
  <sheetData>
    <row r="1" spans="1:28" ht="15.75" x14ac:dyDescent="0.25">
      <c r="A1" s="173" t="s">
        <v>269</v>
      </c>
      <c r="M1" s="21"/>
      <c r="N1" s="78" t="s">
        <v>15</v>
      </c>
    </row>
    <row r="2" spans="1:28" x14ac:dyDescent="0.2">
      <c r="A2" s="174" t="s">
        <v>14</v>
      </c>
      <c r="M2" s="21"/>
      <c r="N2" s="50" t="str">
        <f>Index!F2</f>
        <v>February 25, 2019</v>
      </c>
    </row>
    <row r="3" spans="1:28" x14ac:dyDescent="0.2">
      <c r="A3" s="174" t="s">
        <v>7</v>
      </c>
      <c r="M3" s="21"/>
    </row>
    <row r="6" spans="1:28" s="47" customFormat="1" x14ac:dyDescent="0.2">
      <c r="G6" s="72"/>
      <c r="H6" s="72"/>
      <c r="I6" s="72"/>
      <c r="J6" s="72"/>
      <c r="K6" s="72"/>
      <c r="L6" s="72"/>
      <c r="M6" s="72"/>
      <c r="N6" s="187" t="s">
        <v>3</v>
      </c>
    </row>
    <row r="7" spans="1:28" s="16" customFormat="1" ht="25.5" x14ac:dyDescent="0.2">
      <c r="A7" s="15" t="s">
        <v>0</v>
      </c>
      <c r="C7" s="15" t="s">
        <v>1</v>
      </c>
      <c r="E7" s="15" t="s">
        <v>2</v>
      </c>
      <c r="G7" s="15" t="s">
        <v>227</v>
      </c>
      <c r="H7" s="15" t="s">
        <v>228</v>
      </c>
      <c r="I7" s="15" t="s">
        <v>229</v>
      </c>
      <c r="J7" s="15" t="s">
        <v>230</v>
      </c>
      <c r="K7" s="15" t="s">
        <v>261</v>
      </c>
      <c r="L7" s="15" t="str">
        <f>'Schedule 1'!$L$10</f>
        <v>Proposed 2017</v>
      </c>
      <c r="M7" s="26"/>
      <c r="N7" s="15" t="str">
        <f>'Schedule 1'!$N$10</f>
        <v>Proposed 2018</v>
      </c>
    </row>
    <row r="9" spans="1:28" x14ac:dyDescent="0.2">
      <c r="A9" s="21">
        <v>1</v>
      </c>
      <c r="C9" s="21" t="s">
        <v>96</v>
      </c>
      <c r="E9" s="47" t="s">
        <v>186</v>
      </c>
      <c r="G9" s="55">
        <f>'Schedule 1'!G56</f>
        <v>226683.93863502727</v>
      </c>
      <c r="H9" s="55">
        <f>'Schedule 1'!H56</f>
        <v>223057.64588841432</v>
      </c>
      <c r="I9" s="55">
        <f>'Schedule 1'!I56</f>
        <v>222881.7428113299</v>
      </c>
      <c r="J9" s="55">
        <f>'Schedule 1'!J56</f>
        <v>240584.42009231279</v>
      </c>
      <c r="K9" s="55">
        <f>'Schedule 1'!K56</f>
        <v>258059.9190097031</v>
      </c>
      <c r="L9" s="55">
        <f>'Schedule 1'!L56</f>
        <v>272931.14208904811</v>
      </c>
      <c r="M9" s="27"/>
      <c r="N9" s="55">
        <f>'Schedule 1'!N56</f>
        <v>287478.38811685023</v>
      </c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</row>
    <row r="10" spans="1:28" x14ac:dyDescent="0.2">
      <c r="G10" s="21" t="s">
        <v>142</v>
      </c>
      <c r="H10" s="21" t="s">
        <v>142</v>
      </c>
      <c r="I10" s="21" t="s">
        <v>142</v>
      </c>
      <c r="J10" s="21" t="s">
        <v>142</v>
      </c>
      <c r="K10" s="21" t="s">
        <v>142</v>
      </c>
      <c r="L10" s="21" t="s">
        <v>142</v>
      </c>
      <c r="N10" s="21" t="s">
        <v>142</v>
      </c>
      <c r="R10" s="67"/>
      <c r="S10" s="67"/>
      <c r="T10" s="67"/>
      <c r="U10" s="67"/>
      <c r="V10" s="67"/>
      <c r="W10" s="67"/>
      <c r="X10" s="67"/>
      <c r="Y10" s="67"/>
      <c r="Z10" s="67"/>
      <c r="AA10" s="67"/>
    </row>
    <row r="11" spans="1:28" x14ac:dyDescent="0.2">
      <c r="A11" s="21">
        <v>2</v>
      </c>
      <c r="C11" s="21" t="s">
        <v>198</v>
      </c>
      <c r="G11" s="99">
        <f t="shared" ref="G11:K11" si="0">SUM(G13)/(G9)</f>
        <v>5.44720044191154E-2</v>
      </c>
      <c r="H11" s="99">
        <f>SUM(H13)/(H9)</f>
        <v>4.993351220297032E-2</v>
      </c>
      <c r="I11" s="99">
        <f t="shared" si="0"/>
        <v>5.3563153777061973E-2</v>
      </c>
      <c r="J11" s="99">
        <f t="shared" si="0"/>
        <v>4.5010653635371621E-2</v>
      </c>
      <c r="K11" s="99">
        <f t="shared" si="0"/>
        <v>4.7437659981042844E-2</v>
      </c>
      <c r="L11" s="99">
        <f t="shared" ref="L11" si="1">SUM(L13)/(L9)</f>
        <v>4.9250410814684051E-2</v>
      </c>
      <c r="M11" s="100"/>
      <c r="N11" s="99">
        <f>SUM(N13)/(N9)</f>
        <v>4.817837276003447E-2</v>
      </c>
      <c r="R11" s="67"/>
      <c r="S11" s="67"/>
      <c r="T11" s="67"/>
      <c r="U11" s="67"/>
      <c r="V11" s="67"/>
      <c r="W11" s="67"/>
      <c r="X11" s="67"/>
      <c r="Y11" s="67"/>
      <c r="Z11" s="67"/>
      <c r="AA11" s="67"/>
    </row>
    <row r="12" spans="1:28" x14ac:dyDescent="0.2">
      <c r="R12" s="67"/>
      <c r="S12" s="67"/>
      <c r="T12" s="67"/>
      <c r="U12" s="67"/>
      <c r="V12" s="67"/>
      <c r="W12" s="67"/>
      <c r="X12" s="67"/>
      <c r="Y12" s="67"/>
      <c r="Z12" s="67"/>
      <c r="AA12" s="67"/>
    </row>
    <row r="13" spans="1:28" x14ac:dyDescent="0.2">
      <c r="A13" s="21">
        <v>3</v>
      </c>
      <c r="C13" s="21" t="s">
        <v>97</v>
      </c>
      <c r="E13" s="47" t="s">
        <v>208</v>
      </c>
      <c r="G13" s="55">
        <f>'Schedule 4'!O18</f>
        <v>12347.92850706969</v>
      </c>
      <c r="H13" s="55">
        <f>'Schedule 4'!O27</f>
        <v>11138.051682934969</v>
      </c>
      <c r="I13" s="55">
        <f>'Schedule 4'!O36</f>
        <v>11938.24906430284</v>
      </c>
      <c r="J13" s="55">
        <f>'Schedule 4'!O45</f>
        <v>10828.862002841832</v>
      </c>
      <c r="K13" s="55">
        <f>'Schedule 4'!O64</f>
        <v>12241.758692717751</v>
      </c>
      <c r="L13" s="55">
        <f>'Schedule 4'!O73</f>
        <v>13441.970872006525</v>
      </c>
      <c r="M13" s="27"/>
      <c r="N13" s="55">
        <f>'Schedule 4'!O82</f>
        <v>13850.240943147473</v>
      </c>
      <c r="R13" s="67"/>
      <c r="S13" s="67"/>
      <c r="T13" s="67"/>
      <c r="U13" s="67"/>
      <c r="V13" s="67"/>
      <c r="W13" s="67"/>
      <c r="X13" s="67"/>
      <c r="Y13" s="67"/>
      <c r="Z13" s="67"/>
      <c r="AA13" s="67"/>
    </row>
    <row r="14" spans="1:28" x14ac:dyDescent="0.2">
      <c r="J14" s="20"/>
      <c r="N14" s="55"/>
      <c r="R14" s="67"/>
      <c r="S14" s="67"/>
      <c r="T14" s="67"/>
      <c r="U14" s="67"/>
      <c r="V14" s="67"/>
      <c r="W14" s="67"/>
      <c r="X14" s="67"/>
      <c r="Y14" s="67"/>
      <c r="Z14" s="67"/>
      <c r="AA14" s="67"/>
    </row>
    <row r="15" spans="1:28" x14ac:dyDescent="0.2">
      <c r="A15" s="21">
        <v>4</v>
      </c>
      <c r="C15" s="21" t="s">
        <v>98</v>
      </c>
      <c r="N15" s="55"/>
      <c r="R15" s="67"/>
      <c r="S15" s="67"/>
      <c r="T15" s="67"/>
      <c r="U15" s="67"/>
      <c r="V15" s="67"/>
      <c r="W15" s="67"/>
      <c r="X15" s="67"/>
      <c r="Y15" s="67"/>
      <c r="Z15" s="67"/>
      <c r="AA15" s="67"/>
    </row>
    <row r="16" spans="1:28" x14ac:dyDescent="0.2">
      <c r="A16" s="21">
        <v>5</v>
      </c>
      <c r="C16" s="21" t="s">
        <v>175</v>
      </c>
      <c r="E16" s="47" t="s">
        <v>140</v>
      </c>
      <c r="G16" s="55">
        <f>'Schedule 6'!G12</f>
        <v>20843.807625559384</v>
      </c>
      <c r="H16" s="55">
        <f>'Schedule 6'!H12</f>
        <v>22785.942859999999</v>
      </c>
      <c r="I16" s="55">
        <f>'Schedule 6'!I12</f>
        <v>21051.803415000002</v>
      </c>
      <c r="J16" s="55">
        <f>'Schedule 6'!J12</f>
        <v>21723.302069999998</v>
      </c>
      <c r="K16" s="55">
        <f>'Schedule 6'!K12</f>
        <v>21811.756999999998</v>
      </c>
      <c r="L16" s="55">
        <f>'Schedule 6'!L12</f>
        <v>23835.941951079658</v>
      </c>
      <c r="M16" s="27"/>
      <c r="N16" s="55">
        <f>'Schedule 6'!N12</f>
        <v>23714.856181529012</v>
      </c>
      <c r="R16" s="67"/>
      <c r="S16" s="67"/>
      <c r="T16" s="67"/>
      <c r="U16" s="67"/>
      <c r="V16" s="67"/>
      <c r="W16" s="67"/>
      <c r="X16" s="67"/>
      <c r="Y16" s="67"/>
      <c r="Z16" s="67"/>
      <c r="AA16" s="67"/>
    </row>
    <row r="17" spans="1:27" x14ac:dyDescent="0.2">
      <c r="A17" s="21">
        <v>6</v>
      </c>
      <c r="C17" s="21" t="s">
        <v>60</v>
      </c>
      <c r="E17" s="47" t="s">
        <v>158</v>
      </c>
      <c r="G17" s="55">
        <f>'Schedule 6'!G13</f>
        <v>326.40211583999996</v>
      </c>
      <c r="H17" s="55">
        <f>'Schedule 6'!H13</f>
        <v>330.96499999999997</v>
      </c>
      <c r="I17" s="55">
        <f>'Schedule 6'!I13</f>
        <v>331</v>
      </c>
      <c r="J17" s="55">
        <f>'Schedule 6'!J13</f>
        <v>473</v>
      </c>
      <c r="K17" s="55">
        <f>'Schedule 6'!K13</f>
        <v>686.43100000000004</v>
      </c>
      <c r="L17" s="55">
        <f>'Schedule 6'!L13</f>
        <v>692.78601753333351</v>
      </c>
      <c r="M17" s="27"/>
      <c r="N17" s="55">
        <f>'Schedule 6'!N13</f>
        <v>708.13965357545919</v>
      </c>
      <c r="R17" s="67"/>
      <c r="S17" s="67"/>
      <c r="T17" s="67"/>
      <c r="U17" s="67"/>
      <c r="V17" s="67"/>
      <c r="W17" s="67"/>
      <c r="X17" s="67"/>
      <c r="Y17" s="67"/>
      <c r="Z17" s="67"/>
      <c r="AA17" s="67"/>
    </row>
    <row r="18" spans="1:27" x14ac:dyDescent="0.2">
      <c r="A18" s="21">
        <v>7</v>
      </c>
      <c r="C18" s="21" t="s">
        <v>99</v>
      </c>
      <c r="E18" s="47" t="s">
        <v>94</v>
      </c>
      <c r="G18" s="55">
        <f>'Schedule 6'!G14</f>
        <v>3462.1635779999997</v>
      </c>
      <c r="H18" s="55">
        <f>'Schedule 6'!H14</f>
        <v>4561.385150000001</v>
      </c>
      <c r="I18" s="55">
        <f>'Schedule 6'!I14</f>
        <v>2846.0891999999994</v>
      </c>
      <c r="J18" s="55">
        <f>'Schedule 6'!J14</f>
        <v>2764.4429599999999</v>
      </c>
      <c r="K18" s="55">
        <f>'Schedule 6'!K14</f>
        <v>1581.4649999999999</v>
      </c>
      <c r="L18" s="55">
        <f>'Schedule 6'!L14</f>
        <v>4507.1018610000001</v>
      </c>
      <c r="M18" s="27"/>
      <c r="N18" s="55">
        <f>'Schedule 6'!N14</f>
        <v>5063.0199209999992</v>
      </c>
      <c r="R18" s="67"/>
      <c r="S18" s="67"/>
      <c r="T18" s="67"/>
      <c r="U18" s="67"/>
      <c r="V18" s="67"/>
      <c r="W18" s="67"/>
      <c r="X18" s="67"/>
      <c r="Y18" s="67"/>
      <c r="Z18" s="67"/>
      <c r="AA18" s="67"/>
    </row>
    <row r="19" spans="1:27" x14ac:dyDescent="0.2">
      <c r="A19" s="21">
        <v>8</v>
      </c>
      <c r="C19" s="21" t="s">
        <v>161</v>
      </c>
      <c r="E19" s="47" t="s">
        <v>81</v>
      </c>
      <c r="G19" s="55">
        <f>'Schedule 6'!G15</f>
        <v>226.09889199999998</v>
      </c>
      <c r="H19" s="55">
        <f>'Schedule 6'!H15</f>
        <v>226</v>
      </c>
      <c r="I19" s="55">
        <f>'Schedule 6'!I15</f>
        <v>226</v>
      </c>
      <c r="J19" s="55">
        <f>'Schedule 6'!J15</f>
        <v>226</v>
      </c>
      <c r="K19" s="55">
        <f>'Schedule 6'!K15</f>
        <v>226</v>
      </c>
      <c r="L19" s="55">
        <f>'Schedule 6'!L15</f>
        <v>478.93700000000001</v>
      </c>
      <c r="M19" s="27"/>
      <c r="N19" s="55">
        <f>'Schedule 6'!N15</f>
        <v>478.93700000000001</v>
      </c>
      <c r="R19" s="67"/>
      <c r="S19" s="67"/>
      <c r="T19" s="67"/>
      <c r="U19" s="67"/>
      <c r="V19" s="67"/>
      <c r="W19" s="67"/>
      <c r="X19" s="67"/>
      <c r="Y19" s="67"/>
      <c r="Z19" s="67"/>
      <c r="AA19" s="67"/>
    </row>
    <row r="20" spans="1:27" x14ac:dyDescent="0.2">
      <c r="A20" s="21">
        <v>9</v>
      </c>
      <c r="C20" s="21" t="s">
        <v>100</v>
      </c>
      <c r="E20" s="47" t="s">
        <v>95</v>
      </c>
      <c r="G20" s="55">
        <f>'Schedule 6'!G16</f>
        <v>8988.5451721392983</v>
      </c>
      <c r="H20" s="55">
        <f>'Schedule 6'!H16</f>
        <v>8893.6523100000068</v>
      </c>
      <c r="I20" s="55">
        <f>'Schedule 6'!I16</f>
        <v>8906.2113099999988</v>
      </c>
      <c r="J20" s="55">
        <f>'Schedule 6'!J16</f>
        <v>9828.0187700000024</v>
      </c>
      <c r="K20" s="55">
        <f>'Schedule 6'!K16</f>
        <v>10615.04</v>
      </c>
      <c r="L20" s="55">
        <f>'Schedule 6'!L16</f>
        <v>12322.850279999999</v>
      </c>
      <c r="M20" s="27"/>
      <c r="N20" s="55">
        <f>'Schedule 6'!N16</f>
        <v>12195.95357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</row>
    <row r="21" spans="1:27" ht="25.5" x14ac:dyDescent="0.2">
      <c r="A21" s="165">
        <v>10</v>
      </c>
      <c r="C21" s="164" t="s">
        <v>223</v>
      </c>
      <c r="E21" s="160" t="s">
        <v>165</v>
      </c>
      <c r="F21" s="165"/>
      <c r="G21" s="166">
        <f>'Schedule 6'!G17</f>
        <v>-3830.8182867079995</v>
      </c>
      <c r="H21" s="166">
        <f>'Schedule 6'!H17</f>
        <v>-3938.6859599999989</v>
      </c>
      <c r="I21" s="166">
        <f>'Schedule 6'!I17</f>
        <v>-3953.0807499999955</v>
      </c>
      <c r="J21" s="166">
        <f>'Schedule 6'!J17</f>
        <v>-3886</v>
      </c>
      <c r="K21" s="166">
        <f>'Schedule 6'!K17</f>
        <v>-4364.4110000000001</v>
      </c>
      <c r="L21" s="166">
        <f>'Schedule 6'!L17</f>
        <v>-5800.5451300000004</v>
      </c>
      <c r="M21" s="167"/>
      <c r="N21" s="166">
        <f>'Schedule 6'!N17</f>
        <v>-5913.6934499999998</v>
      </c>
      <c r="R21" s="67"/>
      <c r="S21" s="67"/>
      <c r="T21" s="67"/>
      <c r="U21" s="67"/>
      <c r="V21" s="67"/>
      <c r="W21" s="67"/>
      <c r="X21" s="67"/>
      <c r="Y21" s="67"/>
      <c r="Z21" s="67"/>
      <c r="AA21" s="67"/>
    </row>
    <row r="22" spans="1:27" x14ac:dyDescent="0.2">
      <c r="A22" s="21">
        <v>11</v>
      </c>
      <c r="C22" s="21" t="s">
        <v>101</v>
      </c>
      <c r="G22" s="55">
        <v>-16.278565</v>
      </c>
      <c r="H22" s="55">
        <v>-16.278565</v>
      </c>
      <c r="I22" s="55">
        <v>-16.278565</v>
      </c>
      <c r="J22" s="55">
        <v>-16.278565</v>
      </c>
      <c r="K22" s="55">
        <v>-16.278565</v>
      </c>
      <c r="L22" s="55">
        <v>-181.751463</v>
      </c>
      <c r="M22" s="27"/>
      <c r="N22" s="55">
        <v>-203.80146299999998</v>
      </c>
      <c r="R22" s="67"/>
      <c r="S22" s="67"/>
      <c r="T22" s="67"/>
      <c r="U22" s="67"/>
      <c r="V22" s="67"/>
      <c r="W22" s="67"/>
      <c r="X22" s="67"/>
      <c r="Y22" s="67"/>
      <c r="Z22" s="67"/>
      <c r="AA22" s="67"/>
    </row>
    <row r="23" spans="1:27" x14ac:dyDescent="0.2">
      <c r="A23" s="21">
        <v>12</v>
      </c>
      <c r="C23" s="21" t="s">
        <v>117</v>
      </c>
      <c r="G23" s="55">
        <v>-85</v>
      </c>
      <c r="H23" s="55">
        <v>-84.405000000000001</v>
      </c>
      <c r="I23" s="55">
        <v>-85</v>
      </c>
      <c r="J23" s="55">
        <v>-86</v>
      </c>
      <c r="K23" s="55">
        <v>-95.414000000000001</v>
      </c>
      <c r="L23" s="55">
        <v>-95.505719999999997</v>
      </c>
      <c r="M23" s="27"/>
      <c r="N23" s="55">
        <v>-99.999999999999957</v>
      </c>
      <c r="R23" s="67"/>
      <c r="S23" s="67"/>
      <c r="T23" s="67"/>
      <c r="U23" s="67"/>
      <c r="V23" s="67"/>
      <c r="W23" s="67"/>
      <c r="X23" s="67"/>
      <c r="Y23" s="67"/>
      <c r="Z23" s="67"/>
      <c r="AA23" s="67"/>
    </row>
    <row r="24" spans="1:27" x14ac:dyDescent="0.2">
      <c r="G24" s="45"/>
      <c r="H24" s="45"/>
      <c r="I24" s="45"/>
      <c r="J24" s="45"/>
      <c r="K24" s="45"/>
      <c r="L24" s="45"/>
      <c r="M24" s="27"/>
      <c r="N24" s="55"/>
      <c r="R24" s="67"/>
      <c r="S24" s="67"/>
      <c r="T24" s="67"/>
      <c r="U24" s="67"/>
      <c r="V24" s="67"/>
      <c r="W24" s="67"/>
      <c r="X24" s="67"/>
      <c r="Y24" s="67"/>
      <c r="Z24" s="67"/>
      <c r="AA24" s="67"/>
    </row>
    <row r="25" spans="1:27" x14ac:dyDescent="0.2">
      <c r="A25" s="21">
        <v>13</v>
      </c>
      <c r="C25" s="21" t="s">
        <v>102</v>
      </c>
      <c r="G25" s="79">
        <f t="shared" ref="G25:L25" si="2">SUM(G15:G24)</f>
        <v>29914.920531830681</v>
      </c>
      <c r="H25" s="79">
        <f t="shared" si="2"/>
        <v>32758.575795000012</v>
      </c>
      <c r="I25" s="79">
        <f t="shared" si="2"/>
        <v>29306.744610000009</v>
      </c>
      <c r="J25" s="79">
        <f t="shared" si="2"/>
        <v>31026.485235</v>
      </c>
      <c r="K25" s="79">
        <f t="shared" si="2"/>
        <v>30444.589434999998</v>
      </c>
      <c r="L25" s="79">
        <f t="shared" si="2"/>
        <v>35759.814796612991</v>
      </c>
      <c r="M25" s="27"/>
      <c r="N25" s="79">
        <f>SUM(N15:N24)</f>
        <v>35943.41141310447</v>
      </c>
      <c r="R25" s="67"/>
      <c r="S25" s="67"/>
      <c r="T25" s="67"/>
      <c r="U25" s="67"/>
      <c r="V25" s="67"/>
      <c r="W25" s="67"/>
      <c r="X25" s="67"/>
      <c r="Y25" s="67"/>
      <c r="Z25" s="67"/>
      <c r="AA25" s="67"/>
    </row>
    <row r="26" spans="1:27" x14ac:dyDescent="0.2">
      <c r="G26" s="27"/>
      <c r="H26" s="27"/>
      <c r="I26" s="27"/>
      <c r="J26" s="27"/>
      <c r="K26" s="27"/>
      <c r="L26" s="27"/>
      <c r="M26" s="27"/>
      <c r="N26" s="27"/>
      <c r="R26" s="67"/>
      <c r="S26" s="67"/>
      <c r="T26" s="67"/>
      <c r="U26" s="67"/>
      <c r="V26" s="67"/>
      <c r="W26" s="67"/>
      <c r="X26" s="67"/>
      <c r="Y26" s="67"/>
      <c r="Z26" s="67"/>
      <c r="AA26" s="67"/>
    </row>
    <row r="27" spans="1:27" ht="13.5" thickBot="1" x14ac:dyDescent="0.25">
      <c r="A27" s="21">
        <v>14</v>
      </c>
      <c r="C27" s="21" t="s">
        <v>174</v>
      </c>
      <c r="E27" s="47" t="s">
        <v>103</v>
      </c>
      <c r="G27" s="86">
        <f t="shared" ref="G27:L27" si="3">G13+G25</f>
        <v>42262.849038900371</v>
      </c>
      <c r="H27" s="86">
        <f t="shared" si="3"/>
        <v>43896.627477934977</v>
      </c>
      <c r="I27" s="86">
        <f t="shared" si="3"/>
        <v>41244.993674302852</v>
      </c>
      <c r="J27" s="86">
        <f t="shared" si="3"/>
        <v>41855.34723784183</v>
      </c>
      <c r="K27" s="86">
        <f t="shared" si="3"/>
        <v>42686.348127717749</v>
      </c>
      <c r="L27" s="86">
        <f t="shared" si="3"/>
        <v>49201.785668619515</v>
      </c>
      <c r="M27" s="84"/>
      <c r="N27" s="86">
        <f>N13+N25</f>
        <v>49793.652356251943</v>
      </c>
      <c r="R27" s="67"/>
      <c r="S27" s="67"/>
      <c r="T27" s="67"/>
      <c r="U27" s="67"/>
      <c r="V27" s="67"/>
      <c r="W27" s="67"/>
      <c r="X27" s="67"/>
      <c r="Y27" s="67"/>
      <c r="Z27" s="67"/>
      <c r="AA27" s="67"/>
    </row>
    <row r="29" spans="1:27" x14ac:dyDescent="0.2">
      <c r="C29" s="21" t="s">
        <v>196</v>
      </c>
    </row>
    <row r="30" spans="1:27" ht="12.75" customHeight="1" x14ac:dyDescent="0.2">
      <c r="A30" s="64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</row>
    <row r="31" spans="1:27" x14ac:dyDescent="0.2"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</row>
    <row r="32" spans="1:27" x14ac:dyDescent="0.2">
      <c r="G32" s="40"/>
      <c r="H32" s="40"/>
      <c r="I32" s="40"/>
      <c r="J32" s="40"/>
      <c r="K32" s="40"/>
      <c r="L32" s="40"/>
      <c r="M32" s="40"/>
    </row>
  </sheetData>
  <mergeCells count="1">
    <mergeCell ref="C30:M31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39997558519241921"/>
    <pageSetUpPr fitToPage="1"/>
  </sheetPr>
  <dimension ref="A1:AC43"/>
  <sheetViews>
    <sheetView view="pageBreakPreview" topLeftCell="B1" zoomScaleSheetLayoutView="100" workbookViewId="0">
      <selection activeCell="N39" sqref="N39"/>
    </sheetView>
  </sheetViews>
  <sheetFormatPr defaultRowHeight="12.75" x14ac:dyDescent="0.2"/>
  <cols>
    <col min="1" max="1" width="5.28515625" style="21" customWidth="1"/>
    <col min="2" max="2" width="1.85546875" style="21" customWidth="1"/>
    <col min="3" max="3" width="29" style="21" customWidth="1"/>
    <col min="4" max="4" width="1.85546875" style="21" customWidth="1"/>
    <col min="5" max="5" width="11" style="47" customWidth="1"/>
    <col min="6" max="6" width="1.85546875" style="21" customWidth="1"/>
    <col min="7" max="12" width="9.42578125" style="21" customWidth="1"/>
    <col min="13" max="13" width="1.42578125" style="51" customWidth="1"/>
    <col min="14" max="14" width="10.5703125" style="21" customWidth="1"/>
    <col min="15" max="15" width="11.28515625" style="21" customWidth="1"/>
    <col min="16" max="16384" width="9.140625" style="21"/>
  </cols>
  <sheetData>
    <row r="1" spans="1:29" ht="15.75" x14ac:dyDescent="0.25">
      <c r="A1" s="173" t="s">
        <v>269</v>
      </c>
      <c r="N1" s="78" t="s">
        <v>16</v>
      </c>
    </row>
    <row r="2" spans="1:29" x14ac:dyDescent="0.2">
      <c r="A2" s="174" t="s">
        <v>17</v>
      </c>
      <c r="N2" s="50" t="str">
        <f>Index!F2</f>
        <v>February 25, 2019</v>
      </c>
    </row>
    <row r="3" spans="1:29" x14ac:dyDescent="0.2">
      <c r="A3" s="174" t="s">
        <v>7</v>
      </c>
    </row>
    <row r="4" spans="1:29" x14ac:dyDescent="0.2">
      <c r="C4" s="21" t="s">
        <v>142</v>
      </c>
    </row>
    <row r="5" spans="1:29" x14ac:dyDescent="0.2">
      <c r="C5" s="21" t="s">
        <v>142</v>
      </c>
      <c r="N5" s="51"/>
      <c r="O5" s="51"/>
    </row>
    <row r="6" spans="1:29" s="47" customFormat="1" x14ac:dyDescent="0.2">
      <c r="G6" s="72"/>
      <c r="H6" s="72"/>
      <c r="I6" s="72"/>
      <c r="J6" s="72"/>
      <c r="K6" s="72"/>
      <c r="L6" s="72"/>
      <c r="M6" s="72"/>
      <c r="N6" s="187" t="s">
        <v>3</v>
      </c>
      <c r="O6" s="72"/>
    </row>
    <row r="7" spans="1:29" s="16" customFormat="1" ht="38.25" x14ac:dyDescent="0.2">
      <c r="A7" s="15" t="s">
        <v>0</v>
      </c>
      <c r="C7" s="15" t="s">
        <v>1</v>
      </c>
      <c r="E7" s="15" t="s">
        <v>2</v>
      </c>
      <c r="G7" s="15" t="s">
        <v>227</v>
      </c>
      <c r="H7" s="15" t="s">
        <v>228</v>
      </c>
      <c r="I7" s="15" t="s">
        <v>229</v>
      </c>
      <c r="J7" s="15" t="s">
        <v>230</v>
      </c>
      <c r="K7" s="15" t="s">
        <v>261</v>
      </c>
      <c r="L7" s="15" t="str">
        <f>'Schedule 1'!$L$10</f>
        <v>Proposed 2017</v>
      </c>
      <c r="M7" s="26"/>
      <c r="N7" s="15" t="str">
        <f>'Schedule 1'!$N$10</f>
        <v>Proposed 2018</v>
      </c>
      <c r="O7" s="26"/>
    </row>
    <row r="8" spans="1:29" x14ac:dyDescent="0.2">
      <c r="O8" s="51"/>
    </row>
    <row r="9" spans="1:29" x14ac:dyDescent="0.2">
      <c r="A9" s="21">
        <v>1</v>
      </c>
      <c r="C9" s="21" t="s">
        <v>188</v>
      </c>
      <c r="E9" s="47" t="s">
        <v>242</v>
      </c>
      <c r="G9" s="55">
        <v>42262.889974871898</v>
      </c>
      <c r="H9" s="55">
        <v>43897.442019999995</v>
      </c>
      <c r="I9" s="55">
        <v>41245</v>
      </c>
      <c r="J9" s="55">
        <v>41855.427067248616</v>
      </c>
      <c r="K9" s="55">
        <v>42686.221000000005</v>
      </c>
      <c r="L9" s="55">
        <v>49201.647952377738</v>
      </c>
      <c r="M9" s="27"/>
      <c r="N9" s="55">
        <v>49793.562824010733</v>
      </c>
      <c r="O9" s="98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</row>
    <row r="10" spans="1:29" x14ac:dyDescent="0.2">
      <c r="O10" s="51"/>
      <c r="S10" s="67"/>
      <c r="T10" s="67"/>
      <c r="U10" s="67"/>
      <c r="V10" s="67"/>
      <c r="W10" s="67"/>
      <c r="X10" s="67"/>
      <c r="Y10" s="67"/>
      <c r="Z10" s="67"/>
      <c r="AA10" s="67"/>
      <c r="AB10" s="67"/>
    </row>
    <row r="11" spans="1:29" x14ac:dyDescent="0.2">
      <c r="A11" s="21">
        <v>2</v>
      </c>
      <c r="C11" s="17" t="s">
        <v>104</v>
      </c>
      <c r="O11" s="51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29" x14ac:dyDescent="0.2">
      <c r="A12" s="21">
        <v>3</v>
      </c>
      <c r="C12" s="21" t="s">
        <v>59</v>
      </c>
      <c r="E12" s="47" t="s">
        <v>209</v>
      </c>
      <c r="G12" s="55">
        <v>20843.807625559384</v>
      </c>
      <c r="H12" s="55">
        <v>22785.942859999999</v>
      </c>
      <c r="I12" s="55">
        <v>21051.803415000002</v>
      </c>
      <c r="J12" s="55">
        <v>21723.302069999998</v>
      </c>
      <c r="K12" s="55">
        <v>21811.756999999998</v>
      </c>
      <c r="L12" s="55">
        <v>23835.941951079658</v>
      </c>
      <c r="M12" s="55">
        <v>0</v>
      </c>
      <c r="N12" s="55">
        <v>23714.856181529012</v>
      </c>
      <c r="O12" s="98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9" x14ac:dyDescent="0.2">
      <c r="A13" s="21">
        <v>4</v>
      </c>
      <c r="C13" s="21" t="s">
        <v>60</v>
      </c>
      <c r="E13" s="47" t="s">
        <v>89</v>
      </c>
      <c r="G13" s="55">
        <v>326.40211583999996</v>
      </c>
      <c r="H13" s="55">
        <v>330.96499999999997</v>
      </c>
      <c r="I13" s="55">
        <v>331</v>
      </c>
      <c r="J13" s="55">
        <v>473</v>
      </c>
      <c r="K13" s="55">
        <v>686.43100000000004</v>
      </c>
      <c r="L13" s="55">
        <v>692.78601753333351</v>
      </c>
      <c r="M13" s="27"/>
      <c r="N13" s="55">
        <v>708.13965357545919</v>
      </c>
      <c r="O13" s="98"/>
      <c r="S13" s="67"/>
      <c r="T13" s="67"/>
      <c r="U13" s="67"/>
      <c r="V13" s="67"/>
      <c r="W13" s="67"/>
      <c r="X13" s="67"/>
      <c r="Y13" s="67"/>
      <c r="Z13" s="67"/>
      <c r="AA13" s="67"/>
      <c r="AB13" s="67"/>
    </row>
    <row r="14" spans="1:29" x14ac:dyDescent="0.2">
      <c r="A14" s="21">
        <v>5</v>
      </c>
      <c r="C14" s="21" t="s">
        <v>137</v>
      </c>
      <c r="E14" s="47" t="s">
        <v>159</v>
      </c>
      <c r="G14" s="55">
        <v>3462.1635779999997</v>
      </c>
      <c r="H14" s="55">
        <v>4561.385150000001</v>
      </c>
      <c r="I14" s="55">
        <v>2846.0891999999994</v>
      </c>
      <c r="J14" s="55">
        <v>2764.4429599999999</v>
      </c>
      <c r="K14" s="55">
        <v>1581.4649999999999</v>
      </c>
      <c r="L14" s="55">
        <v>4507.1018610000001</v>
      </c>
      <c r="M14" s="27"/>
      <c r="N14" s="55">
        <v>5063.0199209999992</v>
      </c>
      <c r="O14" s="98"/>
      <c r="S14" s="67"/>
      <c r="T14" s="67"/>
      <c r="U14" s="67"/>
      <c r="V14" s="67"/>
      <c r="W14" s="67"/>
      <c r="X14" s="67"/>
      <c r="Y14" s="67"/>
      <c r="Z14" s="67"/>
      <c r="AA14" s="67"/>
      <c r="AB14" s="67"/>
    </row>
    <row r="15" spans="1:29" x14ac:dyDescent="0.2">
      <c r="A15" s="21">
        <v>6</v>
      </c>
      <c r="C15" s="21" t="s">
        <v>161</v>
      </c>
      <c r="E15" s="47" t="s">
        <v>162</v>
      </c>
      <c r="G15" s="55">
        <v>226.09889199999998</v>
      </c>
      <c r="H15" s="55">
        <v>226</v>
      </c>
      <c r="I15" s="55">
        <v>226</v>
      </c>
      <c r="J15" s="55">
        <v>226</v>
      </c>
      <c r="K15" s="55">
        <v>226</v>
      </c>
      <c r="L15" s="55">
        <v>478.93700000000001</v>
      </c>
      <c r="M15" s="27"/>
      <c r="N15" s="55">
        <v>478.93700000000001</v>
      </c>
      <c r="O15" s="98"/>
      <c r="S15" s="67"/>
      <c r="T15" s="67"/>
      <c r="U15" s="67"/>
      <c r="V15" s="67"/>
      <c r="W15" s="67"/>
      <c r="X15" s="67"/>
      <c r="Y15" s="67"/>
      <c r="Z15" s="67"/>
      <c r="AA15" s="67"/>
      <c r="AB15" s="67"/>
    </row>
    <row r="16" spans="1:29" x14ac:dyDescent="0.2">
      <c r="A16" s="21">
        <v>7</v>
      </c>
      <c r="C16" s="21" t="s">
        <v>100</v>
      </c>
      <c r="E16" s="47" t="s">
        <v>111</v>
      </c>
      <c r="G16" s="55">
        <v>8988.5451721392983</v>
      </c>
      <c r="H16" s="55">
        <v>8893.6523100000068</v>
      </c>
      <c r="I16" s="55">
        <v>8906.2113099999988</v>
      </c>
      <c r="J16" s="55">
        <v>9828.0187700000024</v>
      </c>
      <c r="K16" s="55">
        <v>10615.04</v>
      </c>
      <c r="L16" s="55">
        <v>12322.850279999999</v>
      </c>
      <c r="M16" s="27"/>
      <c r="N16" s="55">
        <v>12195.95357</v>
      </c>
      <c r="O16" s="98"/>
      <c r="S16" s="67"/>
      <c r="T16" s="67"/>
      <c r="U16" s="67"/>
      <c r="V16" s="67"/>
      <c r="W16" s="67"/>
      <c r="X16" s="67"/>
      <c r="Y16" s="67"/>
      <c r="Z16" s="67"/>
      <c r="AA16" s="67"/>
      <c r="AB16" s="67"/>
    </row>
    <row r="17" spans="1:28" ht="25.5" x14ac:dyDescent="0.2">
      <c r="A17" s="163">
        <v>8</v>
      </c>
      <c r="B17" s="160"/>
      <c r="C17" s="164" t="s">
        <v>223</v>
      </c>
      <c r="D17" s="160"/>
      <c r="E17" s="160" t="s">
        <v>163</v>
      </c>
      <c r="F17" s="160"/>
      <c r="G17" s="161">
        <v>-3830.8182867079995</v>
      </c>
      <c r="H17" s="161">
        <v>-3938.6859599999989</v>
      </c>
      <c r="I17" s="161">
        <v>-3953.0807499999955</v>
      </c>
      <c r="J17" s="161">
        <v>-3886</v>
      </c>
      <c r="K17" s="161">
        <v>-4364.4110000000001</v>
      </c>
      <c r="L17" s="161">
        <v>-5800.5451300000004</v>
      </c>
      <c r="M17" s="162"/>
      <c r="N17" s="161">
        <v>-5913.6934499999998</v>
      </c>
      <c r="O17" s="98"/>
      <c r="S17" s="67"/>
      <c r="T17" s="67"/>
      <c r="U17" s="67"/>
      <c r="V17" s="67"/>
      <c r="W17" s="67"/>
      <c r="X17" s="67"/>
      <c r="Y17" s="67"/>
      <c r="Z17" s="67"/>
      <c r="AA17" s="67"/>
      <c r="AB17" s="67"/>
    </row>
    <row r="18" spans="1:28" x14ac:dyDescent="0.2">
      <c r="G18" s="45"/>
      <c r="H18" s="45"/>
      <c r="I18" s="45"/>
      <c r="J18" s="45"/>
      <c r="K18" s="45"/>
      <c r="L18" s="45"/>
      <c r="M18" s="27"/>
      <c r="N18" s="45"/>
      <c r="O18" s="98"/>
      <c r="S18" s="67"/>
      <c r="T18" s="67"/>
      <c r="U18" s="67"/>
      <c r="V18" s="67"/>
      <c r="W18" s="67"/>
      <c r="X18" s="67"/>
      <c r="Y18" s="67"/>
      <c r="Z18" s="67"/>
      <c r="AA18" s="67"/>
      <c r="AB18" s="67"/>
    </row>
    <row r="19" spans="1:28" s="20" customFormat="1" x14ac:dyDescent="0.2">
      <c r="A19" s="20">
        <v>9</v>
      </c>
      <c r="C19" s="20" t="s">
        <v>36</v>
      </c>
      <c r="E19" s="63"/>
      <c r="G19" s="121">
        <f t="shared" ref="G19:L19" si="0">SUM(G12:G14)+G16+G17+G15+G18</f>
        <v>30016.199096830678</v>
      </c>
      <c r="H19" s="121">
        <f t="shared" si="0"/>
        <v>32859.259360000011</v>
      </c>
      <c r="I19" s="121">
        <f t="shared" si="0"/>
        <v>29408.023175000009</v>
      </c>
      <c r="J19" s="121">
        <f t="shared" si="0"/>
        <v>31128.763800000001</v>
      </c>
      <c r="K19" s="121">
        <f t="shared" si="0"/>
        <v>30556.281999999999</v>
      </c>
      <c r="L19" s="121">
        <f t="shared" si="0"/>
        <v>36037.071979612992</v>
      </c>
      <c r="M19" s="70"/>
      <c r="N19" s="121">
        <f>SUM(N12:N14)+N16+N17+N15+N18</f>
        <v>36247.212876104466</v>
      </c>
      <c r="O19" s="28"/>
      <c r="S19" s="67"/>
      <c r="T19" s="67"/>
      <c r="U19" s="67"/>
      <c r="V19" s="67"/>
      <c r="W19" s="67"/>
      <c r="X19" s="67"/>
      <c r="Y19" s="67"/>
      <c r="Z19" s="67"/>
      <c r="AA19" s="67"/>
      <c r="AB19" s="67"/>
    </row>
    <row r="20" spans="1:28" x14ac:dyDescent="0.2">
      <c r="C20" s="21" t="s">
        <v>142</v>
      </c>
      <c r="O20" s="51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1:28" x14ac:dyDescent="0.2">
      <c r="A21" s="20">
        <f>A19+1</f>
        <v>10</v>
      </c>
      <c r="C21" s="17" t="s">
        <v>105</v>
      </c>
      <c r="G21" s="122">
        <f t="shared" ref="G21:L21" si="1">SUM(G9-G19)</f>
        <v>12246.69087804122</v>
      </c>
      <c r="H21" s="122">
        <f t="shared" si="1"/>
        <v>11038.182659999984</v>
      </c>
      <c r="I21" s="122">
        <f t="shared" si="1"/>
        <v>11836.976824999991</v>
      </c>
      <c r="J21" s="122">
        <f t="shared" si="1"/>
        <v>10726.663267248616</v>
      </c>
      <c r="K21" s="122">
        <f t="shared" si="1"/>
        <v>12129.939000000006</v>
      </c>
      <c r="L21" s="122">
        <f t="shared" si="1"/>
        <v>13164.575972764746</v>
      </c>
      <c r="M21" s="123"/>
      <c r="N21" s="122">
        <f>SUM(N9-N19)</f>
        <v>13546.349947906267</v>
      </c>
      <c r="O21" s="51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1:28" x14ac:dyDescent="0.2">
      <c r="O22" s="51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x14ac:dyDescent="0.2">
      <c r="A23" s="20">
        <f>A21+1</f>
        <v>11</v>
      </c>
      <c r="C23" s="17" t="s">
        <v>106</v>
      </c>
      <c r="O23" s="51"/>
      <c r="S23" s="67"/>
      <c r="T23" s="67"/>
      <c r="U23" s="67"/>
      <c r="V23" s="67"/>
      <c r="W23" s="67"/>
      <c r="X23" s="67"/>
      <c r="Y23" s="67"/>
      <c r="Z23" s="67"/>
      <c r="AA23" s="67"/>
      <c r="AB23" s="67"/>
    </row>
    <row r="24" spans="1:28" x14ac:dyDescent="0.2">
      <c r="A24" s="20">
        <f>A23+1</f>
        <v>12</v>
      </c>
      <c r="C24" s="21" t="s">
        <v>107</v>
      </c>
      <c r="E24" s="47" t="s">
        <v>210</v>
      </c>
      <c r="G24" s="55">
        <v>500</v>
      </c>
      <c r="H24" s="55">
        <v>926.82899999999995</v>
      </c>
      <c r="I24" s="55">
        <v>1188</v>
      </c>
      <c r="J24" s="55">
        <v>714</v>
      </c>
      <c r="K24" s="55">
        <v>819.38300000000004</v>
      </c>
      <c r="L24" s="55">
        <v>465.60369999999995</v>
      </c>
      <c r="M24" s="55"/>
      <c r="N24" s="55">
        <v>542.43396758909967</v>
      </c>
      <c r="O24" s="98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1:28" x14ac:dyDescent="0.2">
      <c r="A25" s="20">
        <f t="shared" ref="A25:A26" si="2">A24+1</f>
        <v>13</v>
      </c>
      <c r="C25" s="21" t="s">
        <v>192</v>
      </c>
      <c r="E25" s="47" t="s">
        <v>211</v>
      </c>
      <c r="G25" s="55">
        <v>-22.602739726027398</v>
      </c>
      <c r="H25" s="55">
        <v>-491.928</v>
      </c>
      <c r="I25" s="55">
        <v>-86.138009374510673</v>
      </c>
      <c r="J25" s="55">
        <v>-97.515433072998192</v>
      </c>
      <c r="K25" s="55">
        <v>-1591.86</v>
      </c>
      <c r="L25" s="55">
        <v>-284.56589221544886</v>
      </c>
      <c r="M25" s="55"/>
      <c r="N25" s="55">
        <v>-514.86460431913849</v>
      </c>
      <c r="O25" s="51"/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1:28" x14ac:dyDescent="0.2">
      <c r="A26" s="20">
        <f t="shared" si="2"/>
        <v>14</v>
      </c>
      <c r="C26" s="21" t="s">
        <v>36</v>
      </c>
      <c r="G26" s="79">
        <f t="shared" ref="G26:K26" si="3">SUM(G24+G25)</f>
        <v>477.39726027397262</v>
      </c>
      <c r="H26" s="79">
        <f t="shared" si="3"/>
        <v>434.90099999999995</v>
      </c>
      <c r="I26" s="79">
        <f t="shared" si="3"/>
        <v>1101.8619906254894</v>
      </c>
      <c r="J26" s="79">
        <f t="shared" si="3"/>
        <v>616.48456692700177</v>
      </c>
      <c r="K26" s="79">
        <f t="shared" si="3"/>
        <v>-772.47699999999986</v>
      </c>
      <c r="L26" s="79">
        <f t="shared" ref="L26" si="4">SUM(L24+L25)</f>
        <v>181.03780778455109</v>
      </c>
      <c r="M26" s="27"/>
      <c r="N26" s="79">
        <f>SUM(N24+N25)</f>
        <v>27.569363269961173</v>
      </c>
      <c r="O26" s="98"/>
      <c r="S26" s="67"/>
      <c r="T26" s="67"/>
      <c r="U26" s="67"/>
      <c r="V26" s="67"/>
      <c r="W26" s="67"/>
      <c r="X26" s="67"/>
      <c r="Y26" s="67"/>
      <c r="Z26" s="67"/>
      <c r="AA26" s="67"/>
      <c r="AB26" s="67"/>
    </row>
    <row r="27" spans="1:28" x14ac:dyDescent="0.2">
      <c r="O27" s="51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1:28" x14ac:dyDescent="0.2">
      <c r="A28" s="20">
        <f>A26+1</f>
        <v>15</v>
      </c>
      <c r="C28" s="17" t="s">
        <v>108</v>
      </c>
      <c r="O28" s="51"/>
      <c r="S28" s="67"/>
      <c r="T28" s="67"/>
      <c r="U28" s="67"/>
      <c r="V28" s="67"/>
      <c r="W28" s="67"/>
      <c r="X28" s="67"/>
      <c r="Y28" s="67"/>
      <c r="Z28" s="67"/>
      <c r="AA28" s="67"/>
      <c r="AB28" s="67"/>
    </row>
    <row r="29" spans="1:28" x14ac:dyDescent="0.2">
      <c r="A29" s="20">
        <f>A28+1</f>
        <v>16</v>
      </c>
      <c r="C29" s="21" t="s">
        <v>109</v>
      </c>
      <c r="E29" s="47" t="s">
        <v>212</v>
      </c>
      <c r="G29" s="27">
        <v>4917.2862240983786</v>
      </c>
      <c r="H29" s="27">
        <v>4128</v>
      </c>
      <c r="I29" s="27">
        <v>5225.342419175272</v>
      </c>
      <c r="J29" s="27">
        <v>3662.4169507675865</v>
      </c>
      <c r="K29" s="27">
        <v>3356</v>
      </c>
      <c r="L29" s="27">
        <v>3880.0585452510518</v>
      </c>
      <c r="M29" s="27"/>
      <c r="N29" s="45">
        <v>4431.4970682795647</v>
      </c>
      <c r="O29" s="98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1:28" x14ac:dyDescent="0.2">
      <c r="A30" s="20">
        <f t="shared" ref="A30" si="5">A29+1</f>
        <v>17</v>
      </c>
      <c r="C30" s="21" t="s">
        <v>36</v>
      </c>
      <c r="G30" s="79">
        <f t="shared" ref="G30:K30" si="6">SUM(G29:G29)</f>
        <v>4917.2862240983786</v>
      </c>
      <c r="H30" s="79">
        <f t="shared" si="6"/>
        <v>4128</v>
      </c>
      <c r="I30" s="79">
        <f t="shared" si="6"/>
        <v>5225.342419175272</v>
      </c>
      <c r="J30" s="79">
        <f t="shared" si="6"/>
        <v>3662.4169507675865</v>
      </c>
      <c r="K30" s="79">
        <f t="shared" si="6"/>
        <v>3356</v>
      </c>
      <c r="L30" s="79">
        <f t="shared" ref="L30" si="7">SUM(L29:L29)</f>
        <v>3880.0585452510518</v>
      </c>
      <c r="M30" s="27"/>
      <c r="N30" s="79">
        <f>SUM(N29:N29)</f>
        <v>4431.4970682795647</v>
      </c>
      <c r="O30" s="98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1:28" x14ac:dyDescent="0.2">
      <c r="E31" s="23"/>
      <c r="O31" s="51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1:28" ht="13.5" thickBot="1" x14ac:dyDescent="0.25">
      <c r="A32" s="20">
        <f>A30+1</f>
        <v>18</v>
      </c>
      <c r="C32" s="17" t="s">
        <v>110</v>
      </c>
      <c r="E32" s="47" t="s">
        <v>220</v>
      </c>
      <c r="G32" s="86">
        <f t="shared" ref="G32:K32" si="8">SUM(G21+G26-G30)</f>
        <v>7806.8019142168132</v>
      </c>
      <c r="H32" s="86">
        <f t="shared" si="8"/>
        <v>7345.0836599999839</v>
      </c>
      <c r="I32" s="86">
        <f t="shared" si="8"/>
        <v>7713.4963964502085</v>
      </c>
      <c r="J32" s="86">
        <f t="shared" si="8"/>
        <v>7680.7308834080304</v>
      </c>
      <c r="K32" s="86">
        <f t="shared" si="8"/>
        <v>8001.4620000000068</v>
      </c>
      <c r="L32" s="86">
        <f t="shared" ref="L32" si="9">SUM(L21+L26-L30)</f>
        <v>9465.555235298245</v>
      </c>
      <c r="M32" s="84"/>
      <c r="N32" s="86">
        <f>SUM(N21+N26-N30)</f>
        <v>9142.4222428966623</v>
      </c>
      <c r="O32" s="98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15" x14ac:dyDescent="0.2">
      <c r="A33" s="21" t="s">
        <v>142</v>
      </c>
      <c r="C33" s="21" t="s">
        <v>142</v>
      </c>
      <c r="G33" s="101"/>
      <c r="H33" s="101"/>
      <c r="I33" s="101"/>
      <c r="J33" s="101"/>
      <c r="K33" s="101"/>
      <c r="L33" s="101"/>
      <c r="M33" s="124"/>
      <c r="N33" s="51"/>
      <c r="O33" s="51"/>
    </row>
    <row r="34" spans="1:15" x14ac:dyDescent="0.2">
      <c r="A34" s="64"/>
      <c r="C34" s="192" t="s">
        <v>243</v>
      </c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51"/>
      <c r="O34" s="51"/>
    </row>
    <row r="35" spans="1:15" x14ac:dyDescent="0.2">
      <c r="C35" s="190" t="s">
        <v>217</v>
      </c>
      <c r="D35" s="190"/>
      <c r="E35" s="190"/>
      <c r="F35" s="190"/>
      <c r="G35" s="190"/>
      <c r="H35" s="190"/>
      <c r="I35" s="190"/>
      <c r="J35" s="190"/>
      <c r="K35" s="190"/>
      <c r="L35" s="190"/>
      <c r="M35" s="190"/>
    </row>
    <row r="36" spans="1:15" x14ac:dyDescent="0.2">
      <c r="G36" s="125"/>
      <c r="H36" s="125"/>
      <c r="I36" s="125"/>
      <c r="J36" s="125"/>
      <c r="K36" s="125"/>
      <c r="L36" s="125"/>
      <c r="M36" s="126"/>
    </row>
    <row r="37" spans="1:15" x14ac:dyDescent="0.2">
      <c r="G37" s="20"/>
      <c r="H37" s="20"/>
      <c r="I37" s="20"/>
      <c r="J37" s="20"/>
      <c r="K37" s="20"/>
      <c r="L37" s="20"/>
    </row>
    <row r="38" spans="1:15" x14ac:dyDescent="0.2">
      <c r="G38" s="101"/>
      <c r="H38" s="101"/>
      <c r="I38" s="101"/>
      <c r="J38" s="101"/>
      <c r="K38" s="101"/>
      <c r="L38" s="101"/>
      <c r="M38" s="101"/>
    </row>
    <row r="39" spans="1:15" x14ac:dyDescent="0.2">
      <c r="C39" s="14" t="s">
        <v>142</v>
      </c>
      <c r="G39" s="101"/>
      <c r="H39" s="101"/>
      <c r="I39" s="101"/>
      <c r="J39" s="101"/>
      <c r="K39" s="101"/>
      <c r="L39" s="101"/>
      <c r="M39" s="101"/>
      <c r="O39" s="40"/>
    </row>
    <row r="40" spans="1:15" x14ac:dyDescent="0.2">
      <c r="C40" s="14" t="s">
        <v>142</v>
      </c>
      <c r="G40" s="101"/>
      <c r="H40" s="101"/>
      <c r="I40" s="101"/>
      <c r="J40" s="101"/>
      <c r="K40" s="101"/>
      <c r="L40" s="101"/>
      <c r="M40" s="101"/>
      <c r="O40" s="40"/>
    </row>
    <row r="41" spans="1:15" x14ac:dyDescent="0.2">
      <c r="G41" s="101"/>
      <c r="H41" s="101"/>
      <c r="I41" s="101"/>
      <c r="J41" s="101"/>
      <c r="K41" s="101"/>
      <c r="L41" s="101"/>
      <c r="M41" s="101"/>
    </row>
    <row r="42" spans="1:15" x14ac:dyDescent="0.2">
      <c r="G42" s="101"/>
      <c r="H42" s="101"/>
      <c r="I42" s="101"/>
      <c r="J42" s="101"/>
      <c r="K42" s="101"/>
      <c r="L42" s="101"/>
      <c r="M42" s="101"/>
    </row>
    <row r="43" spans="1:15" x14ac:dyDescent="0.2">
      <c r="G43" s="101"/>
      <c r="H43" s="101"/>
      <c r="I43" s="101"/>
      <c r="J43" s="101"/>
      <c r="K43" s="101"/>
      <c r="L43" s="101"/>
      <c r="M43" s="101"/>
    </row>
  </sheetData>
  <mergeCells count="2">
    <mergeCell ref="C34:M34"/>
    <mergeCell ref="C35:M35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39997558519241921"/>
    <pageSetUpPr fitToPage="1"/>
  </sheetPr>
  <dimension ref="A1:AB29"/>
  <sheetViews>
    <sheetView view="pageBreakPreview" zoomScaleSheetLayoutView="100" workbookViewId="0">
      <selection activeCell="C6" sqref="C6"/>
    </sheetView>
  </sheetViews>
  <sheetFormatPr defaultRowHeight="12.75" x14ac:dyDescent="0.2"/>
  <cols>
    <col min="1" max="1" width="5.28515625" style="21" customWidth="1"/>
    <col min="2" max="2" width="1.85546875" style="12" customWidth="1"/>
    <col min="3" max="3" width="31.85546875" style="12" customWidth="1"/>
    <col min="4" max="4" width="1.85546875" style="12" customWidth="1"/>
    <col min="5" max="5" width="9.140625" style="47"/>
    <col min="6" max="6" width="1.85546875" style="12" customWidth="1"/>
    <col min="7" max="7" width="10.42578125" style="12" customWidth="1"/>
    <col min="8" max="12" width="9.42578125" style="12" customWidth="1"/>
    <col min="13" max="13" width="1.42578125" style="48" customWidth="1"/>
    <col min="14" max="14" width="10.28515625" style="12" customWidth="1"/>
    <col min="15" max="15" width="11.28515625" style="12" customWidth="1"/>
    <col min="16" max="16384" width="9.140625" style="12"/>
  </cols>
  <sheetData>
    <row r="1" spans="1:28" ht="15.75" x14ac:dyDescent="0.25">
      <c r="A1" s="178" t="s">
        <v>269</v>
      </c>
      <c r="N1" s="49" t="s">
        <v>18</v>
      </c>
    </row>
    <row r="2" spans="1:28" x14ac:dyDescent="0.2">
      <c r="A2" s="179" t="s">
        <v>19</v>
      </c>
      <c r="N2" s="50" t="str">
        <f>Index!F2</f>
        <v>February 25, 2019</v>
      </c>
    </row>
    <row r="3" spans="1:28" x14ac:dyDescent="0.2">
      <c r="A3" s="179" t="s">
        <v>7</v>
      </c>
    </row>
    <row r="4" spans="1:28" x14ac:dyDescent="0.2">
      <c r="N4" s="48"/>
      <c r="O4" s="48"/>
    </row>
    <row r="5" spans="1:28" x14ac:dyDescent="0.2">
      <c r="N5" s="48"/>
      <c r="O5" s="48"/>
    </row>
    <row r="6" spans="1:28" s="46" customFormat="1" x14ac:dyDescent="0.2">
      <c r="A6" s="47"/>
      <c r="E6" s="47"/>
      <c r="G6" s="72"/>
      <c r="H6" s="72"/>
      <c r="I6" s="72"/>
      <c r="J6" s="72"/>
      <c r="K6" s="72"/>
      <c r="L6" s="72"/>
      <c r="M6" s="72"/>
      <c r="N6" s="187" t="s">
        <v>3</v>
      </c>
    </row>
    <row r="7" spans="1:28" s="2" customFormat="1" ht="25.5" x14ac:dyDescent="0.2">
      <c r="A7" s="15" t="s">
        <v>0</v>
      </c>
      <c r="C7" s="1" t="s">
        <v>1</v>
      </c>
      <c r="E7" s="15" t="s">
        <v>2</v>
      </c>
      <c r="G7" s="15" t="s">
        <v>227</v>
      </c>
      <c r="H7" s="15" t="s">
        <v>228</v>
      </c>
      <c r="I7" s="15" t="s">
        <v>229</v>
      </c>
      <c r="J7" s="15" t="s">
        <v>230</v>
      </c>
      <c r="K7" s="15" t="s">
        <v>261</v>
      </c>
      <c r="L7" s="15" t="str">
        <f>'Schedule 1'!$L$10</f>
        <v>Proposed 2017</v>
      </c>
      <c r="M7" s="26"/>
      <c r="N7" s="15" t="str">
        <f>'Schedule 1'!$N$10</f>
        <v>Proposed 2018</v>
      </c>
      <c r="O7" s="10"/>
    </row>
    <row r="8" spans="1:28" x14ac:dyDescent="0.2">
      <c r="G8" s="21"/>
      <c r="H8" s="21"/>
      <c r="I8" s="21"/>
      <c r="J8" s="21"/>
      <c r="K8" s="21"/>
      <c r="L8" s="21"/>
      <c r="M8" s="51"/>
      <c r="N8" s="21"/>
      <c r="O8" s="48"/>
    </row>
    <row r="9" spans="1:28" x14ac:dyDescent="0.2">
      <c r="A9" s="21">
        <v>1</v>
      </c>
      <c r="C9" s="12" t="s">
        <v>75</v>
      </c>
      <c r="G9" s="55">
        <v>37269.587100565957</v>
      </c>
      <c r="H9" s="55">
        <v>35039.834000000003</v>
      </c>
      <c r="I9" s="55">
        <f t="shared" ref="I9" si="0">H19</f>
        <v>35433.917659999985</v>
      </c>
      <c r="J9" s="55">
        <f t="shared" ref="J9" si="1">I19</f>
        <v>43147.414056450194</v>
      </c>
      <c r="K9" s="55">
        <f t="shared" ref="K9:L9" si="2">J19</f>
        <v>46307.144939858226</v>
      </c>
      <c r="L9" s="55">
        <f t="shared" si="2"/>
        <v>51037.409481141745</v>
      </c>
      <c r="M9" s="27"/>
      <c r="N9" s="55">
        <f>L19</f>
        <v>60754.751716439991</v>
      </c>
      <c r="O9" s="48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</row>
    <row r="10" spans="1:28" x14ac:dyDescent="0.2">
      <c r="G10" s="21"/>
      <c r="H10" s="21"/>
      <c r="I10" s="21"/>
      <c r="J10" s="21"/>
      <c r="K10" s="21"/>
      <c r="L10" s="21"/>
      <c r="M10" s="51"/>
      <c r="N10" s="21"/>
      <c r="O10" s="48"/>
      <c r="R10" s="62"/>
      <c r="S10" s="62"/>
      <c r="T10" s="62"/>
      <c r="U10" s="62"/>
      <c r="V10" s="62"/>
      <c r="W10" s="62"/>
      <c r="X10" s="62"/>
      <c r="Y10" s="62"/>
      <c r="Z10" s="62"/>
      <c r="AA10" s="62"/>
    </row>
    <row r="11" spans="1:28" x14ac:dyDescent="0.2">
      <c r="C11" s="12" t="s">
        <v>47</v>
      </c>
      <c r="G11" s="21"/>
      <c r="H11" s="21"/>
      <c r="I11" s="21"/>
      <c r="J11" s="21"/>
      <c r="K11" s="21"/>
      <c r="L11" s="21"/>
      <c r="M11" s="51"/>
      <c r="N11" s="21"/>
      <c r="O11" s="48"/>
      <c r="R11" s="62"/>
      <c r="S11" s="62"/>
      <c r="T11" s="62"/>
      <c r="U11" s="62"/>
      <c r="V11" s="62"/>
      <c r="W11" s="62"/>
      <c r="X11" s="62"/>
      <c r="Y11" s="62"/>
      <c r="Z11" s="62"/>
      <c r="AA11" s="62"/>
    </row>
    <row r="12" spans="1:28" x14ac:dyDescent="0.2">
      <c r="A12" s="21">
        <v>2</v>
      </c>
      <c r="C12" s="12" t="s">
        <v>110</v>
      </c>
      <c r="E12" s="47" t="s">
        <v>221</v>
      </c>
      <c r="G12" s="27">
        <f>'Schedule 6'!G32</f>
        <v>7806.8019142168132</v>
      </c>
      <c r="H12" s="27">
        <f>'Schedule 6'!H32</f>
        <v>7345.0836599999839</v>
      </c>
      <c r="I12" s="27">
        <f>'Schedule 6'!I32</f>
        <v>7713.4963964502085</v>
      </c>
      <c r="J12" s="27">
        <f>'Schedule 6'!J32</f>
        <v>7680.7308834080304</v>
      </c>
      <c r="K12" s="27">
        <f>'Schedule 6'!K32</f>
        <v>8001.4620000000068</v>
      </c>
      <c r="L12" s="27">
        <f>'Schedule 6'!L32</f>
        <v>9465.555235298245</v>
      </c>
      <c r="M12" s="27"/>
      <c r="N12" s="27">
        <f>'Schedule 6'!N32</f>
        <v>9142.4222428966623</v>
      </c>
      <c r="O12" s="61"/>
      <c r="R12" s="62"/>
      <c r="S12" s="62"/>
      <c r="T12" s="62"/>
      <c r="U12" s="62"/>
      <c r="V12" s="62"/>
      <c r="W12" s="62"/>
      <c r="X12" s="62"/>
      <c r="Y12" s="62"/>
      <c r="Z12" s="62"/>
      <c r="AA12" s="62"/>
    </row>
    <row r="13" spans="1:28" x14ac:dyDescent="0.2">
      <c r="A13" s="21">
        <v>3</v>
      </c>
      <c r="C13" s="12" t="s">
        <v>247</v>
      </c>
      <c r="G13" s="45">
        <v>0</v>
      </c>
      <c r="H13" s="45">
        <v>0</v>
      </c>
      <c r="I13" s="45">
        <v>0</v>
      </c>
      <c r="J13" s="45">
        <v>-4521</v>
      </c>
      <c r="K13" s="45">
        <v>-430.16</v>
      </c>
      <c r="L13" s="45">
        <v>251.78700000000001</v>
      </c>
      <c r="M13" s="27"/>
      <c r="N13" s="45">
        <v>1659.5409999999999</v>
      </c>
      <c r="O13" s="61"/>
      <c r="R13" s="62"/>
      <c r="S13" s="62"/>
      <c r="T13" s="62"/>
      <c r="U13" s="62"/>
      <c r="V13" s="62"/>
      <c r="W13" s="62"/>
      <c r="X13" s="62"/>
      <c r="Y13" s="62"/>
      <c r="Z13" s="62"/>
      <c r="AA13" s="62"/>
    </row>
    <row r="14" spans="1:28" x14ac:dyDescent="0.2">
      <c r="A14" s="21">
        <v>4</v>
      </c>
      <c r="C14" s="12" t="s">
        <v>245</v>
      </c>
      <c r="G14" s="55">
        <f>SUM(G9:G13)</f>
        <v>45076.38901478277</v>
      </c>
      <c r="H14" s="55">
        <f t="shared" ref="H14:L14" si="3">SUM(H9:H13)</f>
        <v>42384.917659999985</v>
      </c>
      <c r="I14" s="55">
        <f t="shared" si="3"/>
        <v>43147.414056450194</v>
      </c>
      <c r="J14" s="55">
        <f t="shared" si="3"/>
        <v>46307.144939858226</v>
      </c>
      <c r="K14" s="55">
        <f t="shared" si="3"/>
        <v>53878.44693985823</v>
      </c>
      <c r="L14" s="55">
        <f t="shared" si="3"/>
        <v>60754.751716439991</v>
      </c>
      <c r="M14" s="27"/>
      <c r="N14" s="55">
        <f>SUM(N9:N13)</f>
        <v>71556.714959336648</v>
      </c>
      <c r="O14" s="48"/>
      <c r="R14" s="62"/>
      <c r="S14" s="62"/>
      <c r="T14" s="62"/>
      <c r="U14" s="62"/>
      <c r="V14" s="62"/>
      <c r="W14" s="62"/>
      <c r="X14" s="62"/>
      <c r="Y14" s="62"/>
      <c r="Z14" s="62"/>
      <c r="AA14" s="62"/>
    </row>
    <row r="15" spans="1:28" x14ac:dyDescent="0.2">
      <c r="G15" s="21"/>
      <c r="H15" s="21"/>
      <c r="I15" s="21"/>
      <c r="J15" s="21"/>
      <c r="K15" s="21"/>
      <c r="L15" s="21"/>
      <c r="M15" s="51"/>
      <c r="N15" s="21"/>
      <c r="O15" s="48"/>
      <c r="R15" s="62"/>
      <c r="S15" s="62"/>
      <c r="T15" s="62"/>
      <c r="U15" s="62"/>
      <c r="V15" s="62"/>
      <c r="W15" s="62"/>
      <c r="X15" s="62"/>
      <c r="Y15" s="62"/>
      <c r="Z15" s="62"/>
      <c r="AA15" s="62"/>
    </row>
    <row r="16" spans="1:28" x14ac:dyDescent="0.2">
      <c r="C16" s="12" t="s">
        <v>112</v>
      </c>
      <c r="G16" s="21"/>
      <c r="H16" s="21"/>
      <c r="I16" s="21"/>
      <c r="J16" s="21"/>
      <c r="K16" s="21"/>
      <c r="L16" s="21"/>
      <c r="M16" s="51"/>
      <c r="N16" s="21"/>
      <c r="O16" s="48"/>
      <c r="R16" s="62"/>
      <c r="S16" s="62"/>
      <c r="T16" s="62"/>
      <c r="U16" s="62"/>
      <c r="V16" s="62"/>
      <c r="W16" s="62"/>
      <c r="X16" s="62"/>
      <c r="Y16" s="62"/>
      <c r="Z16" s="62"/>
      <c r="AA16" s="62"/>
    </row>
    <row r="17" spans="1:27" x14ac:dyDescent="0.2">
      <c r="A17" s="21">
        <v>5</v>
      </c>
      <c r="C17" s="21" t="s">
        <v>226</v>
      </c>
      <c r="G17" s="45">
        <v>6332</v>
      </c>
      <c r="H17" s="45">
        <v>6951</v>
      </c>
      <c r="I17" s="45">
        <v>0</v>
      </c>
      <c r="J17" s="45">
        <v>0</v>
      </c>
      <c r="K17" s="45">
        <v>2841.0374587164843</v>
      </c>
      <c r="L17" s="45">
        <v>0</v>
      </c>
      <c r="M17" s="27"/>
      <c r="N17" s="45">
        <v>10413.969177296662</v>
      </c>
      <c r="O17" s="48"/>
      <c r="R17" s="62"/>
      <c r="S17" s="62"/>
      <c r="T17" s="62"/>
      <c r="U17" s="62"/>
      <c r="V17" s="62"/>
      <c r="W17" s="62"/>
      <c r="X17" s="62"/>
      <c r="Y17" s="62"/>
      <c r="Z17" s="62"/>
      <c r="AA17" s="62"/>
    </row>
    <row r="18" spans="1:27" x14ac:dyDescent="0.2">
      <c r="G18" s="21"/>
      <c r="H18" s="21"/>
      <c r="I18" s="21"/>
      <c r="J18" s="21"/>
      <c r="K18" s="21"/>
      <c r="L18" s="21"/>
      <c r="M18" s="51"/>
      <c r="N18" s="21"/>
      <c r="O18" s="48"/>
      <c r="R18" s="62"/>
      <c r="S18" s="62"/>
      <c r="T18" s="62"/>
      <c r="U18" s="62"/>
      <c r="V18" s="62"/>
      <c r="W18" s="62"/>
      <c r="X18" s="62"/>
      <c r="Y18" s="62"/>
      <c r="Z18" s="62"/>
      <c r="AA18" s="62"/>
    </row>
    <row r="19" spans="1:27" ht="13.5" thickBot="1" x14ac:dyDescent="0.25">
      <c r="A19" s="21">
        <v>6</v>
      </c>
      <c r="C19" s="12" t="s">
        <v>76</v>
      </c>
      <c r="G19" s="86">
        <f t="shared" ref="G19:K19" si="4">SUM(G14-G17)</f>
        <v>38744.38901478277</v>
      </c>
      <c r="H19" s="86">
        <f t="shared" si="4"/>
        <v>35433.917659999985</v>
      </c>
      <c r="I19" s="86">
        <f t="shared" si="4"/>
        <v>43147.414056450194</v>
      </c>
      <c r="J19" s="86">
        <f t="shared" si="4"/>
        <v>46307.144939858226</v>
      </c>
      <c r="K19" s="86">
        <f t="shared" si="4"/>
        <v>51037.409481141745</v>
      </c>
      <c r="L19" s="86">
        <f t="shared" ref="L19" si="5">SUM(L14-L17)</f>
        <v>60754.751716439991</v>
      </c>
      <c r="M19" s="84"/>
      <c r="N19" s="86">
        <f>SUM(N14-N17)</f>
        <v>61142.745782039987</v>
      </c>
      <c r="O19" s="48"/>
      <c r="R19" s="62"/>
      <c r="S19" s="62"/>
      <c r="T19" s="62"/>
      <c r="U19" s="62"/>
      <c r="V19" s="62"/>
      <c r="W19" s="62"/>
      <c r="X19" s="62"/>
      <c r="Y19" s="62"/>
      <c r="Z19" s="62"/>
      <c r="AA19" s="62"/>
    </row>
    <row r="20" spans="1:27" x14ac:dyDescent="0.2">
      <c r="G20" s="21"/>
      <c r="H20" s="21"/>
      <c r="I20" s="21"/>
      <c r="J20" s="21"/>
      <c r="K20" s="21"/>
      <c r="L20" s="21"/>
      <c r="M20" s="51"/>
      <c r="N20" s="21"/>
      <c r="O20" s="48"/>
      <c r="R20" s="62"/>
      <c r="S20" s="62"/>
      <c r="T20" s="62"/>
      <c r="U20" s="62"/>
      <c r="V20" s="62"/>
      <c r="W20" s="62"/>
      <c r="X20" s="62"/>
      <c r="Y20" s="62"/>
      <c r="Z20" s="62"/>
      <c r="AA20" s="62"/>
    </row>
    <row r="21" spans="1:27" x14ac:dyDescent="0.2">
      <c r="G21" s="21"/>
      <c r="H21" s="21"/>
      <c r="I21" s="21"/>
      <c r="J21" s="21"/>
      <c r="K21" s="21"/>
      <c r="L21" s="21"/>
      <c r="M21" s="51"/>
      <c r="N21" s="21"/>
      <c r="O21" s="48"/>
      <c r="R21" s="62"/>
      <c r="S21" s="62"/>
      <c r="T21" s="62"/>
      <c r="U21" s="62"/>
      <c r="V21" s="62"/>
      <c r="W21" s="62"/>
      <c r="X21" s="62"/>
      <c r="Y21" s="62"/>
      <c r="Z21" s="62"/>
      <c r="AA21" s="62"/>
    </row>
    <row r="22" spans="1:27" x14ac:dyDescent="0.2">
      <c r="B22" s="21"/>
      <c r="C22" s="17" t="s">
        <v>113</v>
      </c>
      <c r="G22" s="21"/>
      <c r="H22" s="21"/>
      <c r="I22" s="21"/>
      <c r="J22" s="21"/>
      <c r="K22" s="21"/>
      <c r="L22" s="21"/>
      <c r="M22" s="51"/>
      <c r="N22" s="21"/>
      <c r="R22" s="62"/>
      <c r="S22" s="62"/>
      <c r="T22" s="62"/>
      <c r="U22" s="62"/>
      <c r="V22" s="62"/>
      <c r="W22" s="62"/>
      <c r="X22" s="62"/>
      <c r="Y22" s="62"/>
      <c r="Z22" s="62"/>
      <c r="AA22" s="62"/>
    </row>
    <row r="23" spans="1:27" x14ac:dyDescent="0.2">
      <c r="A23" s="21">
        <f>A19+1</f>
        <v>7</v>
      </c>
      <c r="B23" s="21"/>
      <c r="C23" s="21" t="s">
        <v>114</v>
      </c>
      <c r="G23" s="55">
        <v>53600</v>
      </c>
      <c r="H23" s="55">
        <v>53600</v>
      </c>
      <c r="I23" s="55">
        <v>53600</v>
      </c>
      <c r="J23" s="55">
        <v>53600</v>
      </c>
      <c r="K23" s="55">
        <v>53600</v>
      </c>
      <c r="L23" s="55">
        <v>54036.480050760001</v>
      </c>
      <c r="M23" s="27"/>
      <c r="N23" s="55">
        <v>54036.480050760001</v>
      </c>
      <c r="R23" s="62"/>
      <c r="S23" s="62"/>
      <c r="T23" s="62"/>
      <c r="U23" s="62"/>
      <c r="V23" s="62"/>
      <c r="W23" s="62"/>
      <c r="X23" s="62"/>
      <c r="Y23" s="62"/>
      <c r="Z23" s="62"/>
      <c r="AA23" s="62"/>
    </row>
    <row r="24" spans="1:27" x14ac:dyDescent="0.2">
      <c r="A24" s="21">
        <f>A23+1</f>
        <v>8</v>
      </c>
      <c r="B24" s="21"/>
      <c r="C24" s="21" t="s">
        <v>115</v>
      </c>
      <c r="G24" s="27">
        <f t="shared" ref="G24:K24" si="6">G19</f>
        <v>38744.38901478277</v>
      </c>
      <c r="H24" s="27">
        <f t="shared" si="6"/>
        <v>35433.917659999985</v>
      </c>
      <c r="I24" s="27">
        <f t="shared" si="6"/>
        <v>43147.414056450194</v>
      </c>
      <c r="J24" s="27">
        <f t="shared" si="6"/>
        <v>46307.144939858226</v>
      </c>
      <c r="K24" s="27">
        <f t="shared" si="6"/>
        <v>51037.409481141745</v>
      </c>
      <c r="L24" s="27">
        <f t="shared" ref="L24" si="7">L19</f>
        <v>60754.751716439991</v>
      </c>
      <c r="M24" s="27"/>
      <c r="N24" s="27">
        <f>N19</f>
        <v>61142.745782039987</v>
      </c>
      <c r="R24" s="62"/>
      <c r="S24" s="62"/>
      <c r="T24" s="62"/>
      <c r="U24" s="62"/>
      <c r="V24" s="62"/>
      <c r="W24" s="62"/>
      <c r="X24" s="62"/>
      <c r="Y24" s="62"/>
      <c r="Z24" s="62"/>
      <c r="AA24" s="62"/>
    </row>
    <row r="25" spans="1:27" x14ac:dyDescent="0.2">
      <c r="A25" s="21">
        <f>A24+1</f>
        <v>9</v>
      </c>
      <c r="B25" s="21"/>
      <c r="C25" s="21" t="s">
        <v>36</v>
      </c>
      <c r="G25" s="79">
        <f t="shared" ref="G25:K25" si="8">SUM(G23:G24)</f>
        <v>92344.389014782762</v>
      </c>
      <c r="H25" s="79">
        <f t="shared" si="8"/>
        <v>89033.917659999977</v>
      </c>
      <c r="I25" s="79">
        <f t="shared" si="8"/>
        <v>96747.414056450187</v>
      </c>
      <c r="J25" s="79">
        <f t="shared" si="8"/>
        <v>99907.144939858234</v>
      </c>
      <c r="K25" s="79">
        <f t="shared" si="8"/>
        <v>104637.40948114175</v>
      </c>
      <c r="L25" s="79">
        <f t="shared" ref="L25" si="9">SUM(L23:L24)</f>
        <v>114791.23176719999</v>
      </c>
      <c r="M25" s="27"/>
      <c r="N25" s="79">
        <f>SUM(N23:N24)</f>
        <v>115179.22583279999</v>
      </c>
      <c r="R25" s="62"/>
      <c r="S25" s="62"/>
      <c r="T25" s="62"/>
      <c r="U25" s="62"/>
      <c r="V25" s="62"/>
      <c r="W25" s="62"/>
      <c r="X25" s="62"/>
      <c r="Y25" s="62"/>
      <c r="Z25" s="62"/>
      <c r="AA25" s="62"/>
    </row>
    <row r="26" spans="1:27" x14ac:dyDescent="0.2">
      <c r="R26" s="62"/>
      <c r="S26" s="62"/>
      <c r="T26" s="62"/>
      <c r="U26" s="62"/>
      <c r="V26" s="62"/>
      <c r="W26" s="62"/>
      <c r="X26" s="62"/>
      <c r="Y26" s="62"/>
      <c r="Z26" s="62"/>
      <c r="AA26" s="62"/>
    </row>
    <row r="28" spans="1:27" x14ac:dyDescent="0.2">
      <c r="C28" s="12" t="s">
        <v>205</v>
      </c>
    </row>
    <row r="29" spans="1:27" x14ac:dyDescent="0.2">
      <c r="C29" s="21" t="s">
        <v>238</v>
      </c>
      <c r="D29" s="21"/>
      <c r="F29" s="21"/>
      <c r="G29" s="21"/>
      <c r="H29" s="21"/>
      <c r="I29" s="21"/>
      <c r="J29" s="21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14</vt:i4>
      </vt:variant>
    </vt:vector>
  </HeadingPairs>
  <TitlesOfParts>
    <vt:vector size="27" baseType="lpstr">
      <vt:lpstr>Index</vt:lpstr>
      <vt:lpstr>Schedule 1</vt:lpstr>
      <vt:lpstr>Schedule 2</vt:lpstr>
      <vt:lpstr>Schedule 2A</vt:lpstr>
      <vt:lpstr>Schedule 3</vt:lpstr>
      <vt:lpstr>Schedule 4</vt:lpstr>
      <vt:lpstr>Schedule 5</vt:lpstr>
      <vt:lpstr>Schedule 6</vt:lpstr>
      <vt:lpstr>Schedule 7</vt:lpstr>
      <vt:lpstr>Schedule 8</vt:lpstr>
      <vt:lpstr>Schedule 9</vt:lpstr>
      <vt:lpstr>Schedule 10</vt:lpstr>
      <vt:lpstr>Schedule 11</vt:lpstr>
      <vt:lpstr>Index!Print_Area</vt:lpstr>
      <vt:lpstr>'Schedule 1'!Print_Area</vt:lpstr>
      <vt:lpstr>'Schedule 10'!Print_Area</vt:lpstr>
      <vt:lpstr>'Schedule 11'!Print_Area</vt:lpstr>
      <vt:lpstr>'Schedule 2'!Print_Area</vt:lpstr>
      <vt:lpstr>'Schedule 2A'!Print_Area</vt:lpstr>
      <vt:lpstr>'Schedule 3'!Print_Area</vt:lpstr>
      <vt:lpstr>'Schedule 4'!Print_Area</vt:lpstr>
      <vt:lpstr>'Schedule 5'!Print_Area</vt:lpstr>
      <vt:lpstr>'Schedule 6'!Print_Area</vt:lpstr>
      <vt:lpstr>'Schedule 7'!Print_Area</vt:lpstr>
      <vt:lpstr>'Schedule 8'!Print_Area</vt:lpstr>
      <vt:lpstr>'Schedule 9'!Print_Area</vt:lpstr>
      <vt:lpstr>'Schedule 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2019-02-23T03:30:19Z</dcterms:created>
  <dcterms:modified xsi:type="dcterms:W3CDTF">2019-02-25T02:48:21Z</dcterms:modified>
</cp:coreProperties>
</file>