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3320" yWindow="150" windowWidth="15465" windowHeight="12240" tabRatio="728" activeTab="1"/>
  </bookViews>
  <sheets>
    <sheet name="Index" sheetId="31" r:id="rId1"/>
    <sheet name="Schedule 1" sheetId="14" r:id="rId2"/>
    <sheet name="Schedule 2" sheetId="11" r:id="rId3"/>
    <sheet name="Schedule 2A" sheetId="12" r:id="rId4"/>
    <sheet name="Schedule 3" sheetId="13" r:id="rId5"/>
    <sheet name="Schedule 4" sheetId="29" r:id="rId6"/>
    <sheet name="Schedule 5" sheetId="18" r:id="rId7"/>
    <sheet name="Schedule 6" sheetId="19" r:id="rId8"/>
    <sheet name="Schedule 7" sheetId="20" r:id="rId9"/>
    <sheet name="Schedule 8" sheetId="23" r:id="rId10"/>
    <sheet name="Schedule 9" sheetId="25" r:id="rId11"/>
    <sheet name="Schedule 10" sheetId="27" r:id="rId12"/>
    <sheet name="Schedule 11" sheetId="36" r:id="rId13"/>
  </sheets>
  <definedNames>
    <definedName name="_xlnm.Print_Area" localSheetId="0">Index!$B$1:$J$31</definedName>
    <definedName name="_xlnm.Print_Area" localSheetId="1">'Schedule 1'!$A$1:$Q$57</definedName>
    <definedName name="_xlnm.Print_Area" localSheetId="11">'Schedule 10'!$A$1:$Q$36</definedName>
    <definedName name="_xlnm.Print_Area" localSheetId="12">'Schedule 11'!$A$1:$Q$50</definedName>
    <definedName name="_xlnm.Print_Area" localSheetId="2">'Schedule 2'!$A$1:$Q$22</definedName>
    <definedName name="_xlnm.Print_Area" localSheetId="3">'Schedule 2A'!$A$1:$Q$30</definedName>
    <definedName name="_xlnm.Print_Area" localSheetId="4">'Schedule 3'!$A$1:$Q$42</definedName>
    <definedName name="_xlnm.Print_Area" localSheetId="5">'Schedule 4'!$A$2:$P$46,'Schedule 4'!$A$48:$P$82,'Schedule 4'!$A$84:$P$110</definedName>
    <definedName name="_xlnm.Print_Area" localSheetId="6">'Schedule 5'!$A$1:$Q$29</definedName>
    <definedName name="_xlnm.Print_Area" localSheetId="7">'Schedule 6'!$A$1:$Q$35</definedName>
    <definedName name="_xlnm.Print_Area" localSheetId="8">'Schedule 7'!$A$1:$Q$29</definedName>
    <definedName name="_xlnm.Print_Area" localSheetId="9">'Schedule 8'!$A$1:$Q$24</definedName>
    <definedName name="_xlnm.Print_Area" localSheetId="10">'Schedule 9'!$A$1:$M$62</definedName>
    <definedName name="_xlnm.Print_Titles" localSheetId="1">'Schedule 1'!$1:$7</definedName>
  </definedNames>
  <calcPr calcId="152511"/>
</workbook>
</file>

<file path=xl/calcChain.xml><?xml version="1.0" encoding="utf-8"?>
<calcChain xmlns="http://schemas.openxmlformats.org/spreadsheetml/2006/main">
  <c r="Q23" i="13" l="1"/>
  <c r="P23" i="13"/>
  <c r="N23" i="13"/>
  <c r="M23" i="13"/>
  <c r="K23" i="13"/>
  <c r="J23" i="13"/>
  <c r="I23" i="13"/>
  <c r="H23" i="13"/>
  <c r="D27" i="31" l="1"/>
  <c r="C34" i="36" l="1"/>
  <c r="C35" i="36"/>
  <c r="C36" i="36"/>
  <c r="C37" i="36"/>
  <c r="C38" i="36"/>
  <c r="C39" i="36"/>
  <c r="C40" i="36"/>
  <c r="C41" i="36"/>
  <c r="C42" i="36"/>
  <c r="C43" i="36"/>
  <c r="C44" i="36"/>
  <c r="C45" i="36"/>
  <c r="C46" i="36"/>
  <c r="C33" i="36"/>
  <c r="H26" i="36" l="1"/>
  <c r="I17" i="27" l="1"/>
  <c r="J17" i="27"/>
  <c r="K17" i="27" l="1"/>
  <c r="H17" i="27" l="1"/>
  <c r="I17" i="18" l="1"/>
  <c r="J17" i="18"/>
  <c r="I18" i="18"/>
  <c r="J18" i="18"/>
  <c r="K18" i="18"/>
  <c r="I19" i="18"/>
  <c r="J19" i="18"/>
  <c r="K19" i="18"/>
  <c r="J20" i="18"/>
  <c r="K20" i="18"/>
  <c r="H20" i="18"/>
  <c r="H19" i="18"/>
  <c r="H18" i="18"/>
  <c r="H17" i="18"/>
  <c r="J21" i="18" l="1"/>
  <c r="K21" i="18"/>
  <c r="I21" i="18"/>
  <c r="I20" i="18"/>
  <c r="K17" i="18" l="1"/>
  <c r="G23" i="13" l="1"/>
  <c r="G21" i="18"/>
  <c r="G20" i="18"/>
  <c r="G19" i="18"/>
  <c r="G18" i="18"/>
  <c r="G17" i="18"/>
  <c r="G16" i="18"/>
  <c r="E58" i="25"/>
  <c r="O15" i="29"/>
  <c r="G13" i="12" l="1"/>
  <c r="G17" i="12" s="1"/>
  <c r="J10" i="11"/>
  <c r="J48" i="36"/>
  <c r="I48" i="36"/>
  <c r="G48" i="36"/>
  <c r="J26" i="36"/>
  <c r="K27" i="36" s="1"/>
  <c r="I26" i="36"/>
  <c r="J27" i="36" s="1"/>
  <c r="H31" i="27"/>
  <c r="I19" i="27"/>
  <c r="K19" i="27"/>
  <c r="J33" i="27"/>
  <c r="I33" i="27"/>
  <c r="H33" i="27"/>
  <c r="K19" i="23"/>
  <c r="J19" i="23"/>
  <c r="I19" i="23"/>
  <c r="H19" i="23"/>
  <c r="G19" i="23"/>
  <c r="G17" i="23"/>
  <c r="I12" i="23"/>
  <c r="J17" i="23"/>
  <c r="I17" i="23"/>
  <c r="H30" i="19"/>
  <c r="G30" i="19"/>
  <c r="K13" i="23"/>
  <c r="I26" i="19"/>
  <c r="H13" i="23"/>
  <c r="G13" i="23"/>
  <c r="K12" i="23"/>
  <c r="J12" i="23"/>
  <c r="H12" i="23"/>
  <c r="G12" i="23"/>
  <c r="K31" i="27"/>
  <c r="J31" i="27"/>
  <c r="I31" i="27"/>
  <c r="K32" i="27"/>
  <c r="J32" i="27"/>
  <c r="I32" i="27"/>
  <c r="H32" i="27"/>
  <c r="K18" i="23"/>
  <c r="J18" i="23"/>
  <c r="I18" i="23"/>
  <c r="H18" i="23"/>
  <c r="G18" i="23"/>
  <c r="K20" i="23"/>
  <c r="J20" i="23"/>
  <c r="I20" i="23"/>
  <c r="H20" i="23"/>
  <c r="G20" i="23"/>
  <c r="G10" i="11"/>
  <c r="G9" i="11"/>
  <c r="K35" i="13"/>
  <c r="G35" i="13"/>
  <c r="K34" i="13"/>
  <c r="J34" i="13"/>
  <c r="I34" i="13"/>
  <c r="H34" i="13"/>
  <c r="G34" i="13"/>
  <c r="I33" i="13"/>
  <c r="K28" i="13"/>
  <c r="G28" i="13"/>
  <c r="H27" i="13"/>
  <c r="I24" i="12"/>
  <c r="I28" i="12" s="1"/>
  <c r="H24" i="12"/>
  <c r="H28" i="12" s="1"/>
  <c r="G24" i="12"/>
  <c r="G28" i="12" s="1"/>
  <c r="J24" i="12"/>
  <c r="J28" i="12" s="1"/>
  <c r="J13" i="12"/>
  <c r="J17" i="12" s="1"/>
  <c r="I13" i="12"/>
  <c r="I17" i="12" s="1"/>
  <c r="H13" i="12"/>
  <c r="H17" i="12" s="1"/>
  <c r="I44" i="14"/>
  <c r="G44" i="14"/>
  <c r="G46" i="14" s="1"/>
  <c r="H25" i="14"/>
  <c r="J35" i="13"/>
  <c r="I35" i="13"/>
  <c r="H35" i="13"/>
  <c r="H26" i="13"/>
  <c r="G33" i="13"/>
  <c r="H32" i="13"/>
  <c r="G32" i="13"/>
  <c r="J28" i="13"/>
  <c r="I28" i="13"/>
  <c r="H28" i="13"/>
  <c r="K27" i="13"/>
  <c r="J27" i="13"/>
  <c r="I27" i="13"/>
  <c r="G27" i="13"/>
  <c r="G21" i="23" l="1"/>
  <c r="G36" i="13"/>
  <c r="I21" i="23"/>
  <c r="J21" i="23"/>
  <c r="J30" i="12"/>
  <c r="J19" i="11" s="1"/>
  <c r="H30" i="12"/>
  <c r="H19" i="11" s="1"/>
  <c r="G13" i="11"/>
  <c r="G15" i="11" s="1"/>
  <c r="G30" i="12"/>
  <c r="G19" i="11" s="1"/>
  <c r="G25" i="14"/>
  <c r="J44" i="14"/>
  <c r="J46" i="14" s="1"/>
  <c r="K48" i="14" s="1"/>
  <c r="K24" i="12"/>
  <c r="K28" i="12" s="1"/>
  <c r="H33" i="13"/>
  <c r="H36" i="13" s="1"/>
  <c r="G26" i="27"/>
  <c r="K33" i="27"/>
  <c r="J28" i="36"/>
  <c r="G40" i="29" s="1"/>
  <c r="H44" i="14"/>
  <c r="H46" i="14" s="1"/>
  <c r="I48" i="14" s="1"/>
  <c r="I30" i="12"/>
  <c r="I19" i="11" s="1"/>
  <c r="J33" i="13"/>
  <c r="H21" i="18"/>
  <c r="J26" i="19"/>
  <c r="J19" i="27"/>
  <c r="G26" i="36"/>
  <c r="H48" i="36"/>
  <c r="I46" i="14"/>
  <c r="J48" i="14" s="1"/>
  <c r="J13" i="23"/>
  <c r="G15" i="27"/>
  <c r="G19" i="27"/>
  <c r="H19" i="27"/>
  <c r="H29" i="13"/>
  <c r="G19" i="19"/>
  <c r="G21" i="19" s="1"/>
  <c r="H26" i="19"/>
  <c r="K26" i="19"/>
  <c r="I13" i="23"/>
  <c r="H17" i="23"/>
  <c r="H21" i="23" s="1"/>
  <c r="G26" i="19"/>
  <c r="I30" i="19"/>
  <c r="J30" i="19"/>
  <c r="G25" i="18"/>
  <c r="G28" i="27" l="1"/>
  <c r="I27" i="36"/>
  <c r="I28" i="36" s="1"/>
  <c r="G31" i="29" s="1"/>
  <c r="H28" i="36"/>
  <c r="J50" i="36"/>
  <c r="I49" i="14"/>
  <c r="I51" i="14" s="1"/>
  <c r="H49" i="14"/>
  <c r="H51" i="14" s="1"/>
  <c r="G32" i="19"/>
  <c r="G12" i="20" s="1"/>
  <c r="G14" i="20" s="1"/>
  <c r="G21" i="11"/>
  <c r="G35" i="14" s="1"/>
  <c r="J49" i="14"/>
  <c r="J51" i="14" s="1"/>
  <c r="G22" i="27"/>
  <c r="G35" i="27" s="1"/>
  <c r="I10" i="11"/>
  <c r="K10" i="11"/>
  <c r="H10" i="11"/>
  <c r="G22" i="29" l="1"/>
  <c r="H50" i="36"/>
  <c r="M22" i="29" s="1"/>
  <c r="I50" i="36"/>
  <c r="M40" i="29"/>
  <c r="E62" i="25"/>
  <c r="M7" i="25"/>
  <c r="K7" i="25"/>
  <c r="M31" i="29" l="1"/>
  <c r="F2" i="31" l="1"/>
  <c r="A21" i="19" l="1"/>
  <c r="A23" i="19" s="1"/>
  <c r="A24" i="19" s="1"/>
  <c r="A25" i="19" s="1"/>
  <c r="A26" i="19" s="1"/>
  <c r="A28" i="19" s="1"/>
  <c r="A29" i="19" s="1"/>
  <c r="A30" i="19" s="1"/>
  <c r="A32" i="19" s="1"/>
  <c r="A43" i="14" l="1"/>
  <c r="A44" i="14" s="1"/>
  <c r="A45" i="14" s="1"/>
  <c r="A46" i="14" s="1"/>
  <c r="A48" i="14" s="1"/>
  <c r="A49" i="14" s="1"/>
  <c r="A51" i="14" s="1"/>
  <c r="A53" i="14" s="1"/>
  <c r="B27" i="31" l="1"/>
  <c r="B29" i="31" s="1"/>
  <c r="D25" i="31"/>
  <c r="D23" i="31"/>
  <c r="A23" i="20"/>
  <c r="A24" i="20" s="1"/>
  <c r="A25" i="20" s="1"/>
  <c r="A55" i="25" l="1"/>
  <c r="A56" i="25" s="1"/>
  <c r="A58" i="25" s="1"/>
  <c r="A60" i="25" s="1"/>
  <c r="A62" i="25" s="1"/>
  <c r="Q19" i="23" l="1"/>
  <c r="P19" i="23"/>
  <c r="N19" i="23"/>
  <c r="M19" i="23"/>
  <c r="A12" i="36" l="1"/>
  <c r="A13" i="36" s="1"/>
  <c r="A14" i="36" s="1"/>
  <c r="A15" i="36" s="1"/>
  <c r="A16" i="36" s="1"/>
  <c r="A17" i="36" s="1"/>
  <c r="A18" i="36" s="1"/>
  <c r="A19" i="36" s="1"/>
  <c r="A20" i="36" s="1"/>
  <c r="A21" i="36" l="1"/>
  <c r="A22" i="36" s="1"/>
  <c r="A23" i="36" s="1"/>
  <c r="A24" i="36" s="1"/>
  <c r="A26" i="36" s="1"/>
  <c r="Q7" i="36" l="1"/>
  <c r="P7" i="36"/>
  <c r="N7" i="36"/>
  <c r="M7" i="36"/>
  <c r="Q7" i="27"/>
  <c r="P7" i="27"/>
  <c r="N7" i="27"/>
  <c r="M7" i="27"/>
  <c r="Q7" i="23"/>
  <c r="P7" i="23"/>
  <c r="N7" i="23"/>
  <c r="M7" i="23"/>
  <c r="Q7" i="20"/>
  <c r="P7" i="20"/>
  <c r="N7" i="20"/>
  <c r="M7" i="20"/>
  <c r="Q7" i="19"/>
  <c r="P7" i="19"/>
  <c r="N7" i="19"/>
  <c r="M7" i="19"/>
  <c r="Q7" i="18"/>
  <c r="P7" i="18"/>
  <c r="N7" i="18"/>
  <c r="M7" i="18"/>
  <c r="Q7" i="13"/>
  <c r="P7" i="13"/>
  <c r="N7" i="13"/>
  <c r="M7" i="13"/>
  <c r="Q7" i="12"/>
  <c r="P7" i="12"/>
  <c r="N7" i="12"/>
  <c r="M7" i="12"/>
  <c r="Q7" i="11"/>
  <c r="P7" i="11"/>
  <c r="N7" i="11"/>
  <c r="M7" i="11"/>
  <c r="A27" i="36" l="1"/>
  <c r="A28" i="36" s="1"/>
  <c r="A33" i="36" l="1"/>
  <c r="A34" i="36" s="1"/>
  <c r="A35" i="36" s="1"/>
  <c r="A36" i="36" s="1"/>
  <c r="A37" i="36" s="1"/>
  <c r="A38" i="36" s="1"/>
  <c r="A39" i="36" l="1"/>
  <c r="A40" i="36" s="1"/>
  <c r="A41" i="36" s="1"/>
  <c r="A42" i="36" s="1"/>
  <c r="A43" i="36" s="1"/>
  <c r="A44" i="36" s="1"/>
  <c r="A45" i="36" s="1"/>
  <c r="A46" i="36" s="1"/>
  <c r="Q2" i="36"/>
  <c r="Q2" i="27"/>
  <c r="M2" i="25"/>
  <c r="Q2" i="23"/>
  <c r="Q2" i="20"/>
  <c r="Q2" i="19"/>
  <c r="Q2" i="18"/>
  <c r="O85" i="29"/>
  <c r="O49" i="29"/>
  <c r="O3" i="29"/>
  <c r="Q2" i="13"/>
  <c r="Q2" i="12"/>
  <c r="Q2" i="11"/>
  <c r="A48" i="36" l="1"/>
  <c r="A50" i="36" s="1"/>
  <c r="L32" i="13" l="1"/>
  <c r="O32" i="13"/>
  <c r="L33" i="13"/>
  <c r="O33" i="13"/>
  <c r="O36" i="13" l="1"/>
  <c r="L36" i="13"/>
  <c r="N35" i="13" l="1"/>
  <c r="Q35" i="13"/>
  <c r="Q20" i="23" l="1"/>
  <c r="N20" i="23"/>
  <c r="Q27" i="13"/>
  <c r="N27" i="13"/>
  <c r="R13" i="12" l="1"/>
  <c r="R24" i="12"/>
  <c r="R19" i="11"/>
  <c r="D6" i="31"/>
  <c r="D8" i="31"/>
  <c r="D9" i="31"/>
  <c r="D11" i="31"/>
  <c r="D17" i="31"/>
  <c r="D19" i="31"/>
  <c r="D21" i="31"/>
  <c r="D29" i="31"/>
  <c r="G13" i="14" l="1"/>
  <c r="G18" i="14" s="1"/>
  <c r="H13" i="14" l="1"/>
  <c r="I13" i="14" l="1"/>
  <c r="J13" i="14" l="1"/>
  <c r="K13" i="14" l="1"/>
  <c r="Q13" i="23" l="1"/>
  <c r="N13" i="23"/>
  <c r="G28" i="36" l="1"/>
  <c r="G50" i="36" l="1"/>
  <c r="G13" i="29"/>
  <c r="M13" i="29" l="1"/>
  <c r="O13" i="29" s="1"/>
  <c r="O17" i="29" s="1"/>
  <c r="G13" i="18" l="1"/>
  <c r="G9" i="23" l="1"/>
  <c r="G14" i="23" s="1"/>
  <c r="G23" i="23" s="1"/>
  <c r="G27" i="18"/>
  <c r="N34" i="13" l="1"/>
  <c r="Q34" i="13" l="1"/>
  <c r="M34" i="13" l="1"/>
  <c r="P34" i="13" l="1"/>
  <c r="N17" i="18" l="1"/>
  <c r="N32" i="27"/>
  <c r="Q17" i="18"/>
  <c r="Q10" i="11" s="1"/>
  <c r="Q32" i="27"/>
  <c r="N10" i="11" l="1"/>
  <c r="G49" i="14" l="1"/>
  <c r="G51" i="14" s="1"/>
  <c r="G15" i="13" l="1"/>
  <c r="G10" i="14" l="1"/>
  <c r="G28" i="14" s="1"/>
  <c r="H15" i="13" l="1"/>
  <c r="H38" i="13" s="1"/>
  <c r="H10" i="14" l="1"/>
  <c r="I15" i="13" l="1"/>
  <c r="I10" i="14" l="1"/>
  <c r="J15" i="13" l="1"/>
  <c r="J10" i="14" l="1"/>
  <c r="G32" i="14" l="1"/>
  <c r="G38" i="14" s="1"/>
  <c r="G53" i="14" s="1"/>
  <c r="G9" i="18" s="1"/>
  <c r="G11" i="18" s="1"/>
  <c r="G30" i="14"/>
  <c r="G19" i="20" l="1"/>
  <c r="G24" i="20" s="1"/>
  <c r="G25" i="20" s="1"/>
  <c r="G17" i="29" l="1"/>
  <c r="I15" i="29"/>
  <c r="I13" i="29"/>
  <c r="I17" i="29" l="1"/>
  <c r="M17" i="29"/>
  <c r="G26" i="13" l="1"/>
  <c r="G29" i="13" s="1"/>
  <c r="G38" i="13" s="1"/>
  <c r="H18" i="14" l="1"/>
  <c r="H28" i="14" s="1"/>
  <c r="H30" i="14" l="1"/>
  <c r="H32" i="14"/>
  <c r="I29" i="14"/>
  <c r="N33" i="13" l="1"/>
  <c r="Q33" i="13"/>
  <c r="K33" i="13" l="1"/>
  <c r="N44" i="14" l="1"/>
  <c r="K44" i="14"/>
  <c r="Q44" i="14" l="1"/>
  <c r="K26" i="13" l="1"/>
  <c r="K29" i="13" s="1"/>
  <c r="K18" i="14"/>
  <c r="K46" i="14" l="1"/>
  <c r="N48" i="14" l="1"/>
  <c r="M48" i="14"/>
  <c r="K49" i="14"/>
  <c r="K51" i="14" s="1"/>
  <c r="N46" i="14" l="1"/>
  <c r="Q48" i="14" l="1"/>
  <c r="N49" i="14"/>
  <c r="N51" i="14" s="1"/>
  <c r="Q46" i="14"/>
  <c r="Q49" i="14" l="1"/>
  <c r="Q51" i="14" s="1"/>
  <c r="K25" i="14" l="1"/>
  <c r="K32" i="13"/>
  <c r="K36" i="13" s="1"/>
  <c r="M27" i="13" l="1"/>
  <c r="P27" i="13" l="1"/>
  <c r="P20" i="23" l="1"/>
  <c r="M20" i="23"/>
  <c r="M35" i="13" l="1"/>
  <c r="P35" i="13" l="1"/>
  <c r="K48" i="36" l="1"/>
  <c r="K17" i="23" l="1"/>
  <c r="K21" i="23" s="1"/>
  <c r="K30" i="19"/>
  <c r="K15" i="13" l="1"/>
  <c r="K38" i="13" s="1"/>
  <c r="K10" i="14" l="1"/>
  <c r="K28" i="14" s="1"/>
  <c r="M29" i="14" l="1"/>
  <c r="N29" i="14"/>
  <c r="N15" i="13" l="1"/>
  <c r="N10" i="14" l="1"/>
  <c r="Q15" i="13" l="1"/>
  <c r="Q10" i="14" l="1"/>
  <c r="K19" i="19" l="1"/>
  <c r="K21" i="19" s="1"/>
  <c r="K32" i="19" s="1"/>
  <c r="K12" i="20" s="1"/>
  <c r="K16" i="18"/>
  <c r="K25" i="18" l="1"/>
  <c r="K9" i="11"/>
  <c r="K13" i="11" s="1"/>
  <c r="K15" i="11" s="1"/>
  <c r="I34" i="25" l="1"/>
  <c r="I42" i="25" l="1"/>
  <c r="I50" i="25" s="1"/>
  <c r="I35" i="25" l="1"/>
  <c r="I43" i="25" l="1"/>
  <c r="I36" i="25"/>
  <c r="I51" i="25" l="1"/>
  <c r="I44" i="25"/>
  <c r="I52" i="25" l="1"/>
  <c r="I58" i="25"/>
  <c r="I62" i="25" s="1"/>
  <c r="G35" i="25" l="1"/>
  <c r="G43" i="25" l="1"/>
  <c r="F35" i="25"/>
  <c r="G34" i="25"/>
  <c r="H34" i="25"/>
  <c r="H42" i="25" s="1"/>
  <c r="H50" i="25" s="1"/>
  <c r="F34" i="25"/>
  <c r="F42" i="25" s="1"/>
  <c r="F50" i="25" s="1"/>
  <c r="H35" i="25"/>
  <c r="H43" i="25" l="1"/>
  <c r="H36" i="25"/>
  <c r="F43" i="25"/>
  <c r="F36" i="25"/>
  <c r="G42" i="25"/>
  <c r="G50" i="25" s="1"/>
  <c r="G36" i="25"/>
  <c r="G51" i="25"/>
  <c r="G44" i="25" l="1"/>
  <c r="I33" i="25"/>
  <c r="G52" i="25"/>
  <c r="G58" i="25"/>
  <c r="G62" i="25" s="1"/>
  <c r="F44" i="25"/>
  <c r="F51" i="25"/>
  <c r="H51" i="25"/>
  <c r="H44" i="25"/>
  <c r="H33" i="25" l="1"/>
  <c r="F33" i="25"/>
  <c r="F52" i="25"/>
  <c r="F58" i="25"/>
  <c r="F62" i="25" s="1"/>
  <c r="H52" i="25"/>
  <c r="H58" i="25"/>
  <c r="H62" i="25" s="1"/>
  <c r="G33" i="25"/>
  <c r="K33" i="25" l="1"/>
  <c r="M33" i="25"/>
  <c r="M34" i="25" l="1"/>
  <c r="M42" i="25" s="1"/>
  <c r="M50" i="25" s="1"/>
  <c r="K34" i="25"/>
  <c r="K42" i="25" s="1"/>
  <c r="K50" i="25" s="1"/>
  <c r="K35" i="25" l="1"/>
  <c r="M35" i="25"/>
  <c r="M43" i="25" l="1"/>
  <c r="M36" i="25"/>
  <c r="K36" i="25"/>
  <c r="K43" i="25"/>
  <c r="K51" i="25" l="1"/>
  <c r="K52" i="25" s="1"/>
  <c r="K44" i="25"/>
  <c r="M51" i="25"/>
  <c r="M52" i="25" s="1"/>
  <c r="M44" i="25"/>
  <c r="Q12" i="23" l="1"/>
  <c r="Q26" i="19"/>
  <c r="N12" i="23"/>
  <c r="N26" i="19"/>
  <c r="Q20" i="18" l="1"/>
  <c r="N20" i="18"/>
  <c r="N13" i="14" l="1"/>
  <c r="Q13" i="14" l="1"/>
  <c r="Q31" i="27" l="1"/>
  <c r="Q19" i="18"/>
  <c r="N31" i="27"/>
  <c r="N19" i="18"/>
  <c r="N21" i="18" l="1"/>
  <c r="Q21" i="18" l="1"/>
  <c r="N18" i="18" l="1"/>
  <c r="Q18" i="18"/>
  <c r="Q28" i="13" l="1"/>
  <c r="N28" i="13"/>
  <c r="M12" i="23" l="1"/>
  <c r="P12" i="23"/>
  <c r="P20" i="18" l="1"/>
  <c r="M20" i="18"/>
  <c r="M13" i="14" l="1"/>
  <c r="P13" i="14" l="1"/>
  <c r="M31" i="27" l="1"/>
  <c r="M19" i="18"/>
  <c r="P19" i="18"/>
  <c r="P31" i="27"/>
  <c r="M21" i="18" l="1"/>
  <c r="P21" i="18" l="1"/>
  <c r="M18" i="18" l="1"/>
  <c r="P18" i="18"/>
  <c r="N17" i="27" l="1"/>
  <c r="N18" i="23"/>
  <c r="N19" i="27" l="1"/>
  <c r="N33" i="27"/>
  <c r="Q17" i="27"/>
  <c r="Q18" i="23"/>
  <c r="Q19" i="27" l="1"/>
  <c r="Q33" i="27"/>
  <c r="N16" i="18" l="1"/>
  <c r="N19" i="19"/>
  <c r="N9" i="11" l="1"/>
  <c r="N13" i="11" s="1"/>
  <c r="N15" i="11" s="1"/>
  <c r="N25" i="18"/>
  <c r="Q16" i="18" l="1"/>
  <c r="Q19" i="19"/>
  <c r="Q9" i="11" l="1"/>
  <c r="Q13" i="11" s="1"/>
  <c r="Q15" i="11" s="1"/>
  <c r="Q25" i="18"/>
  <c r="M15" i="13" l="1"/>
  <c r="M10" i="14" l="1"/>
  <c r="P15" i="13" l="1"/>
  <c r="P10" i="14" l="1"/>
  <c r="P28" i="13" l="1"/>
  <c r="M28" i="13"/>
  <c r="M17" i="27" l="1"/>
  <c r="M18" i="23"/>
  <c r="P18" i="23" l="1"/>
  <c r="P17" i="27"/>
  <c r="M19" i="27"/>
  <c r="M33" i="27"/>
  <c r="P33" i="27" l="1"/>
  <c r="P19" i="27"/>
  <c r="M13" i="23" l="1"/>
  <c r="M26" i="19"/>
  <c r="P13" i="23" l="1"/>
  <c r="P26" i="19"/>
  <c r="P17" i="18" l="1"/>
  <c r="P10" i="11" s="1"/>
  <c r="P32" i="27"/>
  <c r="M17" i="18" l="1"/>
  <c r="M10" i="11" s="1"/>
  <c r="M32" i="27"/>
  <c r="P16" i="18" l="1"/>
  <c r="P19" i="19"/>
  <c r="P21" i="19" l="1"/>
  <c r="P24" i="12"/>
  <c r="P28" i="12" s="1"/>
  <c r="P9" i="11"/>
  <c r="P13" i="11" s="1"/>
  <c r="P15" i="11" s="1"/>
  <c r="P25" i="18"/>
  <c r="M24" i="12" l="1"/>
  <c r="M28" i="12" s="1"/>
  <c r="M16" i="18" l="1"/>
  <c r="M19" i="19"/>
  <c r="M21" i="19" s="1"/>
  <c r="M9" i="11" l="1"/>
  <c r="M13" i="11" s="1"/>
  <c r="M15" i="11" s="1"/>
  <c r="M25" i="18"/>
  <c r="P33" i="13" l="1"/>
  <c r="M33" i="13"/>
  <c r="P44" i="14" l="1"/>
  <c r="M44" i="14"/>
  <c r="P26" i="13" l="1"/>
  <c r="P29" i="13" s="1"/>
  <c r="P18" i="14"/>
  <c r="M26" i="13"/>
  <c r="M29" i="13" s="1"/>
  <c r="M18" i="14"/>
  <c r="M46" i="14" l="1"/>
  <c r="P48" i="14" l="1"/>
  <c r="M49" i="14"/>
  <c r="M51" i="14" s="1"/>
  <c r="P46" i="14"/>
  <c r="P49" i="14" l="1"/>
  <c r="P51" i="14" s="1"/>
  <c r="H16" i="18" l="1"/>
  <c r="H19" i="19"/>
  <c r="H21" i="19" s="1"/>
  <c r="H32" i="19" s="1"/>
  <c r="H12" i="20" s="1"/>
  <c r="H14" i="20" l="1"/>
  <c r="H19" i="20" s="1"/>
  <c r="I19" i="19"/>
  <c r="I21" i="19" s="1"/>
  <c r="I32" i="19" s="1"/>
  <c r="I12" i="20" s="1"/>
  <c r="I16" i="18"/>
  <c r="J16" i="18"/>
  <c r="J19" i="19"/>
  <c r="J21" i="19" s="1"/>
  <c r="J32" i="19" s="1"/>
  <c r="J12" i="20" s="1"/>
  <c r="H25" i="18"/>
  <c r="H9" i="11"/>
  <c r="H13" i="11" s="1"/>
  <c r="H15" i="11" s="1"/>
  <c r="H21" i="11" s="1"/>
  <c r="H35" i="14" s="1"/>
  <c r="H38" i="14" s="1"/>
  <c r="H53" i="14" s="1"/>
  <c r="I9" i="20" l="1"/>
  <c r="H24" i="20"/>
  <c r="H25" i="20" s="1"/>
  <c r="I14" i="20"/>
  <c r="I19" i="20" s="1"/>
  <c r="I24" i="20" s="1"/>
  <c r="I25" i="20" s="1"/>
  <c r="G33" i="29" s="1"/>
  <c r="I22" i="29"/>
  <c r="G26" i="29"/>
  <c r="I24" i="29"/>
  <c r="K26" i="29"/>
  <c r="H9" i="18"/>
  <c r="J9" i="11"/>
  <c r="J13" i="11" s="1"/>
  <c r="J15" i="11" s="1"/>
  <c r="J21" i="11" s="1"/>
  <c r="J35" i="14" s="1"/>
  <c r="J25" i="18"/>
  <c r="I25" i="18"/>
  <c r="I9" i="11"/>
  <c r="I13" i="11" s="1"/>
  <c r="I15" i="11" s="1"/>
  <c r="I21" i="11" s="1"/>
  <c r="I35" i="14" s="1"/>
  <c r="J9" i="20" l="1"/>
  <c r="J14" i="20" s="1"/>
  <c r="K24" i="29"/>
  <c r="G35" i="29"/>
  <c r="I31" i="29"/>
  <c r="I33" i="29"/>
  <c r="I26" i="29"/>
  <c r="K22" i="29"/>
  <c r="O22" i="29" s="1"/>
  <c r="J19" i="20" l="1"/>
  <c r="I35" i="29"/>
  <c r="K9" i="20" l="1"/>
  <c r="K14" i="20" s="1"/>
  <c r="J24" i="20"/>
  <c r="J25" i="20" s="1"/>
  <c r="G42" i="29" s="1"/>
  <c r="I42" i="29" s="1"/>
  <c r="I40" i="29" l="1"/>
  <c r="I44" i="29" s="1"/>
  <c r="G44" i="29"/>
  <c r="K19" i="20"/>
  <c r="M26" i="29"/>
  <c r="O24" i="29"/>
  <c r="K24" i="20" l="1"/>
  <c r="K25" i="20" s="1"/>
  <c r="G61" i="29" s="1"/>
  <c r="N9" i="20"/>
  <c r="M9" i="20"/>
  <c r="O26" i="29"/>
  <c r="H13" i="18" l="1"/>
  <c r="H27" i="18" l="1"/>
  <c r="H9" i="23"/>
  <c r="H14" i="23" s="1"/>
  <c r="H23" i="23" s="1"/>
  <c r="H11" i="18"/>
  <c r="K58" i="25" l="1"/>
  <c r="K62" i="25" s="1"/>
  <c r="N21" i="19" l="1"/>
  <c r="N24" i="12" l="1"/>
  <c r="N28" i="12" s="1"/>
  <c r="M58" i="25" l="1"/>
  <c r="M62" i="25" s="1"/>
  <c r="Q21" i="19" l="1"/>
  <c r="Q24" i="12" l="1"/>
  <c r="Q28" i="12" s="1"/>
  <c r="M26" i="36" l="1"/>
  <c r="P27" i="36" l="1"/>
  <c r="P26" i="36"/>
  <c r="P28" i="36" l="1"/>
  <c r="G95" i="29" s="1"/>
  <c r="M48" i="36" l="1"/>
  <c r="P48" i="36" l="1"/>
  <c r="P50" i="36" s="1"/>
  <c r="M95" i="29" s="1"/>
  <c r="M30" i="19" l="1"/>
  <c r="M32" i="19" s="1"/>
  <c r="M17" i="23"/>
  <c r="M21" i="23" s="1"/>
  <c r="M12" i="20" l="1"/>
  <c r="M19" i="20" l="1"/>
  <c r="M24" i="20" s="1"/>
  <c r="M25" i="20" s="1"/>
  <c r="G70" i="29" s="1"/>
  <c r="M14" i="20"/>
  <c r="P9" i="20"/>
  <c r="P30" i="19" l="1"/>
  <c r="P32" i="19" s="1"/>
  <c r="P17" i="23"/>
  <c r="P21" i="23" s="1"/>
  <c r="P12" i="20" l="1"/>
  <c r="P14" i="20" l="1"/>
  <c r="P19" i="20" s="1"/>
  <c r="P24" i="20" s="1"/>
  <c r="P25" i="20" s="1"/>
  <c r="G97" i="29" s="1"/>
  <c r="I97" i="29" l="1"/>
  <c r="I95" i="29"/>
  <c r="G99" i="29"/>
  <c r="I99" i="29" l="1"/>
  <c r="M13" i="12" l="1"/>
  <c r="M17" i="12" s="1"/>
  <c r="M30" i="12" s="1"/>
  <c r="M19" i="11" s="1"/>
  <c r="M32" i="13"/>
  <c r="M36" i="13" s="1"/>
  <c r="M38" i="13" s="1"/>
  <c r="M25" i="14"/>
  <c r="M28" i="14" s="1"/>
  <c r="M21" i="11" l="1"/>
  <c r="M35" i="14" s="1"/>
  <c r="P25" i="14"/>
  <c r="P28" i="14" s="1"/>
  <c r="P32" i="13"/>
  <c r="P36" i="13" s="1"/>
  <c r="P38" i="13" s="1"/>
  <c r="P29" i="14"/>
  <c r="M32" i="14"/>
  <c r="M30" i="14"/>
  <c r="P13" i="12"/>
  <c r="P17" i="12" s="1"/>
  <c r="P30" i="12" s="1"/>
  <c r="P19" i="11" s="1"/>
  <c r="M38" i="14" l="1"/>
  <c r="M53" i="14" s="1"/>
  <c r="M9" i="18" s="1"/>
  <c r="P30" i="14"/>
  <c r="P32" i="14"/>
  <c r="P21" i="11"/>
  <c r="P35" i="14" s="1"/>
  <c r="K72" i="29" l="1"/>
  <c r="P38" i="14"/>
  <c r="P53" i="14" s="1"/>
  <c r="K99" i="29" s="1"/>
  <c r="P9" i="18" l="1"/>
  <c r="K97" i="29"/>
  <c r="K95" i="29"/>
  <c r="O95" i="29" s="1"/>
  <c r="M99" i="29"/>
  <c r="O97" i="29" l="1"/>
  <c r="O99" i="29" s="1"/>
  <c r="P13" i="18" s="1"/>
  <c r="P11" i="18" l="1"/>
  <c r="P27" i="18"/>
  <c r="P9" i="23"/>
  <c r="P14" i="23" s="1"/>
  <c r="P23" i="23" s="1"/>
  <c r="I26" i="27" l="1"/>
  <c r="J26" i="27"/>
  <c r="K26" i="27"/>
  <c r="H15" i="27"/>
  <c r="I15" i="27"/>
  <c r="J15" i="27"/>
  <c r="H26" i="27" l="1"/>
  <c r="H28" i="27" s="1"/>
  <c r="J28" i="27"/>
  <c r="J22" i="27"/>
  <c r="J35" i="27" s="1"/>
  <c r="I22" i="27"/>
  <c r="I35" i="27" s="1"/>
  <c r="I28" i="27"/>
  <c r="H22" i="27"/>
  <c r="H35" i="27" s="1"/>
  <c r="N26" i="27" l="1"/>
  <c r="Q26" i="27" l="1"/>
  <c r="J18" i="14" l="1"/>
  <c r="J26" i="13"/>
  <c r="J29" i="13" s="1"/>
  <c r="I26" i="13"/>
  <c r="I29" i="13" s="1"/>
  <c r="I18" i="14"/>
  <c r="J25" i="14" l="1"/>
  <c r="J28" i="14" s="1"/>
  <c r="J32" i="13"/>
  <c r="J36" i="13" s="1"/>
  <c r="J38" i="13" s="1"/>
  <c r="I25" i="14"/>
  <c r="I28" i="14" s="1"/>
  <c r="I32" i="13"/>
  <c r="I36" i="13" s="1"/>
  <c r="I38" i="13" s="1"/>
  <c r="J29" i="14" l="1"/>
  <c r="I32" i="14"/>
  <c r="I30" i="14"/>
  <c r="K29" i="14"/>
  <c r="I38" i="14" l="1"/>
  <c r="I53" i="14" s="1"/>
  <c r="K30" i="14"/>
  <c r="K32" i="14"/>
  <c r="J30" i="14"/>
  <c r="J32" i="14"/>
  <c r="J38" i="14" l="1"/>
  <c r="J53" i="14" s="1"/>
  <c r="I9" i="18"/>
  <c r="K35" i="29"/>
  <c r="K31" i="29" l="1"/>
  <c r="O31" i="29" s="1"/>
  <c r="K33" i="29"/>
  <c r="J9" i="18"/>
  <c r="K44" i="29"/>
  <c r="K42" i="29" l="1"/>
  <c r="K40" i="29"/>
  <c r="O40" i="29" s="1"/>
  <c r="M35" i="29" l="1"/>
  <c r="O33" i="29"/>
  <c r="O35" i="29" s="1"/>
  <c r="I13" i="18" l="1"/>
  <c r="I9" i="23" l="1"/>
  <c r="I14" i="23" s="1"/>
  <c r="I23" i="23" s="1"/>
  <c r="I27" i="18"/>
  <c r="I11" i="18"/>
  <c r="M44" i="29" l="1"/>
  <c r="O42" i="29"/>
  <c r="O44" i="29" s="1"/>
  <c r="J13" i="18" s="1"/>
  <c r="J27" i="18" l="1"/>
  <c r="J9" i="23"/>
  <c r="J14" i="23" s="1"/>
  <c r="J23" i="23" s="1"/>
  <c r="J11" i="18"/>
  <c r="K13" i="12" l="1"/>
  <c r="K17" i="12" s="1"/>
  <c r="K30" i="12" s="1"/>
  <c r="K19" i="11" s="1"/>
  <c r="K21" i="11" l="1"/>
  <c r="K35" i="14" s="1"/>
  <c r="K38" i="14" s="1"/>
  <c r="K53" i="14" s="1"/>
  <c r="K63" i="29" l="1"/>
  <c r="K9" i="18"/>
  <c r="N32" i="13" l="1"/>
  <c r="N36" i="13" s="1"/>
  <c r="N25" i="14"/>
  <c r="Q25" i="14" l="1"/>
  <c r="Q32" i="13"/>
  <c r="Q36" i="13" s="1"/>
  <c r="K26" i="36" l="1"/>
  <c r="M27" i="36" l="1"/>
  <c r="N27" i="36"/>
  <c r="K28" i="36"/>
  <c r="N26" i="36"/>
  <c r="Q27" i="36" l="1"/>
  <c r="N28" i="36"/>
  <c r="G77" i="29" s="1"/>
  <c r="M28" i="36"/>
  <c r="G59" i="29"/>
  <c r="K50" i="36"/>
  <c r="Q26" i="36"/>
  <c r="G68" i="29" l="1"/>
  <c r="M50" i="36"/>
  <c r="M68" i="29" s="1"/>
  <c r="Q28" i="36"/>
  <c r="G104" i="29" s="1"/>
  <c r="M59" i="29"/>
  <c r="I59" i="29"/>
  <c r="G63" i="29"/>
  <c r="I61" i="29"/>
  <c r="K61" i="29" s="1"/>
  <c r="K59" i="29" l="1"/>
  <c r="O59" i="29" s="1"/>
  <c r="I63" i="29"/>
  <c r="I70" i="29"/>
  <c r="K70" i="29" s="1"/>
  <c r="O70" i="29" s="1"/>
  <c r="I68" i="29"/>
  <c r="G72" i="29"/>
  <c r="I72" i="29" l="1"/>
  <c r="K68" i="29"/>
  <c r="O68" i="29" s="1"/>
  <c r="O72" i="29" s="1"/>
  <c r="M13" i="18" s="1"/>
  <c r="M72" i="29"/>
  <c r="M27" i="18" l="1"/>
  <c r="M9" i="23"/>
  <c r="M14" i="23" s="1"/>
  <c r="M23" i="23" s="1"/>
  <c r="M11" i="18"/>
  <c r="O61" i="29" l="1"/>
  <c r="M63" i="29"/>
  <c r="O63" i="29" l="1"/>
  <c r="K13" i="18" l="1"/>
  <c r="K9" i="23" l="1"/>
  <c r="K14" i="23" s="1"/>
  <c r="K23" i="23" s="1"/>
  <c r="K27" i="18"/>
  <c r="K11" i="18"/>
  <c r="N48" i="36" l="1"/>
  <c r="N50" i="36" s="1"/>
  <c r="M77" i="29" s="1"/>
  <c r="Q48" i="36" l="1"/>
  <c r="Q50" i="36" s="1"/>
  <c r="M104" i="29" s="1"/>
  <c r="N30" i="19" l="1"/>
  <c r="N32" i="19" s="1"/>
  <c r="N17" i="23"/>
  <c r="N21" i="23" s="1"/>
  <c r="N12" i="20" l="1"/>
  <c r="N14" i="20" l="1"/>
  <c r="N19" i="20" s="1"/>
  <c r="Q17" i="23"/>
  <c r="Q21" i="23" s="1"/>
  <c r="Q30" i="19"/>
  <c r="Q32" i="19" s="1"/>
  <c r="N24" i="20" l="1"/>
  <c r="N25" i="20" s="1"/>
  <c r="G79" i="29" s="1"/>
  <c r="I77" i="29" s="1"/>
  <c r="Q9" i="20"/>
  <c r="Q12" i="20"/>
  <c r="I79" i="29" l="1"/>
  <c r="G81" i="29"/>
  <c r="Q14" i="20"/>
  <c r="Q19" i="20" s="1"/>
  <c r="Q24" i="20" s="1"/>
  <c r="Q25" i="20" s="1"/>
  <c r="G106" i="29" s="1"/>
  <c r="I81" i="29"/>
  <c r="I104" i="29" l="1"/>
  <c r="G108" i="29"/>
  <c r="I106" i="29"/>
  <c r="I108" i="29" l="1"/>
  <c r="Q13" i="12" l="1"/>
  <c r="Q17" i="12" s="1"/>
  <c r="Q30" i="12" s="1"/>
  <c r="Q19" i="11" s="1"/>
  <c r="Q21" i="11" l="1"/>
  <c r="Q35" i="14" s="1"/>
  <c r="N13" i="12" l="1"/>
  <c r="N17" i="12" s="1"/>
  <c r="N30" i="12" s="1"/>
  <c r="N19" i="11" s="1"/>
  <c r="N21" i="11" l="1"/>
  <c r="N35" i="14" s="1"/>
  <c r="Q26" i="13" l="1"/>
  <c r="Q29" i="13" s="1"/>
  <c r="Q38" i="13" s="1"/>
  <c r="Q18" i="14"/>
  <c r="Q28" i="14" s="1"/>
  <c r="N26" i="13"/>
  <c r="N29" i="13" s="1"/>
  <c r="N38" i="13" s="1"/>
  <c r="N18" i="14"/>
  <c r="N28" i="14" s="1"/>
  <c r="Q29" i="14" l="1"/>
  <c r="N30" i="14"/>
  <c r="N32" i="14"/>
  <c r="Q32" i="14" l="1"/>
  <c r="Q30" i="14"/>
  <c r="N38" i="14"/>
  <c r="N53" i="14" s="1"/>
  <c r="Q38" i="14" l="1"/>
  <c r="Q53" i="14" s="1"/>
  <c r="K81" i="29"/>
  <c r="N9" i="18"/>
  <c r="K108" i="29" l="1"/>
  <c r="Q9" i="18"/>
  <c r="K79" i="29"/>
  <c r="K77" i="29"/>
  <c r="O77" i="29" s="1"/>
  <c r="K106" i="29" l="1"/>
  <c r="K104" i="29"/>
  <c r="O104" i="29" s="1"/>
  <c r="O79" i="29" l="1"/>
  <c r="M81" i="29"/>
  <c r="O81" i="29" l="1"/>
  <c r="N13" i="18" s="1"/>
  <c r="N27" i="18" l="1"/>
  <c r="N9" i="23"/>
  <c r="N14" i="23" s="1"/>
  <c r="N23" i="23" s="1"/>
  <c r="N11" i="18"/>
  <c r="O106" i="29" l="1"/>
  <c r="M108" i="29"/>
  <c r="O108" i="29" l="1"/>
  <c r="Q13" i="18" s="1"/>
  <c r="Q27" i="18" l="1"/>
  <c r="Q9" i="23"/>
  <c r="Q14" i="23" s="1"/>
  <c r="Q23" i="23" s="1"/>
  <c r="Q11" i="18"/>
  <c r="K15" i="27" l="1"/>
  <c r="K28" i="27" l="1"/>
  <c r="K22" i="27"/>
  <c r="K35" i="27" s="1"/>
  <c r="N15" i="27" l="1"/>
  <c r="N22" i="27" s="1"/>
  <c r="N35" i="27" s="1"/>
  <c r="N28" i="27" l="1"/>
  <c r="Q15" i="27"/>
  <c r="Q22" i="27" s="1"/>
  <c r="Q35" i="27" s="1"/>
  <c r="Q28" i="27" l="1"/>
  <c r="P26" i="27" l="1"/>
  <c r="M26" i="27" l="1"/>
  <c r="M15" i="27" l="1"/>
  <c r="M22" i="27" l="1"/>
  <c r="M35" i="27" s="1"/>
  <c r="M28" i="27"/>
  <c r="P15" i="27" l="1"/>
  <c r="P28" i="27" l="1"/>
  <c r="P22" i="27"/>
  <c r="P35" i="27" s="1"/>
</calcChain>
</file>

<file path=xl/sharedStrings.xml><?xml version="1.0" encoding="utf-8"?>
<sst xmlns="http://schemas.openxmlformats.org/spreadsheetml/2006/main" count="613" uniqueCount="278">
  <si>
    <t>Line No.</t>
  </si>
  <si>
    <t>Description</t>
  </si>
  <si>
    <t>Cross Ref.</t>
  </si>
  <si>
    <t>Forecast</t>
  </si>
  <si>
    <t>Schedule 1</t>
  </si>
  <si>
    <t>Yukon Energy Corporation</t>
  </si>
  <si>
    <t>Computation of Rate Base</t>
  </si>
  <si>
    <t>($000s)</t>
  </si>
  <si>
    <t>Schedule 2</t>
  </si>
  <si>
    <t>Computation of Allowance for Working Capital</t>
  </si>
  <si>
    <t>Effect of GST on Working Capital</t>
  </si>
  <si>
    <t>Schedule 2A</t>
  </si>
  <si>
    <t>Schedule 3</t>
  </si>
  <si>
    <t>Continuity Schedule of Property, Plant and Equipment</t>
  </si>
  <si>
    <t>Utility Revenue Requirement</t>
  </si>
  <si>
    <t>Schedule 5</t>
  </si>
  <si>
    <t>Schedule 6</t>
  </si>
  <si>
    <t>Statement of Earnings</t>
  </si>
  <si>
    <t>Schedule 7</t>
  </si>
  <si>
    <t>Statement of Retained Earnings</t>
  </si>
  <si>
    <t>Schedule 8</t>
  </si>
  <si>
    <t>Schedule 9</t>
  </si>
  <si>
    <t>Reconciliation of Utility Income to Net Earnings</t>
  </si>
  <si>
    <t>Schedule 11</t>
  </si>
  <si>
    <t>Summary of Customers, Energy Sales and Revenues</t>
  </si>
  <si>
    <t>Summary of Operating and Maintenance Expenses</t>
  </si>
  <si>
    <t>Cost of Capital Calculation</t>
  </si>
  <si>
    <t>Mid Year Balance</t>
  </si>
  <si>
    <t>Ratio</t>
  </si>
  <si>
    <t>Mid Year Rate Base</t>
  </si>
  <si>
    <t>Mid Year Cost Rate</t>
  </si>
  <si>
    <t>Return</t>
  </si>
  <si>
    <t>Schedule 4A</t>
  </si>
  <si>
    <t>Schedule 4B</t>
  </si>
  <si>
    <t>Schedule 4C</t>
  </si>
  <si>
    <t>Long-Term debt</t>
  </si>
  <si>
    <t>Common Stock</t>
  </si>
  <si>
    <t>Total</t>
  </si>
  <si>
    <t>S.5 L.3</t>
  </si>
  <si>
    <t>Schedule Index</t>
  </si>
  <si>
    <t>2A</t>
  </si>
  <si>
    <t>4A</t>
  </si>
  <si>
    <t>4B</t>
  </si>
  <si>
    <t>4C</t>
  </si>
  <si>
    <t>Property, Plant and Equipment</t>
  </si>
  <si>
    <t>Year end balance</t>
  </si>
  <si>
    <t>Deduct:</t>
  </si>
  <si>
    <t>Total deductions</t>
  </si>
  <si>
    <t>Add:</t>
  </si>
  <si>
    <t>Accum. Disallowed depreciation</t>
  </si>
  <si>
    <t>Total additions</t>
  </si>
  <si>
    <t>Net plant in Service</t>
  </si>
  <si>
    <t>Current year-end balance</t>
  </si>
  <si>
    <t>Previous year-end balance</t>
  </si>
  <si>
    <t>Mid-year balance</t>
  </si>
  <si>
    <t>Working capital</t>
  </si>
  <si>
    <t>Gross Rate Base</t>
  </si>
  <si>
    <t>Contributions for extensions</t>
  </si>
  <si>
    <t>Net Rate Base</t>
  </si>
  <si>
    <t>Construction-in-progress</t>
  </si>
  <si>
    <t>Operating and maintenance</t>
  </si>
  <si>
    <t>Taxes other than income</t>
  </si>
  <si>
    <t>Non-allowable expenses</t>
  </si>
  <si>
    <t>GST Impact on working capital</t>
  </si>
  <si>
    <t>Cash operating expenses</t>
  </si>
  <si>
    <t>S.2A L.11</t>
  </si>
  <si>
    <t>Expenses subject to GST</t>
  </si>
  <si>
    <t>GST Rate</t>
  </si>
  <si>
    <t>GST Recoverable</t>
  </si>
  <si>
    <t>Day Factor</t>
  </si>
  <si>
    <t>Recoverable portion of GST impact</t>
  </si>
  <si>
    <t>Revenue subject to GST</t>
  </si>
  <si>
    <t>GST payable</t>
  </si>
  <si>
    <t>Day factor</t>
  </si>
  <si>
    <t>Payable portion of GST impact</t>
  </si>
  <si>
    <t>Net impact of GST on working capital</t>
  </si>
  <si>
    <t>Balance at beginning of year</t>
  </si>
  <si>
    <t>Balance at end of year</t>
  </si>
  <si>
    <t>Depreciation expense</t>
  </si>
  <si>
    <t>Disallowed assets</t>
  </si>
  <si>
    <t>Net Property, Plant and Equipment</t>
  </si>
  <si>
    <t>S.3 L.10</t>
  </si>
  <si>
    <t>S.6 L.6</t>
  </si>
  <si>
    <t>S.1 L.5</t>
  </si>
  <si>
    <t>S.1 L.11</t>
  </si>
  <si>
    <t>S.3 L.5</t>
  </si>
  <si>
    <t>S.1 L.2</t>
  </si>
  <si>
    <t>S.1 L.4</t>
  </si>
  <si>
    <t>S.1 L.6</t>
  </si>
  <si>
    <t>S.5 L.5</t>
  </si>
  <si>
    <t>S.5 L.6</t>
  </si>
  <si>
    <t>S.3 L.12</t>
  </si>
  <si>
    <t>S.3 L.13</t>
  </si>
  <si>
    <t>S.3 L.18</t>
  </si>
  <si>
    <t>S.5 L.1</t>
  </si>
  <si>
    <t>S.6 L.5</t>
  </si>
  <si>
    <t>S.6 L.7</t>
  </si>
  <si>
    <t>Net rate base</t>
  </si>
  <si>
    <t>Utility income</t>
  </si>
  <si>
    <t>Utility expenses</t>
  </si>
  <si>
    <t>Amortization of deferred costs</t>
  </si>
  <si>
    <t>Depreciation</t>
  </si>
  <si>
    <t>Disallowed depreciation</t>
  </si>
  <si>
    <t>Total utility expenses</t>
  </si>
  <si>
    <t>S.6 L.1</t>
  </si>
  <si>
    <t>Operating expenses</t>
  </si>
  <si>
    <t>Operating income</t>
  </si>
  <si>
    <t>Other income</t>
  </si>
  <si>
    <t>Allowed for Funds Used</t>
  </si>
  <si>
    <t>Other expenses</t>
  </si>
  <si>
    <t>Interest expense</t>
  </si>
  <si>
    <t>Net earnings</t>
  </si>
  <si>
    <t>S.3 L.8</t>
  </si>
  <si>
    <t>Less:</t>
  </si>
  <si>
    <t>Shareholder's Equity</t>
  </si>
  <si>
    <t>Common shares</t>
  </si>
  <si>
    <t>Retained earnings</t>
  </si>
  <si>
    <t>Interest - long-term</t>
  </si>
  <si>
    <t>Donations</t>
  </si>
  <si>
    <t>S.5 L.12</t>
  </si>
  <si>
    <t>Residential</t>
  </si>
  <si>
    <t>Customers</t>
  </si>
  <si>
    <t>MWh sales per customer</t>
  </si>
  <si>
    <t>Revenue ($000s)</t>
  </si>
  <si>
    <t>Cents per KWh</t>
  </si>
  <si>
    <t>Industrial</t>
  </si>
  <si>
    <t>Street lights</t>
  </si>
  <si>
    <t>Space lights</t>
  </si>
  <si>
    <t>Wholesale sales</t>
  </si>
  <si>
    <t xml:space="preserve">Total Company </t>
  </si>
  <si>
    <t>Production</t>
  </si>
  <si>
    <t>Transmission and distribution</t>
  </si>
  <si>
    <t>General</t>
  </si>
  <si>
    <t>Sub-total</t>
  </si>
  <si>
    <t>O&amp;M not including fuel and</t>
  </si>
  <si>
    <t>purchased power</t>
  </si>
  <si>
    <t>Fuel</t>
  </si>
  <si>
    <t>Total operating and maintenance</t>
  </si>
  <si>
    <t>Amortize deferred costs</t>
  </si>
  <si>
    <t>Purchased power</t>
  </si>
  <si>
    <t>Utility operations</t>
  </si>
  <si>
    <t>S.6 L.3</t>
  </si>
  <si>
    <t xml:space="preserve">Miscellaneous reserves </t>
  </si>
  <si>
    <t xml:space="preserve"> </t>
  </si>
  <si>
    <t>Sales in MWh</t>
  </si>
  <si>
    <t>Allowance for funds used</t>
  </si>
  <si>
    <t>Contributions in WIP</t>
  </si>
  <si>
    <t>Retirements, disposals and adjustments</t>
  </si>
  <si>
    <t>Current year-end balance in-service</t>
  </si>
  <si>
    <t>Accumulated amortization of contributions</t>
  </si>
  <si>
    <t>Net current year-end balance in-service</t>
  </si>
  <si>
    <t>Other income (expenses)</t>
  </si>
  <si>
    <t>General Service</t>
  </si>
  <si>
    <t>Total Company - Firm</t>
  </si>
  <si>
    <t>Secondary</t>
  </si>
  <si>
    <t>Rider J</t>
  </si>
  <si>
    <t>Total Sales of Power</t>
  </si>
  <si>
    <t>Other Revenues</t>
  </si>
  <si>
    <t>S.3 L.17</t>
  </si>
  <si>
    <t>S.1 L.10</t>
  </si>
  <si>
    <t>S.6 L.4</t>
  </si>
  <si>
    <t>S.5 L.7</t>
  </si>
  <si>
    <t>S.6 L.17</t>
  </si>
  <si>
    <t>Reserve for Injuries and Damages</t>
  </si>
  <si>
    <t>S.5 L.8</t>
  </si>
  <si>
    <t>S.5 L.10</t>
  </si>
  <si>
    <t>S.5 L.13</t>
  </si>
  <si>
    <t>S.6 L.8</t>
  </si>
  <si>
    <t>S.6 L.13</t>
  </si>
  <si>
    <t>Interest Costs</t>
  </si>
  <si>
    <t>Mid Year</t>
  </si>
  <si>
    <t>General Purpose Long-Term Debt Balance</t>
  </si>
  <si>
    <t>Total Cost of Interest</t>
  </si>
  <si>
    <t>Mid-Year Cost of Debt</t>
  </si>
  <si>
    <t>Summary of Cost of Long - Term Debt</t>
  </si>
  <si>
    <t>Deferred study costs (note 2)</t>
  </si>
  <si>
    <t>Revenue Requirement</t>
  </si>
  <si>
    <t>Operating and maintenance (note 1)</t>
  </si>
  <si>
    <t>Less: Studies in Progress</t>
  </si>
  <si>
    <t>Other deferred costs</t>
  </si>
  <si>
    <t>Accumulated depreciation (note 1)</t>
  </si>
  <si>
    <t>S.3 L.11</t>
  </si>
  <si>
    <t>S.3 L.15</t>
  </si>
  <si>
    <t>S.3 L.16</t>
  </si>
  <si>
    <t>S.3 L.20</t>
  </si>
  <si>
    <t>S.1 L.8</t>
  </si>
  <si>
    <t>S.1 L.9</t>
  </si>
  <si>
    <t>S.1  L.13</t>
  </si>
  <si>
    <t>S.1 L.30</t>
  </si>
  <si>
    <t>S.5 L.11</t>
  </si>
  <si>
    <t>Revenues (note 1)</t>
  </si>
  <si>
    <t>Property Taxes</t>
  </si>
  <si>
    <t>less: Donations</t>
  </si>
  <si>
    <t>Operating and Maintenance Expense Reported in Tab 3 excludes fuel and purchase power, but also includes the following:</t>
  </si>
  <si>
    <t>Miscellaneous (note 2)</t>
  </si>
  <si>
    <t>Utility Income (Return on Rate Base)</t>
  </si>
  <si>
    <t>Disallowed costs</t>
  </si>
  <si>
    <t>Accumulated depreciation (including Future Removal Reserve)</t>
  </si>
  <si>
    <t>Note 1: Includes fuel expenses and purchased power.</t>
  </si>
  <si>
    <t>Note 1: Including Reserve for Future Removal and Site Restoration</t>
  </si>
  <si>
    <t>Average Rate of return on rate base</t>
  </si>
  <si>
    <t>Total Company - Firm Retail and Industrial</t>
  </si>
  <si>
    <t>S.1 L.19</t>
  </si>
  <si>
    <t>S.2 L.7</t>
  </si>
  <si>
    <t>Post-GRA Reconcil Req'd</t>
  </si>
  <si>
    <t>Insurance</t>
  </si>
  <si>
    <t>Administration and general</t>
  </si>
  <si>
    <t>Note:</t>
  </si>
  <si>
    <t>S.7 L. 8</t>
  </si>
  <si>
    <t>S.11 L.18</t>
  </si>
  <si>
    <t>S.8 L.1</t>
  </si>
  <si>
    <t>S.10 L.15</t>
  </si>
  <si>
    <t>S.8 L.2</t>
  </si>
  <si>
    <t>S.8 L.3</t>
  </si>
  <si>
    <t>S.8 L.4</t>
  </si>
  <si>
    <t>GRA Increase Req'd</t>
  </si>
  <si>
    <t>GST blended rate (2009 GRA)</t>
  </si>
  <si>
    <t>S.2 L.8</t>
  </si>
  <si>
    <t>Schedule 10</t>
  </si>
  <si>
    <t>Note 2: Miscellaneous primarily consistent of Regulatory gain/losses and other interest income/expenses.</t>
  </si>
  <si>
    <t>Net Increases to PPE (Table 5.1)</t>
  </si>
  <si>
    <t>Inventory (three year average)</t>
  </si>
  <si>
    <t>S.8 L.8</t>
  </si>
  <si>
    <t>S.6 L.18</t>
  </si>
  <si>
    <t>O&amp;M per Table 3.3 (Tab 3)</t>
  </si>
  <si>
    <t>Amortization of contributions and fire insurance recoveries</t>
  </si>
  <si>
    <t>Total Revenues</t>
  </si>
  <si>
    <t>Common Dividends/(Injection) (note 1)</t>
  </si>
  <si>
    <t>2013 Approved</t>
  </si>
  <si>
    <t>Actual 2013</t>
  </si>
  <si>
    <t>Actual 2014</t>
  </si>
  <si>
    <t>Actual 2015</t>
  </si>
  <si>
    <t>Existing 2017</t>
  </si>
  <si>
    <t>Proposed 2017</t>
  </si>
  <si>
    <t>Existing 2018</t>
  </si>
  <si>
    <t>Proposed 2018</t>
  </si>
  <si>
    <t>2013 Actual</t>
  </si>
  <si>
    <t>2014 Actual</t>
  </si>
  <si>
    <t>2015 Actual</t>
  </si>
  <si>
    <t>2013 Approved and 2013-2015 Actual</t>
  </si>
  <si>
    <t>Forecast for 2017 - Existing</t>
  </si>
  <si>
    <t>Proposed 2017 - GRA</t>
  </si>
  <si>
    <t>Forecast for 2018 - Existing</t>
  </si>
  <si>
    <t>Proposed 2018 - GRA</t>
  </si>
  <si>
    <t>Cost of Capital Calculation - 2013 - 2015 Actuals</t>
  </si>
  <si>
    <t>Cost of Capital Calculation - 2018 Forecast</t>
  </si>
  <si>
    <t>2016 Forecast and 2017 Forecast (Existing / GRA)</t>
  </si>
  <si>
    <t>2018 Forecast (Existing / GRA)</t>
  </si>
  <si>
    <t>1. YDC equity injection/divident estimates required in order to maintain 60/40 debt to equity ratio.</t>
  </si>
  <si>
    <t>27/365</t>
  </si>
  <si>
    <t>Note 1: Includes Fire Insurance Reserve and the Reserve for Injuries and Damages</t>
  </si>
  <si>
    <t>Miscellaneous reserves (note 1)</t>
  </si>
  <si>
    <t>S.5 L.14</t>
  </si>
  <si>
    <t xml:space="preserve">Note 1: Includes revenues from sales and other revenues. </t>
  </si>
  <si>
    <t>S.6 L.12</t>
  </si>
  <si>
    <t>Balance at end of year before dividend</t>
  </si>
  <si>
    <t>Note 2: Planning and Study costs, Relicencing, Dam Safety costs and Vegetation Management. Net of contributions.</t>
  </si>
  <si>
    <t>IFRS Comprehensive Income Adjustment</t>
  </si>
  <si>
    <t>Minto Decommissioning Reserve</t>
  </si>
  <si>
    <t>New 2018 Debt</t>
  </si>
  <si>
    <t>YDC Mayo B Flexible Term Debt</t>
  </si>
  <si>
    <t>YDC $12.1M Debt (2.10%)</t>
  </si>
  <si>
    <t>YDC $21.0M Debt (2.21%)</t>
  </si>
  <si>
    <t>YDC $92.5M Debt (2.40%)</t>
  </si>
  <si>
    <t>YDC $5.5M Debt (2.40%)</t>
  </si>
  <si>
    <t>TD Canada Trust (4.02%)</t>
  </si>
  <si>
    <t>TD Bank Swap (2.69%)</t>
  </si>
  <si>
    <t>YDC $81.9M Loan (4.25%)</t>
  </si>
  <si>
    <t>YDC $17.1M Debt (3.69%)</t>
  </si>
  <si>
    <t>YDC $2.1M Debt (3.97%)</t>
  </si>
  <si>
    <t>YDC $5.5M Debt (4.27%)</t>
  </si>
  <si>
    <t>June 2017</t>
  </si>
  <si>
    <t>Actual 2016</t>
  </si>
  <si>
    <t>2016 Actual</t>
  </si>
  <si>
    <t>Mid-year regulatory deferral</t>
  </si>
  <si>
    <t>New 2017 Debt (2.15%)</t>
  </si>
  <si>
    <t>Cost of Capital Calculation - 2016 Actual and 2017 Forecast</t>
  </si>
  <si>
    <t>Note 2: Planning and Study costs, Relicencing and Dam Safety costs. Net of contributions.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</si>
</sst>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&quot;$&quot;* #,##0_);_(&quot;$&quot;* \(#,##0\);_(&quot;$&quot;* &quot;-&quot;_);_(@_)"/>
    <numFmt numFmtId="165" formatCode="_-* #,##0_-;\-* #,##0_-;_-* &quot;-&quot;??_-;_-@_-"/>
    <numFmt numFmtId="166" formatCode="_(* #,##0.0_);_(* \(#,##0.0\);_(* &quot;-&quot;??_);_(@_)"/>
    <numFmt numFmtId="167" formatCode="_(* #,##0_);_(* \(#,##0\);_(* &quot;-&quot;??_);_(@_)"/>
    <numFmt numFmtId="168" formatCode="0.0%"/>
    <numFmt numFmtId="169" formatCode="0.000%"/>
    <numFmt numFmtId="170" formatCode="#,##0.0"/>
    <numFmt numFmtId="171" formatCode="d\-mmm\-yy\ &quot;filing&quot;"/>
    <numFmt numFmtId="172" formatCode="0.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10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Tahoma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" fillId="0" borderId="0"/>
  </cellStyleXfs>
  <cellXfs count="163">
    <xf numFmtId="0" fontId="0" fillId="0" borderId="0" xfId="0"/>
    <xf numFmtId="15" fontId="1" fillId="4" borderId="0" xfId="0" applyNumberFormat="1" applyFont="1" applyFill="1" applyAlignment="1">
      <alignment horizontal="center"/>
    </xf>
    <xf numFmtId="0" fontId="1" fillId="4" borderId="0" xfId="0" applyFont="1" applyFill="1"/>
    <xf numFmtId="0" fontId="0" fillId="4" borderId="0" xfId="0" applyFill="1"/>
    <xf numFmtId="0" fontId="13" fillId="4" borderId="0" xfId="0" applyFont="1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12" fillId="4" borderId="0" xfId="0" applyFont="1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4" borderId="0" xfId="0" applyFont="1" applyFill="1" applyBorder="1"/>
    <xf numFmtId="3" fontId="1" fillId="4" borderId="0" xfId="0" applyNumberFormat="1" applyFont="1" applyFill="1" applyBorder="1"/>
    <xf numFmtId="3" fontId="1" fillId="4" borderId="0" xfId="0" applyNumberFormat="1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171" fontId="1" fillId="4" borderId="0" xfId="0" applyNumberFormat="1" applyFont="1" applyFill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1" fillId="4" borderId="0" xfId="0" applyFont="1" applyFill="1" applyAlignment="1">
      <alignment horizontal="left" indent="1"/>
    </xf>
    <xf numFmtId="0" fontId="1" fillId="4" borderId="0" xfId="0" applyFont="1" applyFill="1" applyAlignment="1"/>
    <xf numFmtId="1" fontId="1" fillId="4" borderId="0" xfId="0" applyNumberFormat="1" applyFont="1" applyFill="1"/>
    <xf numFmtId="3" fontId="1" fillId="4" borderId="1" xfId="0" applyNumberFormat="1" applyFont="1" applyFill="1" applyBorder="1"/>
    <xf numFmtId="0" fontId="16" fillId="4" borderId="0" xfId="0" applyFont="1" applyFill="1"/>
    <xf numFmtId="0" fontId="16" fillId="4" borderId="0" xfId="0" applyFont="1" applyFill="1" applyAlignment="1">
      <alignment horizontal="center"/>
    </xf>
    <xf numFmtId="3" fontId="16" fillId="4" borderId="0" xfId="0" applyNumberFormat="1" applyFont="1" applyFill="1"/>
    <xf numFmtId="167" fontId="1" fillId="4" borderId="1" xfId="1" applyFont="1" applyFill="1" applyBorder="1"/>
    <xf numFmtId="167" fontId="1" fillId="4" borderId="0" xfId="1" applyFont="1" applyFill="1"/>
    <xf numFmtId="167" fontId="1" fillId="4" borderId="0" xfId="1" applyFont="1" applyFill="1" applyBorder="1"/>
    <xf numFmtId="0" fontId="15" fillId="4" borderId="0" xfId="0" applyFont="1" applyFill="1" applyAlignment="1"/>
    <xf numFmtId="10" fontId="1" fillId="4" borderId="0" xfId="2" applyNumberFormat="1" applyFont="1" applyFill="1"/>
    <xf numFmtId="3" fontId="1" fillId="4" borderId="0" xfId="2" applyNumberFormat="1" applyFont="1" applyFill="1"/>
    <xf numFmtId="10" fontId="1" fillId="4" borderId="0" xfId="0" applyNumberFormat="1" applyFont="1" applyFill="1"/>
    <xf numFmtId="0" fontId="0" fillId="4" borderId="0" xfId="0" applyFill="1" applyBorder="1"/>
    <xf numFmtId="0" fontId="3" fillId="4" borderId="0" xfId="0" applyFont="1" applyFill="1" applyBorder="1" applyAlignment="1">
      <alignment horizontal="center"/>
    </xf>
    <xf numFmtId="171" fontId="0" fillId="4" borderId="0" xfId="0" applyNumberFormat="1" applyFill="1" applyAlignment="1"/>
    <xf numFmtId="171" fontId="0" fillId="4" borderId="0" xfId="0" applyNumberFormat="1" applyFill="1" applyAlignment="1">
      <alignment horizontal="right"/>
    </xf>
    <xf numFmtId="0" fontId="0" fillId="4" borderId="0" xfId="0" applyFill="1" applyAlignment="1"/>
    <xf numFmtId="0" fontId="5" fillId="4" borderId="0" xfId="0" applyFont="1" applyFill="1" applyAlignment="1"/>
    <xf numFmtId="3" fontId="1" fillId="4" borderId="4" xfId="0" applyNumberFormat="1" applyFont="1" applyFill="1" applyBorder="1"/>
    <xf numFmtId="37" fontId="1" fillId="4" borderId="0" xfId="0" applyNumberFormat="1" applyFont="1" applyFill="1" applyBorder="1"/>
    <xf numFmtId="3" fontId="1" fillId="4" borderId="3" xfId="0" applyNumberFormat="1" applyFont="1" applyFill="1" applyBorder="1"/>
    <xf numFmtId="37" fontId="0" fillId="4" borderId="0" xfId="0" applyNumberFormat="1" applyFill="1" applyBorder="1"/>
    <xf numFmtId="0" fontId="6" fillId="4" borderId="0" xfId="0" applyFont="1" applyFill="1"/>
    <xf numFmtId="0" fontId="7" fillId="4" borderId="0" xfId="0" applyFont="1" applyFill="1"/>
    <xf numFmtId="0" fontId="6" fillId="4" borderId="0" xfId="0" applyFont="1" applyFill="1" applyAlignment="1">
      <alignment horizontal="center"/>
    </xf>
    <xf numFmtId="0" fontId="6" fillId="4" borderId="0" xfId="0" applyFont="1" applyFill="1" applyBorder="1"/>
    <xf numFmtId="3" fontId="6" fillId="4" borderId="0" xfId="0" applyNumberFormat="1" applyFont="1" applyFill="1" applyBorder="1"/>
    <xf numFmtId="1" fontId="6" fillId="4" borderId="0" xfId="0" applyNumberFormat="1" applyFont="1" applyFill="1" applyBorder="1"/>
    <xf numFmtId="37" fontId="6" fillId="4" borderId="1" xfId="0" applyNumberFormat="1" applyFont="1" applyFill="1" applyBorder="1"/>
    <xf numFmtId="37" fontId="6" fillId="4" borderId="0" xfId="0" applyNumberFormat="1" applyFont="1" applyFill="1" applyBorder="1"/>
    <xf numFmtId="0" fontId="0" fillId="4" borderId="0" xfId="0" applyFill="1" applyAlignment="1">
      <alignment vertical="top"/>
    </xf>
    <xf numFmtId="0" fontId="0" fillId="4" borderId="0" xfId="0" applyFill="1" applyAlignment="1">
      <alignment horizontal="left" vertical="top" wrapText="1"/>
    </xf>
    <xf numFmtId="1" fontId="0" fillId="4" borderId="0" xfId="0" applyNumberFormat="1" applyFill="1"/>
    <xf numFmtId="3" fontId="0" fillId="4" borderId="0" xfId="0" applyNumberFormat="1" applyFill="1" applyAlignment="1">
      <alignment vertical="top" wrapText="1"/>
    </xf>
    <xf numFmtId="3" fontId="0" fillId="4" borderId="0" xfId="0" applyNumberFormat="1" applyFill="1"/>
    <xf numFmtId="164" fontId="0" fillId="4" borderId="0" xfId="0" applyNumberFormat="1" applyFill="1"/>
    <xf numFmtId="38" fontId="0" fillId="4" borderId="0" xfId="0" applyNumberFormat="1" applyFill="1"/>
    <xf numFmtId="0" fontId="10" fillId="4" borderId="0" xfId="0" applyFont="1" applyFill="1"/>
    <xf numFmtId="0" fontId="4" fillId="4" borderId="0" xfId="0" applyFont="1" applyFill="1"/>
    <xf numFmtId="0" fontId="11" fillId="4" borderId="0" xfId="0" applyFont="1" applyFill="1" applyAlignment="1">
      <alignment horizontal="left"/>
    </xf>
    <xf numFmtId="0" fontId="2" fillId="4" borderId="1" xfId="0" applyFont="1" applyFill="1" applyBorder="1" applyAlignment="1">
      <alignment horizontal="center"/>
    </xf>
    <xf numFmtId="0" fontId="8" fillId="4" borderId="0" xfId="0" applyFont="1" applyFill="1"/>
    <xf numFmtId="0" fontId="2" fillId="4" borderId="0" xfId="5" applyFont="1" applyFill="1"/>
    <xf numFmtId="0" fontId="1" fillId="4" borderId="0" xfId="5" applyFont="1" applyFill="1" applyAlignment="1">
      <alignment horizontal="left" indent="1"/>
    </xf>
    <xf numFmtId="170" fontId="1" fillId="4" borderId="0" xfId="0" applyNumberFormat="1" applyFont="1" applyFill="1"/>
    <xf numFmtId="172" fontId="1" fillId="4" borderId="0" xfId="0" applyNumberFormat="1" applyFont="1" applyFill="1"/>
    <xf numFmtId="2" fontId="1" fillId="4" borderId="0" xfId="0" applyNumberFormat="1" applyFont="1" applyFill="1"/>
    <xf numFmtId="0" fontId="9" fillId="4" borderId="0" xfId="0" applyFont="1" applyFill="1"/>
    <xf numFmtId="0" fontId="18" fillId="4" borderId="0" xfId="5" applyFont="1" applyFill="1" applyBorder="1"/>
    <xf numFmtId="3" fontId="1" fillId="4" borderId="0" xfId="5" applyNumberFormat="1" applyFill="1"/>
    <xf numFmtId="172" fontId="1" fillId="4" borderId="0" xfId="5" applyNumberFormat="1" applyFont="1" applyFill="1"/>
    <xf numFmtId="3" fontId="1" fillId="4" borderId="0" xfId="5" applyNumberFormat="1" applyFont="1" applyFill="1"/>
    <xf numFmtId="3" fontId="4" fillId="4" borderId="0" xfId="0" applyNumberFormat="1" applyFont="1" applyFill="1"/>
    <xf numFmtId="0" fontId="1" fillId="4" borderId="0" xfId="0" applyFont="1" applyFill="1" applyAlignment="1">
      <alignment horizontal="left"/>
    </xf>
    <xf numFmtId="3" fontId="1" fillId="4" borderId="2" xfId="0" applyNumberFormat="1" applyFont="1" applyFill="1" applyBorder="1"/>
    <xf numFmtId="3" fontId="4" fillId="4" borderId="0" xfId="0" applyNumberFormat="1" applyFont="1" applyFill="1" applyBorder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3" fontId="2" fillId="4" borderId="0" xfId="0" applyNumberFormat="1" applyFont="1" applyFill="1" applyBorder="1"/>
    <xf numFmtId="3" fontId="0" fillId="4" borderId="0" xfId="0" applyNumberFormat="1" applyFill="1" applyBorder="1"/>
    <xf numFmtId="171" fontId="1" fillId="4" borderId="0" xfId="0" applyNumberFormat="1" applyFont="1" applyFill="1" applyAlignment="1"/>
    <xf numFmtId="167" fontId="1" fillId="4" borderId="0" xfId="4" applyNumberFormat="1" applyFont="1" applyFill="1"/>
    <xf numFmtId="167" fontId="1" fillId="4" borderId="0" xfId="4" applyNumberFormat="1" applyFont="1" applyFill="1" applyBorder="1"/>
    <xf numFmtId="0" fontId="1" fillId="4" borderId="0" xfId="0" applyFont="1" applyFill="1" applyAlignment="1">
      <alignment wrapText="1"/>
    </xf>
    <xf numFmtId="167" fontId="1" fillId="4" borderId="0" xfId="3" applyNumberFormat="1" applyFont="1" applyFill="1" applyBorder="1"/>
    <xf numFmtId="1" fontId="1" fillId="4" borderId="0" xfId="0" applyNumberFormat="1" applyFont="1" applyFill="1" applyBorder="1"/>
    <xf numFmtId="165" fontId="1" fillId="4" borderId="3" xfId="1" applyNumberFormat="1" applyFont="1" applyFill="1" applyBorder="1"/>
    <xf numFmtId="0" fontId="1" fillId="4" borderId="0" xfId="0" applyFont="1" applyFill="1" applyAlignment="1">
      <alignment vertical="top"/>
    </xf>
    <xf numFmtId="167" fontId="15" fillId="4" borderId="0" xfId="4" applyNumberFormat="1" applyFont="1" applyFill="1" applyBorder="1"/>
    <xf numFmtId="165" fontId="1" fillId="4" borderId="0" xfId="1" applyNumberFormat="1" applyFont="1" applyFill="1" applyBorder="1"/>
    <xf numFmtId="167" fontId="1" fillId="4" borderId="4" xfId="1" applyFont="1" applyFill="1" applyBorder="1"/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167" fontId="1" fillId="4" borderId="0" xfId="1" applyFont="1" applyFill="1" applyAlignment="1">
      <alignment horizontal="center" vertical="center"/>
    </xf>
    <xf numFmtId="167" fontId="1" fillId="4" borderId="0" xfId="1" applyFont="1" applyFill="1" applyBorder="1" applyAlignment="1">
      <alignment horizontal="center" vertical="center"/>
    </xf>
    <xf numFmtId="3" fontId="1" fillId="4" borderId="0" xfId="0" applyNumberFormat="1" applyFont="1" applyFill="1" applyAlignment="1">
      <alignment horizontal="center"/>
    </xf>
    <xf numFmtId="3" fontId="1" fillId="4" borderId="4" xfId="1" applyNumberFormat="1" applyFont="1" applyFill="1" applyBorder="1"/>
    <xf numFmtId="3" fontId="1" fillId="4" borderId="0" xfId="1" applyNumberFormat="1" applyFont="1" applyFill="1" applyBorder="1"/>
    <xf numFmtId="38" fontId="1" fillId="4" borderId="0" xfId="0" applyNumberFormat="1" applyFont="1" applyFill="1"/>
    <xf numFmtId="38" fontId="1" fillId="4" borderId="0" xfId="0" applyNumberFormat="1" applyFont="1" applyFill="1" applyBorder="1"/>
    <xf numFmtId="1" fontId="1" fillId="4" borderId="4" xfId="0" applyNumberFormat="1" applyFont="1" applyFill="1" applyBorder="1"/>
    <xf numFmtId="165" fontId="1" fillId="4" borderId="0" xfId="0" applyNumberFormat="1" applyFont="1" applyFill="1"/>
    <xf numFmtId="165" fontId="1" fillId="4" borderId="0" xfId="0" applyNumberFormat="1" applyFont="1" applyFill="1" applyBorder="1"/>
    <xf numFmtId="166" fontId="1" fillId="4" borderId="0" xfId="0" applyNumberFormat="1" applyFont="1" applyFill="1"/>
    <xf numFmtId="166" fontId="1" fillId="4" borderId="0" xfId="0" applyNumberFormat="1" applyFont="1" applyFill="1" applyBorder="1"/>
    <xf numFmtId="10" fontId="1" fillId="4" borderId="0" xfId="0" applyNumberFormat="1" applyFont="1" applyFill="1" applyBorder="1"/>
    <xf numFmtId="0" fontId="1" fillId="4" borderId="0" xfId="0" applyFont="1" applyFill="1" applyAlignment="1">
      <alignment vertical="center"/>
    </xf>
    <xf numFmtId="167" fontId="1" fillId="4" borderId="0" xfId="1" applyFont="1" applyFill="1" applyAlignment="1">
      <alignment vertical="center"/>
    </xf>
    <xf numFmtId="167" fontId="1" fillId="4" borderId="0" xfId="1" applyFont="1" applyFill="1" applyBorder="1" applyAlignment="1">
      <alignment vertical="center"/>
    </xf>
    <xf numFmtId="0" fontId="5" fillId="4" borderId="0" xfId="0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3" fontId="2" fillId="4" borderId="1" xfId="0" applyNumberFormat="1" applyFont="1" applyFill="1" applyBorder="1" applyAlignment="1">
      <alignment horizontal="center" wrapText="1"/>
    </xf>
    <xf numFmtId="10" fontId="0" fillId="4" borderId="0" xfId="0" applyNumberFormat="1" applyFill="1"/>
    <xf numFmtId="169" fontId="0" fillId="4" borderId="0" xfId="0" applyNumberFormat="1" applyFill="1"/>
    <xf numFmtId="3" fontId="0" fillId="4" borderId="1" xfId="0" applyNumberFormat="1" applyFill="1" applyBorder="1"/>
    <xf numFmtId="10" fontId="0" fillId="4" borderId="1" xfId="0" applyNumberFormat="1" applyFill="1" applyBorder="1"/>
    <xf numFmtId="3" fontId="0" fillId="4" borderId="3" xfId="0" applyNumberFormat="1" applyFill="1" applyBorder="1"/>
    <xf numFmtId="10" fontId="0" fillId="4" borderId="3" xfId="0" applyNumberFormat="1" applyFill="1" applyBorder="1"/>
    <xf numFmtId="3" fontId="0" fillId="4" borderId="0" xfId="1" applyNumberFormat="1" applyFont="1" applyFill="1"/>
    <xf numFmtId="3" fontId="0" fillId="4" borderId="1" xfId="1" applyNumberFormat="1" applyFont="1" applyFill="1" applyBorder="1"/>
    <xf numFmtId="3" fontId="0" fillId="4" borderId="3" xfId="1" applyNumberFormat="1" applyFont="1" applyFill="1" applyBorder="1"/>
    <xf numFmtId="10" fontId="0" fillId="4" borderId="0" xfId="0" applyNumberFormat="1" applyFill="1" applyBorder="1"/>
    <xf numFmtId="169" fontId="0" fillId="4" borderId="0" xfId="0" applyNumberFormat="1" applyFill="1" applyBorder="1"/>
    <xf numFmtId="3" fontId="3" fillId="4" borderId="0" xfId="0" applyNumberFormat="1" applyFont="1" applyFill="1" applyAlignment="1">
      <alignment horizontal="left"/>
    </xf>
    <xf numFmtId="3" fontId="1" fillId="4" borderId="0" xfId="0" applyNumberFormat="1" applyFont="1" applyFill="1" applyAlignment="1">
      <alignment horizontal="right"/>
    </xf>
    <xf numFmtId="3" fontId="2" fillId="4" borderId="0" xfId="0" applyNumberFormat="1" applyFont="1" applyFill="1" applyAlignment="1">
      <alignment horizontal="left"/>
    </xf>
    <xf numFmtId="168" fontId="0" fillId="4" borderId="0" xfId="0" applyNumberFormat="1" applyFill="1"/>
    <xf numFmtId="168" fontId="0" fillId="4" borderId="1" xfId="0" applyNumberFormat="1" applyFill="1" applyBorder="1"/>
    <xf numFmtId="168" fontId="0" fillId="4" borderId="3" xfId="0" applyNumberFormat="1" applyFill="1" applyBorder="1"/>
    <xf numFmtId="10" fontId="0" fillId="4" borderId="1" xfId="2" applyNumberFormat="1" applyFont="1" applyFill="1" applyBorder="1"/>
    <xf numFmtId="168" fontId="0" fillId="4" borderId="0" xfId="0" applyNumberFormat="1" applyFill="1" applyBorder="1"/>
    <xf numFmtId="168" fontId="0" fillId="4" borderId="0" xfId="0" applyNumberFormat="1" applyFill="1" applyAlignment="1">
      <alignment horizontal="center"/>
    </xf>
    <xf numFmtId="168" fontId="2" fillId="4" borderId="1" xfId="0" applyNumberFormat="1" applyFont="1" applyFill="1" applyBorder="1" applyAlignment="1">
      <alignment horizontal="center" wrapText="1"/>
    </xf>
    <xf numFmtId="167" fontId="1" fillId="4" borderId="1" xfId="4" applyNumberFormat="1" applyFont="1" applyFill="1" applyBorder="1"/>
    <xf numFmtId="167" fontId="1" fillId="4" borderId="0" xfId="0" applyNumberFormat="1" applyFont="1" applyFill="1"/>
    <xf numFmtId="167" fontId="1" fillId="4" borderId="1" xfId="0" applyNumberFormat="1" applyFont="1" applyFill="1" applyBorder="1"/>
    <xf numFmtId="167" fontId="1" fillId="4" borderId="0" xfId="0" applyNumberFormat="1" applyFont="1" applyFill="1" applyBorder="1"/>
    <xf numFmtId="167" fontId="1" fillId="4" borderId="3" xfId="0" applyNumberFormat="1" applyFont="1" applyFill="1" applyBorder="1"/>
    <xf numFmtId="0" fontId="1" fillId="4" borderId="0" xfId="0" applyFont="1" applyFill="1" applyAlignment="1">
      <alignment horizontal="left" wrapText="1"/>
    </xf>
    <xf numFmtId="167" fontId="0" fillId="4" borderId="0" xfId="1" applyFont="1" applyFill="1"/>
    <xf numFmtId="167" fontId="0" fillId="4" borderId="0" xfId="0" applyNumberFormat="1" applyFill="1"/>
    <xf numFmtId="167" fontId="0" fillId="4" borderId="0" xfId="0" applyNumberFormat="1" applyFill="1" applyBorder="1"/>
    <xf numFmtId="167" fontId="0" fillId="4" borderId="0" xfId="1" applyFont="1" applyFill="1" applyBorder="1"/>
    <xf numFmtId="167" fontId="0" fillId="4" borderId="1" xfId="1" applyFont="1" applyFill="1" applyBorder="1"/>
    <xf numFmtId="167" fontId="0" fillId="4" borderId="3" xfId="0" applyNumberFormat="1" applyFill="1" applyBorder="1"/>
    <xf numFmtId="0" fontId="14" fillId="4" borderId="0" xfId="0" applyFont="1" applyFill="1" applyAlignment="1">
      <alignment horizontal="left"/>
    </xf>
    <xf numFmtId="0" fontId="13" fillId="4" borderId="0" xfId="0" applyFont="1" applyFill="1" applyAlignment="1">
      <alignment horizontal="center"/>
    </xf>
    <xf numFmtId="165" fontId="1" fillId="4" borderId="0" xfId="1" applyNumberFormat="1" applyFont="1" applyFill="1"/>
    <xf numFmtId="171" fontId="1" fillId="4" borderId="0" xfId="0" quotePrefix="1" applyNumberFormat="1" applyFont="1" applyFill="1" applyAlignment="1">
      <alignment horizontal="right"/>
    </xf>
    <xf numFmtId="9" fontId="1" fillId="4" borderId="0" xfId="2" applyFont="1" applyFill="1"/>
    <xf numFmtId="167" fontId="1" fillId="4" borderId="3" xfId="1" applyFont="1" applyFill="1" applyBorder="1"/>
    <xf numFmtId="0" fontId="1" fillId="4" borderId="0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left" wrapText="1"/>
    </xf>
    <xf numFmtId="0" fontId="2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left"/>
    </xf>
  </cellXfs>
  <cellStyles count="6">
    <cellStyle name="Accent2" xfId="4" builtinId="33"/>
    <cellStyle name="Accent4" xfId="3" builtinId="41"/>
    <cellStyle name="Comma" xfId="1" builtinId="3"/>
    <cellStyle name="Normal" xfId="0" builtinId="0"/>
    <cellStyle name="Normal 2" xfId="5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O29"/>
  <sheetViews>
    <sheetView view="pageBreakPreview" zoomScale="115" zoomScaleSheetLayoutView="115" workbookViewId="0">
      <selection activeCell="D15" sqref="D15"/>
    </sheetView>
  </sheetViews>
  <sheetFormatPr defaultRowHeight="12.75" x14ac:dyDescent="0.2"/>
  <cols>
    <col min="1" max="1" width="6.7109375" style="3" customWidth="1"/>
    <col min="2" max="2" width="9.140625" style="5"/>
    <col min="3" max="10" width="9.140625" style="3"/>
    <col min="11" max="11" width="6.5703125" style="3" customWidth="1"/>
    <col min="12" max="12" width="6" style="3" customWidth="1"/>
    <col min="13" max="16384" width="9.140625" style="3"/>
  </cols>
  <sheetData>
    <row r="1" spans="2:15" ht="15.75" x14ac:dyDescent="0.25">
      <c r="D1" s="6"/>
      <c r="F1" s="7" t="s">
        <v>5</v>
      </c>
    </row>
    <row r="2" spans="2:15" x14ac:dyDescent="0.2">
      <c r="D2" s="6"/>
      <c r="F2" s="1" t="str">
        <f>'Schedule 1'!Q2</f>
        <v>June 2017</v>
      </c>
    </row>
    <row r="3" spans="2:15" x14ac:dyDescent="0.2">
      <c r="D3" s="6"/>
      <c r="F3" s="1"/>
    </row>
    <row r="4" spans="2:15" ht="18" x14ac:dyDescent="0.25">
      <c r="F4" s="8" t="s">
        <v>39</v>
      </c>
    </row>
    <row r="6" spans="2:15" x14ac:dyDescent="0.2">
      <c r="B6" s="5">
        <v>1</v>
      </c>
      <c r="D6" s="3" t="str">
        <f>'Schedule 1'!A2</f>
        <v>Computation of Rate Base</v>
      </c>
    </row>
    <row r="8" spans="2:15" x14ac:dyDescent="0.2">
      <c r="B8" s="5">
        <v>2</v>
      </c>
      <c r="D8" s="3" t="str">
        <f>'Schedule 2'!A2</f>
        <v>Computation of Allowance for Working Capital</v>
      </c>
    </row>
    <row r="9" spans="2:15" x14ac:dyDescent="0.2">
      <c r="B9" s="5" t="s">
        <v>40</v>
      </c>
      <c r="D9" s="3" t="str">
        <f>'Schedule 2A'!A2</f>
        <v>Effect of GST on Working Capital</v>
      </c>
    </row>
    <row r="11" spans="2:15" x14ac:dyDescent="0.2">
      <c r="B11" s="5">
        <v>3</v>
      </c>
      <c r="D11" s="3" t="str">
        <f>'Schedule 3'!A2</f>
        <v>Continuity Schedule of Property, Plant and Equipment</v>
      </c>
    </row>
    <row r="12" spans="2:15" x14ac:dyDescent="0.2">
      <c r="K12" s="9"/>
      <c r="L12" s="9"/>
      <c r="M12" s="9"/>
      <c r="N12" s="9"/>
      <c r="O12" s="9"/>
    </row>
    <row r="13" spans="2:15" x14ac:dyDescent="0.2">
      <c r="B13" s="5" t="s">
        <v>41</v>
      </c>
      <c r="D13" s="3" t="s">
        <v>244</v>
      </c>
      <c r="K13" s="9"/>
      <c r="L13" s="9"/>
      <c r="M13" s="9"/>
      <c r="N13" s="9"/>
      <c r="O13" s="9"/>
    </row>
    <row r="14" spans="2:15" x14ac:dyDescent="0.2">
      <c r="B14" s="5" t="s">
        <v>42</v>
      </c>
      <c r="D14" s="3" t="s">
        <v>276</v>
      </c>
      <c r="K14" s="9"/>
      <c r="L14" s="9"/>
      <c r="M14" s="9"/>
      <c r="N14" s="9"/>
      <c r="O14" s="9"/>
    </row>
    <row r="15" spans="2:15" x14ac:dyDescent="0.2">
      <c r="B15" s="5" t="s">
        <v>43</v>
      </c>
      <c r="D15" s="3" t="s">
        <v>245</v>
      </c>
      <c r="K15" s="9"/>
      <c r="L15" s="9"/>
      <c r="M15" s="9"/>
      <c r="N15" s="9"/>
      <c r="O15" s="9"/>
    </row>
    <row r="16" spans="2:15" x14ac:dyDescent="0.2">
      <c r="K16" s="9"/>
    </row>
    <row r="17" spans="2:4" x14ac:dyDescent="0.2">
      <c r="B17" s="5">
        <v>5</v>
      </c>
      <c r="D17" s="3" t="str">
        <f>'Schedule 5'!A2</f>
        <v>Utility Revenue Requirement</v>
      </c>
    </row>
    <row r="19" spans="2:4" x14ac:dyDescent="0.2">
      <c r="B19" s="5">
        <v>6</v>
      </c>
      <c r="D19" s="3" t="str">
        <f>'Schedule 6'!A2</f>
        <v>Statement of Earnings</v>
      </c>
    </row>
    <row r="21" spans="2:4" x14ac:dyDescent="0.2">
      <c r="B21" s="5">
        <v>7</v>
      </c>
      <c r="D21" s="3" t="str">
        <f>'Schedule 7'!A2</f>
        <v>Statement of Retained Earnings</v>
      </c>
    </row>
    <row r="23" spans="2:4" x14ac:dyDescent="0.2">
      <c r="B23" s="5">
        <v>8</v>
      </c>
      <c r="D23" s="3" t="str">
        <f>'Schedule 8'!A2</f>
        <v>Reconciliation of Utility Income to Net Earnings</v>
      </c>
    </row>
    <row r="25" spans="2:4" x14ac:dyDescent="0.2">
      <c r="B25" s="5">
        <v>9</v>
      </c>
      <c r="D25" s="3" t="str">
        <f>'Schedule 9'!A2</f>
        <v>Summary of Customers, Energy Sales and Revenues</v>
      </c>
    </row>
    <row r="27" spans="2:4" x14ac:dyDescent="0.2">
      <c r="B27" s="5">
        <f>B25+1</f>
        <v>10</v>
      </c>
      <c r="D27" s="3" t="str">
        <f>'Schedule 10'!A2</f>
        <v>Summary of Operating and Maintenance Expenses</v>
      </c>
    </row>
    <row r="29" spans="2:4" x14ac:dyDescent="0.2">
      <c r="B29" s="5">
        <f>B27+1</f>
        <v>11</v>
      </c>
      <c r="D29" s="3" t="str">
        <f>'Schedule 11'!A2</f>
        <v>Summary of Cost of Long - Term Debt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9" tint="0.39997558519241921"/>
    <pageSetUpPr fitToPage="1"/>
  </sheetPr>
  <dimension ref="A1:R25"/>
  <sheetViews>
    <sheetView view="pageBreakPreview" zoomScaleSheetLayoutView="100" workbookViewId="0">
      <selection activeCell="E29" sqref="E29"/>
    </sheetView>
  </sheetViews>
  <sheetFormatPr defaultRowHeight="12.75" x14ac:dyDescent="0.2"/>
  <cols>
    <col min="1" max="1" width="5.28515625" style="2" customWidth="1"/>
    <col min="2" max="2" width="1.85546875" style="2" customWidth="1"/>
    <col min="3" max="3" width="32" style="2" customWidth="1"/>
    <col min="4" max="4" width="1.85546875" style="2" customWidth="1"/>
    <col min="5" max="5" width="9.140625" style="11"/>
    <col min="6" max="6" width="1.85546875" style="2" customWidth="1"/>
    <col min="7" max="7" width="10.7109375" style="2" customWidth="1"/>
    <col min="8" max="11" width="9.42578125" style="2" customWidth="1"/>
    <col min="12" max="12" width="1.42578125" style="12" customWidth="1"/>
    <col min="13" max="14" width="10.42578125" style="2" customWidth="1"/>
    <col min="15" max="15" width="1.42578125" style="12" customWidth="1"/>
    <col min="16" max="17" width="10.42578125" style="2" customWidth="1"/>
    <col min="18" max="18" width="1.85546875" style="2" customWidth="1"/>
    <col min="19" max="16384" width="9.140625" style="2"/>
  </cols>
  <sheetData>
    <row r="1" spans="1:18" ht="15.75" x14ac:dyDescent="0.25">
      <c r="A1" s="10" t="s">
        <v>5</v>
      </c>
      <c r="Q1" s="15" t="s">
        <v>20</v>
      </c>
    </row>
    <row r="2" spans="1:18" x14ac:dyDescent="0.2">
      <c r="A2" s="16" t="s">
        <v>22</v>
      </c>
      <c r="P2" s="85"/>
      <c r="Q2" s="18" t="str">
        <f>'Schedule 1'!$Q$2</f>
        <v>June 2017</v>
      </c>
    </row>
    <row r="3" spans="1:18" x14ac:dyDescent="0.2">
      <c r="A3" s="16" t="s">
        <v>7</v>
      </c>
    </row>
    <row r="6" spans="1:18" s="11" customFormat="1" x14ac:dyDescent="0.2">
      <c r="G6" s="19"/>
      <c r="H6" s="19"/>
      <c r="I6" s="19"/>
      <c r="J6" s="19"/>
      <c r="K6" s="19"/>
      <c r="L6" s="19"/>
      <c r="M6" s="160" t="s">
        <v>3</v>
      </c>
      <c r="N6" s="160"/>
      <c r="O6" s="19"/>
      <c r="P6" s="160" t="s">
        <v>3</v>
      </c>
      <c r="Q6" s="160"/>
    </row>
    <row r="7" spans="1:18" s="21" customFormat="1" ht="25.5" x14ac:dyDescent="0.2">
      <c r="A7" s="20" t="s">
        <v>0</v>
      </c>
      <c r="C7" s="20" t="s">
        <v>1</v>
      </c>
      <c r="E7" s="20" t="s">
        <v>2</v>
      </c>
      <c r="G7" s="20" t="s">
        <v>228</v>
      </c>
      <c r="H7" s="20" t="s">
        <v>229</v>
      </c>
      <c r="I7" s="20" t="s">
        <v>230</v>
      </c>
      <c r="J7" s="20" t="s">
        <v>231</v>
      </c>
      <c r="K7" s="20" t="s">
        <v>272</v>
      </c>
      <c r="L7" s="22"/>
      <c r="M7" s="20" t="str">
        <f>'Schedule 1'!$M$7</f>
        <v>Existing 2017</v>
      </c>
      <c r="N7" s="20" t="str">
        <f>'Schedule 1'!$N$7</f>
        <v>Proposed 2017</v>
      </c>
      <c r="O7" s="22"/>
      <c r="P7" s="20" t="str">
        <f>'Schedule 1'!$P$7</f>
        <v>Existing 2018</v>
      </c>
      <c r="Q7" s="20" t="str">
        <f>'Schedule 1'!$Q$7</f>
        <v>Proposed 2018</v>
      </c>
    </row>
    <row r="9" spans="1:18" x14ac:dyDescent="0.2">
      <c r="A9" s="2">
        <v>1</v>
      </c>
      <c r="C9" s="2" t="s">
        <v>195</v>
      </c>
      <c r="E9" s="11" t="s">
        <v>38</v>
      </c>
      <c r="G9" s="31">
        <f>'Schedule 5'!G13</f>
        <v>12347.92850706969</v>
      </c>
      <c r="H9" s="31">
        <f>'Schedule 5'!H13</f>
        <v>11138.051682934969</v>
      </c>
      <c r="I9" s="31">
        <f>'Schedule 5'!I13</f>
        <v>11938.24906430284</v>
      </c>
      <c r="J9" s="31">
        <f>'Schedule 5'!J13</f>
        <v>10828.862002841832</v>
      </c>
      <c r="K9" s="31">
        <f>'Schedule 5'!K13</f>
        <v>12241.758692717751</v>
      </c>
      <c r="L9" s="32"/>
      <c r="M9" s="86">
        <f>'Schedule 5'!M13</f>
        <v>12281.822777643834</v>
      </c>
      <c r="N9" s="86">
        <f>'Schedule 5'!N13</f>
        <v>13289.120439745137</v>
      </c>
      <c r="O9" s="87"/>
      <c r="P9" s="86">
        <f>'Schedule 5'!P13</f>
        <v>12478.599119347373</v>
      </c>
      <c r="Q9" s="86">
        <f>'Schedule 5'!Q13</f>
        <v>14347.847050106195</v>
      </c>
    </row>
    <row r="10" spans="1:18" x14ac:dyDescent="0.2">
      <c r="G10" s="31"/>
      <c r="H10" s="31"/>
      <c r="I10" s="31"/>
      <c r="J10" s="31"/>
      <c r="K10" s="31"/>
      <c r="L10" s="32"/>
      <c r="M10" s="31"/>
      <c r="N10" s="31"/>
      <c r="O10" s="32"/>
      <c r="P10" s="31"/>
      <c r="Q10" s="31"/>
    </row>
    <row r="11" spans="1:18" x14ac:dyDescent="0.2">
      <c r="C11" s="2" t="s">
        <v>48</v>
      </c>
      <c r="G11" s="31"/>
      <c r="H11" s="31"/>
      <c r="I11" s="31"/>
      <c r="J11" s="31"/>
      <c r="K11" s="31"/>
      <c r="L11" s="32"/>
      <c r="M11" s="31"/>
      <c r="N11" s="31"/>
      <c r="O11" s="32"/>
      <c r="P11" s="31"/>
      <c r="Q11" s="31"/>
      <c r="R11" s="12"/>
    </row>
    <row r="12" spans="1:18" x14ac:dyDescent="0.2">
      <c r="A12" s="2">
        <v>2</v>
      </c>
      <c r="C12" s="88" t="s">
        <v>145</v>
      </c>
      <c r="E12" s="11" t="s">
        <v>254</v>
      </c>
      <c r="G12" s="31">
        <f>'Schedule 6'!G24</f>
        <v>500</v>
      </c>
      <c r="H12" s="31">
        <f>'Schedule 6'!H24</f>
        <v>926.82899999999995</v>
      </c>
      <c r="I12" s="31">
        <f>'Schedule 6'!I24</f>
        <v>1188</v>
      </c>
      <c r="J12" s="31">
        <f>'Schedule 6'!J24</f>
        <v>714</v>
      </c>
      <c r="K12" s="31">
        <f>'Schedule 6'!K24</f>
        <v>819.38300000000004</v>
      </c>
      <c r="L12" s="32"/>
      <c r="M12" s="31">
        <f>'Schedule 6'!M24</f>
        <v>1092.7887450706239</v>
      </c>
      <c r="N12" s="31">
        <f>'Schedule 6'!N24</f>
        <v>863.20982205887219</v>
      </c>
      <c r="O12" s="32"/>
      <c r="P12" s="31">
        <f>'Schedule 6'!P24</f>
        <v>1260.7791209274226</v>
      </c>
      <c r="Q12" s="31">
        <f>'Schedule 6'!Q24</f>
        <v>719.19819271980862</v>
      </c>
      <c r="R12" s="12"/>
    </row>
    <row r="13" spans="1:18" x14ac:dyDescent="0.2">
      <c r="A13" s="2">
        <v>3</v>
      </c>
      <c r="C13" s="2" t="s">
        <v>151</v>
      </c>
      <c r="E13" s="11" t="s">
        <v>168</v>
      </c>
      <c r="G13" s="30">
        <f>'Schedule 6'!G25</f>
        <v>-22.602739726027398</v>
      </c>
      <c r="H13" s="30">
        <f>'Schedule 6'!H25</f>
        <v>-491.928</v>
      </c>
      <c r="I13" s="30">
        <f>'Schedule 6'!I25</f>
        <v>-86.138009374510673</v>
      </c>
      <c r="J13" s="30">
        <f>'Schedule 6'!J25</f>
        <v>-97.515433072998192</v>
      </c>
      <c r="K13" s="30">
        <f>'Schedule 6'!K25</f>
        <v>-1591.86</v>
      </c>
      <c r="L13" s="32"/>
      <c r="M13" s="30">
        <f>'Schedule 6'!M25</f>
        <v>-31.769462215448822</v>
      </c>
      <c r="N13" s="30">
        <f>'Schedule 6'!N25</f>
        <v>-31.769462215448822</v>
      </c>
      <c r="O13" s="30"/>
      <c r="P13" s="30">
        <f>'Schedule 6'!P25</f>
        <v>-31.555950444255529</v>
      </c>
      <c r="Q13" s="30">
        <f>'Schedule 6'!Q25</f>
        <v>-31.555950444255529</v>
      </c>
      <c r="R13" s="12"/>
    </row>
    <row r="14" spans="1:18" x14ac:dyDescent="0.2">
      <c r="G14" s="30">
        <f t="shared" ref="G14:K14" si="0">SUM(G9:G13)</f>
        <v>12825.325767343662</v>
      </c>
      <c r="H14" s="30">
        <f t="shared" si="0"/>
        <v>11572.952682934969</v>
      </c>
      <c r="I14" s="30">
        <f t="shared" si="0"/>
        <v>13040.111054928329</v>
      </c>
      <c r="J14" s="30">
        <f t="shared" si="0"/>
        <v>11445.346569768833</v>
      </c>
      <c r="K14" s="30">
        <f t="shared" si="0"/>
        <v>11469.28169271775</v>
      </c>
      <c r="L14" s="32"/>
      <c r="M14" s="30">
        <f t="shared" ref="M14:P14" si="1">SUM(M9:M13)</f>
        <v>13342.84206049901</v>
      </c>
      <c r="N14" s="30">
        <f>SUM(N9:N13)</f>
        <v>14120.56079958856</v>
      </c>
      <c r="O14" s="32"/>
      <c r="P14" s="30">
        <f t="shared" si="1"/>
        <v>13707.822289830539</v>
      </c>
      <c r="Q14" s="30">
        <f>SUM(Q9:Q13)</f>
        <v>15035.489292381748</v>
      </c>
      <c r="R14" s="12"/>
    </row>
    <row r="15" spans="1:18" x14ac:dyDescent="0.2">
      <c r="R15" s="12"/>
    </row>
    <row r="16" spans="1:18" x14ac:dyDescent="0.2">
      <c r="C16" s="2" t="s">
        <v>113</v>
      </c>
      <c r="R16" s="12"/>
    </row>
    <row r="17" spans="1:18" x14ac:dyDescent="0.2">
      <c r="A17" s="2">
        <v>4</v>
      </c>
      <c r="C17" s="2" t="s">
        <v>117</v>
      </c>
      <c r="E17" s="11" t="s">
        <v>162</v>
      </c>
      <c r="G17" s="31">
        <f>'Schedule 6'!G29</f>
        <v>4917.2862240983786</v>
      </c>
      <c r="H17" s="31">
        <f>'Schedule 6'!H29</f>
        <v>4128</v>
      </c>
      <c r="I17" s="31">
        <f>'Schedule 6'!I29</f>
        <v>5225.342419175272</v>
      </c>
      <c r="J17" s="31">
        <f>'Schedule 6'!J29</f>
        <v>3662.4169507675865</v>
      </c>
      <c r="K17" s="31">
        <f>'Schedule 6'!K29</f>
        <v>3356</v>
      </c>
      <c r="L17" s="32"/>
      <c r="M17" s="31">
        <f>'Schedule 6'!M29</f>
        <v>3961.0396276397346</v>
      </c>
      <c r="N17" s="31">
        <f>'Schedule 6'!N29</f>
        <v>3944.712468009333</v>
      </c>
      <c r="O17" s="32"/>
      <c r="P17" s="31">
        <f>'Schedule 6'!P29</f>
        <v>4258.9592446989491</v>
      </c>
      <c r="Q17" s="31">
        <f>'Schedule 6'!Q29</f>
        <v>4201.0577432740793</v>
      </c>
      <c r="R17" s="12"/>
    </row>
    <row r="18" spans="1:18" x14ac:dyDescent="0.2">
      <c r="A18" s="2">
        <v>5</v>
      </c>
      <c r="C18" s="2" t="s">
        <v>118</v>
      </c>
      <c r="E18" s="11" t="s">
        <v>119</v>
      </c>
      <c r="G18" s="31">
        <f>-'Schedule 5'!G23</f>
        <v>85</v>
      </c>
      <c r="H18" s="31">
        <f>-'Schedule 5'!H23</f>
        <v>84.405000000000001</v>
      </c>
      <c r="I18" s="31">
        <f>-'Schedule 5'!I23</f>
        <v>85</v>
      </c>
      <c r="J18" s="31">
        <f>-'Schedule 5'!J23</f>
        <v>86</v>
      </c>
      <c r="K18" s="31">
        <f>-'Schedule 5'!K23</f>
        <v>95.414000000000001</v>
      </c>
      <c r="L18" s="32"/>
      <c r="M18" s="31">
        <f>-'Schedule 5'!M23</f>
        <v>95.999999999999957</v>
      </c>
      <c r="N18" s="31">
        <f>-'Schedule 5'!N23</f>
        <v>95.999999999999957</v>
      </c>
      <c r="O18" s="32"/>
      <c r="P18" s="31">
        <f>-'Schedule 5'!P23</f>
        <v>99.999999999999957</v>
      </c>
      <c r="Q18" s="31">
        <f>-'Schedule 5'!Q23</f>
        <v>99.999999999999957</v>
      </c>
      <c r="R18" s="12"/>
    </row>
    <row r="19" spans="1:18" x14ac:dyDescent="0.2">
      <c r="A19" s="2">
        <v>6</v>
      </c>
      <c r="C19" s="2" t="s">
        <v>196</v>
      </c>
      <c r="E19" s="11" t="s">
        <v>166</v>
      </c>
      <c r="G19" s="89">
        <f>-'Schedule 5'!G24</f>
        <v>0</v>
      </c>
      <c r="H19" s="89">
        <f>-'Schedule 5'!H24</f>
        <v>0</v>
      </c>
      <c r="I19" s="89">
        <f>-'Schedule 5'!I24</f>
        <v>0</v>
      </c>
      <c r="J19" s="89">
        <f>-'Schedule 5'!J24</f>
        <v>0</v>
      </c>
      <c r="K19" s="89">
        <f>-'Schedule 5'!K24</f>
        <v>0</v>
      </c>
      <c r="L19" s="89"/>
      <c r="M19" s="89">
        <f>-'Schedule 5'!M24</f>
        <v>0</v>
      </c>
      <c r="N19" s="89">
        <f>-'Schedule 5'!N24</f>
        <v>0</v>
      </c>
      <c r="O19" s="89">
        <v>0</v>
      </c>
      <c r="P19" s="89">
        <f>-'Schedule 5'!P24</f>
        <v>0</v>
      </c>
      <c r="Q19" s="89">
        <f>-'Schedule 5'!Q24</f>
        <v>0</v>
      </c>
      <c r="R19" s="12"/>
    </row>
    <row r="20" spans="1:18" x14ac:dyDescent="0.2">
      <c r="A20" s="2">
        <v>7</v>
      </c>
      <c r="C20" s="2" t="s">
        <v>102</v>
      </c>
      <c r="E20" s="11" t="s">
        <v>189</v>
      </c>
      <c r="G20" s="30">
        <f>-'Schedule 5'!G22</f>
        <v>16.278565</v>
      </c>
      <c r="H20" s="30">
        <f>-'Schedule 5'!H22</f>
        <v>16.278565</v>
      </c>
      <c r="I20" s="30">
        <f>-'Schedule 5'!I22</f>
        <v>16.278565</v>
      </c>
      <c r="J20" s="30">
        <f>-'Schedule 5'!J22</f>
        <v>16.278565</v>
      </c>
      <c r="K20" s="30">
        <f>-'Schedule 5'!K22</f>
        <v>16.278565</v>
      </c>
      <c r="L20" s="32"/>
      <c r="M20" s="30">
        <f>-'Schedule 5'!M22</f>
        <v>16.278565</v>
      </c>
      <c r="N20" s="30">
        <f>-'Schedule 5'!N22</f>
        <v>16.278565</v>
      </c>
      <c r="O20" s="32"/>
      <c r="P20" s="30">
        <f>-'Schedule 5'!P22</f>
        <v>16.278565</v>
      </c>
      <c r="Q20" s="30">
        <f>-'Schedule 5'!Q22</f>
        <v>16.278565</v>
      </c>
      <c r="R20" s="25"/>
    </row>
    <row r="21" spans="1:18" x14ac:dyDescent="0.2">
      <c r="G21" s="30">
        <f t="shared" ref="G21:K21" si="2">SUM(G17:G20)</f>
        <v>5018.5647890983782</v>
      </c>
      <c r="H21" s="30">
        <f t="shared" si="2"/>
        <v>4228.6835649999994</v>
      </c>
      <c r="I21" s="30">
        <f t="shared" si="2"/>
        <v>5326.6209841752716</v>
      </c>
      <c r="J21" s="30">
        <f t="shared" si="2"/>
        <v>3764.6955157675866</v>
      </c>
      <c r="K21" s="30">
        <f t="shared" si="2"/>
        <v>3467.6925650000003</v>
      </c>
      <c r="L21" s="32"/>
      <c r="M21" s="30">
        <f t="shared" ref="M21:P21" si="3">SUM(M17:M20)</f>
        <v>4073.3181926397347</v>
      </c>
      <c r="N21" s="30">
        <f>SUM(N17:N20)</f>
        <v>4056.991033009333</v>
      </c>
      <c r="O21" s="32"/>
      <c r="P21" s="30">
        <f t="shared" si="3"/>
        <v>4375.2378096989487</v>
      </c>
      <c r="Q21" s="30">
        <f>SUM(Q17:Q20)</f>
        <v>4317.3363082740789</v>
      </c>
      <c r="R21" s="12"/>
    </row>
    <row r="22" spans="1:18" x14ac:dyDescent="0.2"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12"/>
    </row>
    <row r="23" spans="1:18" x14ac:dyDescent="0.2">
      <c r="A23" s="2">
        <v>8</v>
      </c>
      <c r="C23" s="2" t="s">
        <v>111</v>
      </c>
      <c r="E23" s="11" t="s">
        <v>223</v>
      </c>
      <c r="G23" s="31">
        <f t="shared" ref="G23:K23" si="4">G14-G21</f>
        <v>7806.7609782452837</v>
      </c>
      <c r="H23" s="31">
        <f>H14-H21</f>
        <v>7344.2691179349695</v>
      </c>
      <c r="I23" s="31">
        <f t="shared" si="4"/>
        <v>7713.4900707530578</v>
      </c>
      <c r="J23" s="31">
        <f t="shared" si="4"/>
        <v>7680.6510540012468</v>
      </c>
      <c r="K23" s="31">
        <f t="shared" si="4"/>
        <v>8001.5891277177498</v>
      </c>
      <c r="L23" s="32"/>
      <c r="M23" s="31">
        <f t="shared" ref="M23:P23" si="5">M14-M21</f>
        <v>9269.5238678592759</v>
      </c>
      <c r="N23" s="31">
        <f>N14-N21</f>
        <v>10063.569766579227</v>
      </c>
      <c r="O23" s="32"/>
      <c r="P23" s="31">
        <f t="shared" si="5"/>
        <v>9332.5844801315907</v>
      </c>
      <c r="Q23" s="31">
        <f>Q14-Q21</f>
        <v>10718.15298410767</v>
      </c>
      <c r="R23" s="12"/>
    </row>
    <row r="24" spans="1:18" x14ac:dyDescent="0.2">
      <c r="G24" s="31"/>
      <c r="H24" s="31"/>
      <c r="I24" s="31"/>
      <c r="J24" s="31"/>
      <c r="K24" s="31"/>
      <c r="L24" s="32"/>
      <c r="M24" s="31"/>
      <c r="N24" s="31"/>
      <c r="O24" s="32"/>
      <c r="P24" s="31"/>
      <c r="Q24" s="31"/>
      <c r="R24" s="12"/>
    </row>
    <row r="25" spans="1:18" x14ac:dyDescent="0.2">
      <c r="G25" s="25"/>
      <c r="H25" s="25"/>
      <c r="I25" s="25"/>
      <c r="J25" s="25"/>
      <c r="K25" s="25"/>
      <c r="L25" s="90"/>
      <c r="M25" s="25"/>
      <c r="N25" s="25"/>
      <c r="O25" s="90"/>
      <c r="P25" s="25"/>
      <c r="Q25" s="25"/>
    </row>
  </sheetData>
  <mergeCells count="2">
    <mergeCell ref="M6:N6"/>
    <mergeCell ref="P6:Q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  <pageSetUpPr fitToPage="1"/>
  </sheetPr>
  <dimension ref="A1:P85"/>
  <sheetViews>
    <sheetView view="pageBreakPreview" topLeftCell="A38" zoomScale="115" zoomScaleSheetLayoutView="115" workbookViewId="0">
      <selection activeCell="F70" sqref="F70"/>
    </sheetView>
  </sheetViews>
  <sheetFormatPr defaultRowHeight="12.75" x14ac:dyDescent="0.2"/>
  <cols>
    <col min="1" max="1" width="5.28515625" style="3" customWidth="1"/>
    <col min="2" max="2" width="1.85546875" style="3" customWidth="1"/>
    <col min="3" max="3" width="27.42578125" style="3" customWidth="1"/>
    <col min="4" max="4" width="1.85546875" style="3" customWidth="1"/>
    <col min="5" max="9" width="9.42578125" style="3" customWidth="1"/>
    <col min="10" max="10" width="1.5703125" style="37" customWidth="1"/>
    <col min="11" max="11" width="9.42578125" style="3" customWidth="1"/>
    <col min="12" max="12" width="1.5703125" style="37" customWidth="1"/>
    <col min="13" max="13" width="9.42578125" style="3" customWidth="1"/>
    <col min="14" max="14" width="10.7109375" style="3" customWidth="1"/>
    <col min="15" max="16384" width="9.140625" style="3"/>
  </cols>
  <sheetData>
    <row r="1" spans="1:14" ht="15.75" x14ac:dyDescent="0.25">
      <c r="A1" s="10" t="s">
        <v>5</v>
      </c>
      <c r="J1" s="38"/>
      <c r="M1" s="5" t="s">
        <v>21</v>
      </c>
    </row>
    <row r="2" spans="1:14" x14ac:dyDescent="0.2">
      <c r="A2" s="16" t="s">
        <v>24</v>
      </c>
      <c r="J2" s="19"/>
      <c r="M2" s="40" t="str">
        <f>'Schedule 1'!$Q$2</f>
        <v>June 2017</v>
      </c>
    </row>
    <row r="3" spans="1:14" x14ac:dyDescent="0.2">
      <c r="A3" s="16" t="s">
        <v>7</v>
      </c>
      <c r="J3" s="19"/>
    </row>
    <row r="4" spans="1:14" x14ac:dyDescent="0.2">
      <c r="C4" s="62"/>
    </row>
    <row r="5" spans="1:14" x14ac:dyDescent="0.2">
      <c r="C5" s="63"/>
    </row>
    <row r="6" spans="1:14" s="6" customFormat="1" x14ac:dyDescent="0.2">
      <c r="C6" s="64"/>
      <c r="E6" s="19"/>
      <c r="F6" s="19"/>
      <c r="G6" s="19"/>
      <c r="H6" s="19"/>
      <c r="I6" s="19"/>
      <c r="J6" s="19"/>
      <c r="K6" s="65"/>
      <c r="L6" s="19"/>
      <c r="M6" s="158"/>
    </row>
    <row r="7" spans="1:14" s="21" customFormat="1" ht="38.25" x14ac:dyDescent="0.2">
      <c r="A7" s="20" t="s">
        <v>0</v>
      </c>
      <c r="C7" s="20" t="s">
        <v>1</v>
      </c>
      <c r="E7" s="20" t="s">
        <v>228</v>
      </c>
      <c r="F7" s="20" t="s">
        <v>229</v>
      </c>
      <c r="G7" s="20" t="s">
        <v>230</v>
      </c>
      <c r="H7" s="20" t="s">
        <v>231</v>
      </c>
      <c r="I7" s="20" t="s">
        <v>272</v>
      </c>
      <c r="J7" s="22"/>
      <c r="K7" s="20" t="str">
        <f>'Schedule 1'!$N$7</f>
        <v>Proposed 2017</v>
      </c>
      <c r="L7" s="22"/>
      <c r="M7" s="20" t="str">
        <f>'Schedule 1'!$Q$7</f>
        <v>Proposed 2018</v>
      </c>
    </row>
    <row r="8" spans="1:14" x14ac:dyDescent="0.2">
      <c r="A8" s="2">
        <v>1</v>
      </c>
      <c r="B8" s="2"/>
      <c r="C8" s="66" t="s">
        <v>120</v>
      </c>
      <c r="N8" s="67"/>
    </row>
    <row r="9" spans="1:14" x14ac:dyDescent="0.2">
      <c r="A9" s="2">
        <v>2</v>
      </c>
      <c r="B9" s="2"/>
      <c r="C9" s="23" t="s">
        <v>121</v>
      </c>
      <c r="E9" s="14">
        <v>1536.4991666666665</v>
      </c>
      <c r="F9" s="14">
        <v>1559</v>
      </c>
      <c r="G9" s="14">
        <v>1561.1641671666666</v>
      </c>
      <c r="H9" s="14">
        <v>1587.8333333333333</v>
      </c>
      <c r="I9" s="14">
        <v>1609.4375</v>
      </c>
      <c r="J9" s="14"/>
      <c r="K9" s="14">
        <v>1623.7945751683335</v>
      </c>
      <c r="L9" s="14"/>
      <c r="M9" s="14">
        <v>1635.4831134093349</v>
      </c>
      <c r="N9" s="68"/>
    </row>
    <row r="10" spans="1:14" x14ac:dyDescent="0.2">
      <c r="A10" s="2">
        <v>3</v>
      </c>
      <c r="B10" s="2"/>
      <c r="C10" s="23" t="s">
        <v>144</v>
      </c>
      <c r="E10" s="14">
        <v>12408.471247515801</v>
      </c>
      <c r="F10" s="14">
        <v>13385.13759</v>
      </c>
      <c r="G10" s="14">
        <v>13326.5862</v>
      </c>
      <c r="H10" s="14">
        <v>13121.233920000001</v>
      </c>
      <c r="I10" s="14">
        <v>13389.606109999999</v>
      </c>
      <c r="J10" s="14"/>
      <c r="K10" s="14">
        <v>13621.901470166544</v>
      </c>
      <c r="L10" s="14"/>
      <c r="M10" s="14">
        <v>13718.756359540899</v>
      </c>
      <c r="N10" s="68"/>
    </row>
    <row r="11" spans="1:14" x14ac:dyDescent="0.2">
      <c r="A11" s="2">
        <v>4</v>
      </c>
      <c r="B11" s="2"/>
      <c r="C11" s="23" t="s">
        <v>122</v>
      </c>
      <c r="E11" s="14">
        <v>8.0758073396389545</v>
      </c>
      <c r="F11" s="69">
        <v>8.5857200705580503</v>
      </c>
      <c r="G11" s="69">
        <v>8.5363131439188873</v>
      </c>
      <c r="H11" s="69">
        <v>8.2636090605647112</v>
      </c>
      <c r="I11" s="69">
        <v>8.3194321680711418</v>
      </c>
      <c r="J11" s="69"/>
      <c r="K11" s="69">
        <v>8.3889315055473723</v>
      </c>
      <c r="L11" s="69"/>
      <c r="M11" s="69">
        <v>8.3881981092074511</v>
      </c>
      <c r="N11" s="68"/>
    </row>
    <row r="12" spans="1:14" x14ac:dyDescent="0.2">
      <c r="A12" s="2">
        <v>5</v>
      </c>
      <c r="B12" s="2"/>
      <c r="C12" s="23" t="s">
        <v>123</v>
      </c>
      <c r="D12" s="63"/>
      <c r="E12" s="14">
        <v>1815.1217575082931</v>
      </c>
      <c r="F12" s="14">
        <v>1942.7577599999997</v>
      </c>
      <c r="G12" s="14">
        <v>1937.5565900000001</v>
      </c>
      <c r="H12" s="14">
        <v>1912.8781300000001</v>
      </c>
      <c r="I12" s="14">
        <v>1955.5832999999998</v>
      </c>
      <c r="J12" s="14"/>
      <c r="K12" s="14">
        <v>2002.2124495277903</v>
      </c>
      <c r="L12" s="14"/>
      <c r="M12" s="14">
        <v>2016.4486459742025</v>
      </c>
      <c r="N12" s="68"/>
    </row>
    <row r="13" spans="1:14" x14ac:dyDescent="0.2">
      <c r="A13" s="2">
        <v>6</v>
      </c>
      <c r="B13" s="2"/>
      <c r="C13" s="23" t="s">
        <v>124</v>
      </c>
      <c r="D13" s="62"/>
      <c r="E13" s="70">
        <v>14.628085291906395</v>
      </c>
      <c r="F13" s="69">
        <v>14.514290547535566</v>
      </c>
      <c r="G13" s="69">
        <v>14.539031683898163</v>
      </c>
      <c r="H13" s="69">
        <v>14.578492706271332</v>
      </c>
      <c r="I13" s="69">
        <v>14.605233969798981</v>
      </c>
      <c r="J13" s="69"/>
      <c r="K13" s="69">
        <v>14.698479899541594</v>
      </c>
      <c r="L13" s="69"/>
      <c r="M13" s="69">
        <v>14.698479899541589</v>
      </c>
      <c r="N13" s="68"/>
    </row>
    <row r="14" spans="1:14" x14ac:dyDescent="0.2">
      <c r="A14" s="2">
        <v>7</v>
      </c>
      <c r="B14" s="2"/>
      <c r="C14" s="66" t="s">
        <v>152</v>
      </c>
      <c r="E14" s="14"/>
      <c r="F14" s="14"/>
      <c r="G14" s="14"/>
      <c r="H14" s="14"/>
      <c r="I14" s="14"/>
      <c r="J14" s="2"/>
      <c r="K14" s="14"/>
      <c r="L14" s="2"/>
      <c r="M14" s="2"/>
      <c r="N14" s="67"/>
    </row>
    <row r="15" spans="1:14" x14ac:dyDescent="0.2">
      <c r="A15" s="2">
        <v>8</v>
      </c>
      <c r="B15" s="2"/>
      <c r="C15" s="23" t="s">
        <v>121</v>
      </c>
      <c r="E15" s="14">
        <v>466.69523780304013</v>
      </c>
      <c r="F15" s="14">
        <v>469.72222222222217</v>
      </c>
      <c r="G15" s="14">
        <v>474.58333333333331</v>
      </c>
      <c r="H15" s="14">
        <v>480.41666666666669</v>
      </c>
      <c r="I15" s="14">
        <v>488.47222222222223</v>
      </c>
      <c r="J15" s="14"/>
      <c r="K15" s="14">
        <v>489.70833333333326</v>
      </c>
      <c r="L15" s="14"/>
      <c r="M15" s="14">
        <v>490.12268518518516</v>
      </c>
      <c r="N15" s="68"/>
    </row>
    <row r="16" spans="1:14" x14ac:dyDescent="0.2">
      <c r="A16" s="2">
        <v>9</v>
      </c>
      <c r="B16" s="2"/>
      <c r="C16" s="23" t="s">
        <v>144</v>
      </c>
      <c r="E16" s="14">
        <v>22619.641098856657</v>
      </c>
      <c r="F16" s="14">
        <v>22282.915860000001</v>
      </c>
      <c r="G16" s="14">
        <v>23615.612929999999</v>
      </c>
      <c r="H16" s="14">
        <v>24550.849829999999</v>
      </c>
      <c r="I16" s="14">
        <v>24993.518829999997</v>
      </c>
      <c r="J16" s="14"/>
      <c r="K16" s="14">
        <v>25318.048544671008</v>
      </c>
      <c r="L16" s="14"/>
      <c r="M16" s="14">
        <v>25436.270312173448</v>
      </c>
      <c r="N16" s="68"/>
    </row>
    <row r="17" spans="1:14" x14ac:dyDescent="0.2">
      <c r="A17" s="2">
        <v>10</v>
      </c>
      <c r="B17" s="2"/>
      <c r="C17" s="23" t="s">
        <v>122</v>
      </c>
      <c r="E17" s="14">
        <v>48.467692118175947</v>
      </c>
      <c r="F17" s="69">
        <v>47.438496212891785</v>
      </c>
      <c r="G17" s="69">
        <v>49.760729615452149</v>
      </c>
      <c r="H17" s="69">
        <v>51.103243358196003</v>
      </c>
      <c r="I17" s="69">
        <v>51.166714693204426</v>
      </c>
      <c r="J17" s="69"/>
      <c r="K17" s="69">
        <v>51.70026079061553</v>
      </c>
      <c r="L17" s="69"/>
      <c r="M17" s="69">
        <v>51.897761685041679</v>
      </c>
      <c r="N17" s="68"/>
    </row>
    <row r="18" spans="1:14" x14ac:dyDescent="0.2">
      <c r="A18" s="2">
        <v>11</v>
      </c>
      <c r="B18" s="2"/>
      <c r="C18" s="23" t="s">
        <v>123</v>
      </c>
      <c r="E18" s="14">
        <v>3735.1726361000451</v>
      </c>
      <c r="F18" s="14">
        <v>3621.3358099999996</v>
      </c>
      <c r="G18" s="14">
        <v>3894.4867300000001</v>
      </c>
      <c r="H18" s="14">
        <v>4047.5274300000001</v>
      </c>
      <c r="I18" s="14">
        <v>4180.1300999999994</v>
      </c>
      <c r="J18" s="14"/>
      <c r="K18" s="14">
        <v>4035.6035204195073</v>
      </c>
      <c r="L18" s="14"/>
      <c r="M18" s="14">
        <v>4054.4476339490839</v>
      </c>
      <c r="N18" s="68"/>
    </row>
    <row r="19" spans="1:14" x14ac:dyDescent="0.2">
      <c r="A19" s="2">
        <v>12</v>
      </c>
      <c r="B19" s="2"/>
      <c r="C19" s="23" t="s">
        <v>124</v>
      </c>
      <c r="E19" s="70">
        <v>16.512961544243268</v>
      </c>
      <c r="F19" s="69">
        <v>16.251624485557787</v>
      </c>
      <c r="G19" s="69">
        <v>16.491152448779573</v>
      </c>
      <c r="H19" s="69">
        <v>16.486302747264208</v>
      </c>
      <c r="I19" s="69">
        <v>16.724856265467281</v>
      </c>
      <c r="J19" s="69"/>
      <c r="K19" s="69">
        <v>15.93963102369092</v>
      </c>
      <c r="L19" s="69"/>
      <c r="M19" s="69">
        <v>15.939631023690925</v>
      </c>
      <c r="N19" s="68"/>
    </row>
    <row r="20" spans="1:14" x14ac:dyDescent="0.2">
      <c r="A20" s="2">
        <v>13</v>
      </c>
      <c r="B20" s="2"/>
      <c r="C20" s="66" t="s">
        <v>125</v>
      </c>
      <c r="E20" s="14"/>
      <c r="F20" s="14"/>
      <c r="G20" s="14"/>
      <c r="H20" s="14"/>
      <c r="I20" s="14"/>
      <c r="J20" s="2"/>
      <c r="K20" s="14"/>
      <c r="L20" s="2"/>
      <c r="M20" s="2"/>
      <c r="N20" s="67"/>
    </row>
    <row r="21" spans="1:14" x14ac:dyDescent="0.2">
      <c r="A21" s="2">
        <v>14</v>
      </c>
      <c r="B21" s="2"/>
      <c r="C21" s="23" t="s">
        <v>144</v>
      </c>
      <c r="E21" s="14">
        <v>40591.971022043414</v>
      </c>
      <c r="F21" s="14">
        <v>40512.800000000003</v>
      </c>
      <c r="G21" s="14">
        <v>36302.400000000001</v>
      </c>
      <c r="H21" s="14">
        <v>37185.599999999999</v>
      </c>
      <c r="I21" s="14">
        <v>41169.279000000002</v>
      </c>
      <c r="J21" s="14"/>
      <c r="K21" s="14">
        <v>38219.093026666669</v>
      </c>
      <c r="L21" s="14"/>
      <c r="M21" s="14">
        <v>38219.093026666669</v>
      </c>
      <c r="N21" s="68"/>
    </row>
    <row r="22" spans="1:14" x14ac:dyDescent="0.2">
      <c r="A22" s="2">
        <v>15</v>
      </c>
      <c r="B22" s="2"/>
      <c r="C22" s="23" t="s">
        <v>123</v>
      </c>
      <c r="E22" s="14">
        <v>4786.6931945921997</v>
      </c>
      <c r="F22" s="14">
        <v>4595.3981599999997</v>
      </c>
      <c r="G22" s="14">
        <v>3958.1982400000002</v>
      </c>
      <c r="H22" s="14">
        <v>4158.740310000001</v>
      </c>
      <c r="I22" s="14">
        <v>4477.6077000000014</v>
      </c>
      <c r="J22" s="14"/>
      <c r="K22" s="14">
        <v>4198.1820828409327</v>
      </c>
      <c r="L22" s="14"/>
      <c r="M22" s="14">
        <v>4198.1820828409327</v>
      </c>
      <c r="N22" s="68"/>
    </row>
    <row r="23" spans="1:14" x14ac:dyDescent="0.2">
      <c r="A23" s="2">
        <v>16</v>
      </c>
      <c r="B23" s="2"/>
      <c r="C23" s="23" t="s">
        <v>124</v>
      </c>
      <c r="E23" s="70">
        <v>11.792216721855642</v>
      </c>
      <c r="F23" s="69">
        <v>11.343077150925138</v>
      </c>
      <c r="G23" s="69">
        <v>10.903406496540173</v>
      </c>
      <c r="H23" s="69">
        <v>11.183738624628891</v>
      </c>
      <c r="I23" s="69">
        <v>10.876089668706612</v>
      </c>
      <c r="J23" s="69"/>
      <c r="K23" s="69">
        <v>10.984515200064346</v>
      </c>
      <c r="L23" s="69"/>
      <c r="M23" s="69">
        <v>10.984515200064346</v>
      </c>
      <c r="N23" s="68"/>
    </row>
    <row r="24" spans="1:14" x14ac:dyDescent="0.2">
      <c r="A24" s="2">
        <v>17</v>
      </c>
      <c r="B24" s="2"/>
      <c r="C24" s="66" t="s">
        <v>126</v>
      </c>
      <c r="E24" s="14"/>
      <c r="F24" s="14"/>
      <c r="G24" s="14"/>
      <c r="H24" s="14"/>
      <c r="I24" s="14"/>
      <c r="J24" s="2"/>
      <c r="K24" s="14"/>
      <c r="L24" s="2"/>
      <c r="M24" s="2"/>
      <c r="N24" s="67"/>
    </row>
    <row r="25" spans="1:14" x14ac:dyDescent="0.2">
      <c r="A25" s="2">
        <v>18</v>
      </c>
      <c r="B25" s="2"/>
      <c r="C25" s="23" t="s">
        <v>144</v>
      </c>
      <c r="E25" s="14">
        <v>278.64</v>
      </c>
      <c r="F25" s="14">
        <v>281.32600000000002</v>
      </c>
      <c r="G25" s="14">
        <v>290.26600000000002</v>
      </c>
      <c r="H25" s="14">
        <v>289.67965000000004</v>
      </c>
      <c r="I25" s="14">
        <v>256.39359999999999</v>
      </c>
      <c r="J25" s="14"/>
      <c r="K25" s="14">
        <v>224.50800000000001</v>
      </c>
      <c r="L25" s="14"/>
      <c r="M25" s="14">
        <v>213.636</v>
      </c>
      <c r="N25" s="68"/>
    </row>
    <row r="26" spans="1:14" x14ac:dyDescent="0.2">
      <c r="A26" s="2">
        <v>19</v>
      </c>
      <c r="B26" s="2"/>
      <c r="C26" s="23" t="s">
        <v>123</v>
      </c>
      <c r="D26" s="72"/>
      <c r="E26" s="14">
        <v>87.915186791149239</v>
      </c>
      <c r="F26" s="14">
        <v>88.787080000000003</v>
      </c>
      <c r="G26" s="14">
        <v>91.737940000000023</v>
      </c>
      <c r="H26" s="14">
        <v>91.520899999999997</v>
      </c>
      <c r="I26" s="14">
        <v>88.456479999999999</v>
      </c>
      <c r="J26" s="14"/>
      <c r="K26" s="14">
        <v>58.390873023464742</v>
      </c>
      <c r="L26" s="14"/>
      <c r="M26" s="14">
        <v>55.56324295455358</v>
      </c>
      <c r="N26" s="68"/>
    </row>
    <row r="27" spans="1:14" x14ac:dyDescent="0.2">
      <c r="A27" s="2">
        <v>20</v>
      </c>
      <c r="B27" s="2"/>
      <c r="C27" s="23" t="s">
        <v>124</v>
      </c>
      <c r="E27" s="70">
        <v>31.551531291684338</v>
      </c>
      <c r="F27" s="69">
        <v>31.560211285128283</v>
      </c>
      <c r="G27" s="69">
        <v>31.604783198858982</v>
      </c>
      <c r="H27" s="69">
        <v>31.59383132367082</v>
      </c>
      <c r="I27" s="69">
        <v>34.500268337431201</v>
      </c>
      <c r="J27" s="69"/>
      <c r="K27" s="69">
        <v>26.008370758932752</v>
      </c>
      <c r="L27" s="69"/>
      <c r="M27" s="69">
        <v>26.008370758932752</v>
      </c>
      <c r="N27" s="68"/>
    </row>
    <row r="28" spans="1:14" x14ac:dyDescent="0.2">
      <c r="A28" s="2">
        <v>21</v>
      </c>
      <c r="B28" s="2"/>
      <c r="C28" s="66" t="s">
        <v>127</v>
      </c>
      <c r="E28" s="14"/>
      <c r="F28" s="14"/>
      <c r="G28" s="14"/>
      <c r="H28" s="14"/>
      <c r="I28" s="14"/>
      <c r="J28" s="2"/>
      <c r="K28" s="14"/>
      <c r="L28" s="2"/>
      <c r="M28" s="2"/>
      <c r="N28" s="67"/>
    </row>
    <row r="29" spans="1:14" x14ac:dyDescent="0.2">
      <c r="A29" s="2">
        <v>22</v>
      </c>
      <c r="B29" s="2"/>
      <c r="C29" s="23" t="s">
        <v>144</v>
      </c>
      <c r="E29" s="14">
        <v>14.58</v>
      </c>
      <c r="F29" s="14">
        <v>14.14</v>
      </c>
      <c r="G29" s="14">
        <v>14.09867</v>
      </c>
      <c r="H29" s="14">
        <v>14.31067</v>
      </c>
      <c r="I29" s="14">
        <v>14.26933</v>
      </c>
      <c r="J29" s="14"/>
      <c r="K29" s="14">
        <v>11.724</v>
      </c>
      <c r="L29" s="14"/>
      <c r="M29" s="14">
        <v>11.724</v>
      </c>
      <c r="N29" s="68"/>
    </row>
    <row r="30" spans="1:14" x14ac:dyDescent="0.2">
      <c r="A30" s="2">
        <v>23</v>
      </c>
      <c r="B30" s="2"/>
      <c r="C30" s="23" t="s">
        <v>123</v>
      </c>
      <c r="E30" s="14">
        <v>3.9022838238728017</v>
      </c>
      <c r="F30" s="14">
        <v>3.7516200000000004</v>
      </c>
      <c r="G30" s="14">
        <v>3.7465200000000003</v>
      </c>
      <c r="H30" s="14">
        <v>3.7070099999999999</v>
      </c>
      <c r="I30" s="14">
        <v>3.7063599999999997</v>
      </c>
      <c r="J30" s="14"/>
      <c r="K30" s="14">
        <v>2.632959421354049</v>
      </c>
      <c r="L30" s="14"/>
      <c r="M30" s="14">
        <v>2.632959421354049</v>
      </c>
      <c r="N30" s="68"/>
    </row>
    <row r="31" spans="1:14" x14ac:dyDescent="0.2">
      <c r="A31" s="2">
        <v>24</v>
      </c>
      <c r="B31" s="2"/>
      <c r="C31" s="23" t="s">
        <v>124</v>
      </c>
      <c r="E31" s="70">
        <v>26.764635280334716</v>
      </c>
      <c r="F31" s="69">
        <v>26.531966053748235</v>
      </c>
      <c r="G31" s="69">
        <v>26.573570414797992</v>
      </c>
      <c r="H31" s="69">
        <v>25.903818619254025</v>
      </c>
      <c r="I31" s="69">
        <v>25.974309936065669</v>
      </c>
      <c r="J31" s="69"/>
      <c r="K31" s="69">
        <v>22.457859274599532</v>
      </c>
      <c r="L31" s="69"/>
      <c r="M31" s="69">
        <v>22.457859274599532</v>
      </c>
      <c r="N31" s="68"/>
    </row>
    <row r="32" spans="1:14" x14ac:dyDescent="0.2">
      <c r="A32" s="2">
        <v>25</v>
      </c>
      <c r="B32" s="2"/>
      <c r="C32" s="66" t="s">
        <v>201</v>
      </c>
      <c r="E32" s="14"/>
      <c r="F32" s="14"/>
      <c r="G32" s="14"/>
      <c r="H32" s="14"/>
      <c r="I32" s="14"/>
      <c r="J32" s="2"/>
      <c r="K32" s="14"/>
      <c r="L32" s="2"/>
      <c r="M32" s="2"/>
      <c r="N32" s="73"/>
    </row>
    <row r="33" spans="1:14" x14ac:dyDescent="0.2">
      <c r="A33" s="2">
        <v>26</v>
      </c>
      <c r="B33" s="2"/>
      <c r="C33" s="23" t="s">
        <v>121</v>
      </c>
      <c r="E33" s="74">
        <v>2003.1944044697066</v>
      </c>
      <c r="F33" s="74">
        <f t="shared" ref="F33:I33" si="0">F9+F15</f>
        <v>2028.7222222222222</v>
      </c>
      <c r="G33" s="74">
        <f t="shared" si="0"/>
        <v>2035.7475004999999</v>
      </c>
      <c r="H33" s="74">
        <f t="shared" si="0"/>
        <v>2068.25</v>
      </c>
      <c r="I33" s="74">
        <f t="shared" si="0"/>
        <v>2097.9097222222222</v>
      </c>
      <c r="J33" s="14"/>
      <c r="K33" s="74">
        <f t="shared" ref="K33" si="1">K9+K15</f>
        <v>2113.5029085016668</v>
      </c>
      <c r="L33" s="14"/>
      <c r="M33" s="74">
        <f t="shared" ref="M33" si="2">M9+M15</f>
        <v>2125.6057985945199</v>
      </c>
      <c r="N33" s="68"/>
    </row>
    <row r="34" spans="1:14" x14ac:dyDescent="0.2">
      <c r="A34" s="2">
        <v>27</v>
      </c>
      <c r="B34" s="2"/>
      <c r="C34" s="23" t="s">
        <v>144</v>
      </c>
      <c r="E34" s="74">
        <v>75913.303368415873</v>
      </c>
      <c r="F34" s="74">
        <f t="shared" ref="F34:I34" si="3">F10+F16+F21+F25+F29</f>
        <v>76476.319449999995</v>
      </c>
      <c r="G34" s="74">
        <f t="shared" si="3"/>
        <v>73548.963800000012</v>
      </c>
      <c r="H34" s="74">
        <f t="shared" si="3"/>
        <v>75161.674070000008</v>
      </c>
      <c r="I34" s="74">
        <f t="shared" si="3"/>
        <v>79823.066869999981</v>
      </c>
      <c r="J34" s="14"/>
      <c r="K34" s="74">
        <f t="shared" ref="K34" si="4">K10+K16+K21+K25+K29</f>
        <v>77395.275041504225</v>
      </c>
      <c r="L34" s="14"/>
      <c r="M34" s="74">
        <f t="shared" ref="M34" si="5">M10+M16+M21+M25+M29</f>
        <v>77599.479698381023</v>
      </c>
      <c r="N34" s="68"/>
    </row>
    <row r="35" spans="1:14" x14ac:dyDescent="0.2">
      <c r="A35" s="2">
        <v>28</v>
      </c>
      <c r="B35" s="2"/>
      <c r="C35" s="23" t="s">
        <v>123</v>
      </c>
      <c r="E35" s="74">
        <v>10428.80505881556</v>
      </c>
      <c r="F35" s="74">
        <f t="shared" ref="F35:I35" si="6">F12+F18+F22+F26+F30</f>
        <v>10252.030429999997</v>
      </c>
      <c r="G35" s="74">
        <f t="shared" si="6"/>
        <v>9885.7260200000019</v>
      </c>
      <c r="H35" s="74">
        <f t="shared" si="6"/>
        <v>10214.37378</v>
      </c>
      <c r="I35" s="74">
        <f t="shared" si="6"/>
        <v>10705.483940000002</v>
      </c>
      <c r="J35" s="14"/>
      <c r="K35" s="74">
        <f t="shared" ref="K35" si="7">K12+K18+K22+K26+K30</f>
        <v>10297.021885233051</v>
      </c>
      <c r="L35" s="14"/>
      <c r="M35" s="74">
        <f t="shared" ref="M35" si="8">M12+M18+M22+M26+M30</f>
        <v>10327.274565140127</v>
      </c>
      <c r="N35" s="68"/>
    </row>
    <row r="36" spans="1:14" x14ac:dyDescent="0.2">
      <c r="A36" s="2">
        <v>29</v>
      </c>
      <c r="B36" s="2"/>
      <c r="C36" s="23" t="s">
        <v>124</v>
      </c>
      <c r="E36" s="75">
        <v>13.737783229117809</v>
      </c>
      <c r="F36" s="75">
        <f t="shared" ref="F36:I36" si="9">SUM(F35/F34)*100</f>
        <v>13.405496634422562</v>
      </c>
      <c r="G36" s="75">
        <f t="shared" si="9"/>
        <v>13.441013318531619</v>
      </c>
      <c r="H36" s="75">
        <f t="shared" si="9"/>
        <v>13.589869978796759</v>
      </c>
      <c r="I36" s="75">
        <f t="shared" si="9"/>
        <v>13.411516695336919</v>
      </c>
      <c r="J36" s="70"/>
      <c r="K36" s="75">
        <f t="shared" ref="K36" si="10">SUM(K35/K34)*100</f>
        <v>13.304458030171917</v>
      </c>
      <c r="L36" s="70"/>
      <c r="M36" s="75">
        <f t="shared" ref="M36" si="11">SUM(M35/M34)*100</f>
        <v>13.308432743725712</v>
      </c>
      <c r="N36" s="68"/>
    </row>
    <row r="37" spans="1:14" x14ac:dyDescent="0.2">
      <c r="A37" s="2">
        <v>30</v>
      </c>
      <c r="B37" s="2"/>
      <c r="C37" s="66" t="s">
        <v>128</v>
      </c>
      <c r="E37" s="14"/>
      <c r="F37" s="14"/>
      <c r="G37" s="14"/>
      <c r="H37" s="14"/>
      <c r="I37" s="14"/>
      <c r="J37" s="2"/>
      <c r="K37" s="14"/>
      <c r="L37" s="2"/>
      <c r="M37" s="2"/>
      <c r="N37" s="67"/>
    </row>
    <row r="38" spans="1:14" x14ac:dyDescent="0.2">
      <c r="A38" s="2">
        <v>31</v>
      </c>
      <c r="B38" s="2"/>
      <c r="C38" s="23" t="s">
        <v>144</v>
      </c>
      <c r="E38" s="14">
        <v>307147.3236449305</v>
      </c>
      <c r="F38" s="14">
        <v>307927.05</v>
      </c>
      <c r="G38" s="14">
        <v>295284.011</v>
      </c>
      <c r="H38" s="14">
        <v>297960.674</v>
      </c>
      <c r="I38" s="14">
        <v>301207.01199999999</v>
      </c>
      <c r="J38" s="14"/>
      <c r="K38" s="14">
        <v>309000.00012643787</v>
      </c>
      <c r="L38" s="14"/>
      <c r="M38" s="14">
        <v>309519.00069892441</v>
      </c>
      <c r="N38" s="68"/>
    </row>
    <row r="39" spans="1:14" x14ac:dyDescent="0.2">
      <c r="A39" s="2">
        <v>32</v>
      </c>
      <c r="B39" s="2"/>
      <c r="C39" s="23" t="s">
        <v>123</v>
      </c>
      <c r="E39" s="14">
        <v>25487.084916056334</v>
      </c>
      <c r="F39" s="14">
        <v>25546.006649999996</v>
      </c>
      <c r="G39" s="14">
        <v>24502.667219999999</v>
      </c>
      <c r="H39" s="14">
        <v>24724.776679999999</v>
      </c>
      <c r="I39" s="14">
        <v>24994.157849999996</v>
      </c>
      <c r="J39" s="14"/>
      <c r="K39" s="14">
        <v>25640.820010491807</v>
      </c>
      <c r="L39" s="14"/>
      <c r="M39" s="14">
        <v>25683.886677996739</v>
      </c>
      <c r="N39" s="68"/>
    </row>
    <row r="40" spans="1:14" x14ac:dyDescent="0.2">
      <c r="A40" s="2">
        <v>33</v>
      </c>
      <c r="B40" s="2"/>
      <c r="C40" s="23" t="s">
        <v>124</v>
      </c>
      <c r="E40" s="70">
        <v>8.298</v>
      </c>
      <c r="F40" s="69">
        <v>8.2961229453534511</v>
      </c>
      <c r="G40" s="69">
        <v>8.2979999956719634</v>
      </c>
      <c r="H40" s="69">
        <v>8.2979999837159717</v>
      </c>
      <c r="I40" s="69">
        <v>8.2979999980876933</v>
      </c>
      <c r="J40" s="69"/>
      <c r="K40" s="69">
        <v>8.2979999999999965</v>
      </c>
      <c r="L40" s="69"/>
      <c r="M40" s="69">
        <v>8.2979999999999965</v>
      </c>
      <c r="N40" s="68"/>
    </row>
    <row r="41" spans="1:14" x14ac:dyDescent="0.2">
      <c r="A41" s="2">
        <v>34</v>
      </c>
      <c r="B41" s="2"/>
      <c r="C41" s="66" t="s">
        <v>153</v>
      </c>
      <c r="E41" s="14"/>
      <c r="F41" s="14"/>
      <c r="G41" s="14"/>
      <c r="H41" s="14"/>
      <c r="I41" s="14"/>
      <c r="J41" s="2"/>
      <c r="K41" s="14"/>
      <c r="L41" s="2"/>
      <c r="M41" s="2"/>
      <c r="N41" s="73"/>
    </row>
    <row r="42" spans="1:14" x14ac:dyDescent="0.2">
      <c r="A42" s="2">
        <v>35</v>
      </c>
      <c r="B42" s="2"/>
      <c r="C42" s="23" t="s">
        <v>144</v>
      </c>
      <c r="E42" s="76">
        <v>383060.62701334635</v>
      </c>
      <c r="F42" s="76">
        <f t="shared" ref="F42:I42" si="12">F34+F38</f>
        <v>384403.36945</v>
      </c>
      <c r="G42" s="76">
        <f t="shared" si="12"/>
        <v>368832.97480000003</v>
      </c>
      <c r="H42" s="76">
        <f t="shared" si="12"/>
        <v>373122.34807000001</v>
      </c>
      <c r="I42" s="76">
        <f t="shared" si="12"/>
        <v>381030.07886999997</v>
      </c>
      <c r="J42" s="14"/>
      <c r="K42" s="76">
        <f t="shared" ref="K42" si="13">K34+K38</f>
        <v>386395.27516794211</v>
      </c>
      <c r="L42" s="76"/>
      <c r="M42" s="76">
        <f t="shared" ref="M42" si="14">M34+M38</f>
        <v>387118.48039730545</v>
      </c>
      <c r="N42" s="68"/>
    </row>
    <row r="43" spans="1:14" x14ac:dyDescent="0.2">
      <c r="A43" s="2">
        <v>36</v>
      </c>
      <c r="B43" s="2"/>
      <c r="C43" s="23" t="s">
        <v>123</v>
      </c>
      <c r="E43" s="76">
        <v>35915.889974871898</v>
      </c>
      <c r="F43" s="76">
        <f t="shared" ref="F43:I43" si="15">F35+F39</f>
        <v>35798.037079999995</v>
      </c>
      <c r="G43" s="76">
        <f t="shared" si="15"/>
        <v>34388.393240000005</v>
      </c>
      <c r="H43" s="76">
        <f t="shared" si="15"/>
        <v>34939.150459999997</v>
      </c>
      <c r="I43" s="76">
        <f t="shared" si="15"/>
        <v>35699.641789999994</v>
      </c>
      <c r="J43" s="14"/>
      <c r="K43" s="76">
        <f t="shared" ref="K43" si="16">K35+K39</f>
        <v>35937.841895724858</v>
      </c>
      <c r="L43" s="76"/>
      <c r="M43" s="76">
        <f t="shared" ref="M43" si="17">M35+M39</f>
        <v>36011.16124313687</v>
      </c>
      <c r="N43" s="68"/>
    </row>
    <row r="44" spans="1:14" x14ac:dyDescent="0.2">
      <c r="A44" s="2">
        <v>37</v>
      </c>
      <c r="B44" s="2"/>
      <c r="C44" s="23" t="s">
        <v>124</v>
      </c>
      <c r="E44" s="70">
        <v>9.376032784914889</v>
      </c>
      <c r="F44" s="70">
        <f t="shared" ref="F44:I44" si="18">F43/F42*100</f>
        <v>9.3126231258637038</v>
      </c>
      <c r="G44" s="70">
        <f t="shared" si="18"/>
        <v>9.3235680076183911</v>
      </c>
      <c r="H44" s="70">
        <f t="shared" si="18"/>
        <v>9.3639929746167869</v>
      </c>
      <c r="I44" s="70">
        <f t="shared" si="18"/>
        <v>9.3692450464468493</v>
      </c>
      <c r="J44" s="70"/>
      <c r="K44" s="70">
        <f t="shared" ref="K44" si="19">K43/K42*100</f>
        <v>9.3007974489607577</v>
      </c>
      <c r="L44" s="70"/>
      <c r="M44" s="70">
        <f t="shared" ref="M44" si="20">M43/M42*100</f>
        <v>9.3023616971677718</v>
      </c>
      <c r="N44" s="68"/>
    </row>
    <row r="45" spans="1:14" x14ac:dyDescent="0.2">
      <c r="A45" s="2">
        <v>38</v>
      </c>
      <c r="B45" s="2"/>
      <c r="C45" s="66" t="s">
        <v>154</v>
      </c>
      <c r="E45" s="14"/>
      <c r="F45" s="14"/>
      <c r="G45" s="14"/>
      <c r="H45" s="14"/>
      <c r="I45" s="14"/>
      <c r="J45" s="14"/>
      <c r="K45" s="14"/>
      <c r="L45" s="14"/>
      <c r="M45" s="14"/>
      <c r="N45" s="67"/>
    </row>
    <row r="46" spans="1:14" x14ac:dyDescent="0.2">
      <c r="A46" s="2">
        <v>39</v>
      </c>
      <c r="B46" s="2"/>
      <c r="C46" s="23" t="s">
        <v>144</v>
      </c>
      <c r="E46" s="14">
        <v>0</v>
      </c>
      <c r="F46" s="14">
        <v>3959.4</v>
      </c>
      <c r="G46" s="14">
        <v>5414.58</v>
      </c>
      <c r="H46" s="14">
        <v>7030.02</v>
      </c>
      <c r="I46" s="14">
        <v>4835.1000000000004</v>
      </c>
      <c r="J46" s="14"/>
      <c r="K46" s="14">
        <v>11464</v>
      </c>
      <c r="L46" s="14"/>
      <c r="M46" s="14">
        <v>11464</v>
      </c>
      <c r="N46" s="68"/>
    </row>
    <row r="47" spans="1:14" x14ac:dyDescent="0.2">
      <c r="A47" s="2">
        <v>40</v>
      </c>
      <c r="B47" s="2"/>
      <c r="C47" s="23" t="s">
        <v>123</v>
      </c>
      <c r="E47" s="14">
        <v>0</v>
      </c>
      <c r="F47" s="14">
        <v>274.86635999999999</v>
      </c>
      <c r="G47" s="14">
        <v>409.85460999999998</v>
      </c>
      <c r="H47" s="14">
        <v>543.65023999999994</v>
      </c>
      <c r="I47" s="14">
        <v>371.29411000000005</v>
      </c>
      <c r="J47" s="14"/>
      <c r="K47" s="14">
        <v>641.98400000000004</v>
      </c>
      <c r="L47" s="14"/>
      <c r="M47" s="14">
        <v>641.98400000000004</v>
      </c>
      <c r="N47" s="68"/>
    </row>
    <row r="48" spans="1:14" x14ac:dyDescent="0.2">
      <c r="A48" s="2">
        <v>41</v>
      </c>
      <c r="B48" s="2"/>
      <c r="C48" s="23" t="s">
        <v>124</v>
      </c>
      <c r="E48" s="71"/>
      <c r="F48" s="69">
        <v>6.9421215335656914</v>
      </c>
      <c r="G48" s="69">
        <v>7.5694626360678017</v>
      </c>
      <c r="H48" s="69">
        <v>7.7332673306761563</v>
      </c>
      <c r="I48" s="69">
        <v>7.6791402452896538</v>
      </c>
      <c r="J48" s="69"/>
      <c r="K48" s="69">
        <v>5.6000000000000005</v>
      </c>
      <c r="L48" s="69"/>
      <c r="M48" s="69">
        <v>5.6000000000000005</v>
      </c>
      <c r="N48" s="68"/>
    </row>
    <row r="49" spans="1:14" x14ac:dyDescent="0.2">
      <c r="A49" s="2">
        <v>42</v>
      </c>
      <c r="B49" s="2"/>
      <c r="C49" s="66" t="s">
        <v>129</v>
      </c>
      <c r="E49" s="14"/>
      <c r="F49" s="14"/>
      <c r="G49" s="14"/>
      <c r="H49" s="14"/>
      <c r="I49" s="14"/>
      <c r="J49" s="2"/>
      <c r="K49" s="14"/>
      <c r="L49" s="2"/>
      <c r="M49" s="2"/>
      <c r="N49" s="67"/>
    </row>
    <row r="50" spans="1:14" x14ac:dyDescent="0.2">
      <c r="A50" s="2">
        <v>43</v>
      </c>
      <c r="B50" s="2"/>
      <c r="C50" s="23" t="s">
        <v>144</v>
      </c>
      <c r="E50" s="14">
        <v>383060.62701334635</v>
      </c>
      <c r="F50" s="14">
        <f t="shared" ref="F50:I50" si="21">F42+F46</f>
        <v>388362.76945000002</v>
      </c>
      <c r="G50" s="14">
        <f t="shared" si="21"/>
        <v>374247.55480000004</v>
      </c>
      <c r="H50" s="14">
        <f t="shared" si="21"/>
        <v>380152.36807000003</v>
      </c>
      <c r="I50" s="14">
        <f t="shared" si="21"/>
        <v>385865.17886999995</v>
      </c>
      <c r="J50" s="14"/>
      <c r="K50" s="14">
        <f t="shared" ref="K50:K51" si="22">K42+K46</f>
        <v>397859.27516794211</v>
      </c>
      <c r="L50" s="14"/>
      <c r="M50" s="14">
        <f>M42+M46</f>
        <v>398582.48039730545</v>
      </c>
      <c r="N50" s="68"/>
    </row>
    <row r="51" spans="1:14" x14ac:dyDescent="0.2">
      <c r="A51" s="2">
        <v>44</v>
      </c>
      <c r="B51" s="2"/>
      <c r="C51" s="23" t="s">
        <v>123</v>
      </c>
      <c r="E51" s="14">
        <v>35915.889974871898</v>
      </c>
      <c r="F51" s="14">
        <f t="shared" ref="F51:I51" si="23">F43+F47</f>
        <v>36072.903439999995</v>
      </c>
      <c r="G51" s="14">
        <f t="shared" si="23"/>
        <v>34798.247850000007</v>
      </c>
      <c r="H51" s="14">
        <f t="shared" si="23"/>
        <v>35482.8007</v>
      </c>
      <c r="I51" s="14">
        <f t="shared" si="23"/>
        <v>36070.935899999997</v>
      </c>
      <c r="J51" s="14"/>
      <c r="K51" s="14">
        <f t="shared" si="22"/>
        <v>36579.825895724854</v>
      </c>
      <c r="L51" s="14"/>
      <c r="M51" s="14">
        <f>M43+M47</f>
        <v>36653.145243136867</v>
      </c>
      <c r="N51" s="68"/>
    </row>
    <row r="52" spans="1:14" x14ac:dyDescent="0.2">
      <c r="A52" s="2">
        <v>45</v>
      </c>
      <c r="B52" s="2"/>
      <c r="C52" s="23" t="s">
        <v>124</v>
      </c>
      <c r="E52" s="70">
        <v>9.376032784914889</v>
      </c>
      <c r="F52" s="70">
        <f t="shared" ref="F52:I52" si="24">F51/F50*100</f>
        <v>9.2884556084216037</v>
      </c>
      <c r="G52" s="70">
        <f t="shared" si="24"/>
        <v>9.2981897686937156</v>
      </c>
      <c r="H52" s="70">
        <f t="shared" si="24"/>
        <v>9.3338365561532708</v>
      </c>
      <c r="I52" s="70">
        <f t="shared" si="24"/>
        <v>9.3480671165076767</v>
      </c>
      <c r="J52" s="70"/>
      <c r="K52" s="70">
        <f t="shared" ref="K52" si="25">K51/K50*100</f>
        <v>9.1941619006579618</v>
      </c>
      <c r="L52" s="70"/>
      <c r="M52" s="70">
        <f t="shared" ref="M52" si="26">M51/M50*100</f>
        <v>9.1958746422073432</v>
      </c>
      <c r="N52" s="68"/>
    </row>
    <row r="53" spans="1:14" x14ac:dyDescent="0.2">
      <c r="A53" s="2"/>
      <c r="B53" s="2"/>
      <c r="C53" s="2"/>
      <c r="E53" s="14"/>
      <c r="F53" s="14"/>
      <c r="G53" s="14"/>
      <c r="H53" s="14"/>
      <c r="I53" s="14"/>
      <c r="J53" s="71"/>
      <c r="K53" s="14"/>
      <c r="L53" s="71"/>
      <c r="M53" s="71"/>
    </row>
    <row r="54" spans="1:14" x14ac:dyDescent="0.2">
      <c r="A54" s="2">
        <v>46</v>
      </c>
      <c r="B54" s="2"/>
      <c r="C54" s="78" t="s">
        <v>155</v>
      </c>
      <c r="E54" s="14"/>
      <c r="F54" s="14">
        <v>6287.5362699999996</v>
      </c>
      <c r="G54" s="14">
        <v>6167.2565299999987</v>
      </c>
      <c r="H54" s="14">
        <v>6172.2883099999999</v>
      </c>
      <c r="I54" s="14">
        <v>6342.0355799999998</v>
      </c>
      <c r="J54" s="14"/>
      <c r="K54" s="14">
        <v>6363.3797206155605</v>
      </c>
      <c r="L54" s="14"/>
      <c r="M54" s="14">
        <v>6372.6561892560849</v>
      </c>
    </row>
    <row r="55" spans="1:14" x14ac:dyDescent="0.2">
      <c r="A55" s="2">
        <f>A54+1</f>
        <v>47</v>
      </c>
      <c r="B55" s="2"/>
      <c r="C55" s="78" t="s">
        <v>204</v>
      </c>
      <c r="E55" s="14"/>
      <c r="F55" s="14"/>
      <c r="G55" s="14"/>
      <c r="H55" s="14"/>
      <c r="I55" s="14"/>
      <c r="J55" s="14"/>
      <c r="K55" s="14"/>
      <c r="L55" s="14"/>
      <c r="M55" s="14"/>
    </row>
    <row r="56" spans="1:14" x14ac:dyDescent="0.2">
      <c r="A56" s="2">
        <f>A55+1</f>
        <v>48</v>
      </c>
      <c r="B56" s="2"/>
      <c r="C56" s="78" t="s">
        <v>215</v>
      </c>
      <c r="E56" s="14">
        <v>6163</v>
      </c>
      <c r="F56" s="14"/>
      <c r="G56" s="14"/>
      <c r="H56" s="14"/>
      <c r="I56" s="14"/>
      <c r="J56" s="14"/>
      <c r="K56" s="14">
        <v>5347.7484386689803</v>
      </c>
      <c r="L56" s="14"/>
      <c r="M56" s="14">
        <v>6585.4004608741725</v>
      </c>
    </row>
    <row r="57" spans="1:14" x14ac:dyDescent="0.2">
      <c r="E57" s="14"/>
      <c r="F57" s="14"/>
      <c r="G57" s="14"/>
      <c r="H57" s="14"/>
      <c r="I57" s="14"/>
      <c r="J57" s="14"/>
      <c r="K57" s="14"/>
      <c r="L57" s="14"/>
      <c r="M57" s="14"/>
    </row>
    <row r="58" spans="1:14" ht="13.5" thickBot="1" x14ac:dyDescent="0.25">
      <c r="A58" s="2">
        <f>A56+1</f>
        <v>49</v>
      </c>
      <c r="B58" s="2"/>
      <c r="C58" s="78" t="s">
        <v>156</v>
      </c>
      <c r="E58" s="79">
        <f>E56+E51</f>
        <v>42078.889974871898</v>
      </c>
      <c r="F58" s="79">
        <f t="shared" ref="F58:H58" si="27">F54+F51</f>
        <v>42360.439709999991</v>
      </c>
      <c r="G58" s="79">
        <f t="shared" si="27"/>
        <v>40965.504380000006</v>
      </c>
      <c r="H58" s="79">
        <f t="shared" si="27"/>
        <v>41655.089009999996</v>
      </c>
      <c r="I58" s="79">
        <f>I54+I51</f>
        <v>42412.971479999993</v>
      </c>
      <c r="J58" s="79"/>
      <c r="K58" s="79">
        <f>K54+K51+K56</f>
        <v>48290.954055009395</v>
      </c>
      <c r="L58" s="79"/>
      <c r="M58" s="79">
        <f>M54+M51+M56</f>
        <v>49611.201893267127</v>
      </c>
    </row>
    <row r="59" spans="1:14" x14ac:dyDescent="0.2">
      <c r="A59" s="2"/>
      <c r="B59" s="2"/>
      <c r="C59" s="78"/>
      <c r="E59" s="14"/>
      <c r="F59" s="14"/>
      <c r="G59" s="14"/>
      <c r="H59" s="14"/>
      <c r="I59" s="14"/>
      <c r="J59" s="14"/>
      <c r="K59" s="14"/>
      <c r="L59" s="14"/>
      <c r="M59" s="14"/>
    </row>
    <row r="60" spans="1:14" x14ac:dyDescent="0.2">
      <c r="A60" s="2">
        <f>A58+1</f>
        <v>50</v>
      </c>
      <c r="B60" s="2"/>
      <c r="C60" s="78" t="s">
        <v>157</v>
      </c>
      <c r="E60" s="14">
        <v>184</v>
      </c>
      <c r="F60" s="14">
        <v>1537</v>
      </c>
      <c r="G60" s="14">
        <v>280</v>
      </c>
      <c r="H60" s="14">
        <v>200</v>
      </c>
      <c r="I60" s="14">
        <v>273.24900000000002</v>
      </c>
      <c r="J60" s="14"/>
      <c r="K60" s="14">
        <v>252.96</v>
      </c>
      <c r="L60" s="14"/>
      <c r="M60" s="14">
        <v>252.96</v>
      </c>
    </row>
    <row r="61" spans="1:14" x14ac:dyDescent="0.2">
      <c r="A61" s="2"/>
      <c r="B61" s="2"/>
      <c r="C61" s="78"/>
      <c r="E61" s="14"/>
      <c r="F61" s="14"/>
      <c r="G61" s="14"/>
      <c r="H61" s="14"/>
      <c r="I61" s="14"/>
      <c r="J61" s="14"/>
      <c r="K61" s="14"/>
      <c r="L61" s="14"/>
      <c r="M61" s="14"/>
    </row>
    <row r="62" spans="1:14" x14ac:dyDescent="0.2">
      <c r="A62" s="2">
        <f>A60+1</f>
        <v>51</v>
      </c>
      <c r="B62" s="2"/>
      <c r="C62" s="78" t="s">
        <v>226</v>
      </c>
      <c r="E62" s="14">
        <f t="shared" ref="E62:I62" si="28">E58+E60</f>
        <v>42262.889974871898</v>
      </c>
      <c r="F62" s="14">
        <f t="shared" si="28"/>
        <v>43897.439709999991</v>
      </c>
      <c r="G62" s="14">
        <f t="shared" si="28"/>
        <v>41245.504380000006</v>
      </c>
      <c r="H62" s="14">
        <f t="shared" si="28"/>
        <v>41855.089009999996</v>
      </c>
      <c r="I62" s="14">
        <f t="shared" si="28"/>
        <v>42686.220479999996</v>
      </c>
      <c r="J62" s="14"/>
      <c r="K62" s="14">
        <f t="shared" ref="K62:M62" si="29">K58+K60</f>
        <v>48543.914055009394</v>
      </c>
      <c r="L62" s="14"/>
      <c r="M62" s="14">
        <f t="shared" si="29"/>
        <v>49864.161893267126</v>
      </c>
    </row>
    <row r="63" spans="1:14" x14ac:dyDescent="0.2">
      <c r="A63" s="2"/>
      <c r="B63" s="2"/>
      <c r="C63" s="78"/>
      <c r="E63" s="14"/>
      <c r="F63" s="14"/>
      <c r="G63" s="14"/>
      <c r="H63" s="14"/>
      <c r="I63" s="14"/>
      <c r="J63" s="13"/>
      <c r="K63" s="14"/>
      <c r="L63" s="13"/>
      <c r="M63" s="14"/>
    </row>
    <row r="64" spans="1:14" x14ac:dyDescent="0.2">
      <c r="A64" s="2"/>
      <c r="B64" s="2"/>
      <c r="C64" s="78"/>
      <c r="E64" s="14"/>
      <c r="F64" s="14"/>
      <c r="G64" s="14"/>
      <c r="H64" s="14"/>
      <c r="I64" s="14"/>
      <c r="J64" s="13"/>
      <c r="K64" s="14"/>
      <c r="L64" s="13"/>
      <c r="M64" s="14"/>
    </row>
    <row r="65" spans="1:16" x14ac:dyDescent="0.2">
      <c r="A65" s="2"/>
      <c r="B65" s="2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</row>
    <row r="66" spans="1:16" x14ac:dyDescent="0.2">
      <c r="A66" s="2"/>
      <c r="B66" s="2"/>
      <c r="C66" s="78"/>
      <c r="E66" s="14"/>
      <c r="F66" s="14"/>
      <c r="G66" s="14"/>
      <c r="H66" s="14"/>
      <c r="I66" s="14"/>
      <c r="J66" s="13"/>
      <c r="K66" s="14"/>
      <c r="L66" s="13"/>
      <c r="M66" s="14"/>
    </row>
    <row r="67" spans="1:16" x14ac:dyDescent="0.2">
      <c r="A67" s="2"/>
      <c r="B67" s="2"/>
      <c r="C67" s="78"/>
      <c r="E67" s="77"/>
      <c r="F67" s="77"/>
      <c r="G67" s="77"/>
      <c r="H67" s="77"/>
      <c r="I67" s="77"/>
      <c r="J67" s="80"/>
      <c r="K67" s="77"/>
      <c r="L67" s="80"/>
      <c r="M67" s="77"/>
    </row>
    <row r="68" spans="1:16" x14ac:dyDescent="0.2">
      <c r="A68" s="2"/>
      <c r="B68" s="2"/>
      <c r="C68" s="78"/>
      <c r="E68" s="77"/>
      <c r="F68" s="77"/>
      <c r="G68" s="77"/>
      <c r="H68" s="77"/>
      <c r="I68" s="77"/>
      <c r="J68" s="80"/>
      <c r="K68" s="77"/>
      <c r="L68" s="80"/>
      <c r="M68" s="77"/>
    </row>
    <row r="69" spans="1:16" x14ac:dyDescent="0.2">
      <c r="A69" s="2"/>
      <c r="B69" s="2"/>
      <c r="C69" s="78"/>
      <c r="E69" s="77"/>
      <c r="F69" s="77"/>
      <c r="G69" s="77"/>
      <c r="H69" s="77"/>
      <c r="I69" s="77"/>
      <c r="J69" s="80"/>
      <c r="K69" s="77"/>
      <c r="L69" s="80"/>
      <c r="M69" s="77"/>
    </row>
    <row r="70" spans="1:16" x14ac:dyDescent="0.2">
      <c r="A70" s="2"/>
      <c r="B70" s="2"/>
      <c r="C70" s="78"/>
      <c r="E70" s="77"/>
      <c r="F70" s="77"/>
      <c r="G70" s="77"/>
      <c r="H70" s="77"/>
      <c r="I70" s="77"/>
      <c r="J70" s="80"/>
      <c r="K70" s="77"/>
      <c r="L70" s="80"/>
      <c r="M70" s="77"/>
    </row>
    <row r="71" spans="1:16" x14ac:dyDescent="0.2">
      <c r="A71" s="2"/>
      <c r="B71" s="2"/>
      <c r="C71" s="78"/>
      <c r="E71" s="77"/>
      <c r="F71" s="77"/>
      <c r="G71" s="77"/>
      <c r="H71" s="77"/>
      <c r="I71" s="77"/>
      <c r="J71" s="80"/>
      <c r="K71" s="77"/>
      <c r="L71" s="80"/>
      <c r="M71" s="77"/>
    </row>
    <row r="72" spans="1:16" x14ac:dyDescent="0.2">
      <c r="C72" s="81"/>
      <c r="E72" s="77"/>
      <c r="F72" s="77"/>
      <c r="G72" s="77"/>
      <c r="H72" s="77"/>
      <c r="I72" s="77"/>
      <c r="J72" s="80"/>
      <c r="K72" s="77"/>
      <c r="L72" s="80"/>
      <c r="M72" s="77"/>
    </row>
    <row r="73" spans="1:16" x14ac:dyDescent="0.2">
      <c r="C73" s="81"/>
      <c r="E73" s="77"/>
      <c r="F73" s="77"/>
      <c r="G73" s="77"/>
      <c r="H73" s="77"/>
      <c r="I73" s="77"/>
      <c r="J73" s="80"/>
      <c r="K73" s="77"/>
      <c r="L73" s="80"/>
      <c r="M73" s="77"/>
    </row>
    <row r="74" spans="1:16" x14ac:dyDescent="0.2">
      <c r="C74" s="81"/>
      <c r="E74" s="77"/>
      <c r="F74" s="77"/>
      <c r="G74" s="77"/>
      <c r="H74" s="77"/>
      <c r="I74" s="77"/>
      <c r="J74" s="80"/>
      <c r="K74" s="77"/>
      <c r="L74" s="80"/>
      <c r="M74" s="77"/>
    </row>
    <row r="75" spans="1:16" x14ac:dyDescent="0.2">
      <c r="C75" s="81"/>
      <c r="E75" s="77"/>
      <c r="F75" s="77"/>
      <c r="G75" s="77"/>
      <c r="H75" s="77"/>
      <c r="I75" s="77"/>
      <c r="J75" s="80"/>
      <c r="K75" s="77"/>
      <c r="L75" s="80"/>
      <c r="M75" s="77"/>
    </row>
    <row r="76" spans="1:16" x14ac:dyDescent="0.2">
      <c r="C76" s="81"/>
      <c r="E76" s="77"/>
      <c r="F76" s="77"/>
      <c r="G76" s="77"/>
      <c r="H76" s="77"/>
      <c r="I76" s="77"/>
      <c r="J76" s="80"/>
      <c r="K76" s="77"/>
      <c r="L76" s="80"/>
      <c r="M76" s="77"/>
    </row>
    <row r="77" spans="1:16" x14ac:dyDescent="0.2">
      <c r="C77" s="81"/>
      <c r="E77" s="77"/>
      <c r="F77" s="77"/>
      <c r="G77" s="77"/>
      <c r="H77" s="77"/>
      <c r="I77" s="77"/>
      <c r="J77" s="80"/>
      <c r="K77" s="77"/>
      <c r="L77" s="80"/>
      <c r="M77" s="77"/>
    </row>
    <row r="78" spans="1:16" x14ac:dyDescent="0.2">
      <c r="C78" s="81"/>
      <c r="E78" s="80"/>
      <c r="F78" s="80"/>
      <c r="G78" s="80"/>
      <c r="H78" s="80"/>
      <c r="I78" s="80"/>
      <c r="J78" s="80"/>
      <c r="K78" s="80"/>
      <c r="L78" s="80"/>
      <c r="M78" s="80"/>
      <c r="N78" s="37"/>
      <c r="O78" s="37"/>
      <c r="P78" s="37"/>
    </row>
    <row r="79" spans="1:16" x14ac:dyDescent="0.2">
      <c r="C79" s="81"/>
      <c r="E79" s="80"/>
      <c r="F79" s="80"/>
      <c r="G79" s="80"/>
      <c r="H79" s="80"/>
      <c r="I79" s="80"/>
      <c r="J79" s="80"/>
      <c r="K79" s="80"/>
      <c r="L79" s="80"/>
      <c r="M79" s="80"/>
      <c r="N79" s="37"/>
      <c r="O79" s="37"/>
      <c r="P79" s="37"/>
    </row>
    <row r="80" spans="1:16" x14ac:dyDescent="0.2">
      <c r="B80" s="9"/>
      <c r="C80" s="82"/>
      <c r="E80" s="83"/>
      <c r="F80" s="83"/>
      <c r="G80" s="83"/>
      <c r="H80" s="83"/>
      <c r="I80" s="83"/>
      <c r="J80" s="83"/>
      <c r="K80" s="83"/>
      <c r="L80" s="83"/>
      <c r="M80" s="83"/>
      <c r="N80" s="37"/>
      <c r="O80" s="37"/>
      <c r="P80" s="37"/>
    </row>
    <row r="81" spans="3:16" x14ac:dyDescent="0.2">
      <c r="C81" s="81"/>
      <c r="E81" s="84"/>
      <c r="F81" s="84"/>
      <c r="G81" s="84"/>
      <c r="H81" s="84"/>
      <c r="I81" s="84"/>
      <c r="J81" s="84"/>
      <c r="K81" s="84"/>
      <c r="L81" s="84"/>
      <c r="M81" s="84"/>
      <c r="N81" s="37"/>
      <c r="O81" s="37"/>
      <c r="P81" s="37"/>
    </row>
    <row r="82" spans="3:16" x14ac:dyDescent="0.2">
      <c r="E82" s="84"/>
      <c r="F82" s="84"/>
      <c r="G82" s="84"/>
      <c r="H82" s="84"/>
      <c r="I82" s="84"/>
      <c r="J82" s="84"/>
      <c r="K82" s="84"/>
      <c r="L82" s="84"/>
      <c r="M82" s="84"/>
      <c r="N82" s="37"/>
      <c r="O82" s="37"/>
      <c r="P82" s="37"/>
    </row>
    <row r="83" spans="3:16" x14ac:dyDescent="0.2">
      <c r="C83" s="81"/>
      <c r="E83" s="84"/>
      <c r="F83" s="84"/>
      <c r="G83" s="84"/>
      <c r="H83" s="84"/>
      <c r="I83" s="84"/>
      <c r="J83" s="84"/>
      <c r="K83" s="84"/>
      <c r="L83" s="84"/>
      <c r="M83" s="84"/>
      <c r="N83" s="37"/>
      <c r="O83" s="37"/>
      <c r="P83" s="37"/>
    </row>
    <row r="84" spans="3:16" x14ac:dyDescent="0.2">
      <c r="C84" s="81"/>
      <c r="E84" s="84"/>
      <c r="F84" s="84"/>
      <c r="G84" s="84"/>
      <c r="H84" s="84"/>
      <c r="I84" s="84"/>
      <c r="J84" s="84"/>
      <c r="K84" s="84"/>
      <c r="L84" s="84"/>
      <c r="M84" s="84"/>
      <c r="N84" s="37"/>
      <c r="O84" s="37"/>
      <c r="P84" s="37"/>
    </row>
    <row r="85" spans="3:16" x14ac:dyDescent="0.2">
      <c r="E85" s="37"/>
      <c r="F85" s="37"/>
      <c r="G85" s="37"/>
      <c r="H85" s="37"/>
      <c r="I85" s="37"/>
      <c r="K85" s="37"/>
      <c r="M85" s="37"/>
      <c r="N85" s="37"/>
      <c r="O85" s="37"/>
      <c r="P85" s="37"/>
    </row>
  </sheetData>
  <mergeCells count="1">
    <mergeCell ref="C65:M65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2" orientation="portrait" blackAndWhite="1" r:id="rId1"/>
  <headerFooter alignWithMargins="0"/>
  <ignoredErrors>
    <ignoredError sqref="E58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 tint="0.39997558519241921"/>
    <pageSetUpPr fitToPage="1"/>
  </sheetPr>
  <dimension ref="A1:R52"/>
  <sheetViews>
    <sheetView view="pageBreakPreview" zoomScaleSheetLayoutView="100" workbookViewId="0">
      <pane xSplit="3" topLeftCell="D1" activePane="topRight" state="frozen"/>
      <selection activeCell="AI34" sqref="AI34"/>
      <selection pane="topRight" activeCell="H2" sqref="H2"/>
    </sheetView>
  </sheetViews>
  <sheetFormatPr defaultRowHeight="12.75" x14ac:dyDescent="0.2"/>
  <cols>
    <col min="1" max="1" width="5.28515625" style="3" customWidth="1"/>
    <col min="2" max="2" width="1.85546875" style="3" customWidth="1"/>
    <col min="3" max="3" width="27.42578125" style="3" customWidth="1"/>
    <col min="4" max="4" width="1.85546875" style="3" customWidth="1"/>
    <col min="5" max="5" width="9.140625" style="6"/>
    <col min="6" max="6" width="1.85546875" style="3" customWidth="1"/>
    <col min="7" max="11" width="9.42578125" style="3" customWidth="1"/>
    <col min="12" max="12" width="1.7109375" style="37" customWidth="1"/>
    <col min="13" max="14" width="10" style="3" customWidth="1"/>
    <col min="15" max="15" width="1.7109375" style="37" customWidth="1"/>
    <col min="16" max="17" width="10" style="3" customWidth="1"/>
    <col min="18" max="16384" width="9.140625" style="3"/>
  </cols>
  <sheetData>
    <row r="1" spans="1:18" ht="15.75" x14ac:dyDescent="0.25">
      <c r="A1" s="10" t="s">
        <v>5</v>
      </c>
      <c r="G1" s="7"/>
      <c r="H1" s="7"/>
      <c r="I1" s="7"/>
      <c r="J1" s="7"/>
      <c r="K1" s="7"/>
      <c r="L1" s="38"/>
      <c r="M1" s="37"/>
      <c r="N1" s="37"/>
      <c r="Q1" s="5" t="s">
        <v>218</v>
      </c>
    </row>
    <row r="2" spans="1:18" x14ac:dyDescent="0.2">
      <c r="A2" s="16" t="s">
        <v>25</v>
      </c>
      <c r="G2" s="17"/>
      <c r="H2" s="17"/>
      <c r="I2" s="17"/>
      <c r="J2" s="17"/>
      <c r="K2" s="17"/>
      <c r="L2" s="19"/>
      <c r="M2" s="37"/>
      <c r="N2" s="37"/>
      <c r="P2" s="39"/>
      <c r="Q2" s="40" t="str">
        <f>'Schedule 1'!$Q$2</f>
        <v>June 2017</v>
      </c>
    </row>
    <row r="3" spans="1:18" x14ac:dyDescent="0.2">
      <c r="A3" s="16" t="s">
        <v>7</v>
      </c>
      <c r="G3" s="17"/>
      <c r="H3" s="17"/>
      <c r="I3" s="17"/>
      <c r="J3" s="17"/>
      <c r="K3" s="17"/>
      <c r="L3" s="19"/>
      <c r="M3" s="37"/>
      <c r="N3" s="37"/>
    </row>
    <row r="6" spans="1:18" s="6" customFormat="1" ht="13.5" customHeight="1" x14ac:dyDescent="0.2">
      <c r="G6" s="19"/>
      <c r="H6" s="19"/>
      <c r="I6" s="19"/>
      <c r="J6" s="19"/>
      <c r="K6" s="19"/>
      <c r="L6" s="19"/>
      <c r="M6" s="160" t="s">
        <v>3</v>
      </c>
      <c r="N6" s="160"/>
      <c r="O6" s="19"/>
      <c r="P6" s="160" t="s">
        <v>3</v>
      </c>
      <c r="Q6" s="160"/>
    </row>
    <row r="7" spans="1:18" s="21" customFormat="1" ht="38.25" x14ac:dyDescent="0.2">
      <c r="A7" s="20" t="s">
        <v>0</v>
      </c>
      <c r="C7" s="20" t="s">
        <v>1</v>
      </c>
      <c r="E7" s="20" t="s">
        <v>2</v>
      </c>
      <c r="G7" s="20" t="s">
        <v>228</v>
      </c>
      <c r="H7" s="20" t="s">
        <v>229</v>
      </c>
      <c r="I7" s="20" t="s">
        <v>230</v>
      </c>
      <c r="J7" s="20" t="s">
        <v>231</v>
      </c>
      <c r="K7" s="20" t="s">
        <v>272</v>
      </c>
      <c r="L7" s="22"/>
      <c r="M7" s="20" t="str">
        <f>'Schedule 1'!$M$7</f>
        <v>Existing 2017</v>
      </c>
      <c r="N7" s="20" t="str">
        <f>'Schedule 1'!$N$7</f>
        <v>Proposed 2017</v>
      </c>
      <c r="O7" s="22"/>
      <c r="P7" s="20" t="str">
        <f>'Schedule 1'!$P$7</f>
        <v>Existing 2018</v>
      </c>
      <c r="Q7" s="20" t="str">
        <f>'Schedule 1'!$Q$7</f>
        <v>Proposed 2018</v>
      </c>
    </row>
    <row r="9" spans="1:18" x14ac:dyDescent="0.2">
      <c r="A9" s="3">
        <v>1</v>
      </c>
      <c r="C9" s="9" t="s">
        <v>140</v>
      </c>
    </row>
    <row r="10" spans="1:18" x14ac:dyDescent="0.2">
      <c r="A10" s="3">
        <v>2</v>
      </c>
      <c r="C10" s="41" t="s">
        <v>130</v>
      </c>
      <c r="G10" s="14">
        <v>4493.8101194040901</v>
      </c>
      <c r="H10" s="14">
        <v>5309.8517899999997</v>
      </c>
      <c r="I10" s="14">
        <v>5587.5106649999998</v>
      </c>
      <c r="J10" s="14">
        <v>5471.8039699999999</v>
      </c>
      <c r="K10" s="14">
        <v>6038.6984499999999</v>
      </c>
      <c r="L10" s="14"/>
      <c r="M10" s="14">
        <v>5759.7541769857617</v>
      </c>
      <c r="N10" s="14">
        <v>5759.7541769857626</v>
      </c>
      <c r="O10" s="14"/>
      <c r="P10" s="14">
        <v>5907.3631203911073</v>
      </c>
      <c r="Q10" s="14">
        <v>5907.3631203911082</v>
      </c>
    </row>
    <row r="11" spans="1:18" x14ac:dyDescent="0.2">
      <c r="A11" s="3">
        <v>3</v>
      </c>
      <c r="C11" s="41" t="s">
        <v>131</v>
      </c>
      <c r="G11" s="14">
        <v>2111.6255378631517</v>
      </c>
      <c r="H11" s="14">
        <v>2959.7927</v>
      </c>
      <c r="I11" s="14">
        <v>2565.3416900000002</v>
      </c>
      <c r="J11" s="14">
        <v>2529.5140099999999</v>
      </c>
      <c r="K11" s="14">
        <v>2450.3849200000004</v>
      </c>
      <c r="L11" s="14"/>
      <c r="M11" s="14">
        <v>2367.8061331902509</v>
      </c>
      <c r="N11" s="14">
        <v>3352.4561331902514</v>
      </c>
      <c r="O11" s="14"/>
      <c r="P11" s="14">
        <v>2374.2860253206259</v>
      </c>
      <c r="Q11" s="14">
        <v>3363.9360253206278</v>
      </c>
    </row>
    <row r="12" spans="1:18" x14ac:dyDescent="0.2">
      <c r="A12" s="3">
        <v>4</v>
      </c>
      <c r="C12" s="41" t="s">
        <v>132</v>
      </c>
      <c r="G12" s="14">
        <v>1404.5387641206576</v>
      </c>
      <c r="H12" s="14">
        <v>1484.5264499999998</v>
      </c>
      <c r="I12" s="14">
        <v>1735.2760600000001</v>
      </c>
      <c r="J12" s="14">
        <v>1749.1211699999999</v>
      </c>
      <c r="K12" s="14">
        <v>1522.0632200000002</v>
      </c>
      <c r="L12" s="14"/>
      <c r="M12" s="14">
        <v>1632.5883734533149</v>
      </c>
      <c r="N12" s="14">
        <v>1632.5883734533149</v>
      </c>
      <c r="O12" s="14"/>
      <c r="P12" s="14">
        <v>1613.6555458037947</v>
      </c>
      <c r="Q12" s="14">
        <v>1613.6555458037949</v>
      </c>
    </row>
    <row r="13" spans="1:18" x14ac:dyDescent="0.2">
      <c r="A13" s="3">
        <v>5</v>
      </c>
      <c r="C13" s="41" t="s">
        <v>206</v>
      </c>
      <c r="G13" s="14">
        <v>8653.6196122476576</v>
      </c>
      <c r="H13" s="14">
        <v>8079.6540299999988</v>
      </c>
      <c r="I13" s="14">
        <v>8494.7097599999997</v>
      </c>
      <c r="J13" s="14">
        <v>8100.6048599999986</v>
      </c>
      <c r="K13" s="14">
        <v>8509.2970100000002</v>
      </c>
      <c r="L13" s="14"/>
      <c r="M13" s="14">
        <v>9109.5707500531371</v>
      </c>
      <c r="N13" s="14">
        <v>9109.5707500531371</v>
      </c>
      <c r="O13" s="14"/>
      <c r="P13" s="14">
        <v>8912.3038763438744</v>
      </c>
      <c r="Q13" s="14">
        <v>8912.3038763438744</v>
      </c>
    </row>
    <row r="14" spans="1:18" x14ac:dyDescent="0.2">
      <c r="A14" s="3">
        <v>6</v>
      </c>
      <c r="C14" s="42" t="s">
        <v>205</v>
      </c>
      <c r="G14" s="14">
        <v>895</v>
      </c>
      <c r="H14" s="14">
        <v>990.13</v>
      </c>
      <c r="I14" s="14">
        <v>1017</v>
      </c>
      <c r="J14" s="14">
        <v>1030</v>
      </c>
      <c r="K14" s="14">
        <v>1036.896</v>
      </c>
      <c r="L14" s="14"/>
      <c r="M14" s="14">
        <v>1031.4720000000002</v>
      </c>
      <c r="N14" s="14">
        <v>1031.4720000000002</v>
      </c>
      <c r="O14" s="14"/>
      <c r="P14" s="14">
        <v>1031.4720000000002</v>
      </c>
      <c r="Q14" s="14">
        <v>1031.4720000000002</v>
      </c>
    </row>
    <row r="15" spans="1:18" x14ac:dyDescent="0.2">
      <c r="A15" s="3">
        <v>7</v>
      </c>
      <c r="C15" s="41" t="s">
        <v>133</v>
      </c>
      <c r="G15" s="43">
        <f t="shared" ref="G15:K15" si="0">SUM(G10:G14)</f>
        <v>17558.594033635556</v>
      </c>
      <c r="H15" s="43">
        <f t="shared" si="0"/>
        <v>18823.954969999999</v>
      </c>
      <c r="I15" s="43">
        <f t="shared" si="0"/>
        <v>19399.838174999997</v>
      </c>
      <c r="J15" s="43">
        <f t="shared" si="0"/>
        <v>18881.044009999998</v>
      </c>
      <c r="K15" s="43">
        <f t="shared" si="0"/>
        <v>19557.339599999999</v>
      </c>
      <c r="L15" s="14"/>
      <c r="M15" s="43">
        <f>SUM(M10:M14)</f>
        <v>19901.191433682467</v>
      </c>
      <c r="N15" s="43">
        <f>SUM(N10:N14)</f>
        <v>20885.841433682468</v>
      </c>
      <c r="O15" s="14"/>
      <c r="P15" s="43">
        <f>SUM(P10:P14)</f>
        <v>19839.080567859404</v>
      </c>
      <c r="Q15" s="43">
        <f>SUM(Q10:Q14)</f>
        <v>20828.730567859406</v>
      </c>
      <c r="R15" s="13"/>
    </row>
    <row r="16" spans="1:18" x14ac:dyDescent="0.2">
      <c r="C16" s="41"/>
      <c r="G16" s="37"/>
      <c r="H16" s="37"/>
      <c r="I16" s="37"/>
      <c r="J16" s="37"/>
      <c r="K16" s="37"/>
      <c r="M16" s="37"/>
      <c r="N16" s="37"/>
      <c r="P16" s="37"/>
      <c r="Q16" s="37"/>
    </row>
    <row r="17" spans="1:17" x14ac:dyDescent="0.2">
      <c r="A17" s="3">
        <v>8</v>
      </c>
      <c r="C17" s="42" t="s">
        <v>118</v>
      </c>
      <c r="G17" s="44">
        <v>85</v>
      </c>
      <c r="H17" s="44">
        <f>-'Schedule 5'!H23</f>
        <v>84.405000000000001</v>
      </c>
      <c r="I17" s="44">
        <f>-'Schedule 5'!I23</f>
        <v>85</v>
      </c>
      <c r="J17" s="44">
        <f>-'Schedule 5'!J23</f>
        <v>86</v>
      </c>
      <c r="K17" s="44">
        <f>-'Schedule 5'!K23</f>
        <v>95.414000000000001</v>
      </c>
      <c r="L17" s="44"/>
      <c r="M17" s="44">
        <f>-'Schedule 5'!M23</f>
        <v>95.999999999999957</v>
      </c>
      <c r="N17" s="44">
        <f>-'Schedule 5'!N23</f>
        <v>95.999999999999957</v>
      </c>
      <c r="O17" s="44"/>
      <c r="P17" s="44">
        <f>-'Schedule 5'!P23</f>
        <v>99.999999999999957</v>
      </c>
      <c r="Q17" s="44">
        <f>-'Schedule 5'!Q23</f>
        <v>99.999999999999957</v>
      </c>
    </row>
    <row r="18" spans="1:17" x14ac:dyDescent="0.2">
      <c r="C18" s="42"/>
      <c r="G18" s="37"/>
      <c r="H18" s="37"/>
      <c r="I18" s="37"/>
      <c r="J18" s="37"/>
      <c r="K18" s="37"/>
      <c r="M18" s="37"/>
      <c r="N18" s="37"/>
      <c r="P18" s="37"/>
      <c r="Q18" s="37"/>
    </row>
    <row r="19" spans="1:17" x14ac:dyDescent="0.2">
      <c r="A19" s="3">
        <v>9</v>
      </c>
      <c r="C19" s="41" t="s">
        <v>133</v>
      </c>
      <c r="G19" s="43">
        <f t="shared" ref="G19:K19" si="1">SUM(G17:G17)</f>
        <v>85</v>
      </c>
      <c r="H19" s="43">
        <f t="shared" si="1"/>
        <v>84.405000000000001</v>
      </c>
      <c r="I19" s="43">
        <f t="shared" si="1"/>
        <v>85</v>
      </c>
      <c r="J19" s="43">
        <f t="shared" si="1"/>
        <v>86</v>
      </c>
      <c r="K19" s="43">
        <f t="shared" si="1"/>
        <v>95.414000000000001</v>
      </c>
      <c r="L19" s="13"/>
      <c r="M19" s="43">
        <f t="shared" ref="M19:N19" si="2">SUM(M17:M17)</f>
        <v>95.999999999999957</v>
      </c>
      <c r="N19" s="43">
        <f t="shared" si="2"/>
        <v>95.999999999999957</v>
      </c>
      <c r="O19" s="13"/>
      <c r="P19" s="43">
        <f t="shared" ref="P19:Q19" si="3">SUM(P17:P17)</f>
        <v>99.999999999999957</v>
      </c>
      <c r="Q19" s="43">
        <f t="shared" si="3"/>
        <v>99.999999999999957</v>
      </c>
    </row>
    <row r="20" spans="1:17" x14ac:dyDescent="0.2">
      <c r="C20" s="41"/>
      <c r="G20" s="37"/>
      <c r="H20" s="37"/>
      <c r="I20" s="37"/>
      <c r="J20" s="37"/>
      <c r="K20" s="37"/>
      <c r="M20" s="37"/>
      <c r="N20" s="37"/>
      <c r="P20" s="37"/>
      <c r="Q20" s="37"/>
    </row>
    <row r="21" spans="1:17" x14ac:dyDescent="0.2">
      <c r="A21" s="3">
        <v>10</v>
      </c>
      <c r="C21" s="41" t="s">
        <v>134</v>
      </c>
      <c r="G21" s="37"/>
      <c r="H21" s="37"/>
      <c r="I21" s="37"/>
      <c r="J21" s="37"/>
      <c r="K21" s="37"/>
      <c r="M21" s="37"/>
      <c r="N21" s="37"/>
      <c r="P21" s="37"/>
      <c r="Q21" s="37"/>
    </row>
    <row r="22" spans="1:17" ht="13.5" thickBot="1" x14ac:dyDescent="0.25">
      <c r="A22" s="3">
        <v>11</v>
      </c>
      <c r="C22" s="41" t="s">
        <v>135</v>
      </c>
      <c r="G22" s="45">
        <f t="shared" ref="G22:K22" si="4">SUM(G15+G19)</f>
        <v>17643.594033635556</v>
      </c>
      <c r="H22" s="45">
        <f>SUM(H15+H19)</f>
        <v>18908.359969999998</v>
      </c>
      <c r="I22" s="45">
        <f t="shared" si="4"/>
        <v>19484.838174999997</v>
      </c>
      <c r="J22" s="45">
        <f t="shared" si="4"/>
        <v>18967.044009999998</v>
      </c>
      <c r="K22" s="45">
        <f t="shared" si="4"/>
        <v>19652.7536</v>
      </c>
      <c r="L22" s="13"/>
      <c r="M22" s="45">
        <f t="shared" ref="M22:N22" si="5">SUM(M15+M19)</f>
        <v>19997.191433682467</v>
      </c>
      <c r="N22" s="45">
        <f t="shared" si="5"/>
        <v>20981.841433682468</v>
      </c>
      <c r="O22" s="13"/>
      <c r="P22" s="45">
        <f t="shared" ref="P22:Q22" si="6">SUM(P15+P19)</f>
        <v>19939.080567859404</v>
      </c>
      <c r="Q22" s="45">
        <f t="shared" si="6"/>
        <v>20928.730567859406</v>
      </c>
    </row>
    <row r="23" spans="1:17" x14ac:dyDescent="0.2">
      <c r="G23" s="37"/>
      <c r="H23" s="37"/>
      <c r="I23" s="37"/>
      <c r="J23" s="37"/>
      <c r="K23" s="37"/>
      <c r="M23" s="37"/>
      <c r="N23" s="37"/>
      <c r="P23" s="37"/>
      <c r="Q23" s="37"/>
    </row>
    <row r="24" spans="1:17" x14ac:dyDescent="0.2">
      <c r="A24" s="3">
        <v>12</v>
      </c>
      <c r="C24" s="3" t="s">
        <v>136</v>
      </c>
      <c r="G24" s="46">
        <v>3160.2135919238253</v>
      </c>
      <c r="H24" s="46">
        <v>3847.962</v>
      </c>
      <c r="I24" s="46">
        <v>1528</v>
      </c>
      <c r="J24" s="46">
        <v>2720</v>
      </c>
      <c r="K24" s="46">
        <v>2113.556</v>
      </c>
      <c r="L24" s="46"/>
      <c r="M24" s="46">
        <v>2175.1607211630703</v>
      </c>
      <c r="N24" s="46">
        <v>2341.8574446723042</v>
      </c>
      <c r="O24" s="46"/>
      <c r="P24" s="46">
        <v>2189.6532722911179</v>
      </c>
      <c r="Q24" s="46">
        <v>2367.7599781030062</v>
      </c>
    </row>
    <row r="25" spans="1:17" x14ac:dyDescent="0.2">
      <c r="A25" s="3">
        <v>13</v>
      </c>
      <c r="C25" s="3" t="s">
        <v>139</v>
      </c>
      <c r="G25" s="46">
        <v>40</v>
      </c>
      <c r="H25" s="46">
        <v>29.620999999999999</v>
      </c>
      <c r="I25" s="46">
        <v>41</v>
      </c>
      <c r="J25" s="46">
        <v>36</v>
      </c>
      <c r="K25" s="46">
        <v>45.447000000000003</v>
      </c>
      <c r="L25" s="46"/>
      <c r="M25" s="46">
        <v>39.175874811781597</v>
      </c>
      <c r="N25" s="46">
        <v>39.175874811781597</v>
      </c>
      <c r="O25" s="46"/>
      <c r="P25" s="46">
        <v>39.175874811781597</v>
      </c>
      <c r="Q25" s="46">
        <v>39.175874811781597</v>
      </c>
    </row>
    <row r="26" spans="1:17" x14ac:dyDescent="0.2">
      <c r="A26" s="3">
        <v>14</v>
      </c>
      <c r="C26" s="3" t="s">
        <v>133</v>
      </c>
      <c r="G26" s="43">
        <f t="shared" ref="G26:K26" si="7">SUM(G24:G25)</f>
        <v>3200.2135919238253</v>
      </c>
      <c r="H26" s="43">
        <f>SUM(H24:H25)</f>
        <v>3877.5830000000001</v>
      </c>
      <c r="I26" s="43">
        <f t="shared" si="7"/>
        <v>1569</v>
      </c>
      <c r="J26" s="43">
        <f t="shared" si="7"/>
        <v>2756</v>
      </c>
      <c r="K26" s="43">
        <f t="shared" si="7"/>
        <v>2159.0030000000002</v>
      </c>
      <c r="L26" s="13"/>
      <c r="M26" s="43">
        <f t="shared" ref="M26:Q26" si="8">SUM(M24:M25)</f>
        <v>2214.3365959748521</v>
      </c>
      <c r="N26" s="43">
        <f t="shared" ref="N26" si="9">SUM(N24:N25)</f>
        <v>2381.033319484086</v>
      </c>
      <c r="O26" s="13"/>
      <c r="P26" s="43">
        <f>SUM(P24:P25)</f>
        <v>2228.8291471028997</v>
      </c>
      <c r="Q26" s="43">
        <f t="shared" si="8"/>
        <v>2406.935852914788</v>
      </c>
    </row>
    <row r="27" spans="1:17" x14ac:dyDescent="0.2">
      <c r="G27" s="37"/>
      <c r="H27" s="37"/>
      <c r="I27" s="37"/>
      <c r="J27" s="37"/>
      <c r="K27" s="37"/>
      <c r="M27" s="37"/>
      <c r="N27" s="37"/>
      <c r="P27" s="37"/>
      <c r="Q27" s="37"/>
    </row>
    <row r="28" spans="1:17" ht="13.5" thickBot="1" x14ac:dyDescent="0.25">
      <c r="A28" s="3">
        <v>15</v>
      </c>
      <c r="C28" s="3" t="s">
        <v>137</v>
      </c>
      <c r="E28" s="6" t="s">
        <v>141</v>
      </c>
      <c r="G28" s="45">
        <f>SUM(G15+G19+G26)</f>
        <v>20843.807625559381</v>
      </c>
      <c r="H28" s="45">
        <f>SUM(H15+H19+H26)</f>
        <v>22785.942969999996</v>
      </c>
      <c r="I28" s="45">
        <f t="shared" ref="I28:K28" si="10">SUM(I15+I19+I26)</f>
        <v>21053.838174999997</v>
      </c>
      <c r="J28" s="45">
        <f t="shared" si="10"/>
        <v>21723.044009999998</v>
      </c>
      <c r="K28" s="45">
        <f t="shared" si="10"/>
        <v>21811.756600000001</v>
      </c>
      <c r="L28" s="13"/>
      <c r="M28" s="45">
        <f t="shared" ref="M28:Q28" si="11">SUM(M15+M19+M26)</f>
        <v>22211.528029657318</v>
      </c>
      <c r="N28" s="45">
        <f t="shared" si="11"/>
        <v>23362.874753166554</v>
      </c>
      <c r="O28" s="13"/>
      <c r="P28" s="45">
        <f t="shared" si="11"/>
        <v>22167.909714962305</v>
      </c>
      <c r="Q28" s="45">
        <f t="shared" si="11"/>
        <v>23335.666420774192</v>
      </c>
    </row>
    <row r="29" spans="1:17" x14ac:dyDescent="0.2"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s="47" customFormat="1" x14ac:dyDescent="0.2">
      <c r="C30" s="48" t="s">
        <v>193</v>
      </c>
      <c r="E30" s="49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17" s="47" customFormat="1" x14ac:dyDescent="0.2">
      <c r="A31" s="47">
        <v>16</v>
      </c>
      <c r="C31" s="47" t="s">
        <v>163</v>
      </c>
      <c r="E31" s="49"/>
      <c r="G31" s="51">
        <v>226.09889199999998</v>
      </c>
      <c r="H31" s="51">
        <f>'Schedule 6'!H15</f>
        <v>226</v>
      </c>
      <c r="I31" s="51">
        <f>'Schedule 6'!I15</f>
        <v>226</v>
      </c>
      <c r="J31" s="51">
        <f>'Schedule 6'!J15</f>
        <v>226</v>
      </c>
      <c r="K31" s="51">
        <f>'Schedule 6'!K15</f>
        <v>226</v>
      </c>
      <c r="L31" s="51"/>
      <c r="M31" s="51">
        <f>'Schedule 6'!M15</f>
        <v>190</v>
      </c>
      <c r="N31" s="51">
        <f>'Schedule 6'!N15</f>
        <v>478.93700000000001</v>
      </c>
      <c r="O31" s="51"/>
      <c r="P31" s="51">
        <f>'Schedule 6'!P15</f>
        <v>190</v>
      </c>
      <c r="Q31" s="51">
        <f>'Schedule 6'!Q15</f>
        <v>478.93700000000001</v>
      </c>
    </row>
    <row r="32" spans="1:17" s="47" customFormat="1" x14ac:dyDescent="0.2">
      <c r="A32" s="47">
        <v>17</v>
      </c>
      <c r="C32" s="47" t="s">
        <v>191</v>
      </c>
      <c r="E32" s="49"/>
      <c r="G32" s="52">
        <v>326.40211583999996</v>
      </c>
      <c r="H32" s="52">
        <f>'Schedule 6'!H13</f>
        <v>330.96499999999997</v>
      </c>
      <c r="I32" s="52">
        <f>'Schedule 6'!I13</f>
        <v>331</v>
      </c>
      <c r="J32" s="52">
        <f>'Schedule 6'!J13</f>
        <v>473</v>
      </c>
      <c r="K32" s="52">
        <f>'Schedule 6'!K13</f>
        <v>686.43100000000004</v>
      </c>
      <c r="L32" s="50"/>
      <c r="M32" s="52">
        <f>'Schedule 6'!M13</f>
        <v>695.56769535040007</v>
      </c>
      <c r="N32" s="52">
        <f>'Schedule 6'!N13</f>
        <v>695.56769535040007</v>
      </c>
      <c r="O32" s="52"/>
      <c r="P32" s="52">
        <f>'Schedule 6'!P13</f>
        <v>708.13965357545919</v>
      </c>
      <c r="Q32" s="52">
        <f>'Schedule 6'!Q13</f>
        <v>708.13965357545919</v>
      </c>
    </row>
    <row r="33" spans="1:18" s="47" customFormat="1" x14ac:dyDescent="0.2">
      <c r="A33" s="47">
        <v>18</v>
      </c>
      <c r="C33" s="47" t="s">
        <v>192</v>
      </c>
      <c r="E33" s="49"/>
      <c r="G33" s="53">
        <v>-85</v>
      </c>
      <c r="H33" s="53">
        <f t="shared" ref="H33:K33" si="12">-H17</f>
        <v>-84.405000000000001</v>
      </c>
      <c r="I33" s="53">
        <f t="shared" si="12"/>
        <v>-85</v>
      </c>
      <c r="J33" s="53">
        <f t="shared" si="12"/>
        <v>-86</v>
      </c>
      <c r="K33" s="53">
        <f t="shared" si="12"/>
        <v>-95.414000000000001</v>
      </c>
      <c r="L33" s="54"/>
      <c r="M33" s="53">
        <f t="shared" ref="M33:Q33" si="13">-M17</f>
        <v>-95.999999999999957</v>
      </c>
      <c r="N33" s="53">
        <f t="shared" si="13"/>
        <v>-95.999999999999957</v>
      </c>
      <c r="O33" s="54"/>
      <c r="P33" s="53">
        <f t="shared" si="13"/>
        <v>-99.999999999999957</v>
      </c>
      <c r="Q33" s="53">
        <f t="shared" si="13"/>
        <v>-99.999999999999957</v>
      </c>
    </row>
    <row r="34" spans="1:18" s="47" customFormat="1" x14ac:dyDescent="0.2">
      <c r="E34" s="49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1:18" s="47" customFormat="1" x14ac:dyDescent="0.2">
      <c r="A35" s="47">
        <v>19</v>
      </c>
      <c r="C35" s="47" t="s">
        <v>224</v>
      </c>
      <c r="E35" s="49"/>
      <c r="G35" s="51">
        <f>G22+G33+G32+G31</f>
        <v>18111.095041475557</v>
      </c>
      <c r="H35" s="51">
        <f t="shared" ref="H35:K35" si="14">H22+H33+H32+H31</f>
        <v>19380.919969999999</v>
      </c>
      <c r="I35" s="51">
        <f t="shared" si="14"/>
        <v>19956.838174999997</v>
      </c>
      <c r="J35" s="51">
        <f t="shared" si="14"/>
        <v>19580.044009999998</v>
      </c>
      <c r="K35" s="51">
        <f t="shared" si="14"/>
        <v>20469.7706</v>
      </c>
      <c r="L35" s="51"/>
      <c r="M35" s="51">
        <f t="shared" ref="M35:Q35" si="15">M22+M33+M32+M31</f>
        <v>20786.759129032867</v>
      </c>
      <c r="N35" s="51">
        <f t="shared" si="15"/>
        <v>22060.346129032871</v>
      </c>
      <c r="O35" s="51"/>
      <c r="P35" s="51">
        <f t="shared" si="15"/>
        <v>20737.220221434862</v>
      </c>
      <c r="Q35" s="51">
        <f t="shared" si="15"/>
        <v>22015.807221434865</v>
      </c>
    </row>
    <row r="36" spans="1:18" x14ac:dyDescent="0.2"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1:18" x14ac:dyDescent="0.2"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1:18" ht="18.75" customHeight="1" x14ac:dyDescent="0.2">
      <c r="A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</row>
    <row r="39" spans="1:18" ht="18.75" customHeight="1" x14ac:dyDescent="0.2">
      <c r="A39" s="55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18" ht="18.75" customHeight="1" x14ac:dyDescent="0.2">
      <c r="A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18" ht="18.75" customHeight="1" x14ac:dyDescent="0.2">
      <c r="A41" s="55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8" ht="18.75" customHeight="1" x14ac:dyDescent="0.2">
      <c r="A42" s="55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</row>
    <row r="43" spans="1:18" x14ac:dyDescent="0.2"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</row>
    <row r="46" spans="1:18" x14ac:dyDescent="0.2"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  <row r="48" spans="1:18" x14ac:dyDescent="0.2"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</row>
    <row r="50" spans="7:17" x14ac:dyDescent="0.2"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</row>
    <row r="52" spans="7:17" x14ac:dyDescent="0.2"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</row>
  </sheetData>
  <mergeCells count="2">
    <mergeCell ref="M6:N6"/>
    <mergeCell ref="P6:Q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5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39997558519241921"/>
    <pageSetUpPr fitToPage="1"/>
  </sheetPr>
  <dimension ref="A1:R52"/>
  <sheetViews>
    <sheetView view="pageBreakPreview" zoomScaleSheetLayoutView="100" workbookViewId="0">
      <pane ySplit="7" topLeftCell="A45" activePane="bottomLeft" state="frozen"/>
      <selection activeCell="AI34" sqref="AI34"/>
      <selection pane="bottomLeft" activeCell="A45" sqref="A45"/>
    </sheetView>
  </sheetViews>
  <sheetFormatPr defaultRowHeight="12.75" x14ac:dyDescent="0.2"/>
  <cols>
    <col min="1" max="1" width="5.28515625" style="2" customWidth="1"/>
    <col min="2" max="2" width="1.85546875" style="2" customWidth="1"/>
    <col min="3" max="3" width="27.42578125" style="2" customWidth="1"/>
    <col min="4" max="4" width="1.85546875" style="2" customWidth="1"/>
    <col min="5" max="5" width="9.140625" style="11" customWidth="1"/>
    <col min="6" max="6" width="1.85546875" style="2" customWidth="1"/>
    <col min="7" max="11" width="10.42578125" style="2" customWidth="1"/>
    <col min="12" max="12" width="2" style="2" customWidth="1"/>
    <col min="13" max="13" width="10.42578125" style="14" customWidth="1"/>
    <col min="14" max="14" width="11.28515625" style="2" customWidth="1"/>
    <col min="15" max="15" width="2" style="2" customWidth="1"/>
    <col min="16" max="16" width="10.42578125" style="14" customWidth="1"/>
    <col min="17" max="18" width="11.28515625" style="2" customWidth="1"/>
    <col min="19" max="16384" width="9.140625" style="2"/>
  </cols>
  <sheetData>
    <row r="1" spans="1:18" ht="15.75" x14ac:dyDescent="0.25">
      <c r="A1" s="10" t="s">
        <v>5</v>
      </c>
      <c r="M1" s="13"/>
      <c r="Q1" s="15" t="s">
        <v>23</v>
      </c>
    </row>
    <row r="2" spans="1:18" x14ac:dyDescent="0.2">
      <c r="A2" s="16" t="s">
        <v>174</v>
      </c>
      <c r="M2" s="13"/>
      <c r="Q2" s="18" t="str">
        <f>'Schedule 1'!$Q$2</f>
        <v>June 2017</v>
      </c>
    </row>
    <row r="3" spans="1:18" x14ac:dyDescent="0.2">
      <c r="A3" s="16" t="s">
        <v>7</v>
      </c>
      <c r="M3" s="13"/>
    </row>
    <row r="4" spans="1:18" x14ac:dyDescent="0.2">
      <c r="R4" s="12"/>
    </row>
    <row r="5" spans="1:18" x14ac:dyDescent="0.2">
      <c r="R5" s="12"/>
    </row>
    <row r="6" spans="1:18" s="11" customFormat="1" x14ac:dyDescent="0.2">
      <c r="G6" s="19"/>
      <c r="H6" s="19"/>
      <c r="I6" s="19"/>
      <c r="J6" s="19"/>
      <c r="K6" s="19"/>
      <c r="L6" s="19"/>
      <c r="M6" s="160" t="s">
        <v>3</v>
      </c>
      <c r="N6" s="160"/>
      <c r="O6" s="19"/>
      <c r="P6" s="160" t="s">
        <v>3</v>
      </c>
      <c r="Q6" s="160"/>
    </row>
    <row r="7" spans="1:18" s="21" customFormat="1" ht="25.5" x14ac:dyDescent="0.2">
      <c r="A7" s="20" t="s">
        <v>0</v>
      </c>
      <c r="C7" s="20" t="s">
        <v>1</v>
      </c>
      <c r="E7" s="20" t="s">
        <v>2</v>
      </c>
      <c r="G7" s="20" t="s">
        <v>228</v>
      </c>
      <c r="H7" s="20" t="s">
        <v>229</v>
      </c>
      <c r="I7" s="20" t="s">
        <v>230</v>
      </c>
      <c r="J7" s="20" t="s">
        <v>231</v>
      </c>
      <c r="K7" s="20" t="s">
        <v>272</v>
      </c>
      <c r="L7" s="20"/>
      <c r="M7" s="20" t="str">
        <f>'Schedule 1'!$M$7</f>
        <v>Existing 2017</v>
      </c>
      <c r="N7" s="20" t="str">
        <f>'Schedule 1'!$N$7</f>
        <v>Proposed 2017</v>
      </c>
      <c r="O7" s="22"/>
      <c r="P7" s="20" t="str">
        <f>'Schedule 1'!$P$7</f>
        <v>Existing 2018</v>
      </c>
      <c r="Q7" s="20" t="str">
        <f>'Schedule 1'!$Q$7</f>
        <v>Proposed 2018</v>
      </c>
    </row>
    <row r="8" spans="1:18" ht="12.75" customHeight="1" x14ac:dyDescent="0.2">
      <c r="R8" s="12"/>
    </row>
    <row r="9" spans="1:18" ht="12.75" customHeight="1" x14ac:dyDescent="0.2">
      <c r="C9" s="9" t="s">
        <v>171</v>
      </c>
      <c r="R9" s="12"/>
    </row>
    <row r="10" spans="1:18" ht="12.75" customHeight="1" x14ac:dyDescent="0.2">
      <c r="C10" s="23"/>
      <c r="G10" s="14"/>
      <c r="H10" s="14"/>
      <c r="I10" s="14"/>
      <c r="J10" s="14"/>
      <c r="K10" s="14"/>
      <c r="L10" s="14"/>
      <c r="N10" s="14"/>
      <c r="O10" s="14"/>
      <c r="Q10" s="14"/>
    </row>
    <row r="11" spans="1:18" ht="12.75" customHeight="1" x14ac:dyDescent="0.2">
      <c r="A11" s="2">
        <v>1</v>
      </c>
      <c r="C11" s="24" t="s">
        <v>265</v>
      </c>
      <c r="G11" s="14">
        <v>2945.3639718602963</v>
      </c>
      <c r="H11" s="14">
        <v>2946</v>
      </c>
      <c r="I11" s="14">
        <v>1912</v>
      </c>
      <c r="J11" s="14">
        <v>837</v>
      </c>
      <c r="K11" s="14">
        <v>0</v>
      </c>
      <c r="L11" s="14"/>
      <c r="M11" s="14">
        <v>0</v>
      </c>
      <c r="N11" s="14">
        <v>0</v>
      </c>
      <c r="O11" s="14"/>
      <c r="P11" s="14">
        <v>0</v>
      </c>
      <c r="Q11" s="14">
        <v>0</v>
      </c>
    </row>
    <row r="12" spans="1:18" ht="12.75" customHeight="1" x14ac:dyDescent="0.2">
      <c r="A12" s="2">
        <f t="shared" ref="A12:A24" si="0">A11+1</f>
        <v>2</v>
      </c>
      <c r="C12" s="24" t="s">
        <v>267</v>
      </c>
      <c r="G12" s="14">
        <v>72890.87328</v>
      </c>
      <c r="H12" s="14">
        <v>72891</v>
      </c>
      <c r="I12" s="14">
        <v>69891</v>
      </c>
      <c r="J12" s="14">
        <v>0</v>
      </c>
      <c r="K12" s="14">
        <v>0</v>
      </c>
      <c r="L12" s="14"/>
      <c r="M12" s="14">
        <v>0</v>
      </c>
      <c r="N12" s="14">
        <v>0</v>
      </c>
      <c r="O12" s="14"/>
      <c r="P12" s="14">
        <v>0</v>
      </c>
      <c r="Q12" s="14">
        <v>0</v>
      </c>
    </row>
    <row r="13" spans="1:18" ht="12.75" customHeight="1" x14ac:dyDescent="0.2">
      <c r="A13" s="2">
        <f t="shared" si="0"/>
        <v>3</v>
      </c>
      <c r="C13" s="24" t="s">
        <v>260</v>
      </c>
      <c r="G13" s="14">
        <v>21226.153846153848</v>
      </c>
      <c r="H13" s="14">
        <v>21226</v>
      </c>
      <c r="I13" s="14">
        <v>20889</v>
      </c>
      <c r="J13" s="14">
        <v>20552</v>
      </c>
      <c r="K13" s="14">
        <v>20215.384719999998</v>
      </c>
      <c r="L13" s="14"/>
      <c r="M13" s="14">
        <v>19878.461719999999</v>
      </c>
      <c r="N13" s="14">
        <v>19878.461719999999</v>
      </c>
      <c r="O13" s="14"/>
      <c r="P13" s="14">
        <v>19541.53872</v>
      </c>
      <c r="Q13" s="14">
        <v>19541.53872</v>
      </c>
    </row>
    <row r="14" spans="1:18" ht="12.75" customHeight="1" x14ac:dyDescent="0.2">
      <c r="A14" s="2">
        <f t="shared" si="0"/>
        <v>4</v>
      </c>
      <c r="C14" s="24" t="s">
        <v>266</v>
      </c>
      <c r="G14" s="14">
        <v>15899.733333333332</v>
      </c>
      <c r="H14" s="14">
        <v>10687.177974672346</v>
      </c>
      <c r="I14" s="14">
        <v>10365.836508846234</v>
      </c>
      <c r="J14" s="14">
        <v>10035.743582841045</v>
      </c>
      <c r="K14" s="14">
        <v>9696.6612752774217</v>
      </c>
      <c r="L14" s="14"/>
      <c r="M14" s="14">
        <v>9348.3439223527403</v>
      </c>
      <c r="N14" s="14">
        <v>9348.3439223527403</v>
      </c>
      <c r="O14" s="14"/>
      <c r="P14" s="14">
        <v>8990.5404440194852</v>
      </c>
      <c r="Q14" s="14">
        <v>8990.5404440194852</v>
      </c>
    </row>
    <row r="15" spans="1:18" ht="12.75" customHeight="1" x14ac:dyDescent="0.2">
      <c r="A15" s="2">
        <f t="shared" si="0"/>
        <v>5</v>
      </c>
      <c r="C15" s="24" t="s">
        <v>268</v>
      </c>
      <c r="G15" s="14">
        <v>17780.399999999998</v>
      </c>
      <c r="H15" s="14">
        <v>15727</v>
      </c>
      <c r="I15" s="14">
        <v>15044</v>
      </c>
      <c r="J15" s="14">
        <v>0</v>
      </c>
      <c r="K15" s="14">
        <v>0</v>
      </c>
      <c r="L15" s="14"/>
      <c r="M15" s="14">
        <v>0</v>
      </c>
      <c r="N15" s="14">
        <v>0</v>
      </c>
      <c r="O15" s="14"/>
      <c r="P15" s="14">
        <v>0</v>
      </c>
      <c r="Q15" s="14">
        <v>0</v>
      </c>
    </row>
    <row r="16" spans="1:18" ht="12.75" customHeight="1" x14ac:dyDescent="0.2">
      <c r="A16" s="2">
        <f t="shared" si="0"/>
        <v>6</v>
      </c>
      <c r="C16" s="24" t="s">
        <v>269</v>
      </c>
      <c r="G16" s="14"/>
      <c r="H16" s="14">
        <v>2053</v>
      </c>
      <c r="I16" s="14">
        <v>2053</v>
      </c>
      <c r="J16" s="14">
        <v>0</v>
      </c>
      <c r="K16" s="14">
        <v>0</v>
      </c>
      <c r="L16" s="14"/>
      <c r="M16" s="14">
        <v>0</v>
      </c>
      <c r="N16" s="14">
        <v>0</v>
      </c>
      <c r="O16" s="14"/>
      <c r="P16" s="14">
        <v>0</v>
      </c>
      <c r="Q16" s="14">
        <v>0</v>
      </c>
    </row>
    <row r="17" spans="1:17" ht="12.75" customHeight="1" x14ac:dyDescent="0.2">
      <c r="A17" s="2">
        <f t="shared" si="0"/>
        <v>7</v>
      </c>
      <c r="C17" s="24" t="s">
        <v>270</v>
      </c>
      <c r="G17" s="14">
        <v>7773.8270000000002</v>
      </c>
      <c r="H17" s="14">
        <v>5471</v>
      </c>
      <c r="I17" s="14">
        <v>5471</v>
      </c>
      <c r="J17" s="14">
        <v>0</v>
      </c>
      <c r="K17" s="14">
        <v>0</v>
      </c>
      <c r="L17" s="14"/>
      <c r="M17" s="14">
        <v>0</v>
      </c>
      <c r="N17" s="14">
        <v>0</v>
      </c>
      <c r="O17" s="14"/>
      <c r="P17" s="14">
        <v>0</v>
      </c>
      <c r="Q17" s="14">
        <v>0</v>
      </c>
    </row>
    <row r="18" spans="1:17" ht="12.75" customHeight="1" x14ac:dyDescent="0.2">
      <c r="A18" s="2">
        <f t="shared" si="0"/>
        <v>8</v>
      </c>
      <c r="C18" s="24" t="s">
        <v>258</v>
      </c>
      <c r="G18" s="14"/>
      <c r="H18" s="14">
        <v>2553.4053092007534</v>
      </c>
      <c r="I18" s="14">
        <v>2586.2672998262428</v>
      </c>
      <c r="J18" s="14">
        <v>2612.7518667532445</v>
      </c>
      <c r="K18" s="14">
        <v>2636.1048667532446</v>
      </c>
      <c r="L18" s="14"/>
      <c r="M18" s="14">
        <v>2660.0136065629081</v>
      </c>
      <c r="N18" s="14">
        <v>2659.8278245377955</v>
      </c>
      <c r="O18" s="14"/>
      <c r="P18" s="14">
        <v>2683.9500761186528</v>
      </c>
      <c r="Q18" s="14">
        <v>2683.7642940935402</v>
      </c>
    </row>
    <row r="19" spans="1:17" ht="12.75" customHeight="1" x14ac:dyDescent="0.2">
      <c r="A19" s="2">
        <f t="shared" si="0"/>
        <v>9</v>
      </c>
      <c r="C19" s="24" t="s">
        <v>264</v>
      </c>
      <c r="G19" s="14"/>
      <c r="H19" s="14"/>
      <c r="I19" s="14">
        <v>5505</v>
      </c>
      <c r="J19" s="14">
        <v>5505</v>
      </c>
      <c r="K19" s="14">
        <v>5505</v>
      </c>
      <c r="L19" s="14"/>
      <c r="M19" s="14">
        <v>5505</v>
      </c>
      <c r="N19" s="14">
        <v>5505</v>
      </c>
      <c r="O19" s="14"/>
      <c r="P19" s="14">
        <v>5505</v>
      </c>
      <c r="Q19" s="14">
        <v>5505</v>
      </c>
    </row>
    <row r="20" spans="1:17" ht="12.75" customHeight="1" x14ac:dyDescent="0.2">
      <c r="A20" s="2">
        <f t="shared" si="0"/>
        <v>10</v>
      </c>
      <c r="C20" s="24" t="s">
        <v>263</v>
      </c>
      <c r="G20" s="14"/>
      <c r="H20" s="14"/>
      <c r="I20" s="14"/>
      <c r="J20" s="14">
        <v>88774.673280000003</v>
      </c>
      <c r="K20" s="14">
        <v>85090.87328</v>
      </c>
      <c r="L20" s="14"/>
      <c r="M20" s="14">
        <v>81407.073279999997</v>
      </c>
      <c r="N20" s="14">
        <v>81407.073279999997</v>
      </c>
      <c r="O20" s="14"/>
      <c r="P20" s="14">
        <v>77723.273279999994</v>
      </c>
      <c r="Q20" s="14">
        <v>77723.273279999994</v>
      </c>
    </row>
    <row r="21" spans="1:17" ht="12.75" customHeight="1" x14ac:dyDescent="0.2">
      <c r="A21" s="2">
        <f t="shared" si="0"/>
        <v>11</v>
      </c>
      <c r="C21" s="24" t="s">
        <v>262</v>
      </c>
      <c r="G21" s="14"/>
      <c r="H21" s="14"/>
      <c r="I21" s="14"/>
      <c r="J21" s="14">
        <v>20984.403999999999</v>
      </c>
      <c r="K21" s="14">
        <v>20145.027839999999</v>
      </c>
      <c r="L21" s="14"/>
      <c r="M21" s="14">
        <v>19305.651679999999</v>
      </c>
      <c r="N21" s="14">
        <v>19305.651679999999</v>
      </c>
      <c r="O21" s="14"/>
      <c r="P21" s="14">
        <v>18466.275519999999</v>
      </c>
      <c r="Q21" s="14">
        <v>18466.275519999999</v>
      </c>
    </row>
    <row r="22" spans="1:17" ht="12.75" customHeight="1" x14ac:dyDescent="0.2">
      <c r="A22" s="2">
        <f t="shared" si="0"/>
        <v>12</v>
      </c>
      <c r="C22" s="2" t="s">
        <v>261</v>
      </c>
      <c r="G22" s="14"/>
      <c r="H22" s="14"/>
      <c r="I22" s="14"/>
      <c r="J22" s="14"/>
      <c r="K22" s="14">
        <v>12136</v>
      </c>
      <c r="L22" s="14"/>
      <c r="M22" s="14">
        <v>12136.255386306235</v>
      </c>
      <c r="N22" s="14">
        <v>12136</v>
      </c>
      <c r="O22" s="14"/>
      <c r="P22" s="14">
        <v>12136.255386306235</v>
      </c>
      <c r="Q22" s="14">
        <v>12136</v>
      </c>
    </row>
    <row r="23" spans="1:17" ht="12.75" customHeight="1" x14ac:dyDescent="0.2">
      <c r="A23" s="2">
        <f t="shared" si="0"/>
        <v>13</v>
      </c>
      <c r="C23" s="24" t="s">
        <v>275</v>
      </c>
      <c r="G23" s="14"/>
      <c r="H23" s="14"/>
      <c r="I23" s="14"/>
      <c r="J23" s="14"/>
      <c r="K23" s="14"/>
      <c r="L23" s="14"/>
      <c r="M23" s="14">
        <v>13118.422193794308</v>
      </c>
      <c r="N23" s="14">
        <v>23827.594972625666</v>
      </c>
      <c r="O23" s="14"/>
      <c r="P23" s="14">
        <v>13118.422193794308</v>
      </c>
      <c r="Q23" s="14">
        <v>23827.594972625666</v>
      </c>
    </row>
    <row r="24" spans="1:17" ht="12.75" customHeight="1" x14ac:dyDescent="0.2">
      <c r="A24" s="2">
        <f t="shared" si="0"/>
        <v>14</v>
      </c>
      <c r="C24" s="24" t="s">
        <v>259</v>
      </c>
      <c r="G24" s="14"/>
      <c r="H24" s="14"/>
      <c r="I24" s="14"/>
      <c r="J24" s="14"/>
      <c r="K24" s="14"/>
      <c r="L24" s="14"/>
      <c r="N24" s="14"/>
      <c r="O24" s="14"/>
      <c r="P24" s="14">
        <v>7245.6113341040473</v>
      </c>
      <c r="Q24" s="14">
        <v>7003.565563164535</v>
      </c>
    </row>
    <row r="25" spans="1:17" x14ac:dyDescent="0.2">
      <c r="C25" s="24"/>
      <c r="G25" s="14"/>
      <c r="H25" s="14"/>
      <c r="I25" s="14"/>
      <c r="J25" s="14"/>
      <c r="K25" s="14"/>
      <c r="L25" s="14"/>
      <c r="N25" s="25"/>
      <c r="O25" s="25"/>
      <c r="Q25" s="25"/>
    </row>
    <row r="26" spans="1:17" ht="12.75" customHeight="1" x14ac:dyDescent="0.2">
      <c r="A26" s="2">
        <f>A24+1</f>
        <v>15</v>
      </c>
      <c r="C26" s="2" t="s">
        <v>52</v>
      </c>
      <c r="G26" s="13">
        <f t="shared" ref="G26:K26" si="1">SUM(G11:G25)</f>
        <v>138516.35143134746</v>
      </c>
      <c r="H26" s="13">
        <f t="shared" si="1"/>
        <v>133554.5832838731</v>
      </c>
      <c r="I26" s="13">
        <f t="shared" si="1"/>
        <v>133717.10380867246</v>
      </c>
      <c r="J26" s="13">
        <f t="shared" si="1"/>
        <v>149301.57272959431</v>
      </c>
      <c r="K26" s="13">
        <f t="shared" si="1"/>
        <v>155425.05198203065</v>
      </c>
      <c r="L26" s="13"/>
      <c r="M26" s="13">
        <f>SUM(M11:M25)</f>
        <v>163359.22178901618</v>
      </c>
      <c r="N26" s="13">
        <f>SUM(N11:N25)</f>
        <v>174067.95339951621</v>
      </c>
      <c r="O26" s="13"/>
      <c r="P26" s="13">
        <f>SUM(P11:P25)</f>
        <v>165410.86695434275</v>
      </c>
      <c r="Q26" s="13">
        <f>SUM(Q11:Q25)</f>
        <v>175877.55279390322</v>
      </c>
    </row>
    <row r="27" spans="1:17" ht="12.75" customHeight="1" x14ac:dyDescent="0.2">
      <c r="A27" s="2">
        <f>A26+1</f>
        <v>16</v>
      </c>
      <c r="C27" s="2" t="s">
        <v>53</v>
      </c>
      <c r="G27" s="26">
        <v>136304.27001674729</v>
      </c>
      <c r="H27" s="26">
        <v>133409</v>
      </c>
      <c r="I27" s="26">
        <f t="shared" ref="I27" si="2">H26</f>
        <v>133554.5832838731</v>
      </c>
      <c r="J27" s="26">
        <f t="shared" ref="J27" si="3">I26</f>
        <v>133717.10380867246</v>
      </c>
      <c r="K27" s="26">
        <f t="shared" ref="K27" si="4">J26</f>
        <v>149301.57272959431</v>
      </c>
      <c r="L27" s="26"/>
      <c r="M27" s="26">
        <f>K26</f>
        <v>155425.05198203065</v>
      </c>
      <c r="N27" s="26">
        <f>K26</f>
        <v>155425.05198203065</v>
      </c>
      <c r="O27" s="26"/>
      <c r="P27" s="26">
        <f>M26</f>
        <v>163359.22178901618</v>
      </c>
      <c r="Q27" s="26">
        <f>N26</f>
        <v>174067.95339951621</v>
      </c>
    </row>
    <row r="28" spans="1:17" x14ac:dyDescent="0.2">
      <c r="A28" s="2">
        <f>A27+1</f>
        <v>17</v>
      </c>
      <c r="C28" s="2" t="s">
        <v>170</v>
      </c>
      <c r="G28" s="13">
        <f t="shared" ref="G28:K28" si="5">(G27+G26)/2</f>
        <v>137410.31072404736</v>
      </c>
      <c r="H28" s="13">
        <f>(H27+H26)/2</f>
        <v>133481.79164193655</v>
      </c>
      <c r="I28" s="13">
        <f t="shared" si="5"/>
        <v>133635.84354627278</v>
      </c>
      <c r="J28" s="13">
        <f t="shared" si="5"/>
        <v>141509.33826913338</v>
      </c>
      <c r="K28" s="13">
        <f t="shared" si="5"/>
        <v>152363.31235581246</v>
      </c>
      <c r="L28" s="13"/>
      <c r="M28" s="13">
        <f t="shared" ref="M28:P28" si="6">(M27+M26)/2</f>
        <v>159392.13688552342</v>
      </c>
      <c r="N28" s="13">
        <f t="shared" ref="N28" si="7">(N27+N26)/2</f>
        <v>164746.50269077343</v>
      </c>
      <c r="O28" s="13"/>
      <c r="P28" s="13">
        <f t="shared" si="6"/>
        <v>164385.04437167948</v>
      </c>
      <c r="Q28" s="13">
        <f t="shared" ref="Q28" si="8">(Q27+Q26)/2</f>
        <v>174972.75309670973</v>
      </c>
    </row>
    <row r="30" spans="1:17" x14ac:dyDescent="0.2">
      <c r="C30" s="27"/>
      <c r="D30" s="27"/>
      <c r="E30" s="28"/>
      <c r="F30" s="27"/>
      <c r="G30" s="29"/>
      <c r="H30" s="29"/>
      <c r="I30" s="29"/>
      <c r="J30" s="29"/>
      <c r="K30" s="29"/>
      <c r="L30" s="29"/>
      <c r="N30" s="29"/>
      <c r="O30" s="29"/>
      <c r="Q30" s="29"/>
    </row>
    <row r="31" spans="1:17" x14ac:dyDescent="0.2">
      <c r="C31" s="9" t="s">
        <v>169</v>
      </c>
      <c r="E31" s="2"/>
    </row>
    <row r="33" spans="1:17" x14ac:dyDescent="0.2">
      <c r="A33" s="2">
        <f>A28+1</f>
        <v>18</v>
      </c>
      <c r="C33" s="24" t="str">
        <f>C11</f>
        <v>TD Canada Trust (4.02%)</v>
      </c>
      <c r="G33" s="13">
        <v>140.05443739068608</v>
      </c>
      <c r="H33" s="13">
        <v>140</v>
      </c>
      <c r="I33" s="13">
        <v>99.416288549782621</v>
      </c>
      <c r="J33" s="13">
        <v>57.097506377351365</v>
      </c>
      <c r="K33" s="13">
        <v>14.045999999999999</v>
      </c>
      <c r="L33" s="13"/>
      <c r="M33" s="13">
        <v>0</v>
      </c>
      <c r="N33" s="13">
        <v>0</v>
      </c>
      <c r="O33" s="13"/>
      <c r="P33" s="13">
        <v>0</v>
      </c>
      <c r="Q33" s="13">
        <v>0</v>
      </c>
    </row>
    <row r="34" spans="1:17" x14ac:dyDescent="0.2">
      <c r="A34" s="2">
        <f>A33+1</f>
        <v>19</v>
      </c>
      <c r="C34" s="24" t="str">
        <f t="shared" ref="C34:C46" si="9">C12</f>
        <v>YDC $81.9M Loan (4.25%)</v>
      </c>
      <c r="G34" s="13">
        <v>3225.3621144000008</v>
      </c>
      <c r="H34" s="13">
        <v>3225</v>
      </c>
      <c r="I34" s="13">
        <v>3098</v>
      </c>
      <c r="J34" s="13">
        <v>0</v>
      </c>
      <c r="K34" s="13">
        <v>0</v>
      </c>
      <c r="L34" s="13"/>
      <c r="M34" s="13">
        <v>0</v>
      </c>
      <c r="N34" s="13">
        <v>0</v>
      </c>
      <c r="O34" s="13"/>
      <c r="P34" s="13">
        <v>0</v>
      </c>
      <c r="Q34" s="13">
        <v>0</v>
      </c>
    </row>
    <row r="35" spans="1:17" x14ac:dyDescent="0.2">
      <c r="A35" s="2">
        <f>A34+1</f>
        <v>20</v>
      </c>
      <c r="C35" s="24" t="str">
        <f t="shared" si="9"/>
        <v>YDC Mayo B Flexible Term Debt</v>
      </c>
      <c r="G35" s="13">
        <v>211.80669230769229</v>
      </c>
      <c r="H35" s="13">
        <v>130</v>
      </c>
      <c r="I35" s="13">
        <v>-112</v>
      </c>
      <c r="J35" s="13">
        <v>128</v>
      </c>
      <c r="K35" s="13">
        <v>166.708</v>
      </c>
      <c r="L35" s="13"/>
      <c r="M35" s="13">
        <v>431.59799584026547</v>
      </c>
      <c r="N35" s="13">
        <v>431.59799584026547</v>
      </c>
      <c r="O35" s="13"/>
      <c r="P35" s="13">
        <v>506.86093712040173</v>
      </c>
      <c r="Q35" s="13">
        <v>506.86093712040173</v>
      </c>
    </row>
    <row r="36" spans="1:17" x14ac:dyDescent="0.2">
      <c r="A36" s="2">
        <f t="shared" ref="A36:A46" si="10">A35+1</f>
        <v>21</v>
      </c>
      <c r="C36" s="24" t="str">
        <f t="shared" si="9"/>
        <v>TD Bank Swap (2.69%)</v>
      </c>
      <c r="G36" s="13">
        <v>687.07738000000006</v>
      </c>
      <c r="H36" s="13">
        <v>292.06188000000003</v>
      </c>
      <c r="I36" s="13">
        <v>283.54243999999994</v>
      </c>
      <c r="J36" s="13">
        <v>274.79097999999999</v>
      </c>
      <c r="K36" s="13">
        <v>265.80099999999999</v>
      </c>
      <c r="L36" s="13"/>
      <c r="M36" s="13">
        <v>256.56655000000001</v>
      </c>
      <c r="N36" s="13">
        <v>256.56655000000001</v>
      </c>
      <c r="O36" s="13"/>
      <c r="P36" s="13">
        <v>247.08043000000004</v>
      </c>
      <c r="Q36" s="13">
        <v>247.08043000000004</v>
      </c>
    </row>
    <row r="37" spans="1:17" x14ac:dyDescent="0.2">
      <c r="A37" s="2">
        <f t="shared" si="10"/>
        <v>22</v>
      </c>
      <c r="C37" s="24" t="str">
        <f t="shared" si="9"/>
        <v>YDC $17.1M Debt (3.69%)</v>
      </c>
      <c r="G37" s="13">
        <v>652.98559999999998</v>
      </c>
      <c r="H37" s="13">
        <v>606</v>
      </c>
      <c r="I37" s="13">
        <v>580</v>
      </c>
      <c r="J37" s="13">
        <v>0</v>
      </c>
      <c r="K37" s="13">
        <v>0</v>
      </c>
      <c r="L37" s="13"/>
      <c r="M37" s="13">
        <v>0</v>
      </c>
      <c r="N37" s="13">
        <v>0</v>
      </c>
      <c r="O37" s="13"/>
      <c r="P37" s="13">
        <v>0</v>
      </c>
      <c r="Q37" s="13">
        <v>0</v>
      </c>
    </row>
    <row r="38" spans="1:17" x14ac:dyDescent="0.2">
      <c r="A38" s="2">
        <f t="shared" si="10"/>
        <v>23</v>
      </c>
      <c r="C38" s="24" t="str">
        <f t="shared" si="9"/>
        <v>YDC $2.1M Debt (3.97%)</v>
      </c>
      <c r="G38" s="13"/>
      <c r="H38" s="13">
        <v>82</v>
      </c>
      <c r="I38" s="13">
        <v>82</v>
      </c>
      <c r="J38" s="13">
        <v>0</v>
      </c>
      <c r="K38" s="13">
        <v>0</v>
      </c>
      <c r="L38" s="13"/>
      <c r="M38" s="13">
        <v>0</v>
      </c>
      <c r="N38" s="13">
        <v>0</v>
      </c>
      <c r="O38" s="13"/>
      <c r="P38" s="13">
        <v>0</v>
      </c>
      <c r="Q38" s="13">
        <v>0</v>
      </c>
    </row>
    <row r="39" spans="1:17" x14ac:dyDescent="0.2">
      <c r="A39" s="2">
        <f>A38+1</f>
        <v>24</v>
      </c>
      <c r="C39" s="24" t="str">
        <f t="shared" si="9"/>
        <v>YDC $5.5M Debt (4.27%)</v>
      </c>
      <c r="G39" s="13"/>
      <c r="H39" s="13"/>
      <c r="I39" s="13">
        <v>233.61170000000001</v>
      </c>
      <c r="J39" s="13">
        <v>0</v>
      </c>
      <c r="K39" s="13">
        <v>0</v>
      </c>
      <c r="L39" s="13"/>
      <c r="M39" s="13">
        <v>0</v>
      </c>
      <c r="N39" s="13">
        <v>0</v>
      </c>
      <c r="O39" s="13"/>
      <c r="P39" s="13">
        <v>0</v>
      </c>
      <c r="Q39" s="13">
        <v>0</v>
      </c>
    </row>
    <row r="40" spans="1:17" x14ac:dyDescent="0.2">
      <c r="A40" s="2">
        <f t="shared" si="10"/>
        <v>25</v>
      </c>
      <c r="C40" s="24" t="str">
        <f t="shared" si="9"/>
        <v>Minto Decommissioning Reserve</v>
      </c>
      <c r="G40" s="13"/>
      <c r="H40" s="13">
        <v>31.469309200753479</v>
      </c>
      <c r="I40" s="13">
        <v>32.861990625489327</v>
      </c>
      <c r="J40" s="13">
        <v>26.484566927001811</v>
      </c>
      <c r="K40" s="13">
        <v>23.353000000000002</v>
      </c>
      <c r="L40" s="13"/>
      <c r="M40" s="13">
        <v>23.722957784551173</v>
      </c>
      <c r="N40" s="13">
        <v>23.722957784551173</v>
      </c>
      <c r="O40" s="13"/>
      <c r="P40" s="13">
        <v>23.936469555744466</v>
      </c>
      <c r="Q40" s="13">
        <v>23.936469555744466</v>
      </c>
    </row>
    <row r="41" spans="1:17" x14ac:dyDescent="0.2">
      <c r="A41" s="2">
        <f t="shared" si="10"/>
        <v>26</v>
      </c>
      <c r="C41" s="24" t="str">
        <f t="shared" si="9"/>
        <v>YDC $5.5M Debt (2.40%)</v>
      </c>
      <c r="G41" s="13"/>
      <c r="H41" s="13"/>
      <c r="I41" s="13"/>
      <c r="J41" s="13">
        <v>132.12</v>
      </c>
      <c r="K41" s="13">
        <v>132.12</v>
      </c>
      <c r="L41" s="13"/>
      <c r="M41" s="13">
        <v>132.12</v>
      </c>
      <c r="N41" s="13">
        <v>132.12</v>
      </c>
      <c r="O41" s="13"/>
      <c r="P41" s="13">
        <v>132.12</v>
      </c>
      <c r="Q41" s="13">
        <v>132.12</v>
      </c>
    </row>
    <row r="42" spans="1:17" x14ac:dyDescent="0.2">
      <c r="A42" s="2">
        <f t="shared" si="10"/>
        <v>27</v>
      </c>
      <c r="C42" s="24" t="str">
        <f t="shared" si="9"/>
        <v>YDC $92.5M Debt (2.40%)</v>
      </c>
      <c r="G42" s="13"/>
      <c r="H42" s="13"/>
      <c r="I42" s="13"/>
      <c r="J42" s="13">
        <v>2212.9238974632335</v>
      </c>
      <c r="K42" s="13">
        <v>2130.5920000000001</v>
      </c>
      <c r="L42" s="13"/>
      <c r="M42" s="13">
        <v>2042.1809587199998</v>
      </c>
      <c r="N42" s="13">
        <v>2042.1809587199998</v>
      </c>
      <c r="O42" s="13"/>
      <c r="P42" s="13">
        <v>1953.7697587200005</v>
      </c>
      <c r="Q42" s="13">
        <v>1953.7697587200005</v>
      </c>
    </row>
    <row r="43" spans="1:17" x14ac:dyDescent="0.2">
      <c r="A43" s="2">
        <f t="shared" si="10"/>
        <v>28</v>
      </c>
      <c r="C43" s="24" t="str">
        <f t="shared" si="9"/>
        <v>YDC $21.0M Debt (2.21%)</v>
      </c>
      <c r="G43" s="13"/>
      <c r="H43" s="13"/>
      <c r="I43" s="13"/>
      <c r="J43" s="13"/>
      <c r="K43" s="13">
        <v>463.75532840000005</v>
      </c>
      <c r="L43" s="13"/>
      <c r="M43" s="13">
        <v>445.20511526400003</v>
      </c>
      <c r="N43" s="13">
        <v>445.20511526400003</v>
      </c>
      <c r="O43" s="13"/>
      <c r="P43" s="13">
        <v>426.65490212800006</v>
      </c>
      <c r="Q43" s="13">
        <v>426.65490212800006</v>
      </c>
    </row>
    <row r="44" spans="1:17" x14ac:dyDescent="0.2">
      <c r="A44" s="2">
        <f t="shared" si="10"/>
        <v>29</v>
      </c>
      <c r="C44" s="24" t="str">
        <f t="shared" si="9"/>
        <v>YDC $12.1M Debt (2.10%)</v>
      </c>
      <c r="G44" s="13"/>
      <c r="H44" s="13"/>
      <c r="I44" s="13"/>
      <c r="J44" s="13"/>
      <c r="K44" s="13"/>
      <c r="L44" s="13"/>
      <c r="M44" s="13">
        <v>254.85600000000002</v>
      </c>
      <c r="N44" s="13">
        <v>254.85600000000002</v>
      </c>
      <c r="O44" s="13"/>
      <c r="P44" s="13">
        <v>254.85600000000002</v>
      </c>
      <c r="Q44" s="13">
        <v>254.85600000000002</v>
      </c>
    </row>
    <row r="45" spans="1:17" x14ac:dyDescent="0.2">
      <c r="A45" s="2">
        <f t="shared" si="10"/>
        <v>30</v>
      </c>
      <c r="C45" s="24" t="str">
        <f t="shared" si="9"/>
        <v>New 2017 Debt (2.15%)</v>
      </c>
      <c r="G45" s="13"/>
      <c r="H45" s="13"/>
      <c r="I45" s="13"/>
      <c r="J45" s="13"/>
      <c r="K45" s="13"/>
      <c r="L45" s="13"/>
      <c r="M45" s="13"/>
      <c r="N45" s="13"/>
      <c r="O45" s="13"/>
      <c r="P45" s="13">
        <v>282.04607716657756</v>
      </c>
      <c r="Q45" s="13">
        <v>512.29329191145177</v>
      </c>
    </row>
    <row r="46" spans="1:17" x14ac:dyDescent="0.2">
      <c r="A46" s="2">
        <f t="shared" si="10"/>
        <v>31</v>
      </c>
      <c r="C46" s="24" t="str">
        <f t="shared" si="9"/>
        <v>New 2018 Debt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>
        <v>0</v>
      </c>
    </row>
    <row r="47" spans="1:17" x14ac:dyDescent="0.2">
      <c r="C47" s="3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x14ac:dyDescent="0.2">
      <c r="A48" s="2">
        <f>A46+1</f>
        <v>32</v>
      </c>
      <c r="C48" s="9" t="s">
        <v>172</v>
      </c>
      <c r="G48" s="13">
        <f t="shared" ref="G48:K48" si="11">SUM(G33:G46)</f>
        <v>4917.2862240983786</v>
      </c>
      <c r="H48" s="13">
        <f t="shared" si="11"/>
        <v>4506.5311892007539</v>
      </c>
      <c r="I48" s="13">
        <f t="shared" si="11"/>
        <v>4297.4324191752721</v>
      </c>
      <c r="J48" s="13">
        <f t="shared" si="11"/>
        <v>2831.416950767587</v>
      </c>
      <c r="K48" s="13">
        <f t="shared" si="11"/>
        <v>3196.3753283999999</v>
      </c>
      <c r="L48" s="13"/>
      <c r="M48" s="13">
        <f>SUM(M33:M46)</f>
        <v>3586.2495776088167</v>
      </c>
      <c r="N48" s="13">
        <f>SUM(N33:N46)</f>
        <v>3586.2495776088167</v>
      </c>
      <c r="O48" s="13"/>
      <c r="P48" s="13">
        <f>SUM(P33:P46)</f>
        <v>3827.3245746907246</v>
      </c>
      <c r="Q48" s="13">
        <f>SUM(Q33:Q46)</f>
        <v>4057.5717894355989</v>
      </c>
    </row>
    <row r="50" spans="1:17" x14ac:dyDescent="0.2">
      <c r="A50" s="2">
        <f>A48+1</f>
        <v>33</v>
      </c>
      <c r="C50" s="2" t="s">
        <v>173</v>
      </c>
      <c r="G50" s="34">
        <f t="shared" ref="G50:J50" si="12">G48/G28</f>
        <v>3.5785423948086842E-2</v>
      </c>
      <c r="H50" s="34">
        <f t="shared" si="12"/>
        <v>3.3761392724555833E-2</v>
      </c>
      <c r="I50" s="34">
        <f t="shared" si="12"/>
        <v>3.2157782711097579E-2</v>
      </c>
      <c r="J50" s="34">
        <f t="shared" si="12"/>
        <v>2.0008693315932125E-2</v>
      </c>
      <c r="K50" s="34">
        <f>K48/K28</f>
        <v>2.0978641636088469E-2</v>
      </c>
      <c r="L50" s="34"/>
      <c r="M50" s="34">
        <f>M48/M28</f>
        <v>2.2499538858585522E-2</v>
      </c>
      <c r="N50" s="34">
        <f>N48/N28</f>
        <v>2.1768289578444955E-2</v>
      </c>
      <c r="O50" s="34"/>
      <c r="P50" s="34">
        <f>P48/P28</f>
        <v>2.3282681154600839E-2</v>
      </c>
      <c r="Q50" s="34">
        <f>Q48/Q28</f>
        <v>2.3189735073739885E-2</v>
      </c>
    </row>
    <row r="51" spans="1:17" x14ac:dyDescent="0.2">
      <c r="G51" s="34"/>
      <c r="H51" s="34"/>
      <c r="I51" s="34"/>
      <c r="J51" s="34"/>
      <c r="K51" s="34"/>
      <c r="L51" s="34"/>
      <c r="M51" s="35"/>
      <c r="N51" s="34"/>
      <c r="O51" s="34"/>
      <c r="P51" s="35"/>
      <c r="Q51" s="34"/>
    </row>
    <row r="52" spans="1:17" x14ac:dyDescent="0.2">
      <c r="G52" s="34"/>
      <c r="H52" s="34"/>
      <c r="I52" s="34"/>
      <c r="J52" s="34"/>
      <c r="K52" s="34"/>
      <c r="L52" s="34"/>
      <c r="M52" s="35"/>
      <c r="N52" s="34"/>
      <c r="O52" s="34"/>
      <c r="P52" s="35"/>
      <c r="Q52" s="34"/>
    </row>
  </sheetData>
  <mergeCells count="2">
    <mergeCell ref="M6:N6"/>
    <mergeCell ref="P6:Q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66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AK66"/>
  <sheetViews>
    <sheetView tabSelected="1" view="pageBreakPreview" topLeftCell="A4" zoomScaleNormal="100" zoomScaleSheetLayoutView="100" workbookViewId="0">
      <pane ySplit="4" topLeftCell="A40" activePane="bottomLeft" state="frozen"/>
      <selection activeCell="AI34" sqref="AI34"/>
      <selection pane="bottomLeft" activeCell="I57" sqref="I57"/>
    </sheetView>
  </sheetViews>
  <sheetFormatPr defaultRowHeight="12.75" x14ac:dyDescent="0.2"/>
  <cols>
    <col min="1" max="1" width="5.28515625" style="2" customWidth="1"/>
    <col min="2" max="2" width="1.85546875" style="2" customWidth="1"/>
    <col min="3" max="3" width="30.28515625" style="2" customWidth="1"/>
    <col min="4" max="4" width="1.85546875" style="2" customWidth="1"/>
    <col min="5" max="5" width="9.140625" style="11" customWidth="1"/>
    <col min="6" max="6" width="1.85546875" style="2" customWidth="1"/>
    <col min="7" max="11" width="9.7109375" style="2" customWidth="1"/>
    <col min="12" max="12" width="1.7109375" style="12" customWidth="1"/>
    <col min="13" max="14" width="10.42578125" style="2" customWidth="1"/>
    <col min="15" max="15" width="1.7109375" style="12" customWidth="1"/>
    <col min="16" max="16" width="10.42578125" style="2" customWidth="1"/>
    <col min="17" max="17" width="11.7109375" style="2" customWidth="1"/>
    <col min="18" max="22" width="9.140625" style="2"/>
    <col min="23" max="23" width="11.28515625" style="2" bestFit="1" customWidth="1"/>
    <col min="24" max="24" width="10.140625" style="2" bestFit="1" customWidth="1"/>
    <col min="25" max="26" width="9.140625" style="2"/>
    <col min="27" max="27" width="10.28515625" style="2" bestFit="1" customWidth="1"/>
    <col min="28" max="16384" width="9.140625" style="2"/>
  </cols>
  <sheetData>
    <row r="1" spans="1:22" ht="15.75" x14ac:dyDescent="0.25">
      <c r="A1" s="10" t="s">
        <v>5</v>
      </c>
      <c r="Q1" s="15" t="s">
        <v>4</v>
      </c>
    </row>
    <row r="2" spans="1:22" x14ac:dyDescent="0.2">
      <c r="A2" s="16" t="s">
        <v>6</v>
      </c>
      <c r="Q2" s="154" t="s">
        <v>271</v>
      </c>
    </row>
    <row r="3" spans="1:22" x14ac:dyDescent="0.2">
      <c r="A3" s="16" t="s">
        <v>7</v>
      </c>
    </row>
    <row r="6" spans="1:22" s="11" customFormat="1" x14ac:dyDescent="0.2">
      <c r="G6" s="19"/>
      <c r="H6" s="19"/>
      <c r="I6" s="19"/>
      <c r="J6" s="19"/>
      <c r="K6" s="19"/>
      <c r="L6" s="19"/>
      <c r="M6" s="160" t="s">
        <v>3</v>
      </c>
      <c r="N6" s="160"/>
      <c r="O6" s="19"/>
      <c r="P6" s="160" t="s">
        <v>3</v>
      </c>
      <c r="Q6" s="160"/>
    </row>
    <row r="7" spans="1:22" s="21" customFormat="1" ht="25.5" x14ac:dyDescent="0.2">
      <c r="A7" s="20" t="s">
        <v>0</v>
      </c>
      <c r="C7" s="20" t="s">
        <v>1</v>
      </c>
      <c r="E7" s="20" t="s">
        <v>2</v>
      </c>
      <c r="G7" s="20" t="s">
        <v>228</v>
      </c>
      <c r="H7" s="20" t="s">
        <v>229</v>
      </c>
      <c r="I7" s="20" t="s">
        <v>230</v>
      </c>
      <c r="J7" s="20" t="s">
        <v>231</v>
      </c>
      <c r="K7" s="20" t="s">
        <v>272</v>
      </c>
      <c r="L7" s="22"/>
      <c r="M7" s="20" t="s">
        <v>232</v>
      </c>
      <c r="N7" s="20" t="s">
        <v>233</v>
      </c>
      <c r="O7" s="22"/>
      <c r="P7" s="20" t="s">
        <v>234</v>
      </c>
      <c r="Q7" s="20" t="s">
        <v>235</v>
      </c>
    </row>
    <row r="9" spans="1:22" x14ac:dyDescent="0.2">
      <c r="A9" s="2">
        <v>1</v>
      </c>
      <c r="C9" s="9" t="s">
        <v>44</v>
      </c>
    </row>
    <row r="10" spans="1:22" x14ac:dyDescent="0.2">
      <c r="A10" s="2">
        <v>2</v>
      </c>
      <c r="C10" s="2" t="s">
        <v>45</v>
      </c>
      <c r="E10" s="11" t="s">
        <v>85</v>
      </c>
      <c r="G10" s="31">
        <f>'Schedule 3'!G15</f>
        <v>520650.63055999996</v>
      </c>
      <c r="H10" s="31">
        <f>'Schedule 3'!H15</f>
        <v>520406</v>
      </c>
      <c r="I10" s="31">
        <f>'Schedule 3'!I15</f>
        <v>555552</v>
      </c>
      <c r="J10" s="31">
        <f>'Schedule 3'!J15</f>
        <v>577887.69799999986</v>
      </c>
      <c r="K10" s="31">
        <f>'Schedule 3'!K15</f>
        <v>589387.23499999999</v>
      </c>
      <c r="L10" s="32"/>
      <c r="M10" s="31">
        <f>'Schedule 3'!M15</f>
        <v>603879.26377999992</v>
      </c>
      <c r="N10" s="31">
        <f>'Schedule 3'!N15</f>
        <v>603879.26377999992</v>
      </c>
      <c r="O10" s="32"/>
      <c r="P10" s="31">
        <f>'Schedule 3'!P15</f>
        <v>618510.58510000003</v>
      </c>
      <c r="Q10" s="31">
        <f>'Schedule 3'!Q15</f>
        <v>618510.58510000003</v>
      </c>
      <c r="S10" s="140"/>
      <c r="T10" s="155"/>
      <c r="V10" s="140"/>
    </row>
    <row r="11" spans="1:22" x14ac:dyDescent="0.2">
      <c r="E11" s="11" t="s">
        <v>143</v>
      </c>
      <c r="G11" s="31"/>
      <c r="H11" s="31"/>
      <c r="I11" s="31"/>
      <c r="J11" s="31"/>
      <c r="K11" s="31"/>
      <c r="L11" s="32"/>
      <c r="M11" s="31"/>
      <c r="N11" s="31"/>
      <c r="O11" s="32"/>
      <c r="P11" s="31"/>
      <c r="Q11" s="31"/>
    </row>
    <row r="12" spans="1:22" x14ac:dyDescent="0.2">
      <c r="C12" s="2" t="s">
        <v>46</v>
      </c>
      <c r="G12" s="31"/>
      <c r="H12" s="31"/>
      <c r="I12" s="31"/>
      <c r="J12" s="31"/>
      <c r="K12" s="31"/>
      <c r="L12" s="32"/>
      <c r="M12" s="31"/>
      <c r="N12" s="31"/>
      <c r="O12" s="32"/>
      <c r="P12" s="31"/>
      <c r="Q12" s="31"/>
    </row>
    <row r="13" spans="1:22" x14ac:dyDescent="0.2">
      <c r="A13" s="2">
        <v>3</v>
      </c>
      <c r="C13" s="2" t="s">
        <v>180</v>
      </c>
      <c r="E13" s="11" t="s">
        <v>81</v>
      </c>
      <c r="G13" s="31">
        <f>'Schedule 3'!G23</f>
        <v>120694.28926439608</v>
      </c>
      <c r="H13" s="31">
        <f>'Schedule 3'!H23</f>
        <v>119279.17033000001</v>
      </c>
      <c r="I13" s="31">
        <f>'Schedule 3'!I23</f>
        <v>125757.31244000001</v>
      </c>
      <c r="J13" s="31">
        <f>'Schedule 3'!J23</f>
        <v>134977.88227</v>
      </c>
      <c r="K13" s="31">
        <f>'Schedule 3'!K23</f>
        <v>144702.619595</v>
      </c>
      <c r="L13" s="32"/>
      <c r="M13" s="31">
        <f>'Schedule 3'!M23</f>
        <v>155760.35816740151</v>
      </c>
      <c r="N13" s="31">
        <f>'Schedule 3'!N23</f>
        <v>156806.19795640151</v>
      </c>
      <c r="O13" s="32"/>
      <c r="P13" s="31">
        <f>'Schedule 3'!P23</f>
        <v>166927.02246593926</v>
      </c>
      <c r="Q13" s="31">
        <f>'Schedule 3'!Q23</f>
        <v>169223.15576532812</v>
      </c>
    </row>
    <row r="14" spans="1:22" x14ac:dyDescent="0.2">
      <c r="G14" s="31"/>
      <c r="H14" s="31"/>
      <c r="I14" s="31"/>
      <c r="J14" s="31"/>
      <c r="K14" s="31"/>
      <c r="L14" s="32"/>
      <c r="M14" s="31"/>
      <c r="N14" s="31"/>
      <c r="O14" s="32"/>
      <c r="P14" s="31"/>
      <c r="Q14" s="31"/>
    </row>
    <row r="15" spans="1:22" x14ac:dyDescent="0.2">
      <c r="A15" s="2">
        <v>4</v>
      </c>
      <c r="C15" s="2" t="s">
        <v>59</v>
      </c>
      <c r="E15" s="11" t="s">
        <v>181</v>
      </c>
      <c r="G15" s="31">
        <v>19798.032009999948</v>
      </c>
      <c r="H15" s="31">
        <v>24137.313411499999</v>
      </c>
      <c r="I15" s="31">
        <v>53893.180619999999</v>
      </c>
      <c r="J15" s="31">
        <v>13361.516600000003</v>
      </c>
      <c r="K15" s="31">
        <v>18467.332810000018</v>
      </c>
      <c r="L15" s="32"/>
      <c r="M15" s="31">
        <v>9277.3774300000077</v>
      </c>
      <c r="N15" s="31">
        <v>4358.0240199999989</v>
      </c>
      <c r="O15" s="32"/>
      <c r="P15" s="31">
        <v>14850.76071000001</v>
      </c>
      <c r="Q15" s="31">
        <v>8274.2806500000006</v>
      </c>
      <c r="R15" s="140"/>
      <c r="S15" s="140"/>
      <c r="T15" s="140"/>
      <c r="U15" s="140"/>
      <c r="V15" s="140"/>
    </row>
    <row r="16" spans="1:22" x14ac:dyDescent="0.2">
      <c r="A16" s="2">
        <v>5</v>
      </c>
      <c r="C16" s="2" t="s">
        <v>79</v>
      </c>
      <c r="E16" s="11" t="s">
        <v>91</v>
      </c>
      <c r="G16" s="31">
        <v>691.1425999999999</v>
      </c>
      <c r="H16" s="31">
        <v>691.1425999999999</v>
      </c>
      <c r="I16" s="31">
        <v>691.1425999999999</v>
      </c>
      <c r="J16" s="31">
        <v>691.1425999999999</v>
      </c>
      <c r="K16" s="31">
        <v>691.1425999999999</v>
      </c>
      <c r="L16" s="32"/>
      <c r="M16" s="31">
        <v>691.1425999999999</v>
      </c>
      <c r="N16" s="31">
        <v>691.1425999999999</v>
      </c>
      <c r="O16" s="32"/>
      <c r="P16" s="31">
        <v>691.1425999999999</v>
      </c>
      <c r="Q16" s="31">
        <v>691.1425999999999</v>
      </c>
    </row>
    <row r="17" spans="1:37" x14ac:dyDescent="0.2">
      <c r="A17" s="2">
        <v>6</v>
      </c>
      <c r="C17" s="2" t="s">
        <v>142</v>
      </c>
      <c r="E17" s="11" t="s">
        <v>92</v>
      </c>
      <c r="G17" s="30">
        <v>5903.6934640176814</v>
      </c>
      <c r="H17" s="30">
        <v>5684.2520000000004</v>
      </c>
      <c r="I17" s="30">
        <v>5452.2430000000004</v>
      </c>
      <c r="J17" s="30">
        <v>5223.2810100000006</v>
      </c>
      <c r="K17" s="30">
        <v>4169.0540000000001</v>
      </c>
      <c r="L17" s="32"/>
      <c r="M17" s="30">
        <v>3829.9539999999997</v>
      </c>
      <c r="N17" s="30">
        <v>4118.8909999999996</v>
      </c>
      <c r="O17" s="93"/>
      <c r="P17" s="30">
        <v>3490.8539999999994</v>
      </c>
      <c r="Q17" s="30">
        <v>4068.7279999999996</v>
      </c>
    </row>
    <row r="18" spans="1:37" x14ac:dyDescent="0.2">
      <c r="A18" s="2">
        <v>7</v>
      </c>
      <c r="C18" s="2" t="s">
        <v>47</v>
      </c>
      <c r="G18" s="31">
        <f t="shared" ref="G18:K18" si="0">SUM(G13:G17)</f>
        <v>147087.1573384137</v>
      </c>
      <c r="H18" s="31">
        <f t="shared" si="0"/>
        <v>149791.87834150001</v>
      </c>
      <c r="I18" s="31">
        <f t="shared" si="0"/>
        <v>185793.87865999999</v>
      </c>
      <c r="J18" s="31">
        <f t="shared" si="0"/>
        <v>154253.82248</v>
      </c>
      <c r="K18" s="31">
        <f t="shared" si="0"/>
        <v>168030.14900500001</v>
      </c>
      <c r="L18" s="32"/>
      <c r="M18" s="31">
        <f>SUM(M13:M17)</f>
        <v>169558.8321974015</v>
      </c>
      <c r="N18" s="31">
        <f>SUM(N13:N17)</f>
        <v>165974.25557640151</v>
      </c>
      <c r="O18" s="32"/>
      <c r="P18" s="31">
        <f>SUM(P13:P17)</f>
        <v>185959.77977593924</v>
      </c>
      <c r="Q18" s="31">
        <f>SUM(Q13:Q17)</f>
        <v>182257.30701532812</v>
      </c>
      <c r="S18" s="140"/>
    </row>
    <row r="19" spans="1:37" x14ac:dyDescent="0.2">
      <c r="G19" s="31"/>
      <c r="H19" s="31"/>
      <c r="I19" s="31"/>
      <c r="J19" s="31"/>
      <c r="K19" s="31"/>
      <c r="L19" s="32"/>
      <c r="M19" s="31"/>
      <c r="N19" s="31"/>
      <c r="O19" s="32"/>
      <c r="P19" s="31"/>
      <c r="Q19" s="31"/>
      <c r="S19" s="140"/>
    </row>
    <row r="20" spans="1:37" x14ac:dyDescent="0.2">
      <c r="C20" s="2" t="s">
        <v>48</v>
      </c>
      <c r="G20" s="31"/>
      <c r="H20" s="31"/>
      <c r="I20" s="31"/>
      <c r="J20" s="31"/>
      <c r="K20" s="31"/>
      <c r="L20" s="32"/>
      <c r="M20" s="31"/>
      <c r="N20" s="31"/>
      <c r="O20" s="32"/>
      <c r="P20" s="31"/>
      <c r="Q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I20" s="31"/>
      <c r="AJ20" s="31"/>
      <c r="AK20" s="31"/>
    </row>
    <row r="21" spans="1:37" x14ac:dyDescent="0.2">
      <c r="A21" s="2">
        <v>8</v>
      </c>
      <c r="C21" s="2" t="s">
        <v>175</v>
      </c>
      <c r="E21" s="11" t="s">
        <v>182</v>
      </c>
      <c r="G21" s="32">
        <v>27890.809482999994</v>
      </c>
      <c r="H21" s="32">
        <v>24106.14041</v>
      </c>
      <c r="I21" s="32">
        <v>24615.19356</v>
      </c>
      <c r="J21" s="32">
        <v>21956.874739999999</v>
      </c>
      <c r="K21" s="32">
        <v>27212.1656</v>
      </c>
      <c r="L21" s="32"/>
      <c r="M21" s="32">
        <v>32030.906547180006</v>
      </c>
      <c r="N21" s="32">
        <v>29346.373931000002</v>
      </c>
      <c r="O21" s="32"/>
      <c r="P21" s="32">
        <v>50232.398989180008</v>
      </c>
      <c r="Q21" s="32">
        <v>44916.96622100001</v>
      </c>
      <c r="W21" s="31"/>
      <c r="X21" s="31"/>
      <c r="Y21" s="31"/>
      <c r="Z21" s="31"/>
      <c r="AA21" s="31"/>
      <c r="AB21" s="31"/>
      <c r="AC21" s="31"/>
      <c r="AE21" s="31"/>
      <c r="AF21" s="31"/>
      <c r="AG21" s="31"/>
      <c r="AI21" s="31"/>
      <c r="AJ21" s="31"/>
      <c r="AK21" s="31"/>
    </row>
    <row r="22" spans="1:37" x14ac:dyDescent="0.2">
      <c r="A22" s="2">
        <v>9</v>
      </c>
      <c r="C22" s="2" t="s">
        <v>178</v>
      </c>
      <c r="E22" s="11" t="s">
        <v>183</v>
      </c>
      <c r="G22" s="32">
        <v>-14742.2582</v>
      </c>
      <c r="H22" s="32">
        <v>-13618.12218</v>
      </c>
      <c r="I22" s="32">
        <v>-16773.019649999998</v>
      </c>
      <c r="J22" s="32">
        <v>-19069.57286</v>
      </c>
      <c r="K22" s="32">
        <v>-24728.083129999995</v>
      </c>
      <c r="L22" s="32"/>
      <c r="M22" s="32">
        <v>-33625.302459999992</v>
      </c>
      <c r="N22" s="32">
        <v>-16167.195400000002</v>
      </c>
      <c r="O22" s="32"/>
      <c r="P22" s="32">
        <v>-50068.658659999994</v>
      </c>
      <c r="Q22" s="32">
        <v>-29858.75935</v>
      </c>
      <c r="W22" s="31"/>
      <c r="X22" s="31"/>
      <c r="Y22" s="31"/>
      <c r="Z22" s="31"/>
      <c r="AA22" s="31"/>
      <c r="AB22" s="31"/>
      <c r="AC22" s="31"/>
      <c r="AE22" s="31"/>
      <c r="AF22" s="31"/>
      <c r="AG22" s="31"/>
      <c r="AI22" s="31"/>
      <c r="AJ22" s="31"/>
      <c r="AK22" s="31"/>
    </row>
    <row r="23" spans="1:37" x14ac:dyDescent="0.2">
      <c r="A23" s="2">
        <v>10</v>
      </c>
      <c r="C23" s="2" t="s">
        <v>179</v>
      </c>
      <c r="E23" s="11" t="s">
        <v>158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/>
      <c r="M23" s="32">
        <v>0</v>
      </c>
      <c r="N23" s="32">
        <v>0</v>
      </c>
      <c r="O23" s="32"/>
      <c r="P23" s="32">
        <v>0</v>
      </c>
      <c r="Q23" s="32">
        <v>0</v>
      </c>
      <c r="W23" s="31"/>
      <c r="X23" s="31"/>
      <c r="Y23" s="31"/>
      <c r="Z23" s="31"/>
      <c r="AA23" s="31"/>
      <c r="AB23" s="31"/>
      <c r="AC23" s="31"/>
      <c r="AE23" s="31"/>
      <c r="AF23" s="31"/>
      <c r="AG23" s="31"/>
      <c r="AI23" s="31"/>
      <c r="AJ23" s="31"/>
      <c r="AK23" s="31"/>
    </row>
    <row r="24" spans="1:37" x14ac:dyDescent="0.2">
      <c r="A24" s="2">
        <v>11</v>
      </c>
      <c r="C24" s="2" t="s">
        <v>49</v>
      </c>
      <c r="E24" s="11" t="s">
        <v>93</v>
      </c>
      <c r="G24" s="32">
        <v>118.55713</v>
      </c>
      <c r="H24" s="32">
        <v>118.55713</v>
      </c>
      <c r="I24" s="32">
        <v>134.83569499999999</v>
      </c>
      <c r="J24" s="32">
        <v>151.11426</v>
      </c>
      <c r="K24" s="32">
        <v>167.39282500000002</v>
      </c>
      <c r="L24" s="32"/>
      <c r="M24" s="32">
        <v>183.67139000000003</v>
      </c>
      <c r="N24" s="32">
        <v>183.67139000000003</v>
      </c>
      <c r="O24" s="32"/>
      <c r="P24" s="32">
        <v>199.94995500000005</v>
      </c>
      <c r="Q24" s="32">
        <v>199.94995500000005</v>
      </c>
      <c r="W24" s="31"/>
      <c r="X24" s="31"/>
      <c r="Y24" s="31"/>
      <c r="Z24" s="31"/>
      <c r="AA24" s="31"/>
      <c r="AB24" s="31"/>
      <c r="AC24" s="31"/>
      <c r="AE24" s="31"/>
      <c r="AF24" s="31"/>
      <c r="AG24" s="31"/>
      <c r="AI24" s="31"/>
      <c r="AJ24" s="31"/>
      <c r="AK24" s="31"/>
    </row>
    <row r="25" spans="1:37" x14ac:dyDescent="0.2">
      <c r="A25" s="2">
        <v>12</v>
      </c>
      <c r="C25" s="2" t="s">
        <v>50</v>
      </c>
      <c r="G25" s="95">
        <f t="shared" ref="G25:K25" si="1">SUM(G21:G24)</f>
        <v>13267.108412999993</v>
      </c>
      <c r="H25" s="95">
        <f t="shared" si="1"/>
        <v>10606.575359999999</v>
      </c>
      <c r="I25" s="95">
        <f>SUM(I21:I24)</f>
        <v>7977.0096050000011</v>
      </c>
      <c r="J25" s="95">
        <f t="shared" si="1"/>
        <v>3038.4161399999989</v>
      </c>
      <c r="K25" s="95">
        <f t="shared" si="1"/>
        <v>2651.4752950000047</v>
      </c>
      <c r="L25" s="32"/>
      <c r="M25" s="95">
        <f>SUM(M21:M24)</f>
        <v>-1410.7245228199859</v>
      </c>
      <c r="N25" s="95">
        <f>SUM(N21:N24)</f>
        <v>13362.849920999999</v>
      </c>
      <c r="O25" s="32"/>
      <c r="P25" s="95">
        <f>SUM(P21:P24)</f>
        <v>363.69028418001471</v>
      </c>
      <c r="Q25" s="95">
        <f>SUM(Q21:Q24)</f>
        <v>15258.156826000009</v>
      </c>
      <c r="W25" s="140"/>
      <c r="X25" s="140"/>
      <c r="Y25" s="140"/>
      <c r="AA25" s="140"/>
      <c r="AB25" s="140"/>
      <c r="AC25" s="140"/>
      <c r="AE25" s="140"/>
      <c r="AF25" s="140"/>
      <c r="AG25" s="140"/>
      <c r="AI25" s="140"/>
      <c r="AJ25" s="140"/>
      <c r="AK25" s="140"/>
    </row>
    <row r="26" spans="1:37" x14ac:dyDescent="0.2">
      <c r="G26" s="31"/>
      <c r="H26" s="31"/>
      <c r="I26" s="31"/>
      <c r="J26" s="31"/>
      <c r="K26" s="31"/>
      <c r="L26" s="32"/>
      <c r="M26" s="31"/>
      <c r="N26" s="31"/>
      <c r="O26" s="32"/>
      <c r="P26" s="31"/>
      <c r="Q26" s="31"/>
      <c r="AE26" s="140"/>
      <c r="AF26" s="140"/>
      <c r="AG26" s="140"/>
      <c r="AJ26" s="140"/>
      <c r="AK26" s="140"/>
    </row>
    <row r="27" spans="1:37" x14ac:dyDescent="0.2">
      <c r="C27" s="9" t="s">
        <v>51</v>
      </c>
      <c r="G27" s="31"/>
      <c r="H27" s="31"/>
      <c r="I27" s="31"/>
      <c r="J27" s="31"/>
      <c r="K27" s="31"/>
      <c r="L27" s="32"/>
      <c r="M27" s="31"/>
      <c r="N27" s="31"/>
      <c r="O27" s="32"/>
      <c r="P27" s="31"/>
      <c r="Q27" s="31"/>
      <c r="AE27" s="140"/>
      <c r="AF27" s="140"/>
      <c r="AG27" s="140"/>
      <c r="AJ27" s="140"/>
      <c r="AK27" s="140"/>
    </row>
    <row r="28" spans="1:37" x14ac:dyDescent="0.2">
      <c r="A28" s="2">
        <v>13</v>
      </c>
      <c r="C28" s="2" t="s">
        <v>52</v>
      </c>
      <c r="E28" s="11" t="s">
        <v>184</v>
      </c>
      <c r="G28" s="31">
        <f t="shared" ref="G28:K28" si="2">G10-G18+G25</f>
        <v>386830.58163458627</v>
      </c>
      <c r="H28" s="31">
        <f t="shared" si="2"/>
        <v>381220.69701850001</v>
      </c>
      <c r="I28" s="31">
        <f>I10-I18+I25</f>
        <v>377735.13094500004</v>
      </c>
      <c r="J28" s="31">
        <f t="shared" si="2"/>
        <v>426672.29165999987</v>
      </c>
      <c r="K28" s="31">
        <f t="shared" si="2"/>
        <v>424008.56128999998</v>
      </c>
      <c r="L28" s="32"/>
      <c r="M28" s="31">
        <f>M10-M18+M25</f>
        <v>432909.70705977845</v>
      </c>
      <c r="N28" s="31">
        <f>N10-N18+N25</f>
        <v>451267.85812459845</v>
      </c>
      <c r="O28" s="32"/>
      <c r="P28" s="31">
        <f>P10-P18+P25</f>
        <v>432914.49560824077</v>
      </c>
      <c r="Q28" s="31">
        <f>Q10-Q18+Q25</f>
        <v>451511.43491067196</v>
      </c>
      <c r="S28" s="140"/>
      <c r="T28" s="155"/>
      <c r="AE28" s="140"/>
      <c r="AF28" s="140"/>
      <c r="AG28" s="140"/>
      <c r="AH28" s="140"/>
      <c r="AI28" s="140"/>
      <c r="AJ28" s="31"/>
      <c r="AK28" s="31"/>
    </row>
    <row r="29" spans="1:37" x14ac:dyDescent="0.2">
      <c r="A29" s="2">
        <v>14</v>
      </c>
      <c r="C29" s="2" t="s">
        <v>53</v>
      </c>
      <c r="G29" s="30">
        <v>387051.08695172559</v>
      </c>
      <c r="H29" s="30">
        <v>383931</v>
      </c>
      <c r="I29" s="30">
        <f t="shared" ref="I29" si="3">H28</f>
        <v>381220.69701850001</v>
      </c>
      <c r="J29" s="30">
        <f t="shared" ref="J29" si="4">I28</f>
        <v>377735.13094500004</v>
      </c>
      <c r="K29" s="30">
        <f t="shared" ref="K29" si="5">J28</f>
        <v>426672.29165999987</v>
      </c>
      <c r="L29" s="32"/>
      <c r="M29" s="30">
        <f>K28</f>
        <v>424008.56128999998</v>
      </c>
      <c r="N29" s="30">
        <f>K28</f>
        <v>424008.56128999998</v>
      </c>
      <c r="O29" s="32"/>
      <c r="P29" s="30">
        <f>M28</f>
        <v>432909.70705977845</v>
      </c>
      <c r="Q29" s="30">
        <f>N28</f>
        <v>451267.85812459845</v>
      </c>
      <c r="S29" s="140"/>
      <c r="AE29" s="140"/>
      <c r="AF29" s="140"/>
      <c r="AG29" s="140"/>
    </row>
    <row r="30" spans="1:37" x14ac:dyDescent="0.2">
      <c r="A30" s="2">
        <v>15</v>
      </c>
      <c r="C30" s="2" t="s">
        <v>37</v>
      </c>
      <c r="G30" s="31">
        <f t="shared" ref="G30:K30" si="6">G29+G28</f>
        <v>773881.66858631186</v>
      </c>
      <c r="H30" s="31">
        <f t="shared" si="6"/>
        <v>765151.69701849995</v>
      </c>
      <c r="I30" s="31">
        <f t="shared" si="6"/>
        <v>758955.82796350005</v>
      </c>
      <c r="J30" s="31">
        <f t="shared" si="6"/>
        <v>804407.42260499997</v>
      </c>
      <c r="K30" s="31">
        <f t="shared" si="6"/>
        <v>850680.85294999985</v>
      </c>
      <c r="L30" s="32"/>
      <c r="M30" s="31">
        <f>M29+M28</f>
        <v>856918.26834977837</v>
      </c>
      <c r="N30" s="31">
        <f>N29+N28</f>
        <v>875276.41941459849</v>
      </c>
      <c r="O30" s="32"/>
      <c r="P30" s="31">
        <f>P29+P28</f>
        <v>865824.20266801922</v>
      </c>
      <c r="Q30" s="31">
        <f>Q29+Q28</f>
        <v>902779.29303527041</v>
      </c>
      <c r="S30" s="140"/>
    </row>
    <row r="31" spans="1:37" x14ac:dyDescent="0.2">
      <c r="G31" s="31"/>
      <c r="H31" s="31"/>
      <c r="I31" s="31"/>
      <c r="J31" s="31"/>
      <c r="K31" s="31"/>
      <c r="L31" s="32"/>
      <c r="M31" s="31"/>
      <c r="N31" s="31"/>
      <c r="O31" s="32"/>
      <c r="P31" s="31"/>
      <c r="Q31" s="31"/>
      <c r="S31" s="140"/>
    </row>
    <row r="32" spans="1:37" x14ac:dyDescent="0.2">
      <c r="A32" s="2">
        <v>16</v>
      </c>
      <c r="C32" s="2" t="s">
        <v>54</v>
      </c>
      <c r="G32" s="31">
        <f t="shared" ref="G32:K32" si="7">(G29+G28)/2</f>
        <v>386940.83429315593</v>
      </c>
      <c r="H32" s="31">
        <f t="shared" si="7"/>
        <v>382575.84850924998</v>
      </c>
      <c r="I32" s="31">
        <f t="shared" si="7"/>
        <v>379477.91398175003</v>
      </c>
      <c r="J32" s="31">
        <f t="shared" si="7"/>
        <v>402203.71130249999</v>
      </c>
      <c r="K32" s="31">
        <f t="shared" si="7"/>
        <v>425340.42647499993</v>
      </c>
      <c r="L32" s="32"/>
      <c r="M32" s="31">
        <f>(M29+M28)/2</f>
        <v>428459.13417488919</v>
      </c>
      <c r="N32" s="31">
        <f>(N29+N28)/2</f>
        <v>437638.20970729925</v>
      </c>
      <c r="O32" s="32"/>
      <c r="P32" s="31">
        <f>(P29+P28)/2</f>
        <v>432912.10133400961</v>
      </c>
      <c r="Q32" s="31">
        <f>(Q29+Q28)/2</f>
        <v>451389.64651763521</v>
      </c>
      <c r="R32" s="140"/>
      <c r="S32" s="140"/>
      <c r="T32" s="155"/>
    </row>
    <row r="33" spans="1:33" x14ac:dyDescent="0.2">
      <c r="G33" s="31"/>
      <c r="H33" s="31"/>
      <c r="I33" s="31"/>
      <c r="J33" s="31"/>
      <c r="K33" s="31"/>
      <c r="L33" s="32"/>
      <c r="M33" s="31"/>
      <c r="N33" s="31"/>
      <c r="O33" s="32"/>
      <c r="P33" s="31"/>
      <c r="Q33" s="31"/>
      <c r="S33" s="140"/>
    </row>
    <row r="34" spans="1:33" x14ac:dyDescent="0.2">
      <c r="A34" s="2">
        <v>18</v>
      </c>
      <c r="C34" s="2" t="s">
        <v>274</v>
      </c>
      <c r="G34" s="31">
        <v>1485.8750700000005</v>
      </c>
      <c r="H34" s="31">
        <v>1693</v>
      </c>
      <c r="I34" s="31">
        <v>1367</v>
      </c>
      <c r="J34" s="31">
        <v>2007</v>
      </c>
      <c r="K34" s="31">
        <v>2061</v>
      </c>
      <c r="L34" s="32"/>
      <c r="M34" s="31">
        <v>2660</v>
      </c>
      <c r="N34" s="31">
        <v>2447</v>
      </c>
      <c r="O34" s="93"/>
      <c r="P34" s="31">
        <v>2955</v>
      </c>
      <c r="Q34" s="31">
        <v>2208</v>
      </c>
      <c r="R34" s="140"/>
      <c r="S34" s="140"/>
      <c r="T34" s="140"/>
    </row>
    <row r="35" spans="1:33" x14ac:dyDescent="0.2">
      <c r="A35" s="2">
        <v>19</v>
      </c>
      <c r="C35" s="2" t="s">
        <v>55</v>
      </c>
      <c r="E35" s="11" t="s">
        <v>217</v>
      </c>
      <c r="G35" s="30">
        <f>'Schedule 2'!G21</f>
        <v>4280.0125738843381</v>
      </c>
      <c r="H35" s="30">
        <f>'Schedule 2'!H21</f>
        <v>4520.4261841643829</v>
      </c>
      <c r="I35" s="30">
        <f>'Schedule 2'!I21</f>
        <v>4495.4392845799093</v>
      </c>
      <c r="J35" s="30">
        <f>'Schedule 2'!J21</f>
        <v>4790.8049248127845</v>
      </c>
      <c r="K35" s="30">
        <f>'Schedule 2'!K21</f>
        <v>4927.9258347031964</v>
      </c>
      <c r="L35" s="32"/>
      <c r="M35" s="30">
        <f>'Schedule 2'!M21</f>
        <v>5137.8649154571931</v>
      </c>
      <c r="N35" s="30">
        <f>'Schedule 2'!N21</f>
        <v>5200.0330292510271</v>
      </c>
      <c r="O35" s="32"/>
      <c r="P35" s="30">
        <f>'Schedule 2'!P21</f>
        <v>5152.006905252565</v>
      </c>
      <c r="Q35" s="30">
        <f>'Schedule 2'!Q21</f>
        <v>5210.3889081482394</v>
      </c>
      <c r="R35" s="140"/>
      <c r="S35" s="140"/>
    </row>
    <row r="36" spans="1:33" x14ac:dyDescent="0.2">
      <c r="G36" s="31"/>
      <c r="H36" s="31"/>
      <c r="I36" s="31"/>
      <c r="J36" s="31"/>
      <c r="K36" s="31"/>
      <c r="L36" s="32"/>
      <c r="M36" s="31"/>
      <c r="N36" s="31"/>
      <c r="O36" s="32"/>
      <c r="P36" s="31"/>
      <c r="Q36" s="31"/>
      <c r="S36" s="140"/>
    </row>
    <row r="37" spans="1:33" x14ac:dyDescent="0.2">
      <c r="G37" s="31"/>
      <c r="H37" s="31"/>
      <c r="I37" s="31"/>
      <c r="J37" s="31"/>
      <c r="K37" s="31"/>
      <c r="L37" s="32"/>
      <c r="M37" s="31"/>
      <c r="N37" s="31"/>
      <c r="O37" s="32"/>
      <c r="P37" s="31"/>
      <c r="Q37" s="31"/>
      <c r="S37" s="140"/>
    </row>
    <row r="38" spans="1:33" x14ac:dyDescent="0.2">
      <c r="A38" s="2">
        <v>20</v>
      </c>
      <c r="C38" s="9" t="s">
        <v>56</v>
      </c>
      <c r="G38" s="31">
        <f t="shared" ref="G38:K38" si="8">G32+G34+G35+G37</f>
        <v>392706.72193704027</v>
      </c>
      <c r="H38" s="31">
        <f t="shared" si="8"/>
        <v>388789.27469341434</v>
      </c>
      <c r="I38" s="31">
        <f t="shared" si="8"/>
        <v>385340.35326632991</v>
      </c>
      <c r="J38" s="31">
        <f t="shared" si="8"/>
        <v>409001.51622731279</v>
      </c>
      <c r="K38" s="31">
        <f t="shared" si="8"/>
        <v>432329.35230970313</v>
      </c>
      <c r="L38" s="32"/>
      <c r="M38" s="31">
        <f>M32+M34+M35+M37</f>
        <v>436256.99909034639</v>
      </c>
      <c r="N38" s="31">
        <f>N32+N34+N35+N37</f>
        <v>445285.24273655028</v>
      </c>
      <c r="O38" s="32"/>
      <c r="P38" s="31">
        <f>P35+P34+P32</f>
        <v>441019.10823926219</v>
      </c>
      <c r="Q38" s="31">
        <f>Q35+Q34+Q32</f>
        <v>458808.03542578343</v>
      </c>
      <c r="R38" s="140"/>
      <c r="S38" s="140"/>
    </row>
    <row r="39" spans="1:33" x14ac:dyDescent="0.2">
      <c r="G39" s="31"/>
      <c r="H39" s="31"/>
      <c r="I39" s="31"/>
      <c r="J39" s="31"/>
      <c r="K39" s="31"/>
      <c r="L39" s="32"/>
      <c r="M39" s="31"/>
      <c r="N39" s="31"/>
      <c r="O39" s="32"/>
      <c r="P39" s="31"/>
      <c r="Q39" s="31"/>
      <c r="S39" s="140"/>
    </row>
    <row r="40" spans="1:33" x14ac:dyDescent="0.2">
      <c r="C40" s="2" t="s">
        <v>46</v>
      </c>
      <c r="G40" s="31"/>
      <c r="H40" s="31"/>
      <c r="I40" s="31"/>
      <c r="J40" s="31"/>
      <c r="K40" s="31"/>
      <c r="L40" s="32"/>
      <c r="M40" s="31"/>
      <c r="N40" s="31"/>
      <c r="O40" s="32"/>
      <c r="P40" s="31"/>
      <c r="Q40" s="31"/>
      <c r="S40" s="140"/>
      <c r="W40" s="140"/>
      <c r="X40" s="140"/>
      <c r="Y40" s="140"/>
      <c r="AA40" s="140"/>
      <c r="AB40" s="140"/>
      <c r="AC40" s="140"/>
      <c r="AE40" s="140"/>
      <c r="AF40" s="140"/>
      <c r="AG40" s="140"/>
    </row>
    <row r="41" spans="1:33" x14ac:dyDescent="0.2">
      <c r="C41" s="9" t="s">
        <v>57</v>
      </c>
      <c r="G41" s="31"/>
      <c r="H41" s="31"/>
      <c r="I41" s="31"/>
      <c r="J41" s="31"/>
      <c r="K41" s="31"/>
      <c r="L41" s="32"/>
      <c r="M41" s="31"/>
      <c r="N41" s="31"/>
      <c r="O41" s="32"/>
      <c r="P41" s="31"/>
      <c r="Q41" s="31"/>
      <c r="S41" s="140"/>
      <c r="W41" s="140"/>
      <c r="X41" s="14"/>
      <c r="Y41" s="140"/>
      <c r="AA41" s="14"/>
      <c r="AB41" s="14"/>
      <c r="AE41" s="140"/>
      <c r="AF41" s="140"/>
      <c r="AG41" s="140"/>
    </row>
    <row r="42" spans="1:33" x14ac:dyDescent="0.2">
      <c r="A42" s="2">
        <v>21</v>
      </c>
      <c r="C42" s="2" t="s">
        <v>52</v>
      </c>
      <c r="G42" s="31">
        <v>191243.22876</v>
      </c>
      <c r="H42" s="31">
        <v>180581.76048000003</v>
      </c>
      <c r="I42" s="31">
        <v>181163.20923000001</v>
      </c>
      <c r="J42" s="31">
        <v>200166.91560000004</v>
      </c>
      <c r="K42" s="31">
        <v>200499.73363</v>
      </c>
      <c r="L42" s="32"/>
      <c r="M42" s="31">
        <v>200899.73363</v>
      </c>
      <c r="N42" s="31">
        <v>200899.73363</v>
      </c>
      <c r="O42" s="32"/>
      <c r="P42" s="31">
        <v>201299.73363</v>
      </c>
      <c r="Q42" s="31">
        <v>201299.73363</v>
      </c>
      <c r="S42" s="140"/>
      <c r="V42" s="140"/>
      <c r="W42" s="140"/>
      <c r="X42" s="140"/>
      <c r="Y42" s="140"/>
      <c r="AA42" s="140"/>
      <c r="AB42" s="140"/>
      <c r="AC42" s="140"/>
      <c r="AE42" s="140"/>
      <c r="AF42" s="140"/>
      <c r="AG42" s="140"/>
    </row>
    <row r="43" spans="1:33" x14ac:dyDescent="0.2">
      <c r="A43" s="2">
        <f>A42+1</f>
        <v>22</v>
      </c>
      <c r="C43" s="2" t="s">
        <v>146</v>
      </c>
      <c r="G43" s="30">
        <v>10500</v>
      </c>
      <c r="H43" s="30">
        <v>173.67617000000001</v>
      </c>
      <c r="I43" s="30">
        <v>262.28035999999997</v>
      </c>
      <c r="J43" s="30">
        <v>605.49467000000004</v>
      </c>
      <c r="K43" s="30">
        <v>167.49753000000001</v>
      </c>
      <c r="L43" s="32"/>
      <c r="M43" s="30">
        <v>150</v>
      </c>
      <c r="N43" s="30">
        <v>0</v>
      </c>
      <c r="O43" s="32"/>
      <c r="P43" s="30">
        <v>150</v>
      </c>
      <c r="Q43" s="30">
        <v>0</v>
      </c>
      <c r="S43" s="140"/>
      <c r="V43" s="140"/>
    </row>
    <row r="44" spans="1:33" x14ac:dyDescent="0.2">
      <c r="A44" s="2">
        <f t="shared" ref="A44:A46" si="9">A43+1</f>
        <v>23</v>
      </c>
      <c r="C44" s="2" t="s">
        <v>148</v>
      </c>
      <c r="G44" s="31">
        <f t="shared" ref="G44:K44" si="10">G42-G43</f>
        <v>180743.22876</v>
      </c>
      <c r="H44" s="31">
        <f t="shared" si="10"/>
        <v>180408.08431000003</v>
      </c>
      <c r="I44" s="31">
        <f t="shared" si="10"/>
        <v>180900.92887</v>
      </c>
      <c r="J44" s="31">
        <f t="shared" si="10"/>
        <v>199561.42093000002</v>
      </c>
      <c r="K44" s="31">
        <f t="shared" si="10"/>
        <v>200332.23610000001</v>
      </c>
      <c r="L44" s="32"/>
      <c r="M44" s="31">
        <f>M42-M43</f>
        <v>200749.73363</v>
      </c>
      <c r="N44" s="31">
        <f>N42-N43</f>
        <v>200899.73363</v>
      </c>
      <c r="O44" s="32"/>
      <c r="P44" s="31">
        <f>P42-P43</f>
        <v>201149.73363</v>
      </c>
      <c r="Q44" s="31">
        <f>Q42-Q43</f>
        <v>201299.73363</v>
      </c>
      <c r="S44" s="140"/>
      <c r="V44" s="140"/>
    </row>
    <row r="45" spans="1:33" x14ac:dyDescent="0.2">
      <c r="A45" s="2">
        <f t="shared" si="9"/>
        <v>24</v>
      </c>
      <c r="C45" s="2" t="s">
        <v>149</v>
      </c>
      <c r="G45" s="30">
        <v>16304.854601341</v>
      </c>
      <c r="H45" s="30">
        <v>16389.826699999998</v>
      </c>
      <c r="I45" s="30">
        <v>20001.96557</v>
      </c>
      <c r="J45" s="30">
        <v>23626.19196</v>
      </c>
      <c r="K45" s="30">
        <v>27728.598469999997</v>
      </c>
      <c r="L45" s="32"/>
      <c r="M45" s="30">
        <v>31847.476830428572</v>
      </c>
      <c r="N45" s="30">
        <v>31851.226830428572</v>
      </c>
      <c r="O45" s="32"/>
      <c r="P45" s="30">
        <v>35978.033726999995</v>
      </c>
      <c r="Q45" s="30">
        <v>35985.533726999995</v>
      </c>
      <c r="S45" s="140"/>
      <c r="V45" s="140"/>
      <c r="W45" s="14"/>
      <c r="X45" s="14"/>
      <c r="Y45" s="14"/>
    </row>
    <row r="46" spans="1:33" x14ac:dyDescent="0.2">
      <c r="A46" s="2">
        <f t="shared" si="9"/>
        <v>25</v>
      </c>
      <c r="C46" s="2" t="s">
        <v>150</v>
      </c>
      <c r="G46" s="31">
        <f t="shared" ref="G46:K46" si="11">G44-G45</f>
        <v>164438.37415865899</v>
      </c>
      <c r="H46" s="31">
        <f t="shared" si="11"/>
        <v>164018.25761000003</v>
      </c>
      <c r="I46" s="31">
        <f t="shared" si="11"/>
        <v>160898.9633</v>
      </c>
      <c r="J46" s="31">
        <f t="shared" si="11"/>
        <v>175935.22897000003</v>
      </c>
      <c r="K46" s="31">
        <f t="shared" si="11"/>
        <v>172603.63763000001</v>
      </c>
      <c r="L46" s="32"/>
      <c r="M46" s="31">
        <f t="shared" ref="M46:Q46" si="12">M44-M45</f>
        <v>168902.25679957142</v>
      </c>
      <c r="N46" s="31">
        <f>N44-N45</f>
        <v>169048.50679957142</v>
      </c>
      <c r="O46" s="32"/>
      <c r="P46" s="31">
        <f t="shared" si="12"/>
        <v>165171.699903</v>
      </c>
      <c r="Q46" s="31">
        <f t="shared" si="12"/>
        <v>165314.199903</v>
      </c>
      <c r="S46" s="140"/>
      <c r="W46" s="140"/>
      <c r="X46" s="140"/>
      <c r="Y46" s="140"/>
      <c r="AF46" s="140"/>
      <c r="AG46" s="140"/>
    </row>
    <row r="47" spans="1:33" x14ac:dyDescent="0.2">
      <c r="G47" s="31"/>
      <c r="H47" s="31"/>
      <c r="I47" s="31"/>
      <c r="J47" s="31"/>
      <c r="K47" s="31"/>
      <c r="L47" s="32"/>
      <c r="M47" s="31"/>
      <c r="N47" s="31"/>
      <c r="O47" s="32"/>
      <c r="P47" s="31"/>
      <c r="Q47" s="31"/>
      <c r="S47" s="140"/>
      <c r="W47" s="107"/>
      <c r="X47" s="107"/>
      <c r="Y47" s="107"/>
      <c r="AF47" s="141"/>
      <c r="AG47" s="141"/>
    </row>
    <row r="48" spans="1:33" x14ac:dyDescent="0.2">
      <c r="A48" s="2">
        <f>A46+1</f>
        <v>26</v>
      </c>
      <c r="C48" s="2" t="s">
        <v>53</v>
      </c>
      <c r="G48" s="30">
        <v>167607.19244536699</v>
      </c>
      <c r="H48" s="30">
        <v>167445</v>
      </c>
      <c r="I48" s="30">
        <f t="shared" ref="I48" si="13">H46</f>
        <v>164018.25761000003</v>
      </c>
      <c r="J48" s="30">
        <f t="shared" ref="J48" si="14">I46</f>
        <v>160898.9633</v>
      </c>
      <c r="K48" s="30">
        <f t="shared" ref="K48" si="15">J46</f>
        <v>175935.22897000003</v>
      </c>
      <c r="L48" s="32"/>
      <c r="M48" s="30">
        <f>K46</f>
        <v>172603.63763000001</v>
      </c>
      <c r="N48" s="30">
        <f>K46</f>
        <v>172603.63763000001</v>
      </c>
      <c r="O48" s="32"/>
      <c r="P48" s="30">
        <f>M46</f>
        <v>168902.25679957142</v>
      </c>
      <c r="Q48" s="30">
        <f>N46</f>
        <v>169048.50679957142</v>
      </c>
      <c r="S48" s="140"/>
      <c r="W48" s="107"/>
      <c r="X48" s="107"/>
      <c r="Y48" s="107"/>
    </row>
    <row r="49" spans="1:33" x14ac:dyDescent="0.2">
      <c r="A49" s="2">
        <f>A48+1</f>
        <v>27</v>
      </c>
      <c r="C49" s="2" t="s">
        <v>37</v>
      </c>
      <c r="G49" s="31">
        <f t="shared" ref="G49:K49" si="16">(G48+G46)</f>
        <v>332045.56660402601</v>
      </c>
      <c r="H49" s="31">
        <f t="shared" si="16"/>
        <v>331463.25761000003</v>
      </c>
      <c r="I49" s="31">
        <f t="shared" si="16"/>
        <v>324917.22091000003</v>
      </c>
      <c r="J49" s="31">
        <f t="shared" si="16"/>
        <v>336834.19227</v>
      </c>
      <c r="K49" s="31">
        <f t="shared" si="16"/>
        <v>348538.86660000007</v>
      </c>
      <c r="L49" s="32"/>
      <c r="M49" s="31">
        <f>(M48+M46)</f>
        <v>341505.89442957146</v>
      </c>
      <c r="N49" s="31">
        <f>(N48+N46)</f>
        <v>341652.14442957146</v>
      </c>
      <c r="O49" s="32"/>
      <c r="P49" s="31">
        <f>(P48+P46)</f>
        <v>334073.95670257142</v>
      </c>
      <c r="Q49" s="31">
        <f>(Q48+Q46)</f>
        <v>334362.70670257142</v>
      </c>
      <c r="S49" s="140"/>
      <c r="W49" s="107"/>
      <c r="X49" s="107"/>
      <c r="Y49" s="107"/>
      <c r="AF49" s="140"/>
      <c r="AG49" s="140"/>
    </row>
    <row r="50" spans="1:33" x14ac:dyDescent="0.2">
      <c r="G50" s="31"/>
      <c r="H50" s="31"/>
      <c r="I50" s="31"/>
      <c r="J50" s="31"/>
      <c r="K50" s="31"/>
      <c r="L50" s="32"/>
      <c r="M50" s="31"/>
      <c r="N50" s="31"/>
      <c r="O50" s="32"/>
      <c r="P50" s="31"/>
      <c r="Q50" s="31"/>
      <c r="S50" s="140"/>
    </row>
    <row r="51" spans="1:33" x14ac:dyDescent="0.2">
      <c r="A51" s="2">
        <f>A49+1</f>
        <v>28</v>
      </c>
      <c r="C51" s="2" t="s">
        <v>54</v>
      </c>
      <c r="G51" s="30">
        <f t="shared" ref="G51:K51" si="17">G49/2</f>
        <v>166022.78330201301</v>
      </c>
      <c r="H51" s="30">
        <f t="shared" si="17"/>
        <v>165731.62880500001</v>
      </c>
      <c r="I51" s="30">
        <f t="shared" si="17"/>
        <v>162458.61045500002</v>
      </c>
      <c r="J51" s="30">
        <f t="shared" si="17"/>
        <v>168417.096135</v>
      </c>
      <c r="K51" s="30">
        <f t="shared" si="17"/>
        <v>174269.43330000003</v>
      </c>
      <c r="L51" s="32"/>
      <c r="M51" s="30">
        <f>M49/2</f>
        <v>170752.94721478573</v>
      </c>
      <c r="N51" s="30">
        <f>N49/2</f>
        <v>170826.07221478573</v>
      </c>
      <c r="O51" s="32"/>
      <c r="P51" s="30">
        <f>P49/2</f>
        <v>167036.97835128571</v>
      </c>
      <c r="Q51" s="30">
        <f>Q49/2</f>
        <v>167181.35335128571</v>
      </c>
      <c r="R51" s="140"/>
      <c r="S51" s="140"/>
      <c r="T51" s="155"/>
      <c r="AF51" s="140"/>
      <c r="AG51" s="140"/>
    </row>
    <row r="52" spans="1:33" x14ac:dyDescent="0.2">
      <c r="G52" s="31"/>
      <c r="H52" s="31"/>
      <c r="I52" s="31"/>
      <c r="J52" s="31"/>
      <c r="K52" s="31"/>
      <c r="L52" s="32"/>
      <c r="M52" s="31"/>
      <c r="N52" s="31"/>
      <c r="O52" s="32"/>
      <c r="P52" s="31"/>
      <c r="Q52" s="31"/>
      <c r="S52" s="140"/>
    </row>
    <row r="53" spans="1:33" ht="13.5" thickBot="1" x14ac:dyDescent="0.25">
      <c r="A53" s="2">
        <f>A51+1</f>
        <v>29</v>
      </c>
      <c r="C53" s="9" t="s">
        <v>58</v>
      </c>
      <c r="E53" s="11" t="s">
        <v>94</v>
      </c>
      <c r="G53" s="156">
        <f t="shared" ref="G53:K53" si="18">G38-G51</f>
        <v>226683.93863502727</v>
      </c>
      <c r="H53" s="156">
        <f t="shared" si="18"/>
        <v>223057.64588841432</v>
      </c>
      <c r="I53" s="156">
        <f>I38-I51</f>
        <v>222881.7428113299</v>
      </c>
      <c r="J53" s="156">
        <f t="shared" si="18"/>
        <v>240584.42009231279</v>
      </c>
      <c r="K53" s="156">
        <f t="shared" si="18"/>
        <v>258059.9190097031</v>
      </c>
      <c r="L53" s="32"/>
      <c r="M53" s="156">
        <f>M38-M51</f>
        <v>265504.05187556066</v>
      </c>
      <c r="N53" s="156">
        <f>N38-N51</f>
        <v>274459.17052176455</v>
      </c>
      <c r="O53" s="32"/>
      <c r="P53" s="156">
        <f>P38-P51</f>
        <v>273982.12988797645</v>
      </c>
      <c r="Q53" s="156">
        <f>Q38-Q51</f>
        <v>291626.68207449769</v>
      </c>
      <c r="R53" s="140"/>
      <c r="S53" s="140"/>
      <c r="T53" s="140"/>
      <c r="U53" s="140"/>
      <c r="V53" s="140"/>
    </row>
    <row r="54" spans="1:33" x14ac:dyDescent="0.2">
      <c r="G54" s="31"/>
      <c r="H54" s="31"/>
      <c r="I54" s="31"/>
      <c r="J54" s="31"/>
      <c r="K54" s="31"/>
      <c r="L54" s="32"/>
      <c r="M54" s="31"/>
      <c r="N54" s="31"/>
      <c r="O54" s="32"/>
      <c r="P54" s="31"/>
      <c r="Q54" s="31"/>
    </row>
    <row r="55" spans="1:33" x14ac:dyDescent="0.2">
      <c r="C55" s="2" t="s">
        <v>199</v>
      </c>
      <c r="G55" s="31"/>
      <c r="H55" s="31"/>
      <c r="I55" s="31"/>
      <c r="J55" s="31"/>
      <c r="K55" s="31"/>
      <c r="L55" s="32"/>
      <c r="M55" s="31"/>
      <c r="N55" s="31"/>
      <c r="O55" s="32"/>
      <c r="P55" s="31"/>
      <c r="Q55" s="31"/>
    </row>
    <row r="56" spans="1:33" x14ac:dyDescent="0.2">
      <c r="C56" s="2" t="s">
        <v>256</v>
      </c>
    </row>
    <row r="57" spans="1:33" x14ac:dyDescent="0.2">
      <c r="C57" s="159"/>
      <c r="D57" s="159"/>
      <c r="E57" s="159"/>
      <c r="F57" s="159"/>
      <c r="G57" s="144"/>
      <c r="H57" s="144"/>
      <c r="I57" s="144"/>
      <c r="J57" s="144"/>
      <c r="K57" s="144"/>
      <c r="L57" s="157"/>
      <c r="M57" s="144"/>
      <c r="N57" s="144"/>
      <c r="O57" s="157"/>
      <c r="P57" s="144"/>
      <c r="Q57" s="144"/>
    </row>
    <row r="58" spans="1:33" ht="25.5" customHeight="1" x14ac:dyDescent="0.2"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</row>
    <row r="59" spans="1:33" x14ac:dyDescent="0.2">
      <c r="G59" s="140"/>
      <c r="H59" s="140"/>
      <c r="I59" s="140"/>
      <c r="J59" s="140"/>
      <c r="K59" s="140"/>
      <c r="L59" s="140"/>
      <c r="M59" s="140"/>
      <c r="N59" s="140"/>
      <c r="O59" s="142"/>
      <c r="P59" s="140"/>
      <c r="Q59" s="140"/>
    </row>
    <row r="60" spans="1:33" x14ac:dyDescent="0.2">
      <c r="G60" s="140"/>
      <c r="H60" s="140"/>
      <c r="I60" s="140"/>
      <c r="J60" s="140"/>
      <c r="K60" s="140"/>
      <c r="M60" s="140"/>
      <c r="N60" s="140"/>
      <c r="P60" s="140"/>
      <c r="Q60" s="140"/>
    </row>
    <row r="61" spans="1:33" x14ac:dyDescent="0.2">
      <c r="G61" s="140"/>
      <c r="H61" s="140"/>
      <c r="I61" s="140"/>
      <c r="J61" s="140"/>
      <c r="K61" s="140"/>
      <c r="M61" s="140"/>
      <c r="N61" s="140"/>
      <c r="P61" s="140"/>
      <c r="Q61" s="140"/>
    </row>
    <row r="64" spans="1:33" x14ac:dyDescent="0.2">
      <c r="Q64" s="140"/>
    </row>
    <row r="65" spans="7:17" x14ac:dyDescent="0.2"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</row>
    <row r="66" spans="7:17" x14ac:dyDescent="0.2">
      <c r="G66" s="140"/>
      <c r="H66" s="140"/>
      <c r="I66" s="140"/>
      <c r="J66" s="140"/>
      <c r="K66" s="140"/>
      <c r="L66" s="140"/>
      <c r="M66" s="140"/>
      <c r="N66" s="140"/>
      <c r="O66" s="140"/>
      <c r="P66" s="140"/>
      <c r="Q66" s="140"/>
    </row>
  </sheetData>
  <mergeCells count="4">
    <mergeCell ref="C57:F57"/>
    <mergeCell ref="P6:Q6"/>
    <mergeCell ref="M6:N6"/>
    <mergeCell ref="C58:Q58"/>
  </mergeCells>
  <phoneticPr fontId="0" type="noConversion"/>
  <printOptions horizontalCentered="1"/>
  <pageMargins left="0.55118110236220474" right="0.31496062992125984" top="0.5" bottom="0.5" header="0.51181102362204722" footer="0.51181102362204722"/>
  <pageSetup scale="7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R23"/>
  <sheetViews>
    <sheetView view="pageBreakPreview" zoomScaleSheetLayoutView="100" workbookViewId="0"/>
  </sheetViews>
  <sheetFormatPr defaultRowHeight="12.75" x14ac:dyDescent="0.2"/>
  <cols>
    <col min="1" max="1" width="5.28515625" style="2" customWidth="1"/>
    <col min="2" max="2" width="1.85546875" style="2" customWidth="1"/>
    <col min="3" max="3" width="27.5703125" style="2" customWidth="1"/>
    <col min="4" max="4" width="1.85546875" style="2" customWidth="1"/>
    <col min="5" max="5" width="9.140625" style="11"/>
    <col min="6" max="6" width="1.85546875" style="2" customWidth="1"/>
    <col min="7" max="11" width="9.42578125" style="2" customWidth="1"/>
    <col min="12" max="12" width="1.42578125" style="12" customWidth="1"/>
    <col min="13" max="14" width="10.28515625" style="2" customWidth="1"/>
    <col min="15" max="15" width="1.42578125" style="12" customWidth="1"/>
    <col min="16" max="17" width="10.28515625" style="2" customWidth="1"/>
    <col min="18" max="18" width="1.85546875" style="2" customWidth="1"/>
    <col min="19" max="16384" width="9.140625" style="2"/>
  </cols>
  <sheetData>
    <row r="1" spans="1:18" ht="15.75" x14ac:dyDescent="0.25">
      <c r="A1" s="10" t="s">
        <v>5</v>
      </c>
      <c r="M1" s="12"/>
      <c r="N1" s="12"/>
      <c r="Q1" s="15" t="s">
        <v>8</v>
      </c>
    </row>
    <row r="2" spans="1:18" ht="15" x14ac:dyDescent="0.25">
      <c r="A2" s="151" t="s">
        <v>9</v>
      </c>
      <c r="E2" s="152"/>
      <c r="F2" s="4"/>
      <c r="M2" s="12"/>
      <c r="N2" s="12"/>
      <c r="Q2" s="18" t="str">
        <f>'Schedule 1'!$Q$2</f>
        <v>June 2017</v>
      </c>
    </row>
    <row r="3" spans="1:18" x14ac:dyDescent="0.2">
      <c r="A3" s="16" t="s">
        <v>7</v>
      </c>
      <c r="M3" s="12"/>
      <c r="N3" s="12"/>
    </row>
    <row r="6" spans="1:18" s="11" customFormat="1" x14ac:dyDescent="0.2">
      <c r="G6" s="19"/>
      <c r="H6" s="19"/>
      <c r="I6" s="19"/>
      <c r="J6" s="19"/>
      <c r="K6" s="19"/>
      <c r="L6" s="19"/>
      <c r="M6" s="160" t="s">
        <v>3</v>
      </c>
      <c r="N6" s="160"/>
      <c r="O6" s="19"/>
      <c r="P6" s="160" t="s">
        <v>3</v>
      </c>
      <c r="Q6" s="160"/>
    </row>
    <row r="7" spans="1:18" s="21" customFormat="1" ht="38.25" x14ac:dyDescent="0.2">
      <c r="A7" s="20" t="s">
        <v>0</v>
      </c>
      <c r="C7" s="20" t="s">
        <v>1</v>
      </c>
      <c r="E7" s="20" t="s">
        <v>2</v>
      </c>
      <c r="G7" s="20" t="s">
        <v>228</v>
      </c>
      <c r="H7" s="20" t="s">
        <v>229</v>
      </c>
      <c r="I7" s="20" t="s">
        <v>230</v>
      </c>
      <c r="J7" s="20" t="s">
        <v>231</v>
      </c>
      <c r="K7" s="20" t="s">
        <v>272</v>
      </c>
      <c r="L7" s="22"/>
      <c r="M7" s="20" t="str">
        <f>'Schedule 1'!$M$7</f>
        <v>Existing 2017</v>
      </c>
      <c r="N7" s="20" t="str">
        <f>'Schedule 1'!$N$7</f>
        <v>Proposed 2017</v>
      </c>
      <c r="O7" s="22"/>
      <c r="P7" s="20" t="str">
        <f>'Schedule 1'!$P$7</f>
        <v>Existing 2018</v>
      </c>
      <c r="Q7" s="20" t="str">
        <f>'Schedule 1'!$Q$7</f>
        <v>Proposed 2018</v>
      </c>
    </row>
    <row r="9" spans="1:18" x14ac:dyDescent="0.2">
      <c r="A9" s="2">
        <v>1</v>
      </c>
      <c r="C9" s="2" t="s">
        <v>60</v>
      </c>
      <c r="E9" s="11" t="s">
        <v>89</v>
      </c>
      <c r="G9" s="31">
        <f>'Schedule 5'!G16</f>
        <v>20843.807625559384</v>
      </c>
      <c r="H9" s="31">
        <f>'Schedule 5'!H16</f>
        <v>22785.942859999999</v>
      </c>
      <c r="I9" s="31">
        <f>'Schedule 5'!I16</f>
        <v>21051.803415000002</v>
      </c>
      <c r="J9" s="31">
        <f>'Schedule 5'!J16</f>
        <v>21723.302069999998</v>
      </c>
      <c r="K9" s="31">
        <f>'Schedule 5'!K16</f>
        <v>21811.756999999998</v>
      </c>
      <c r="L9" s="32"/>
      <c r="M9" s="31">
        <f>'Schedule 5'!M16</f>
        <v>22211.528029657333</v>
      </c>
      <c r="N9" s="31">
        <f>'Schedule 5'!N16</f>
        <v>23362.874753166569</v>
      </c>
      <c r="O9" s="31"/>
      <c r="P9" s="31">
        <f>'Schedule 5'!P16</f>
        <v>22167.909714962308</v>
      </c>
      <c r="Q9" s="31">
        <f>'Schedule 5'!Q16</f>
        <v>23335.6664207742</v>
      </c>
      <c r="R9" s="31"/>
    </row>
    <row r="10" spans="1:18" x14ac:dyDescent="0.2">
      <c r="A10" s="2">
        <v>2</v>
      </c>
      <c r="C10" s="2" t="s">
        <v>61</v>
      </c>
      <c r="E10" s="11" t="s">
        <v>90</v>
      </c>
      <c r="G10" s="31">
        <f>'Schedule 5'!G17</f>
        <v>326.40211583999996</v>
      </c>
      <c r="H10" s="31">
        <f>'Schedule 5'!H17</f>
        <v>330.96499999999997</v>
      </c>
      <c r="I10" s="31">
        <f>'Schedule 5'!I17</f>
        <v>331</v>
      </c>
      <c r="J10" s="31">
        <f>'Schedule 5'!J17</f>
        <v>473</v>
      </c>
      <c r="K10" s="31">
        <f>'Schedule 5'!K17</f>
        <v>686.43100000000004</v>
      </c>
      <c r="L10" s="32"/>
      <c r="M10" s="31">
        <f>'Schedule 5'!M17</f>
        <v>695.56769535040007</v>
      </c>
      <c r="N10" s="31">
        <f>'Schedule 5'!N17</f>
        <v>695.56769535040007</v>
      </c>
      <c r="O10" s="32"/>
      <c r="P10" s="31">
        <f>'Schedule 5'!P17</f>
        <v>708.13965357545919</v>
      </c>
      <c r="Q10" s="31">
        <f>'Schedule 5'!Q17</f>
        <v>708.13965357545919</v>
      </c>
      <c r="R10" s="31"/>
    </row>
    <row r="11" spans="1:18" x14ac:dyDescent="0.2">
      <c r="A11" s="2">
        <v>3</v>
      </c>
      <c r="C11" s="2" t="s">
        <v>62</v>
      </c>
      <c r="G11" s="31">
        <v>-85</v>
      </c>
      <c r="H11" s="31">
        <v>-84.405000000000001</v>
      </c>
      <c r="I11" s="31">
        <v>-85</v>
      </c>
      <c r="J11" s="31">
        <v>-86</v>
      </c>
      <c r="K11" s="31">
        <v>-95.414000000000001</v>
      </c>
      <c r="L11" s="32"/>
      <c r="M11" s="31">
        <v>-95.999999999999957</v>
      </c>
      <c r="N11" s="31">
        <v>-95.999999999999957</v>
      </c>
      <c r="O11" s="32"/>
      <c r="P11" s="31">
        <v>-99.999999999999957</v>
      </c>
      <c r="Q11" s="31">
        <v>-99.999999999999957</v>
      </c>
      <c r="R11" s="31"/>
    </row>
    <row r="12" spans="1:18" x14ac:dyDescent="0.2">
      <c r="G12" s="31"/>
      <c r="H12" s="31"/>
      <c r="I12" s="31"/>
      <c r="J12" s="31"/>
      <c r="K12" s="31"/>
      <c r="L12" s="32"/>
      <c r="M12" s="31"/>
      <c r="N12" s="31"/>
      <c r="O12" s="32"/>
      <c r="P12" s="31"/>
      <c r="Q12" s="31"/>
      <c r="R12" s="31"/>
    </row>
    <row r="13" spans="1:18" x14ac:dyDescent="0.2">
      <c r="A13" s="2">
        <v>4</v>
      </c>
      <c r="C13" s="2" t="s">
        <v>64</v>
      </c>
      <c r="G13" s="31">
        <f t="shared" ref="G13:K13" si="0">SUM(G9:G11)</f>
        <v>21085.209741399383</v>
      </c>
      <c r="H13" s="31">
        <f t="shared" si="0"/>
        <v>23032.502860000001</v>
      </c>
      <c r="I13" s="31">
        <f t="shared" si="0"/>
        <v>21297.803415000002</v>
      </c>
      <c r="J13" s="31">
        <f t="shared" si="0"/>
        <v>22110.302069999998</v>
      </c>
      <c r="K13" s="31">
        <f t="shared" si="0"/>
        <v>22402.773999999998</v>
      </c>
      <c r="L13" s="32"/>
      <c r="M13" s="31">
        <f>SUM(M9:M11)</f>
        <v>22811.095725007734</v>
      </c>
      <c r="N13" s="31">
        <f>SUM(N9:N11)</f>
        <v>23962.442448516969</v>
      </c>
      <c r="O13" s="32"/>
      <c r="P13" s="31">
        <f>SUM(P9:P11)</f>
        <v>22776.049368537766</v>
      </c>
      <c r="Q13" s="31">
        <f>SUM(Q9:Q11)</f>
        <v>23943.806074349657</v>
      </c>
    </row>
    <row r="14" spans="1:18" x14ac:dyDescent="0.2">
      <c r="G14" s="153"/>
      <c r="H14" s="153"/>
      <c r="I14" s="153"/>
      <c r="J14" s="153"/>
      <c r="K14" s="153"/>
      <c r="L14" s="94"/>
      <c r="M14" s="153"/>
      <c r="N14" s="153"/>
      <c r="O14" s="94"/>
      <c r="P14" s="153"/>
      <c r="Q14" s="153"/>
    </row>
    <row r="15" spans="1:18" x14ac:dyDescent="0.2">
      <c r="A15" s="2">
        <v>5</v>
      </c>
      <c r="C15" s="2" t="s">
        <v>249</v>
      </c>
      <c r="G15" s="153">
        <f t="shared" ref="G15:K15" si="1">G13*27/365</f>
        <v>1559.7278438843377</v>
      </c>
      <c r="H15" s="153">
        <f t="shared" si="1"/>
        <v>1703.7741841643835</v>
      </c>
      <c r="I15" s="153">
        <f t="shared" si="1"/>
        <v>1575.4539512465756</v>
      </c>
      <c r="J15" s="153">
        <f t="shared" si="1"/>
        <v>1635.556591479452</v>
      </c>
      <c r="K15" s="153">
        <f t="shared" si="1"/>
        <v>1657.1915013698629</v>
      </c>
      <c r="L15" s="94"/>
      <c r="M15" s="153">
        <f>M13*27/365</f>
        <v>1687.3961221238599</v>
      </c>
      <c r="N15" s="153">
        <f>N13*27/365</f>
        <v>1772.5642359176938</v>
      </c>
      <c r="O15" s="94"/>
      <c r="P15" s="153">
        <f>P13*27/365</f>
        <v>1684.8036519192319</v>
      </c>
      <c r="Q15" s="153">
        <f>Q13*27/365</f>
        <v>1771.1856548149062</v>
      </c>
    </row>
    <row r="16" spans="1:18" x14ac:dyDescent="0.2">
      <c r="G16" s="31"/>
      <c r="H16" s="31"/>
      <c r="I16" s="31"/>
      <c r="J16" s="31"/>
      <c r="K16" s="31"/>
      <c r="L16" s="32"/>
      <c r="M16" s="31"/>
      <c r="N16" s="31"/>
      <c r="O16" s="32"/>
      <c r="P16" s="31"/>
      <c r="Q16" s="31"/>
      <c r="R16" s="31"/>
    </row>
    <row r="17" spans="1:18" x14ac:dyDescent="0.2">
      <c r="A17" s="2">
        <v>6</v>
      </c>
      <c r="C17" s="2" t="s">
        <v>221</v>
      </c>
      <c r="G17" s="31">
        <v>2830.2847299999999</v>
      </c>
      <c r="H17" s="31">
        <v>2947.6519999999996</v>
      </c>
      <c r="I17" s="31">
        <v>3025.9853333333335</v>
      </c>
      <c r="J17" s="31">
        <v>3300.248333333333</v>
      </c>
      <c r="K17" s="31">
        <v>3425.7343333333333</v>
      </c>
      <c r="L17" s="32"/>
      <c r="M17" s="31">
        <v>3603.4687933333335</v>
      </c>
      <c r="N17" s="31">
        <v>3603.4687933333335</v>
      </c>
      <c r="O17" s="32"/>
      <c r="P17" s="31">
        <v>3598.2032533333331</v>
      </c>
      <c r="Q17" s="31">
        <v>3598.2032533333331</v>
      </c>
      <c r="R17" s="31"/>
    </row>
    <row r="18" spans="1:18" x14ac:dyDescent="0.2">
      <c r="G18" s="31"/>
      <c r="H18" s="31"/>
      <c r="I18" s="31"/>
      <c r="J18" s="31"/>
      <c r="K18" s="31"/>
      <c r="L18" s="32"/>
      <c r="M18" s="31"/>
      <c r="N18" s="31"/>
      <c r="O18" s="32"/>
      <c r="P18" s="31"/>
      <c r="Q18" s="31"/>
      <c r="R18" s="31"/>
    </row>
    <row r="19" spans="1:18" x14ac:dyDescent="0.2">
      <c r="A19" s="2">
        <v>7</v>
      </c>
      <c r="C19" s="2" t="s">
        <v>63</v>
      </c>
      <c r="E19" s="11" t="s">
        <v>65</v>
      </c>
      <c r="G19" s="30">
        <f>'Schedule 2A'!G30</f>
        <v>-110</v>
      </c>
      <c r="H19" s="30">
        <f>'Schedule 2A'!H30</f>
        <v>-131</v>
      </c>
      <c r="I19" s="30">
        <f>'Schedule 2A'!I30</f>
        <v>-106</v>
      </c>
      <c r="J19" s="30">
        <f>'Schedule 2A'!J30</f>
        <v>-145</v>
      </c>
      <c r="K19" s="30">
        <f>'Schedule 2A'!K30</f>
        <v>-155</v>
      </c>
      <c r="L19" s="32"/>
      <c r="M19" s="30">
        <f>'Schedule 2A'!M30</f>
        <v>-153</v>
      </c>
      <c r="N19" s="30">
        <f>'Schedule 2A'!N30</f>
        <v>-176</v>
      </c>
      <c r="O19" s="32"/>
      <c r="P19" s="30">
        <f>'Schedule 2A'!P30</f>
        <v>-131</v>
      </c>
      <c r="Q19" s="30">
        <f>'Schedule 2A'!Q30</f>
        <v>-159</v>
      </c>
      <c r="R19" s="30">
        <f>'Schedule 2A'!R30</f>
        <v>0</v>
      </c>
    </row>
    <row r="20" spans="1:18" x14ac:dyDescent="0.2">
      <c r="G20" s="31"/>
      <c r="H20" s="31"/>
      <c r="I20" s="31"/>
      <c r="J20" s="31"/>
      <c r="K20" s="31"/>
      <c r="L20" s="32"/>
      <c r="M20" s="31"/>
      <c r="N20" s="31"/>
      <c r="O20" s="32"/>
      <c r="P20" s="31"/>
      <c r="Q20" s="31"/>
      <c r="R20" s="31"/>
    </row>
    <row r="21" spans="1:18" ht="13.5" thickBot="1" x14ac:dyDescent="0.25">
      <c r="A21" s="2">
        <v>8</v>
      </c>
      <c r="C21" s="2" t="s">
        <v>55</v>
      </c>
      <c r="E21" s="11" t="s">
        <v>202</v>
      </c>
      <c r="G21" s="91">
        <f t="shared" ref="G21:K21" si="2">G15+G17+G19</f>
        <v>4280.0125738843381</v>
      </c>
      <c r="H21" s="91">
        <f t="shared" si="2"/>
        <v>4520.4261841643829</v>
      </c>
      <c r="I21" s="91">
        <f t="shared" si="2"/>
        <v>4495.4392845799093</v>
      </c>
      <c r="J21" s="91">
        <f t="shared" si="2"/>
        <v>4790.8049248127845</v>
      </c>
      <c r="K21" s="91">
        <f t="shared" si="2"/>
        <v>4927.9258347031964</v>
      </c>
      <c r="L21" s="94"/>
      <c r="M21" s="91">
        <f>M15+M17+M19</f>
        <v>5137.8649154571931</v>
      </c>
      <c r="N21" s="91">
        <f>N15+N17+N19</f>
        <v>5200.0330292510271</v>
      </c>
      <c r="O21" s="94"/>
      <c r="P21" s="91">
        <f>P15+P17+P19</f>
        <v>5152.006905252565</v>
      </c>
      <c r="Q21" s="91">
        <f>Q15+Q17+Q19</f>
        <v>5210.3889081482394</v>
      </c>
    </row>
    <row r="22" spans="1:18" x14ac:dyDescent="0.2">
      <c r="G22" s="31"/>
      <c r="H22" s="31"/>
      <c r="I22" s="31"/>
      <c r="J22" s="31"/>
      <c r="K22" s="31"/>
      <c r="L22" s="32"/>
      <c r="M22" s="31"/>
      <c r="N22" s="31"/>
      <c r="O22" s="32"/>
      <c r="P22" s="31"/>
      <c r="Q22" s="31"/>
      <c r="R22" s="31"/>
    </row>
    <row r="23" spans="1:18" x14ac:dyDescent="0.2">
      <c r="C23" s="72" t="s">
        <v>143</v>
      </c>
      <c r="G23" s="31"/>
      <c r="H23" s="31"/>
      <c r="I23" s="31"/>
      <c r="J23" s="31"/>
      <c r="K23" s="31"/>
      <c r="L23" s="32"/>
      <c r="M23" s="31"/>
      <c r="N23" s="31"/>
      <c r="O23" s="32"/>
      <c r="P23" s="31"/>
      <c r="Q23" s="31"/>
      <c r="R23" s="31"/>
    </row>
  </sheetData>
  <mergeCells count="2">
    <mergeCell ref="P6:Q6"/>
    <mergeCell ref="M6:N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4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R30"/>
  <sheetViews>
    <sheetView view="pageBreakPreview" zoomScaleSheetLayoutView="100" workbookViewId="0">
      <selection activeCell="B12" sqref="B12"/>
    </sheetView>
  </sheetViews>
  <sheetFormatPr defaultRowHeight="12.75" x14ac:dyDescent="0.2"/>
  <cols>
    <col min="1" max="1" width="5.28515625" style="3" customWidth="1"/>
    <col min="2" max="2" width="1.85546875" style="3" customWidth="1"/>
    <col min="3" max="3" width="35.28515625" style="3" customWidth="1"/>
    <col min="4" max="4" width="1.85546875" style="3" customWidth="1"/>
    <col min="5" max="5" width="9.140625" style="3"/>
    <col min="6" max="6" width="1.85546875" style="3" customWidth="1"/>
    <col min="7" max="11" width="9.42578125" style="3" customWidth="1"/>
    <col min="12" max="12" width="1.42578125" style="37" customWidth="1"/>
    <col min="13" max="14" width="10" style="3" customWidth="1"/>
    <col min="15" max="15" width="1.5703125" style="3" customWidth="1"/>
    <col min="16" max="17" width="10" style="3" customWidth="1"/>
    <col min="18" max="18" width="1.85546875" style="3" customWidth="1"/>
    <col min="19" max="16384" width="9.140625" style="3"/>
  </cols>
  <sheetData>
    <row r="1" spans="1:18" ht="15.75" x14ac:dyDescent="0.25">
      <c r="A1" s="10" t="s">
        <v>5</v>
      </c>
      <c r="Q1" s="5" t="s">
        <v>11</v>
      </c>
    </row>
    <row r="2" spans="1:18" x14ac:dyDescent="0.2">
      <c r="A2" s="16" t="s">
        <v>10</v>
      </c>
      <c r="P2" s="39"/>
      <c r="Q2" s="40" t="str">
        <f>'Schedule 1'!$Q$2</f>
        <v>June 2017</v>
      </c>
    </row>
    <row r="3" spans="1:18" x14ac:dyDescent="0.2">
      <c r="A3" s="16" t="s">
        <v>7</v>
      </c>
    </row>
    <row r="6" spans="1:18" s="6" customFormat="1" x14ac:dyDescent="0.2">
      <c r="G6" s="19"/>
      <c r="H6" s="19"/>
      <c r="I6" s="19"/>
      <c r="J6" s="19"/>
      <c r="K6" s="19"/>
      <c r="L6" s="19"/>
      <c r="M6" s="160" t="s">
        <v>3</v>
      </c>
      <c r="N6" s="160"/>
      <c r="O6" s="19"/>
      <c r="P6" s="160" t="s">
        <v>3</v>
      </c>
      <c r="Q6" s="160"/>
    </row>
    <row r="7" spans="1:18" s="21" customFormat="1" ht="38.25" x14ac:dyDescent="0.2">
      <c r="A7" s="20" t="s">
        <v>0</v>
      </c>
      <c r="C7" s="20" t="s">
        <v>1</v>
      </c>
      <c r="E7" s="20" t="s">
        <v>2</v>
      </c>
      <c r="G7" s="20" t="s">
        <v>228</v>
      </c>
      <c r="H7" s="20" t="s">
        <v>229</v>
      </c>
      <c r="I7" s="20" t="s">
        <v>230</v>
      </c>
      <c r="J7" s="20" t="s">
        <v>231</v>
      </c>
      <c r="K7" s="20" t="s">
        <v>272</v>
      </c>
      <c r="L7" s="22"/>
      <c r="M7" s="20" t="str">
        <f>'Schedule 1'!$M$7</f>
        <v>Existing 2017</v>
      </c>
      <c r="N7" s="20" t="str">
        <f>'Schedule 1'!$N$7</f>
        <v>Proposed 2017</v>
      </c>
      <c r="O7" s="22"/>
      <c r="P7" s="20" t="str">
        <f>'Schedule 1'!$P$7</f>
        <v>Existing 2018</v>
      </c>
      <c r="Q7" s="20" t="str">
        <f>'Schedule 1'!$Q$7</f>
        <v>Proposed 2018</v>
      </c>
    </row>
    <row r="9" spans="1:18" x14ac:dyDescent="0.2">
      <c r="A9" s="3">
        <v>1</v>
      </c>
      <c r="C9" s="3" t="s">
        <v>66</v>
      </c>
      <c r="G9" s="146">
        <v>39395.104328842048</v>
      </c>
      <c r="H9" s="146">
        <v>33078.695693400034</v>
      </c>
      <c r="I9" s="146">
        <v>47769.513537900115</v>
      </c>
      <c r="J9" s="146">
        <v>29426.97975869981</v>
      </c>
      <c r="K9" s="146">
        <v>26209.656739700018</v>
      </c>
      <c r="L9" s="147"/>
      <c r="M9" s="146">
        <v>28751.016703752328</v>
      </c>
      <c r="N9" s="146">
        <v>29574.574132744579</v>
      </c>
      <c r="P9" s="146">
        <v>40551.745364702772</v>
      </c>
      <c r="Q9" s="146">
        <v>41693.753684139388</v>
      </c>
      <c r="R9" s="146"/>
    </row>
    <row r="11" spans="1:18" x14ac:dyDescent="0.2">
      <c r="A11" s="3">
        <v>2</v>
      </c>
      <c r="C11" s="3" t="s">
        <v>67</v>
      </c>
      <c r="G11" s="121">
        <v>0.05</v>
      </c>
      <c r="H11" s="121">
        <v>0.05</v>
      </c>
      <c r="I11" s="121">
        <v>0.05</v>
      </c>
      <c r="J11" s="121">
        <v>0.05</v>
      </c>
      <c r="K11" s="121">
        <v>0.05</v>
      </c>
      <c r="L11" s="127"/>
      <c r="M11" s="121">
        <v>0.05</v>
      </c>
      <c r="N11" s="121">
        <v>0.05</v>
      </c>
      <c r="P11" s="121">
        <v>0.05</v>
      </c>
      <c r="Q11" s="121">
        <v>0.05</v>
      </c>
    </row>
    <row r="13" spans="1:18" x14ac:dyDescent="0.2">
      <c r="A13" s="3">
        <v>3</v>
      </c>
      <c r="C13" s="3" t="s">
        <v>68</v>
      </c>
      <c r="G13" s="145">
        <f>G11*G9</f>
        <v>1969.7552164421024</v>
      </c>
      <c r="H13" s="145">
        <f t="shared" ref="H13:K13" si="0">H11*H9</f>
        <v>1653.9347846700018</v>
      </c>
      <c r="I13" s="145">
        <f t="shared" si="0"/>
        <v>2388.475676895006</v>
      </c>
      <c r="J13" s="145">
        <f t="shared" si="0"/>
        <v>1471.3489879349906</v>
      </c>
      <c r="K13" s="145">
        <f t="shared" si="0"/>
        <v>1310.4828369850011</v>
      </c>
      <c r="L13" s="148"/>
      <c r="M13" s="145">
        <f>M11*M9</f>
        <v>1437.5508351876165</v>
      </c>
      <c r="N13" s="145">
        <f>N11*N9</f>
        <v>1478.7287066372292</v>
      </c>
      <c r="P13" s="145">
        <f>P11*P9</f>
        <v>2027.5872682351387</v>
      </c>
      <c r="Q13" s="145">
        <f>Q11*Q9</f>
        <v>2084.6876842069696</v>
      </c>
      <c r="R13" s="145">
        <f t="shared" ref="R13" si="1">R11*R9</f>
        <v>0</v>
      </c>
    </row>
    <row r="15" spans="1:18" x14ac:dyDescent="0.2">
      <c r="A15" s="3">
        <v>4</v>
      </c>
      <c r="C15" s="3" t="s">
        <v>69</v>
      </c>
      <c r="G15" s="149">
        <v>14</v>
      </c>
      <c r="H15" s="149">
        <v>14</v>
      </c>
      <c r="I15" s="149">
        <v>14</v>
      </c>
      <c r="J15" s="149">
        <v>14</v>
      </c>
      <c r="K15" s="149">
        <v>14</v>
      </c>
      <c r="L15" s="148"/>
      <c r="M15" s="149">
        <v>14</v>
      </c>
      <c r="N15" s="149">
        <v>14</v>
      </c>
      <c r="P15" s="149">
        <v>14</v>
      </c>
      <c r="Q15" s="149">
        <v>14</v>
      </c>
    </row>
    <row r="17" spans="1:18" x14ac:dyDescent="0.2">
      <c r="A17" s="3">
        <v>5</v>
      </c>
      <c r="C17" s="3" t="s">
        <v>70</v>
      </c>
      <c r="G17" s="149">
        <f t="shared" ref="G17:K17" si="2">ROUND(G13*G15/365,0)</f>
        <v>76</v>
      </c>
      <c r="H17" s="149">
        <f t="shared" si="2"/>
        <v>63</v>
      </c>
      <c r="I17" s="149">
        <f t="shared" si="2"/>
        <v>92</v>
      </c>
      <c r="J17" s="149">
        <f t="shared" si="2"/>
        <v>56</v>
      </c>
      <c r="K17" s="149">
        <f t="shared" si="2"/>
        <v>50</v>
      </c>
      <c r="L17" s="148"/>
      <c r="M17" s="149">
        <f>ROUND(M13*M15/365,0)</f>
        <v>55</v>
      </c>
      <c r="N17" s="149">
        <f>ROUND(N13*N15/365,0)</f>
        <v>57</v>
      </c>
      <c r="P17" s="149">
        <f>ROUND(P13*P15/365,0)</f>
        <v>78</v>
      </c>
      <c r="Q17" s="149">
        <f>ROUND(Q13*Q15/365,0)</f>
        <v>80</v>
      </c>
    </row>
    <row r="20" spans="1:18" x14ac:dyDescent="0.2">
      <c r="A20" s="3">
        <v>6</v>
      </c>
      <c r="C20" s="3" t="s">
        <v>71</v>
      </c>
      <c r="G20" s="145">
        <v>42262.889974871898</v>
      </c>
      <c r="H20" s="145">
        <v>40492.211019999995</v>
      </c>
      <c r="I20" s="145">
        <v>41245</v>
      </c>
      <c r="J20" s="145">
        <v>41855.427067248616</v>
      </c>
      <c r="K20" s="145">
        <v>42686.221000000005</v>
      </c>
      <c r="L20" s="148"/>
      <c r="M20" s="145">
        <v>43425.445616340417</v>
      </c>
      <c r="N20" s="145">
        <v>48543.914055009394</v>
      </c>
      <c r="P20" s="145">
        <v>43508.041432392958</v>
      </c>
      <c r="Q20" s="145">
        <v>49864.161893267126</v>
      </c>
      <c r="R20" s="145"/>
    </row>
    <row r="21" spans="1:18" x14ac:dyDescent="0.2">
      <c r="G21" s="37"/>
      <c r="H21" s="37"/>
      <c r="I21" s="37"/>
      <c r="J21" s="37"/>
      <c r="K21" s="37"/>
      <c r="M21" s="37"/>
      <c r="N21" s="37"/>
      <c r="P21" s="37"/>
      <c r="Q21" s="37"/>
      <c r="R21" s="37"/>
    </row>
    <row r="22" spans="1:18" x14ac:dyDescent="0.2">
      <c r="A22" s="3">
        <v>7</v>
      </c>
      <c r="C22" s="3" t="s">
        <v>216</v>
      </c>
      <c r="G22" s="121">
        <v>4.5785714285714291E-2</v>
      </c>
      <c r="H22" s="121">
        <v>0.05</v>
      </c>
      <c r="I22" s="121">
        <v>0.05</v>
      </c>
      <c r="J22" s="121">
        <v>0.05</v>
      </c>
      <c r="K22" s="121">
        <v>0.05</v>
      </c>
      <c r="L22" s="127"/>
      <c r="M22" s="121">
        <v>0.05</v>
      </c>
      <c r="N22" s="121">
        <v>0.05</v>
      </c>
      <c r="P22" s="121">
        <v>0.05</v>
      </c>
      <c r="Q22" s="121">
        <v>0.05</v>
      </c>
      <c r="R22" s="121"/>
    </row>
    <row r="24" spans="1:18" x14ac:dyDescent="0.2">
      <c r="A24" s="3">
        <v>8</v>
      </c>
      <c r="C24" s="3" t="s">
        <v>72</v>
      </c>
      <c r="G24" s="145">
        <f t="shared" ref="G24:K24" si="3">G22*G20</f>
        <v>1935.0366052780635</v>
      </c>
      <c r="H24" s="145">
        <f t="shared" si="3"/>
        <v>2024.6105509999998</v>
      </c>
      <c r="I24" s="145">
        <f t="shared" si="3"/>
        <v>2062.25</v>
      </c>
      <c r="J24" s="145">
        <f t="shared" si="3"/>
        <v>2092.771353362431</v>
      </c>
      <c r="K24" s="145">
        <f t="shared" si="3"/>
        <v>2134.3110500000003</v>
      </c>
      <c r="L24" s="148"/>
      <c r="M24" s="145">
        <f>M22*M20</f>
        <v>2171.2722808170211</v>
      </c>
      <c r="N24" s="145">
        <f>N22*N20</f>
        <v>2427.19570275047</v>
      </c>
      <c r="P24" s="145">
        <f>P22*P20</f>
        <v>2175.4020716196478</v>
      </c>
      <c r="Q24" s="145">
        <f>Q22*Q20</f>
        <v>2493.2080946633564</v>
      </c>
      <c r="R24" s="145">
        <f t="shared" ref="R24" si="4">R22*R20</f>
        <v>0</v>
      </c>
    </row>
    <row r="26" spans="1:18" x14ac:dyDescent="0.2">
      <c r="A26" s="3">
        <v>9</v>
      </c>
      <c r="C26" s="3" t="s">
        <v>73</v>
      </c>
      <c r="F26" s="3" t="s">
        <v>143</v>
      </c>
      <c r="G26" s="149">
        <v>35</v>
      </c>
      <c r="H26" s="149">
        <v>35</v>
      </c>
      <c r="I26" s="149">
        <v>35</v>
      </c>
      <c r="J26" s="149">
        <v>35</v>
      </c>
      <c r="K26" s="149">
        <v>35</v>
      </c>
      <c r="L26" s="148"/>
      <c r="M26" s="149">
        <v>35</v>
      </c>
      <c r="N26" s="149">
        <v>35</v>
      </c>
      <c r="P26" s="149">
        <v>35</v>
      </c>
      <c r="Q26" s="149">
        <v>35</v>
      </c>
    </row>
    <row r="28" spans="1:18" x14ac:dyDescent="0.2">
      <c r="A28" s="3">
        <v>10</v>
      </c>
      <c r="C28" s="3" t="s">
        <v>74</v>
      </c>
      <c r="G28" s="149">
        <f>ROUND(G24*G26/365,0)</f>
        <v>186</v>
      </c>
      <c r="H28" s="149">
        <f t="shared" ref="H28:K28" si="5">ROUND(H24*H26/365,0)</f>
        <v>194</v>
      </c>
      <c r="I28" s="149">
        <f t="shared" si="5"/>
        <v>198</v>
      </c>
      <c r="J28" s="149">
        <f t="shared" si="5"/>
        <v>201</v>
      </c>
      <c r="K28" s="149">
        <f t="shared" si="5"/>
        <v>205</v>
      </c>
      <c r="L28" s="148"/>
      <c r="M28" s="149">
        <f>ROUND(M24*M26/365,0)</f>
        <v>208</v>
      </c>
      <c r="N28" s="149">
        <f>ROUND(N24*N26/365,0)</f>
        <v>233</v>
      </c>
      <c r="P28" s="149">
        <f>ROUND(P24*P26/365,0)</f>
        <v>209</v>
      </c>
      <c r="Q28" s="149">
        <f>ROUND(Q24*Q26/365,0)</f>
        <v>239</v>
      </c>
    </row>
    <row r="30" spans="1:18" ht="13.5" thickBot="1" x14ac:dyDescent="0.25">
      <c r="A30" s="3">
        <v>11</v>
      </c>
      <c r="C30" s="3" t="s">
        <v>75</v>
      </c>
      <c r="E30" s="3" t="s">
        <v>203</v>
      </c>
      <c r="G30" s="150">
        <f t="shared" ref="G30:K30" si="6">G17-G28</f>
        <v>-110</v>
      </c>
      <c r="H30" s="150">
        <f t="shared" si="6"/>
        <v>-131</v>
      </c>
      <c r="I30" s="150">
        <f t="shared" si="6"/>
        <v>-106</v>
      </c>
      <c r="J30" s="150">
        <f t="shared" si="6"/>
        <v>-145</v>
      </c>
      <c r="K30" s="150">
        <f t="shared" si="6"/>
        <v>-155</v>
      </c>
      <c r="L30" s="147"/>
      <c r="M30" s="150">
        <f>M17-M28</f>
        <v>-153</v>
      </c>
      <c r="N30" s="150">
        <f>N17-N28</f>
        <v>-176</v>
      </c>
      <c r="P30" s="150">
        <f>P17-P28</f>
        <v>-131</v>
      </c>
      <c r="Q30" s="150">
        <f>Q17-Q28</f>
        <v>-159</v>
      </c>
    </row>
  </sheetData>
  <mergeCells count="2">
    <mergeCell ref="P6:Q6"/>
    <mergeCell ref="M6:N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  <pageSetUpPr fitToPage="1"/>
  </sheetPr>
  <dimension ref="A1:R57"/>
  <sheetViews>
    <sheetView view="pageBreakPreview" zoomScaleSheetLayoutView="100" workbookViewId="0">
      <pane ySplit="7" topLeftCell="A8" activePane="bottomLeft" state="frozen"/>
      <selection activeCell="AI34" sqref="AI34"/>
      <selection pane="bottomLeft" activeCell="C42" sqref="C42:Q42"/>
    </sheetView>
  </sheetViews>
  <sheetFormatPr defaultRowHeight="12.75" x14ac:dyDescent="0.2"/>
  <cols>
    <col min="1" max="1" width="5.28515625" style="2" customWidth="1"/>
    <col min="2" max="2" width="1.85546875" style="2" customWidth="1"/>
    <col min="3" max="3" width="43.85546875" style="2" customWidth="1"/>
    <col min="4" max="4" width="1.85546875" style="2" customWidth="1"/>
    <col min="5" max="5" width="9.140625" style="11" customWidth="1"/>
    <col min="6" max="6" width="1.85546875" style="2" customWidth="1"/>
    <col min="7" max="8" width="9.42578125" style="2" customWidth="1"/>
    <col min="9" max="9" width="9.28515625" style="2" customWidth="1"/>
    <col min="10" max="10" width="9.42578125" style="2" customWidth="1"/>
    <col min="11" max="11" width="10.28515625" style="2" bestFit="1" customWidth="1"/>
    <col min="12" max="12" width="1.42578125" style="12" customWidth="1"/>
    <col min="13" max="14" width="10.140625" style="2" customWidth="1"/>
    <col min="15" max="15" width="1.42578125" style="12" customWidth="1"/>
    <col min="16" max="17" width="10.140625" style="2" customWidth="1"/>
    <col min="18" max="18" width="1.85546875" style="2" customWidth="1"/>
    <col min="19" max="16384" width="9.140625" style="2"/>
  </cols>
  <sheetData>
    <row r="1" spans="1:18" ht="15.75" x14ac:dyDescent="0.25">
      <c r="A1" s="10" t="s">
        <v>5</v>
      </c>
      <c r="M1" s="12"/>
      <c r="N1" s="12"/>
      <c r="Q1" s="15" t="s">
        <v>12</v>
      </c>
    </row>
    <row r="2" spans="1:18" x14ac:dyDescent="0.2">
      <c r="A2" s="16" t="s">
        <v>13</v>
      </c>
      <c r="M2" s="12"/>
      <c r="N2" s="12"/>
      <c r="P2" s="85"/>
      <c r="Q2" s="18" t="str">
        <f>'Schedule 1'!$Q$2</f>
        <v>June 2017</v>
      </c>
    </row>
    <row r="3" spans="1:18" x14ac:dyDescent="0.2">
      <c r="A3" s="16" t="s">
        <v>7</v>
      </c>
      <c r="M3" s="12"/>
      <c r="N3" s="12"/>
    </row>
    <row r="6" spans="1:18" s="11" customFormat="1" x14ac:dyDescent="0.2">
      <c r="E6" s="11" t="s">
        <v>143</v>
      </c>
      <c r="G6" s="19"/>
      <c r="H6" s="19"/>
      <c r="I6" s="19"/>
      <c r="J6" s="19"/>
      <c r="K6" s="19"/>
      <c r="L6" s="19"/>
      <c r="M6" s="160" t="s">
        <v>3</v>
      </c>
      <c r="N6" s="160"/>
      <c r="O6" s="19"/>
      <c r="P6" s="160" t="s">
        <v>3</v>
      </c>
      <c r="Q6" s="160"/>
    </row>
    <row r="7" spans="1:18" s="21" customFormat="1" ht="38.25" x14ac:dyDescent="0.2">
      <c r="A7" s="20" t="s">
        <v>0</v>
      </c>
      <c r="C7" s="20" t="s">
        <v>1</v>
      </c>
      <c r="E7" s="20" t="s">
        <v>2</v>
      </c>
      <c r="G7" s="20" t="s">
        <v>228</v>
      </c>
      <c r="H7" s="20" t="s">
        <v>229</v>
      </c>
      <c r="I7" s="20" t="s">
        <v>230</v>
      </c>
      <c r="J7" s="20" t="s">
        <v>231</v>
      </c>
      <c r="K7" s="20" t="s">
        <v>272</v>
      </c>
      <c r="L7" s="22"/>
      <c r="M7" s="20" t="str">
        <f>'Schedule 1'!$M$7</f>
        <v>Existing 2017</v>
      </c>
      <c r="N7" s="20" t="str">
        <f>'Schedule 1'!$N$7</f>
        <v>Proposed 2017</v>
      </c>
      <c r="O7" s="22"/>
      <c r="P7" s="20" t="str">
        <f>'Schedule 1'!$P$7</f>
        <v>Existing 2018</v>
      </c>
      <c r="Q7" s="20" t="str">
        <f>'Schedule 1'!$Q$7</f>
        <v>Proposed 2018</v>
      </c>
    </row>
    <row r="9" spans="1:18" x14ac:dyDescent="0.2">
      <c r="A9" s="2">
        <v>1</v>
      </c>
      <c r="C9" s="9" t="s">
        <v>44</v>
      </c>
    </row>
    <row r="11" spans="1:18" x14ac:dyDescent="0.2">
      <c r="A11" s="2">
        <v>2</v>
      </c>
      <c r="C11" s="2" t="s">
        <v>76</v>
      </c>
      <c r="F11" s="47"/>
      <c r="G11" s="31">
        <v>496937.72555999999</v>
      </c>
      <c r="H11" s="31">
        <v>495794.93400000007</v>
      </c>
      <c r="I11" s="31">
        <v>520406</v>
      </c>
      <c r="J11" s="31">
        <v>555552</v>
      </c>
      <c r="K11" s="31">
        <v>577887.69799999986</v>
      </c>
      <c r="L11" s="32"/>
      <c r="M11" s="31">
        <v>589387.23499999999</v>
      </c>
      <c r="N11" s="31">
        <v>589387.23499999999</v>
      </c>
      <c r="O11" s="32"/>
      <c r="P11" s="31">
        <v>603879.26377999992</v>
      </c>
      <c r="Q11" s="31">
        <v>603879.26377999992</v>
      </c>
      <c r="R11" s="25"/>
    </row>
    <row r="12" spans="1:18" x14ac:dyDescent="0.2">
      <c r="A12" s="2">
        <v>3</v>
      </c>
      <c r="C12" s="2" t="s">
        <v>220</v>
      </c>
      <c r="F12" s="47"/>
      <c r="G12" s="31">
        <v>23712.904999999999</v>
      </c>
      <c r="H12" s="31">
        <v>25716.99373999994</v>
      </c>
      <c r="I12" s="31">
        <v>37582.555950000002</v>
      </c>
      <c r="J12" s="31">
        <v>22727.938679999879</v>
      </c>
      <c r="K12" s="31">
        <v>12314.069810000119</v>
      </c>
      <c r="L12" s="32"/>
      <c r="M12" s="31">
        <v>14492.028779999935</v>
      </c>
      <c r="N12" s="31">
        <v>14492.028779999971</v>
      </c>
      <c r="O12" s="32"/>
      <c r="P12" s="31">
        <v>14631.321320000105</v>
      </c>
      <c r="Q12" s="31">
        <v>14631.321320000052</v>
      </c>
      <c r="R12" s="25"/>
    </row>
    <row r="13" spans="1:18" x14ac:dyDescent="0.2">
      <c r="A13" s="2">
        <v>4</v>
      </c>
      <c r="C13" s="2" t="s">
        <v>147</v>
      </c>
      <c r="F13" s="47"/>
      <c r="G13" s="30">
        <v>0</v>
      </c>
      <c r="H13" s="30">
        <v>-1105.9277400000001</v>
      </c>
      <c r="I13" s="30">
        <v>-2436.5559500000008</v>
      </c>
      <c r="J13" s="30">
        <v>-392.24068</v>
      </c>
      <c r="K13" s="30">
        <v>-814.53281000000106</v>
      </c>
      <c r="L13" s="32"/>
      <c r="M13" s="139">
        <v>0</v>
      </c>
      <c r="N13" s="139">
        <v>0</v>
      </c>
      <c r="O13" s="87"/>
      <c r="P13" s="30">
        <v>0</v>
      </c>
      <c r="Q13" s="30">
        <v>0</v>
      </c>
      <c r="R13" s="25"/>
    </row>
    <row r="14" spans="1:18" x14ac:dyDescent="0.2">
      <c r="F14" s="47"/>
      <c r="G14" s="31"/>
      <c r="H14" s="31"/>
      <c r="I14" s="31"/>
      <c r="J14" s="31"/>
      <c r="K14" s="31"/>
      <c r="L14" s="32"/>
      <c r="N14" s="31"/>
      <c r="O14" s="32"/>
      <c r="Q14" s="31"/>
    </row>
    <row r="15" spans="1:18" x14ac:dyDescent="0.2">
      <c r="A15" s="2">
        <v>5</v>
      </c>
      <c r="C15" s="2" t="s">
        <v>77</v>
      </c>
      <c r="E15" s="11" t="s">
        <v>86</v>
      </c>
      <c r="F15" s="47"/>
      <c r="G15" s="31">
        <f t="shared" ref="G15:K15" si="0">G11+G12+G13</f>
        <v>520650.63055999996</v>
      </c>
      <c r="H15" s="31">
        <f t="shared" si="0"/>
        <v>520406</v>
      </c>
      <c r="I15" s="31">
        <f t="shared" si="0"/>
        <v>555552</v>
      </c>
      <c r="J15" s="31">
        <f t="shared" si="0"/>
        <v>577887.69799999986</v>
      </c>
      <c r="K15" s="31">
        <f t="shared" si="0"/>
        <v>589387.23499999999</v>
      </c>
      <c r="L15" s="32"/>
      <c r="M15" s="31">
        <f t="shared" ref="M15:P15" si="1">M11+M12+M13</f>
        <v>603879.26377999992</v>
      </c>
      <c r="N15" s="31">
        <f>N11+N12+N13</f>
        <v>603879.26377999992</v>
      </c>
      <c r="O15" s="32"/>
      <c r="P15" s="31">
        <f t="shared" si="1"/>
        <v>618510.58510000003</v>
      </c>
      <c r="Q15" s="31">
        <f>Q11+Q12+Q13</f>
        <v>618510.58510000003</v>
      </c>
      <c r="R15" s="25"/>
    </row>
    <row r="16" spans="1:18" x14ac:dyDescent="0.2">
      <c r="F16" s="47"/>
    </row>
    <row r="17" spans="1:17" x14ac:dyDescent="0.2">
      <c r="A17" s="2">
        <v>6</v>
      </c>
      <c r="C17" s="9" t="s">
        <v>197</v>
      </c>
    </row>
    <row r="19" spans="1:17" x14ac:dyDescent="0.2">
      <c r="A19" s="2">
        <v>7</v>
      </c>
      <c r="C19" s="2" t="s">
        <v>76</v>
      </c>
      <c r="G19" s="31">
        <v>111705.74409225678</v>
      </c>
      <c r="H19" s="31">
        <v>111476.06013</v>
      </c>
      <c r="I19" s="31">
        <v>119279.17033000001</v>
      </c>
      <c r="J19" s="31">
        <v>125757.31244000001</v>
      </c>
      <c r="K19" s="31">
        <v>134977.88227</v>
      </c>
      <c r="L19" s="32"/>
      <c r="M19" s="31">
        <v>144702.619595</v>
      </c>
      <c r="N19" s="31">
        <v>144702.619595</v>
      </c>
      <c r="O19" s="32"/>
      <c r="P19" s="31">
        <v>155760.35816740151</v>
      </c>
      <c r="Q19" s="31">
        <v>156806.19795640151</v>
      </c>
    </row>
    <row r="20" spans="1:17" x14ac:dyDescent="0.2">
      <c r="A20" s="2">
        <v>8</v>
      </c>
      <c r="C20" s="2" t="s">
        <v>78</v>
      </c>
      <c r="E20" s="11" t="s">
        <v>96</v>
      </c>
      <c r="G20" s="31">
        <v>8988.5451721392983</v>
      </c>
      <c r="H20" s="31">
        <v>8853.6523100000068</v>
      </c>
      <c r="I20" s="31">
        <v>8906.2113099999988</v>
      </c>
      <c r="J20" s="31">
        <v>9524.0033100000019</v>
      </c>
      <c r="K20" s="31">
        <v>10606.737325</v>
      </c>
      <c r="L20" s="32"/>
      <c r="M20" s="31">
        <v>11059.321252401511</v>
      </c>
      <c r="N20" s="31">
        <v>12105.161041401509</v>
      </c>
      <c r="O20" s="32"/>
      <c r="P20" s="31">
        <v>11168.246978537723</v>
      </c>
      <c r="Q20" s="31">
        <v>12418.540488926612</v>
      </c>
    </row>
    <row r="21" spans="1:17" x14ac:dyDescent="0.2">
      <c r="A21" s="2">
        <v>9</v>
      </c>
      <c r="C21" s="2" t="s">
        <v>147</v>
      </c>
      <c r="G21" s="30">
        <v>0</v>
      </c>
      <c r="H21" s="30">
        <v>-1050.5421099999999</v>
      </c>
      <c r="I21" s="30">
        <v>-2428.0692000000004</v>
      </c>
      <c r="J21" s="30">
        <v>-303.43347999999997</v>
      </c>
      <c r="K21" s="30">
        <v>-882</v>
      </c>
      <c r="L21" s="32"/>
      <c r="M21" s="30">
        <v>-1.5826800000000001</v>
      </c>
      <c r="N21" s="30">
        <v>-1.5826800000000001</v>
      </c>
      <c r="O21" s="32"/>
      <c r="P21" s="30">
        <v>-1.5826800000000001</v>
      </c>
      <c r="Q21" s="30">
        <v>-1.5826800000000001</v>
      </c>
    </row>
    <row r="22" spans="1:17" x14ac:dyDescent="0.2">
      <c r="G22" s="31"/>
      <c r="H22" s="31"/>
      <c r="I22" s="31"/>
      <c r="J22" s="31"/>
      <c r="K22" s="31"/>
      <c r="L22" s="32"/>
      <c r="M22" s="31"/>
      <c r="N22" s="31"/>
      <c r="O22" s="32"/>
      <c r="P22" s="31"/>
      <c r="Q22" s="31"/>
    </row>
    <row r="23" spans="1:17" x14ac:dyDescent="0.2">
      <c r="A23" s="2">
        <v>10</v>
      </c>
      <c r="C23" s="2" t="s">
        <v>77</v>
      </c>
      <c r="G23" s="140">
        <f>SUM(G19:G21)</f>
        <v>120694.28926439608</v>
      </c>
      <c r="H23" s="140">
        <f>SUM(H19:H21)</f>
        <v>119279.17033000001</v>
      </c>
      <c r="I23" s="140">
        <f>SUM(I19:I21)</f>
        <v>125757.31244000001</v>
      </c>
      <c r="J23" s="140">
        <f>SUM(J19:J21)</f>
        <v>134977.88227</v>
      </c>
      <c r="K23" s="140">
        <f>SUM(K19:K21)</f>
        <v>144702.619595</v>
      </c>
      <c r="L23" s="140"/>
      <c r="M23" s="140">
        <f>SUM(M19:M21)</f>
        <v>155760.35816740151</v>
      </c>
      <c r="N23" s="140">
        <f>SUM(N19:N21)</f>
        <v>156806.19795640151</v>
      </c>
      <c r="O23" s="142"/>
      <c r="P23" s="140">
        <f>SUM(P19:P21)</f>
        <v>166927.02246593926</v>
      </c>
      <c r="Q23" s="140">
        <f>SUM(Q19:Q21)</f>
        <v>169223.15576532812</v>
      </c>
    </row>
    <row r="24" spans="1:17" x14ac:dyDescent="0.2">
      <c r="G24" s="140"/>
      <c r="H24" s="140"/>
      <c r="I24" s="140"/>
      <c r="J24" s="140"/>
      <c r="K24" s="140"/>
      <c r="L24" s="142"/>
      <c r="M24" s="140"/>
      <c r="N24" s="140"/>
      <c r="O24" s="142"/>
      <c r="P24" s="140"/>
      <c r="Q24" s="140"/>
    </row>
    <row r="25" spans="1:17" x14ac:dyDescent="0.2">
      <c r="C25" s="2" t="s">
        <v>46</v>
      </c>
    </row>
    <row r="26" spans="1:17" x14ac:dyDescent="0.2">
      <c r="A26" s="2">
        <v>11</v>
      </c>
      <c r="C26" s="2" t="s">
        <v>59</v>
      </c>
      <c r="E26" s="11" t="s">
        <v>87</v>
      </c>
      <c r="G26" s="31">
        <f>'Schedule 1'!G15</f>
        <v>19798.032009999948</v>
      </c>
      <c r="H26" s="31">
        <f>'Schedule 1'!H15</f>
        <v>24137.313411499999</v>
      </c>
      <c r="I26" s="31">
        <f>'Schedule 1'!I15</f>
        <v>53893.180619999999</v>
      </c>
      <c r="J26" s="31">
        <f>'Schedule 1'!J15</f>
        <v>13361.516600000003</v>
      </c>
      <c r="K26" s="31">
        <f>'Schedule 1'!K15</f>
        <v>18467.332810000018</v>
      </c>
      <c r="L26" s="32"/>
      <c r="M26" s="31">
        <f>'Schedule 1'!M15</f>
        <v>9277.3774300000077</v>
      </c>
      <c r="N26" s="31">
        <f>'Schedule 1'!N15</f>
        <v>4358.0240199999989</v>
      </c>
      <c r="O26" s="32"/>
      <c r="P26" s="31">
        <f>'Schedule 1'!P15</f>
        <v>14850.76071000001</v>
      </c>
      <c r="Q26" s="31">
        <f>'Schedule 1'!Q15</f>
        <v>8274.2806500000006</v>
      </c>
    </row>
    <row r="27" spans="1:17" x14ac:dyDescent="0.2">
      <c r="A27" s="2">
        <v>12</v>
      </c>
      <c r="C27" s="2" t="s">
        <v>79</v>
      </c>
      <c r="E27" s="11" t="s">
        <v>83</v>
      </c>
      <c r="G27" s="31">
        <f>'Schedule 1'!G16</f>
        <v>691.1425999999999</v>
      </c>
      <c r="H27" s="31">
        <f>'Schedule 1'!H16</f>
        <v>691.1425999999999</v>
      </c>
      <c r="I27" s="31">
        <f>'Schedule 1'!I16</f>
        <v>691.1425999999999</v>
      </c>
      <c r="J27" s="31">
        <f>'Schedule 1'!J16</f>
        <v>691.1425999999999</v>
      </c>
      <c r="K27" s="31">
        <f>'Schedule 1'!K16</f>
        <v>691.1425999999999</v>
      </c>
      <c r="L27" s="32"/>
      <c r="M27" s="31">
        <f>'Schedule 1'!M16</f>
        <v>691.1425999999999</v>
      </c>
      <c r="N27" s="31">
        <f>'Schedule 1'!N16</f>
        <v>691.1425999999999</v>
      </c>
      <c r="O27" s="32"/>
      <c r="P27" s="31">
        <f>'Schedule 1'!P16</f>
        <v>691.1425999999999</v>
      </c>
      <c r="Q27" s="31">
        <f>'Schedule 1'!Q16</f>
        <v>691.1425999999999</v>
      </c>
    </row>
    <row r="28" spans="1:17" x14ac:dyDescent="0.2">
      <c r="A28" s="2">
        <v>13</v>
      </c>
      <c r="C28" s="2" t="s">
        <v>251</v>
      </c>
      <c r="E28" s="11" t="s">
        <v>88</v>
      </c>
      <c r="G28" s="30">
        <f>'Schedule 1'!G17</f>
        <v>5903.6934640176814</v>
      </c>
      <c r="H28" s="30">
        <f>'Schedule 1'!H17</f>
        <v>5684.2520000000004</v>
      </c>
      <c r="I28" s="30">
        <f>'Schedule 1'!I17</f>
        <v>5452.2430000000004</v>
      </c>
      <c r="J28" s="30">
        <f>'Schedule 1'!J17</f>
        <v>5223.2810100000006</v>
      </c>
      <c r="K28" s="30">
        <f>'Schedule 1'!K17</f>
        <v>4169.0540000000001</v>
      </c>
      <c r="L28" s="32"/>
      <c r="M28" s="139">
        <f>'Schedule 1'!M17</f>
        <v>3829.9539999999997</v>
      </c>
      <c r="N28" s="139">
        <f>'Schedule 1'!N17</f>
        <v>4118.8909999999996</v>
      </c>
      <c r="O28" s="87"/>
      <c r="P28" s="139">
        <f>'Schedule 1'!P17</f>
        <v>3490.8539999999994</v>
      </c>
      <c r="Q28" s="139">
        <f>'Schedule 1'!Q17</f>
        <v>4068.7279999999996</v>
      </c>
    </row>
    <row r="29" spans="1:17" x14ac:dyDescent="0.2">
      <c r="A29" s="2">
        <v>14</v>
      </c>
      <c r="C29" s="2" t="s">
        <v>37</v>
      </c>
      <c r="G29" s="31">
        <f t="shared" ref="G29:K29" si="2">G28+G27+G26</f>
        <v>26392.868074017628</v>
      </c>
      <c r="H29" s="31">
        <f t="shared" si="2"/>
        <v>30512.708011499999</v>
      </c>
      <c r="I29" s="31">
        <f t="shared" si="2"/>
        <v>60036.566220000001</v>
      </c>
      <c r="J29" s="31">
        <f t="shared" si="2"/>
        <v>19275.940210000004</v>
      </c>
      <c r="K29" s="31">
        <f t="shared" si="2"/>
        <v>23327.529410000017</v>
      </c>
      <c r="L29" s="32"/>
      <c r="M29" s="31">
        <f t="shared" ref="M29:P29" si="3">M28+M27+M26</f>
        <v>13798.474030000008</v>
      </c>
      <c r="N29" s="31">
        <f>N28+N27+N26</f>
        <v>9168.0576199999996</v>
      </c>
      <c r="O29" s="32"/>
      <c r="P29" s="31">
        <f t="shared" si="3"/>
        <v>19032.757310000008</v>
      </c>
      <c r="Q29" s="31">
        <f>Q28+Q27+Q26</f>
        <v>13034.151249999999</v>
      </c>
    </row>
    <row r="31" spans="1:17" x14ac:dyDescent="0.2">
      <c r="C31" s="2" t="s">
        <v>48</v>
      </c>
    </row>
    <row r="32" spans="1:17" x14ac:dyDescent="0.2">
      <c r="A32" s="2">
        <v>15</v>
      </c>
      <c r="C32" s="2" t="s">
        <v>175</v>
      </c>
      <c r="E32" s="11" t="s">
        <v>185</v>
      </c>
      <c r="G32" s="31">
        <f>'Schedule 1'!G21</f>
        <v>27890.809482999994</v>
      </c>
      <c r="H32" s="31">
        <f>'Schedule 1'!H21</f>
        <v>24106.14041</v>
      </c>
      <c r="I32" s="31">
        <f>'Schedule 1'!I21</f>
        <v>24615.19356</v>
      </c>
      <c r="J32" s="31">
        <f>'Schedule 1'!J21</f>
        <v>21956.874739999999</v>
      </c>
      <c r="K32" s="31">
        <f>'Schedule 1'!K21</f>
        <v>27212.1656</v>
      </c>
      <c r="L32" s="31">
        <f>'Schedule 1'!L21</f>
        <v>0</v>
      </c>
      <c r="M32" s="31">
        <f>'Schedule 1'!M21</f>
        <v>32030.906547180006</v>
      </c>
      <c r="N32" s="31">
        <f>'Schedule 1'!N21</f>
        <v>29346.373931000002</v>
      </c>
      <c r="O32" s="31">
        <f>'Schedule 1'!O21</f>
        <v>0</v>
      </c>
      <c r="P32" s="31">
        <f>'Schedule 1'!P21</f>
        <v>50232.398989180008</v>
      </c>
      <c r="Q32" s="31">
        <f>'Schedule 1'!Q21</f>
        <v>44916.96622100001</v>
      </c>
    </row>
    <row r="33" spans="1:17" x14ac:dyDescent="0.2">
      <c r="A33" s="2">
        <v>16</v>
      </c>
      <c r="C33" s="2" t="s">
        <v>178</v>
      </c>
      <c r="E33" s="11" t="s">
        <v>186</v>
      </c>
      <c r="G33" s="31">
        <f>'Schedule 1'!G22</f>
        <v>-14742.2582</v>
      </c>
      <c r="H33" s="31">
        <f>'Schedule 1'!H22</f>
        <v>-13618.12218</v>
      </c>
      <c r="I33" s="31">
        <f>'Schedule 1'!I22</f>
        <v>-16773.019649999998</v>
      </c>
      <c r="J33" s="31">
        <f>'Schedule 1'!J22</f>
        <v>-19069.57286</v>
      </c>
      <c r="K33" s="31">
        <f>'Schedule 1'!K22</f>
        <v>-24728.083129999995</v>
      </c>
      <c r="L33" s="31">
        <f>'Schedule 1'!L22</f>
        <v>0</v>
      </c>
      <c r="M33" s="31">
        <f>'Schedule 1'!M22</f>
        <v>-33625.302459999992</v>
      </c>
      <c r="N33" s="31">
        <f>'Schedule 1'!N22</f>
        <v>-16167.195400000002</v>
      </c>
      <c r="O33" s="31">
        <f>'Schedule 1'!O22</f>
        <v>0</v>
      </c>
      <c r="P33" s="31">
        <f>'Schedule 1'!P22</f>
        <v>-50068.658659999994</v>
      </c>
      <c r="Q33" s="31">
        <f>'Schedule 1'!Q22</f>
        <v>-29858.75935</v>
      </c>
    </row>
    <row r="34" spans="1:17" x14ac:dyDescent="0.2">
      <c r="A34" s="2">
        <v>17</v>
      </c>
      <c r="C34" s="2" t="s">
        <v>179</v>
      </c>
      <c r="E34" s="11" t="s">
        <v>159</v>
      </c>
      <c r="G34" s="31">
        <f>'Schedule 1'!G23</f>
        <v>0</v>
      </c>
      <c r="H34" s="31">
        <f>'Schedule 1'!H23</f>
        <v>0</v>
      </c>
      <c r="I34" s="31">
        <f>'Schedule 1'!I23</f>
        <v>0</v>
      </c>
      <c r="J34" s="31">
        <f>'Schedule 1'!J23</f>
        <v>0</v>
      </c>
      <c r="K34" s="31">
        <f>'Schedule 1'!K23</f>
        <v>0</v>
      </c>
      <c r="L34" s="32"/>
      <c r="M34" s="31">
        <f>'Schedule 1'!M23</f>
        <v>0</v>
      </c>
      <c r="N34" s="31">
        <f>'Schedule 1'!N23</f>
        <v>0</v>
      </c>
      <c r="O34" s="32"/>
      <c r="P34" s="31">
        <f>'Schedule 1'!P23</f>
        <v>0</v>
      </c>
      <c r="Q34" s="31">
        <f>'Schedule 1'!Q23</f>
        <v>0</v>
      </c>
    </row>
    <row r="35" spans="1:17" x14ac:dyDescent="0.2">
      <c r="A35" s="2">
        <v>18</v>
      </c>
      <c r="C35" s="2" t="s">
        <v>49</v>
      </c>
      <c r="E35" s="11" t="s">
        <v>84</v>
      </c>
      <c r="G35" s="30">
        <f>'Schedule 1'!G24</f>
        <v>118.55713</v>
      </c>
      <c r="H35" s="30">
        <f>'Schedule 1'!H24</f>
        <v>118.55713</v>
      </c>
      <c r="I35" s="30">
        <f>'Schedule 1'!I24</f>
        <v>134.83569499999999</v>
      </c>
      <c r="J35" s="30">
        <f>'Schedule 1'!J24</f>
        <v>151.11426</v>
      </c>
      <c r="K35" s="30">
        <f>'Schedule 1'!K24</f>
        <v>167.39282500000002</v>
      </c>
      <c r="L35" s="32"/>
      <c r="M35" s="30">
        <f>'Schedule 1'!M24</f>
        <v>183.67139000000003</v>
      </c>
      <c r="N35" s="30">
        <f>'Schedule 1'!N24</f>
        <v>183.67139000000003</v>
      </c>
      <c r="O35" s="32"/>
      <c r="P35" s="30">
        <f>'Schedule 1'!P24</f>
        <v>199.94995500000005</v>
      </c>
      <c r="Q35" s="30">
        <f>'Schedule 1'!Q24</f>
        <v>199.94995500000005</v>
      </c>
    </row>
    <row r="36" spans="1:17" x14ac:dyDescent="0.2">
      <c r="A36" s="2">
        <v>19</v>
      </c>
      <c r="C36" s="2" t="s">
        <v>37</v>
      </c>
      <c r="G36" s="30">
        <f t="shared" ref="G36:K36" si="4">SUM(G32:G35)</f>
        <v>13267.108412999993</v>
      </c>
      <c r="H36" s="30">
        <f t="shared" si="4"/>
        <v>10606.575359999999</v>
      </c>
      <c r="I36" s="30">
        <f t="shared" si="4"/>
        <v>7977.0096050000011</v>
      </c>
      <c r="J36" s="30">
        <f t="shared" si="4"/>
        <v>3038.4161399999989</v>
      </c>
      <c r="K36" s="30">
        <f t="shared" si="4"/>
        <v>2651.4752950000047</v>
      </c>
      <c r="L36" s="30">
        <f t="shared" ref="L36:Q36" si="5">SUM(L32:L35)</f>
        <v>0</v>
      </c>
      <c r="M36" s="30">
        <f t="shared" si="5"/>
        <v>-1410.7245228199859</v>
      </c>
      <c r="N36" s="30">
        <f t="shared" si="5"/>
        <v>13362.849920999999</v>
      </c>
      <c r="O36" s="30">
        <f t="shared" si="5"/>
        <v>0</v>
      </c>
      <c r="P36" s="30">
        <f t="shared" si="5"/>
        <v>363.69028418001471</v>
      </c>
      <c r="Q36" s="30">
        <f t="shared" si="5"/>
        <v>15258.156826000009</v>
      </c>
    </row>
    <row r="38" spans="1:17" ht="13.5" thickBot="1" x14ac:dyDescent="0.25">
      <c r="A38" s="2">
        <v>20</v>
      </c>
      <c r="C38" s="2" t="s">
        <v>80</v>
      </c>
      <c r="E38" s="11" t="s">
        <v>187</v>
      </c>
      <c r="G38" s="143">
        <f>G15-G23-G29+G36</f>
        <v>386830.58163458627</v>
      </c>
      <c r="H38" s="143">
        <f>H15-H23-H29+H36</f>
        <v>381220.69701850001</v>
      </c>
      <c r="I38" s="143">
        <f>I15-I23-I29+I36</f>
        <v>377735.13094500004</v>
      </c>
      <c r="J38" s="143">
        <f>J15-J23-J29+J36</f>
        <v>426672.29165999981</v>
      </c>
      <c r="K38" s="143">
        <f>K15-K23-K29+K36</f>
        <v>424008.56128999998</v>
      </c>
      <c r="L38" s="142"/>
      <c r="M38" s="143">
        <f>M15-M23-M29+M36</f>
        <v>432909.70705977845</v>
      </c>
      <c r="N38" s="143">
        <f>N15-N23-N29+N36</f>
        <v>451267.85812459845</v>
      </c>
      <c r="O38" s="142"/>
      <c r="P38" s="143">
        <f>P15-P23-P29+P36</f>
        <v>432914.49560824072</v>
      </c>
      <c r="Q38" s="143">
        <f>Q15-Q23-Q29+Q36</f>
        <v>451511.43491067196</v>
      </c>
    </row>
    <row r="41" spans="1:17" x14ac:dyDescent="0.2">
      <c r="C41" s="159" t="s">
        <v>250</v>
      </c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</row>
    <row r="42" spans="1:17" ht="12.75" customHeight="1" x14ac:dyDescent="0.2">
      <c r="C42" s="162" t="s">
        <v>277</v>
      </c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</row>
    <row r="43" spans="1:17" ht="12.75" customHeight="1" x14ac:dyDescent="0.2">
      <c r="E43" s="2"/>
      <c r="L43" s="2"/>
      <c r="O43" s="2"/>
    </row>
    <row r="44" spans="1:17" ht="12.75" customHeight="1" x14ac:dyDescent="0.2"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</row>
    <row r="45" spans="1:17" ht="12.75" customHeight="1" x14ac:dyDescent="0.2"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</row>
    <row r="46" spans="1:17" x14ac:dyDescent="0.2"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</row>
    <row r="47" spans="1:17" x14ac:dyDescent="0.2"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</row>
    <row r="48" spans="1:17" x14ac:dyDescent="0.2">
      <c r="E48" s="2"/>
      <c r="L48" s="2"/>
      <c r="O48" s="2"/>
    </row>
    <row r="49" spans="5:17" x14ac:dyDescent="0.2"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</row>
    <row r="51" spans="5:17" x14ac:dyDescent="0.2"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</row>
    <row r="56" spans="5:17" x14ac:dyDescent="0.2"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</row>
    <row r="57" spans="5:17" x14ac:dyDescent="0.2"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</row>
  </sheetData>
  <mergeCells count="4">
    <mergeCell ref="P6:Q6"/>
    <mergeCell ref="M6:N6"/>
    <mergeCell ref="C41:Q41"/>
    <mergeCell ref="C42:Q42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5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39997558519241921"/>
    <pageSetUpPr fitToPage="1"/>
  </sheetPr>
  <dimension ref="A1:P108"/>
  <sheetViews>
    <sheetView view="pageBreakPreview" topLeftCell="A89" zoomScaleSheetLayoutView="100" workbookViewId="0">
      <selection activeCell="C97" sqref="C97"/>
    </sheetView>
  </sheetViews>
  <sheetFormatPr defaultRowHeight="12.75" x14ac:dyDescent="0.2"/>
  <cols>
    <col min="1" max="1" width="5.28515625" style="3" customWidth="1"/>
    <col min="2" max="2" width="1.85546875" style="3" customWidth="1"/>
    <col min="3" max="3" width="35.7109375" style="3" customWidth="1"/>
    <col min="4" max="4" width="1.85546875" style="3" customWidth="1"/>
    <col min="5" max="5" width="11.28515625" style="115" customWidth="1"/>
    <col min="6" max="6" width="1.85546875" style="3" customWidth="1"/>
    <col min="7" max="7" width="15.5703125" style="59" customWidth="1"/>
    <col min="8" max="8" width="1.85546875" style="3" customWidth="1"/>
    <col min="9" max="9" width="15.5703125" style="3" customWidth="1"/>
    <col min="10" max="10" width="1.85546875" style="3" customWidth="1"/>
    <col min="11" max="11" width="15.5703125" style="59" customWidth="1"/>
    <col min="12" max="12" width="1.85546875" style="3" customWidth="1"/>
    <col min="13" max="13" width="15.5703125" style="3" customWidth="1"/>
    <col min="14" max="14" width="1.85546875" style="3" customWidth="1"/>
    <col min="15" max="15" width="15.5703125" style="59" customWidth="1"/>
    <col min="16" max="18" width="1.85546875" style="3" customWidth="1"/>
    <col min="19" max="19" width="11.28515625" style="3" customWidth="1"/>
    <col min="20" max="20" width="1.85546875" style="3" customWidth="1"/>
    <col min="21" max="21" width="11.28515625" style="3" customWidth="1"/>
    <col min="22" max="16384" width="9.140625" style="3"/>
  </cols>
  <sheetData>
    <row r="1" spans="1:16" x14ac:dyDescent="0.2">
      <c r="G1" s="84"/>
      <c r="I1" s="127"/>
      <c r="K1" s="84"/>
      <c r="M1" s="128"/>
      <c r="N1" s="119"/>
      <c r="O1" s="84"/>
    </row>
    <row r="2" spans="1:16" ht="15.75" x14ac:dyDescent="0.25">
      <c r="A2" s="129" t="s">
        <v>5</v>
      </c>
      <c r="O2" s="130" t="s">
        <v>32</v>
      </c>
    </row>
    <row r="3" spans="1:16" x14ac:dyDescent="0.2">
      <c r="A3" s="131" t="s">
        <v>26</v>
      </c>
      <c r="O3" s="40" t="str">
        <f>'Schedule 1'!$Q$2</f>
        <v>June 2017</v>
      </c>
      <c r="P3" s="39"/>
    </row>
    <row r="4" spans="1:16" x14ac:dyDescent="0.2">
      <c r="A4" s="131" t="s">
        <v>239</v>
      </c>
    </row>
    <row r="5" spans="1:16" x14ac:dyDescent="0.2">
      <c r="A5" s="131" t="s">
        <v>7</v>
      </c>
    </row>
    <row r="8" spans="1:16" x14ac:dyDescent="0.2">
      <c r="A8" s="6"/>
      <c r="B8" s="6"/>
      <c r="C8" s="6"/>
      <c r="D8" s="6"/>
      <c r="F8" s="6"/>
      <c r="G8" s="116"/>
      <c r="H8" s="6"/>
      <c r="I8" s="6"/>
      <c r="J8" s="6"/>
      <c r="K8" s="116"/>
      <c r="L8" s="6"/>
      <c r="M8" s="6"/>
      <c r="N8" s="6"/>
      <c r="O8" s="116"/>
    </row>
    <row r="9" spans="1:16" ht="25.5" x14ac:dyDescent="0.2">
      <c r="A9" s="20" t="s">
        <v>0</v>
      </c>
      <c r="B9" s="21"/>
      <c r="C9" s="20" t="s">
        <v>1</v>
      </c>
      <c r="D9" s="21"/>
      <c r="E9" s="20" t="s">
        <v>2</v>
      </c>
      <c r="F9" s="21"/>
      <c r="G9" s="117" t="s">
        <v>27</v>
      </c>
      <c r="H9" s="21"/>
      <c r="I9" s="20" t="s">
        <v>28</v>
      </c>
      <c r="J9" s="21"/>
      <c r="K9" s="117" t="s">
        <v>29</v>
      </c>
      <c r="L9" s="21"/>
      <c r="M9" s="20" t="s">
        <v>30</v>
      </c>
      <c r="N9" s="21"/>
      <c r="O9" s="117" t="s">
        <v>31</v>
      </c>
    </row>
    <row r="11" spans="1:16" x14ac:dyDescent="0.2">
      <c r="C11" s="9" t="s">
        <v>228</v>
      </c>
    </row>
    <row r="13" spans="1:16" x14ac:dyDescent="0.2">
      <c r="A13" s="3">
        <v>1</v>
      </c>
      <c r="C13" s="3" t="s">
        <v>35</v>
      </c>
      <c r="E13" s="115" t="s">
        <v>209</v>
      </c>
      <c r="G13" s="124">
        <f>'Schedule 11'!G28</f>
        <v>137410.31072404736</v>
      </c>
      <c r="I13" s="132">
        <f>SUM(G13)/(G13+G15)</f>
        <v>0.59999970069952779</v>
      </c>
      <c r="K13" s="124">
        <v>136010.29533440649</v>
      </c>
      <c r="M13" s="118">
        <f>'Schedule 11'!G50</f>
        <v>3.5785423948086842E-2</v>
      </c>
      <c r="N13" s="119"/>
      <c r="O13" s="59">
        <f>SUM(K13)*(M13)</f>
        <v>4867.186079846234</v>
      </c>
    </row>
    <row r="14" spans="1:16" x14ac:dyDescent="0.2">
      <c r="G14" s="59" t="s">
        <v>143</v>
      </c>
      <c r="I14" s="132"/>
      <c r="M14" s="119"/>
      <c r="N14" s="119" t="s">
        <v>143</v>
      </c>
      <c r="O14" s="59" t="s">
        <v>143</v>
      </c>
    </row>
    <row r="15" spans="1:16" x14ac:dyDescent="0.2">
      <c r="A15" s="3">
        <v>2</v>
      </c>
      <c r="C15" s="3" t="s">
        <v>36</v>
      </c>
      <c r="E15" s="115" t="s">
        <v>208</v>
      </c>
      <c r="G15" s="125">
        <v>91606.98805767436</v>
      </c>
      <c r="I15" s="133">
        <f>SUM(G15)/(G13+G15)</f>
        <v>0.40000029930047221</v>
      </c>
      <c r="K15" s="125">
        <v>90673.643300620781</v>
      </c>
      <c r="M15" s="121">
        <v>8.2501840170044638E-2</v>
      </c>
      <c r="N15" s="119"/>
      <c r="O15" s="120">
        <f>SUM(K15)*(M15)</f>
        <v>7480.7424272234548</v>
      </c>
    </row>
    <row r="16" spans="1:16" x14ac:dyDescent="0.2">
      <c r="I16" s="132"/>
      <c r="M16" s="119"/>
      <c r="N16" s="119"/>
      <c r="O16" s="59" t="s">
        <v>143</v>
      </c>
    </row>
    <row r="17" spans="1:15" ht="13.5" thickBot="1" x14ac:dyDescent="0.25">
      <c r="A17" s="3">
        <v>3</v>
      </c>
      <c r="C17" s="3" t="s">
        <v>37</v>
      </c>
      <c r="E17" s="115" t="s">
        <v>38</v>
      </c>
      <c r="G17" s="126">
        <f>SUM(G13+G15)</f>
        <v>229017.29878172174</v>
      </c>
      <c r="I17" s="134">
        <f>SUM(I13+I15)</f>
        <v>1</v>
      </c>
      <c r="K17" s="126">
        <v>226683.93863502727</v>
      </c>
      <c r="M17" s="123">
        <f>SUM(I13)*(M13)+SUM(I15)*(M15)</f>
        <v>5.44720044191154E-2</v>
      </c>
      <c r="N17" s="119"/>
      <c r="O17" s="126">
        <f>O15+O13</f>
        <v>12347.92850706969</v>
      </c>
    </row>
    <row r="20" spans="1:15" x14ac:dyDescent="0.2">
      <c r="C20" s="9" t="s">
        <v>236</v>
      </c>
    </row>
    <row r="22" spans="1:15" x14ac:dyDescent="0.2">
      <c r="A22" s="3">
        <v>4</v>
      </c>
      <c r="C22" s="3" t="s">
        <v>35</v>
      </c>
      <c r="E22" s="115" t="s">
        <v>209</v>
      </c>
      <c r="G22" s="59">
        <f>'Schedule 11'!$H$28</f>
        <v>133481.79164193655</v>
      </c>
      <c r="I22" s="132">
        <f>SUM(G22)/(G22+G24)</f>
        <v>0.60040714802426776</v>
      </c>
      <c r="K22" s="59">
        <f>SUM(K26)*(I22)</f>
        <v>133925.40501286989</v>
      </c>
      <c r="M22" s="118">
        <f>'Schedule 11'!H50</f>
        <v>3.3761392724555833E-2</v>
      </c>
      <c r="N22" s="119"/>
      <c r="O22" s="59">
        <f>SUM(K22)*(M22)</f>
        <v>4521.5081944346985</v>
      </c>
    </row>
    <row r="23" spans="1:15" x14ac:dyDescent="0.2">
      <c r="G23" s="59" t="s">
        <v>143</v>
      </c>
      <c r="I23" s="132"/>
      <c r="M23" s="119"/>
      <c r="N23" s="119" t="s">
        <v>143</v>
      </c>
      <c r="O23" s="59" t="s">
        <v>143</v>
      </c>
    </row>
    <row r="24" spans="1:15" x14ac:dyDescent="0.2">
      <c r="A24" s="3">
        <v>5</v>
      </c>
      <c r="C24" s="3" t="s">
        <v>36</v>
      </c>
      <c r="E24" s="115" t="s">
        <v>208</v>
      </c>
      <c r="G24" s="120">
        <v>88837</v>
      </c>
      <c r="I24" s="133">
        <f>SUM(G24)/(G22+G24)</f>
        <v>0.39959285197573219</v>
      </c>
      <c r="K24" s="120">
        <f>SUM(K26)*(I24)</f>
        <v>89132.240875544434</v>
      </c>
      <c r="M24" s="135">
        <v>7.4232886142052312E-2</v>
      </c>
      <c r="N24" s="119"/>
      <c r="O24" s="120">
        <f>K24*M24</f>
        <v>6616.5434885002715</v>
      </c>
    </row>
    <row r="25" spans="1:15" x14ac:dyDescent="0.2">
      <c r="I25" s="132"/>
      <c r="M25" s="119"/>
      <c r="N25" s="119"/>
      <c r="O25" s="59" t="s">
        <v>143</v>
      </c>
    </row>
    <row r="26" spans="1:15" ht="13.5" thickBot="1" x14ac:dyDescent="0.25">
      <c r="A26" s="3">
        <v>6</v>
      </c>
      <c r="C26" s="3" t="s">
        <v>37</v>
      </c>
      <c r="E26" s="115" t="s">
        <v>38</v>
      </c>
      <c r="G26" s="122">
        <f>SUM(G22+G24)</f>
        <v>222318.79164193655</v>
      </c>
      <c r="I26" s="134">
        <f>SUM(I22+I24)</f>
        <v>1</v>
      </c>
      <c r="K26" s="122">
        <f>'Schedule 1'!H53</f>
        <v>223057.64588841432</v>
      </c>
      <c r="M26" s="123">
        <f>SUM(I22)*(M22)+SUM(I24)*(M24)</f>
        <v>4.993351220297032E-2</v>
      </c>
      <c r="N26" s="119"/>
      <c r="O26" s="122">
        <f>O22+O24</f>
        <v>11138.051682934969</v>
      </c>
    </row>
    <row r="27" spans="1:15" x14ac:dyDescent="0.2">
      <c r="I27" s="132"/>
    </row>
    <row r="28" spans="1:15" x14ac:dyDescent="0.2">
      <c r="I28" s="132"/>
    </row>
    <row r="29" spans="1:15" x14ac:dyDescent="0.2">
      <c r="C29" s="9" t="s">
        <v>237</v>
      </c>
      <c r="I29" s="132"/>
    </row>
    <row r="30" spans="1:15" x14ac:dyDescent="0.2">
      <c r="I30" s="132"/>
    </row>
    <row r="31" spans="1:15" x14ac:dyDescent="0.2">
      <c r="A31" s="3">
        <v>7</v>
      </c>
      <c r="C31" s="3" t="s">
        <v>35</v>
      </c>
      <c r="E31" s="115" t="s">
        <v>209</v>
      </c>
      <c r="G31" s="59">
        <f>'Schedule 11'!$I$28</f>
        <v>133635.84354627278</v>
      </c>
      <c r="I31" s="132">
        <f>SUM(G31)/(G31+G33)</f>
        <v>0.58993467871632399</v>
      </c>
      <c r="K31" s="59">
        <f>SUM(K35)*(I31)</f>
        <v>131485.66933713626</v>
      </c>
      <c r="M31" s="118">
        <f>'Schedule 11'!I50</f>
        <v>3.2157782711097579E-2</v>
      </c>
      <c r="N31" s="119"/>
      <c r="O31" s="59">
        <f>SUM(K31)*(M31)</f>
        <v>4228.2875841668538</v>
      </c>
    </row>
    <row r="32" spans="1:15" x14ac:dyDescent="0.2">
      <c r="G32" s="59" t="s">
        <v>143</v>
      </c>
      <c r="I32" s="132"/>
      <c r="M32" s="119"/>
      <c r="N32" s="119" t="s">
        <v>143</v>
      </c>
      <c r="O32" s="59" t="s">
        <v>143</v>
      </c>
    </row>
    <row r="33" spans="1:15" x14ac:dyDescent="0.2">
      <c r="A33" s="3">
        <v>8</v>
      </c>
      <c r="C33" s="3" t="s">
        <v>36</v>
      </c>
      <c r="E33" s="115" t="s">
        <v>208</v>
      </c>
      <c r="G33" s="120">
        <f>AVERAGE('Schedule 7'!H25:I25)</f>
        <v>92890.665858225082</v>
      </c>
      <c r="I33" s="133">
        <f>SUM(G33)/(G31+G33)</f>
        <v>0.41006532128367607</v>
      </c>
      <c r="K33" s="120">
        <f>SUM(K35)*(I33)</f>
        <v>91396.073474193647</v>
      </c>
      <c r="M33" s="121">
        <v>8.4357688323590294E-2</v>
      </c>
      <c r="N33" s="119"/>
      <c r="O33" s="120">
        <f>K33*M33</f>
        <v>7709.9614801359858</v>
      </c>
    </row>
    <row r="34" spans="1:15" x14ac:dyDescent="0.2">
      <c r="I34" s="132"/>
      <c r="M34" s="119"/>
      <c r="N34" s="119"/>
      <c r="O34" s="59" t="s">
        <v>143</v>
      </c>
    </row>
    <row r="35" spans="1:15" ht="13.5" thickBot="1" x14ac:dyDescent="0.25">
      <c r="A35" s="3">
        <v>9</v>
      </c>
      <c r="C35" s="3" t="s">
        <v>37</v>
      </c>
      <c r="E35" s="115" t="s">
        <v>38</v>
      </c>
      <c r="G35" s="122">
        <f>SUM(G31+G33)</f>
        <v>226526.50940449786</v>
      </c>
      <c r="I35" s="134">
        <f>SUM(I31+I33)</f>
        <v>1</v>
      </c>
      <c r="K35" s="122">
        <f>'Schedule 1'!I53</f>
        <v>222881.7428113299</v>
      </c>
      <c r="M35" s="123">
        <f>SUM(I31)*(M31)+SUM(I33)*(M33)</f>
        <v>5.3563153777061973E-2</v>
      </c>
      <c r="N35" s="119"/>
      <c r="O35" s="122">
        <f>O31+O33</f>
        <v>11938.24906430284</v>
      </c>
    </row>
    <row r="36" spans="1:15" x14ac:dyDescent="0.2">
      <c r="G36" s="84"/>
      <c r="I36" s="136"/>
      <c r="K36" s="84"/>
      <c r="M36" s="127"/>
      <c r="N36" s="119"/>
      <c r="O36" s="84"/>
    </row>
    <row r="37" spans="1:15" x14ac:dyDescent="0.2">
      <c r="G37" s="84"/>
      <c r="I37" s="136"/>
      <c r="K37" s="84"/>
      <c r="M37" s="127"/>
      <c r="N37" s="119"/>
      <c r="O37" s="84"/>
    </row>
    <row r="38" spans="1:15" x14ac:dyDescent="0.2">
      <c r="C38" s="9" t="s">
        <v>238</v>
      </c>
      <c r="I38" s="132"/>
    </row>
    <row r="39" spans="1:15" x14ac:dyDescent="0.2">
      <c r="I39" s="132"/>
    </row>
    <row r="40" spans="1:15" x14ac:dyDescent="0.2">
      <c r="A40" s="3">
        <v>10</v>
      </c>
      <c r="C40" s="3" t="s">
        <v>35</v>
      </c>
      <c r="E40" s="115" t="s">
        <v>209</v>
      </c>
      <c r="G40" s="59">
        <f>'Schedule 11'!$J$28</f>
        <v>141509.33826913338</v>
      </c>
      <c r="I40" s="132">
        <f>SUM(G40)/(G40+G42)</f>
        <v>0.590023907051755</v>
      </c>
      <c r="K40" s="59">
        <f>SUM(K44)*(I40)</f>
        <v>141950.55951864715</v>
      </c>
      <c r="M40" s="118">
        <f>'Schedule 11'!J50</f>
        <v>2.0008693315932125E-2</v>
      </c>
      <c r="N40" s="119"/>
      <c r="O40" s="59">
        <f>SUM(K40)*(M40)</f>
        <v>2840.2452114335806</v>
      </c>
    </row>
    <row r="41" spans="1:15" x14ac:dyDescent="0.2">
      <c r="G41" s="59" t="s">
        <v>143</v>
      </c>
      <c r="I41" s="132"/>
      <c r="M41" s="119"/>
      <c r="N41" s="119" t="s">
        <v>143</v>
      </c>
      <c r="O41" s="59" t="s">
        <v>143</v>
      </c>
    </row>
    <row r="42" spans="1:15" x14ac:dyDescent="0.2">
      <c r="A42" s="3">
        <v>11</v>
      </c>
      <c r="C42" s="3" t="s">
        <v>36</v>
      </c>
      <c r="E42" s="115" t="s">
        <v>208</v>
      </c>
      <c r="G42" s="120">
        <f>AVERAGE('Schedule 7'!I25:J25)</f>
        <v>98327.27949815421</v>
      </c>
      <c r="I42" s="133">
        <f>SUM(G42)/(G40+G42)</f>
        <v>0.409976092948245</v>
      </c>
      <c r="K42" s="120">
        <f>SUM(K44)*(I42)</f>
        <v>98633.860573665646</v>
      </c>
      <c r="M42" s="121">
        <v>8.0992640305728239E-2</v>
      </c>
      <c r="N42" s="119"/>
      <c r="O42" s="120">
        <f>K42*M42</f>
        <v>7988.6167914082516</v>
      </c>
    </row>
    <row r="43" spans="1:15" x14ac:dyDescent="0.2">
      <c r="I43" s="132"/>
      <c r="M43" s="119"/>
      <c r="N43" s="119"/>
      <c r="O43" s="59" t="s">
        <v>143</v>
      </c>
    </row>
    <row r="44" spans="1:15" ht="13.5" thickBot="1" x14ac:dyDescent="0.25">
      <c r="A44" s="3">
        <v>12</v>
      </c>
      <c r="C44" s="3" t="s">
        <v>37</v>
      </c>
      <c r="E44" s="115" t="s">
        <v>38</v>
      </c>
      <c r="G44" s="122">
        <f>SUM(G40+G42)</f>
        <v>239836.61776728759</v>
      </c>
      <c r="I44" s="134">
        <f>SUM(I40+I42)</f>
        <v>1</v>
      </c>
      <c r="K44" s="122">
        <f>'Schedule 1'!J53</f>
        <v>240584.42009231279</v>
      </c>
      <c r="M44" s="123">
        <f>SUM(I40)*(M40)+SUM(I42)*(M42)</f>
        <v>4.5010653635371621E-2</v>
      </c>
      <c r="N44" s="119"/>
      <c r="O44" s="122">
        <f>O40+O42</f>
        <v>10828.862002841832</v>
      </c>
    </row>
    <row r="45" spans="1:15" x14ac:dyDescent="0.2">
      <c r="G45" s="84"/>
      <c r="I45" s="136"/>
      <c r="K45" s="84"/>
      <c r="M45" s="127"/>
      <c r="N45" s="119"/>
      <c r="O45" s="84"/>
    </row>
    <row r="46" spans="1:15" x14ac:dyDescent="0.2">
      <c r="G46" s="84"/>
      <c r="I46" s="136"/>
      <c r="K46" s="84"/>
      <c r="M46" s="127"/>
      <c r="N46" s="119"/>
      <c r="O46" s="84"/>
    </row>
    <row r="47" spans="1:15" x14ac:dyDescent="0.2">
      <c r="I47" s="132"/>
    </row>
    <row r="48" spans="1:15" ht="15.75" x14ac:dyDescent="0.25">
      <c r="A48" s="129" t="s">
        <v>5</v>
      </c>
      <c r="I48" s="132"/>
      <c r="O48" s="130" t="s">
        <v>33</v>
      </c>
    </row>
    <row r="49" spans="1:15" x14ac:dyDescent="0.2">
      <c r="A49" s="131" t="s">
        <v>26</v>
      </c>
      <c r="I49" s="132"/>
      <c r="O49" s="40" t="str">
        <f>'Schedule 1'!$Q$2</f>
        <v>June 2017</v>
      </c>
    </row>
    <row r="50" spans="1:15" x14ac:dyDescent="0.2">
      <c r="A50" s="131" t="s">
        <v>246</v>
      </c>
      <c r="I50" s="132"/>
    </row>
    <row r="51" spans="1:15" x14ac:dyDescent="0.2">
      <c r="A51" s="131" t="s">
        <v>7</v>
      </c>
      <c r="I51" s="132"/>
    </row>
    <row r="52" spans="1:15" x14ac:dyDescent="0.2">
      <c r="I52" s="132"/>
    </row>
    <row r="53" spans="1:15" x14ac:dyDescent="0.2">
      <c r="I53" s="132"/>
    </row>
    <row r="54" spans="1:15" x14ac:dyDescent="0.2">
      <c r="A54" s="6"/>
      <c r="B54" s="6"/>
      <c r="C54" s="6"/>
      <c r="D54" s="6"/>
      <c r="F54" s="6"/>
      <c r="G54" s="116"/>
      <c r="H54" s="6"/>
      <c r="I54" s="137"/>
      <c r="J54" s="6"/>
      <c r="K54" s="116"/>
      <c r="L54" s="6"/>
      <c r="M54" s="6"/>
      <c r="N54" s="6"/>
      <c r="O54" s="116"/>
    </row>
    <row r="55" spans="1:15" ht="25.5" x14ac:dyDescent="0.2">
      <c r="A55" s="20" t="s">
        <v>0</v>
      </c>
      <c r="B55" s="21"/>
      <c r="C55" s="20" t="s">
        <v>1</v>
      </c>
      <c r="D55" s="21"/>
      <c r="E55" s="20" t="s">
        <v>2</v>
      </c>
      <c r="F55" s="21"/>
      <c r="G55" s="117" t="s">
        <v>27</v>
      </c>
      <c r="H55" s="21"/>
      <c r="I55" s="138" t="s">
        <v>28</v>
      </c>
      <c r="J55" s="21"/>
      <c r="K55" s="117" t="s">
        <v>29</v>
      </c>
      <c r="L55" s="21"/>
      <c r="M55" s="20" t="s">
        <v>30</v>
      </c>
      <c r="N55" s="21"/>
      <c r="O55" s="117" t="s">
        <v>31</v>
      </c>
    </row>
    <row r="56" spans="1:15" x14ac:dyDescent="0.2">
      <c r="I56" s="132"/>
    </row>
    <row r="57" spans="1:15" x14ac:dyDescent="0.2">
      <c r="C57" s="9" t="s">
        <v>273</v>
      </c>
      <c r="I57" s="132"/>
    </row>
    <row r="58" spans="1:15" x14ac:dyDescent="0.2">
      <c r="I58" s="132"/>
    </row>
    <row r="59" spans="1:15" x14ac:dyDescent="0.2">
      <c r="A59" s="3">
        <v>1</v>
      </c>
      <c r="C59" s="3" t="s">
        <v>35</v>
      </c>
      <c r="E59" s="115" t="s">
        <v>209</v>
      </c>
      <c r="G59" s="59">
        <f>'Schedule 11'!$K$28</f>
        <v>152363.31235581246</v>
      </c>
      <c r="I59" s="132">
        <f>SUM(G59)/(G59+G61)</f>
        <v>0.59835827590052515</v>
      </c>
      <c r="K59" s="59">
        <f>SUM(K63)*(I59)</f>
        <v>154412.28821767509</v>
      </c>
      <c r="M59" s="118">
        <f>'Schedule 11'!K50</f>
        <v>2.0978641636088469E-2</v>
      </c>
      <c r="N59" s="119"/>
      <c r="O59" s="59">
        <f>SUM(K59)*(M59)</f>
        <v>3239.3600587270116</v>
      </c>
    </row>
    <row r="60" spans="1:15" x14ac:dyDescent="0.2">
      <c r="G60" s="59" t="s">
        <v>143</v>
      </c>
      <c r="I60" s="132"/>
      <c r="M60" s="119"/>
      <c r="N60" s="119" t="s">
        <v>143</v>
      </c>
      <c r="O60" s="59" t="s">
        <v>143</v>
      </c>
    </row>
    <row r="61" spans="1:15" x14ac:dyDescent="0.2">
      <c r="A61" s="3">
        <v>2</v>
      </c>
      <c r="C61" s="3" t="s">
        <v>36</v>
      </c>
      <c r="E61" s="115" t="s">
        <v>208</v>
      </c>
      <c r="G61" s="120">
        <f>AVERAGE('Schedule 7'!J25:K25)</f>
        <v>102272.27721049999</v>
      </c>
      <c r="I61" s="133">
        <f>SUM(G61)/(G59+G61)</f>
        <v>0.40164172409947491</v>
      </c>
      <c r="K61" s="120">
        <f>SUM(K63)*(I61)</f>
        <v>103647.63079202801</v>
      </c>
      <c r="M61" s="121">
        <v>8.6855807172807595E-2</v>
      </c>
      <c r="N61" s="119"/>
      <c r="O61" s="120">
        <f>K61*M61</f>
        <v>9002.3986339907387</v>
      </c>
    </row>
    <row r="62" spans="1:15" x14ac:dyDescent="0.2">
      <c r="I62" s="132"/>
      <c r="M62" s="119"/>
      <c r="N62" s="119"/>
      <c r="O62" s="59" t="s">
        <v>143</v>
      </c>
    </row>
    <row r="63" spans="1:15" ht="13.5" thickBot="1" x14ac:dyDescent="0.25">
      <c r="A63" s="3">
        <v>3</v>
      </c>
      <c r="C63" s="3" t="s">
        <v>37</v>
      </c>
      <c r="E63" s="115" t="s">
        <v>38</v>
      </c>
      <c r="G63" s="122">
        <f>SUM(G59+G61)</f>
        <v>254635.58956631244</v>
      </c>
      <c r="I63" s="134">
        <f>SUM(I59+I61)</f>
        <v>1</v>
      </c>
      <c r="K63" s="122">
        <f>'Schedule 1'!K53</f>
        <v>258059.9190097031</v>
      </c>
      <c r="M63" s="123">
        <f>SUM(I59)*(M59)+SUM(I61)*(M61)</f>
        <v>4.7437659981042851E-2</v>
      </c>
      <c r="N63" s="119"/>
      <c r="O63" s="122">
        <f>O59+O61</f>
        <v>12241.758692717751</v>
      </c>
    </row>
    <row r="64" spans="1:15" x14ac:dyDescent="0.2">
      <c r="I64" s="132"/>
    </row>
    <row r="65" spans="1:15" x14ac:dyDescent="0.2">
      <c r="I65" s="132"/>
    </row>
    <row r="66" spans="1:15" x14ac:dyDescent="0.2">
      <c r="C66" s="9" t="s">
        <v>240</v>
      </c>
      <c r="I66" s="132"/>
    </row>
    <row r="67" spans="1:15" x14ac:dyDescent="0.2">
      <c r="I67" s="132"/>
    </row>
    <row r="68" spans="1:15" x14ac:dyDescent="0.2">
      <c r="A68" s="3">
        <v>4</v>
      </c>
      <c r="C68" s="3" t="s">
        <v>35</v>
      </c>
      <c r="E68" s="115" t="s">
        <v>209</v>
      </c>
      <c r="G68" s="59">
        <f>'Schedule 11'!$M$28</f>
        <v>159392.13688552342</v>
      </c>
      <c r="I68" s="132">
        <f>SUM(G68)/(G68+G70)</f>
        <v>0.59884503513888776</v>
      </c>
      <c r="K68" s="124">
        <f>SUM(K72)*(I68)</f>
        <v>158995.78327493719</v>
      </c>
      <c r="M68" s="118">
        <f>'Schedule 11'!M50</f>
        <v>2.2499538858585522E-2</v>
      </c>
      <c r="N68" s="119"/>
      <c r="O68" s="124">
        <f>SUM(K68)*(M68)</f>
        <v>3577.3318041456914</v>
      </c>
    </row>
    <row r="69" spans="1:15" x14ac:dyDescent="0.2">
      <c r="G69" s="59" t="s">
        <v>143</v>
      </c>
      <c r="I69" s="132"/>
      <c r="M69" s="119"/>
      <c r="N69" s="119" t="s">
        <v>143</v>
      </c>
      <c r="O69" s="59" t="s">
        <v>143</v>
      </c>
    </row>
    <row r="70" spans="1:15" x14ac:dyDescent="0.2">
      <c r="A70" s="3">
        <v>5</v>
      </c>
      <c r="C70" s="3" t="s">
        <v>36</v>
      </c>
      <c r="E70" s="115" t="s">
        <v>208</v>
      </c>
      <c r="G70" s="120">
        <f>AVERAGE('Schedule 7'!K25,'Schedule 7'!M25)</f>
        <v>106773.77838929594</v>
      </c>
      <c r="I70" s="133">
        <f>SUM(G70)/(G68+G70)</f>
        <v>0.40115496486111224</v>
      </c>
      <c r="K70" s="125">
        <f>SUM(K72)*(I70)</f>
        <v>106508.26860062346</v>
      </c>
      <c r="M70" s="121">
        <v>8.1725964451995523E-2</v>
      </c>
      <c r="N70" s="119"/>
      <c r="O70" s="125">
        <f>SUM(K70)*(M70)</f>
        <v>8704.4909734981429</v>
      </c>
    </row>
    <row r="71" spans="1:15" x14ac:dyDescent="0.2">
      <c r="I71" s="132"/>
      <c r="M71" s="119"/>
      <c r="N71" s="119"/>
      <c r="O71" s="59" t="s">
        <v>143</v>
      </c>
    </row>
    <row r="72" spans="1:15" ht="13.5" thickBot="1" x14ac:dyDescent="0.25">
      <c r="A72" s="3">
        <v>6</v>
      </c>
      <c r="C72" s="3" t="s">
        <v>37</v>
      </c>
      <c r="E72" s="115" t="s">
        <v>38</v>
      </c>
      <c r="G72" s="126">
        <f>SUM(G68+G70)</f>
        <v>266165.91527481936</v>
      </c>
      <c r="I72" s="134">
        <f>SUM(I68+I70)</f>
        <v>1</v>
      </c>
      <c r="K72" s="126">
        <f>'Schedule 1'!M53</f>
        <v>265504.05187556066</v>
      </c>
      <c r="M72" s="123">
        <f>SUM(I68)*(M68)+SUM(I70)*(M70)</f>
        <v>4.6258513536359194E-2</v>
      </c>
      <c r="N72" s="119"/>
      <c r="O72" s="126">
        <f>O70+O68</f>
        <v>12281.822777643834</v>
      </c>
    </row>
    <row r="73" spans="1:15" x14ac:dyDescent="0.2">
      <c r="I73" s="132"/>
    </row>
    <row r="74" spans="1:15" x14ac:dyDescent="0.2">
      <c r="I74" s="132"/>
    </row>
    <row r="75" spans="1:15" x14ac:dyDescent="0.2">
      <c r="C75" s="9" t="s">
        <v>241</v>
      </c>
      <c r="I75" s="132"/>
    </row>
    <row r="76" spans="1:15" x14ac:dyDescent="0.2">
      <c r="I76" s="132"/>
    </row>
    <row r="77" spans="1:15" x14ac:dyDescent="0.2">
      <c r="A77" s="3">
        <v>7</v>
      </c>
      <c r="C77" s="3" t="s">
        <v>35</v>
      </c>
      <c r="E77" s="115" t="s">
        <v>209</v>
      </c>
      <c r="G77" s="59">
        <f>'Schedule 11'!$N$28</f>
        <v>164746.50269077343</v>
      </c>
      <c r="I77" s="132">
        <f>SUM(G77)/(G77+G79)</f>
        <v>0.59888250170493174</v>
      </c>
      <c r="K77" s="124">
        <f>SUM(K81)*(I77)</f>
        <v>164368.79465793481</v>
      </c>
      <c r="M77" s="118">
        <f>'Schedule 11'!N50</f>
        <v>2.1768289578444955E-2</v>
      </c>
      <c r="N77" s="119"/>
      <c r="O77" s="124">
        <f>SUM(K77)*(M77)</f>
        <v>3578.0275197738811</v>
      </c>
    </row>
    <row r="78" spans="1:15" x14ac:dyDescent="0.2">
      <c r="G78" s="59" t="s">
        <v>143</v>
      </c>
      <c r="I78" s="132"/>
      <c r="M78" s="119"/>
      <c r="N78" s="119" t="s">
        <v>143</v>
      </c>
      <c r="O78" s="59" t="s">
        <v>143</v>
      </c>
    </row>
    <row r="79" spans="1:15" x14ac:dyDescent="0.2">
      <c r="A79" s="3">
        <v>8</v>
      </c>
      <c r="C79" s="3" t="s">
        <v>36</v>
      </c>
      <c r="E79" s="115" t="s">
        <v>208</v>
      </c>
      <c r="G79" s="120">
        <f>AVERAGE('Schedule 7'!K25,'Schedule 7'!N25)</f>
        <v>110343.35587374296</v>
      </c>
      <c r="I79" s="133">
        <f>SUM(G79)/(G77+G79)</f>
        <v>0.40111749829506815</v>
      </c>
      <c r="K79" s="125">
        <f>SUM(K81)*(I79)</f>
        <v>110090.37586382971</v>
      </c>
      <c r="M79" s="121">
        <v>8.8210189526311197E-2</v>
      </c>
      <c r="N79" s="119"/>
      <c r="O79" s="125">
        <f>SUM(K79)*(M79)</f>
        <v>9711.0929199712555</v>
      </c>
    </row>
    <row r="80" spans="1:15" x14ac:dyDescent="0.2">
      <c r="I80" s="132"/>
      <c r="M80" s="119"/>
      <c r="N80" s="119"/>
      <c r="O80" s="59" t="s">
        <v>143</v>
      </c>
    </row>
    <row r="81" spans="1:15" ht="13.5" thickBot="1" x14ac:dyDescent="0.25">
      <c r="A81" s="3">
        <v>9</v>
      </c>
      <c r="C81" s="3" t="s">
        <v>37</v>
      </c>
      <c r="E81" s="115" t="s">
        <v>38</v>
      </c>
      <c r="G81" s="126">
        <f>SUM(G77+G79)</f>
        <v>275089.85856451641</v>
      </c>
      <c r="I81" s="134">
        <f>SUM(I77+I79)</f>
        <v>0.99999999999999989</v>
      </c>
      <c r="K81" s="126">
        <f>'Schedule 1'!N53</f>
        <v>274459.17052176455</v>
      </c>
      <c r="M81" s="123">
        <f>SUM(I77)*(M77)+SUM(I79)*(M79)</f>
        <v>4.8419298267504275E-2</v>
      </c>
      <c r="N81" s="119"/>
      <c r="O81" s="126">
        <f>O77+O79</f>
        <v>13289.120439745137</v>
      </c>
    </row>
    <row r="82" spans="1:15" x14ac:dyDescent="0.2">
      <c r="I82" s="132"/>
    </row>
    <row r="83" spans="1:15" x14ac:dyDescent="0.2">
      <c r="I83" s="132"/>
    </row>
    <row r="84" spans="1:15" ht="15.75" x14ac:dyDescent="0.25">
      <c r="A84" s="129" t="s">
        <v>5</v>
      </c>
      <c r="I84" s="132"/>
      <c r="O84" s="130" t="s">
        <v>34</v>
      </c>
    </row>
    <row r="85" spans="1:15" x14ac:dyDescent="0.2">
      <c r="A85" s="131" t="s">
        <v>26</v>
      </c>
      <c r="I85" s="132"/>
      <c r="O85" s="40" t="str">
        <f>'Schedule 1'!$Q$2</f>
        <v>June 2017</v>
      </c>
    </row>
    <row r="86" spans="1:15" x14ac:dyDescent="0.2">
      <c r="A86" s="131" t="s">
        <v>247</v>
      </c>
      <c r="I86" s="132"/>
    </row>
    <row r="87" spans="1:15" x14ac:dyDescent="0.2">
      <c r="A87" s="131" t="s">
        <v>7</v>
      </c>
      <c r="I87" s="132"/>
    </row>
    <row r="88" spans="1:15" x14ac:dyDescent="0.2">
      <c r="I88" s="132"/>
    </row>
    <row r="89" spans="1:15" x14ac:dyDescent="0.2">
      <c r="I89" s="132"/>
    </row>
    <row r="90" spans="1:15" x14ac:dyDescent="0.2">
      <c r="A90" s="6"/>
      <c r="B90" s="6"/>
      <c r="C90" s="6"/>
      <c r="D90" s="6"/>
      <c r="F90" s="6"/>
      <c r="G90" s="116"/>
      <c r="H90" s="6"/>
      <c r="I90" s="137"/>
      <c r="J90" s="6"/>
      <c r="K90" s="116"/>
      <c r="L90" s="6"/>
      <c r="M90" s="6"/>
      <c r="N90" s="6"/>
      <c r="O90" s="116"/>
    </row>
    <row r="91" spans="1:15" ht="25.5" x14ac:dyDescent="0.2">
      <c r="A91" s="20" t="s">
        <v>0</v>
      </c>
      <c r="B91" s="21"/>
      <c r="C91" s="20" t="s">
        <v>1</v>
      </c>
      <c r="D91" s="21"/>
      <c r="E91" s="20" t="s">
        <v>2</v>
      </c>
      <c r="F91" s="21"/>
      <c r="G91" s="117" t="s">
        <v>27</v>
      </c>
      <c r="H91" s="21"/>
      <c r="I91" s="138" t="s">
        <v>28</v>
      </c>
      <c r="J91" s="21"/>
      <c r="K91" s="117" t="s">
        <v>29</v>
      </c>
      <c r="L91" s="21"/>
      <c r="M91" s="20" t="s">
        <v>30</v>
      </c>
      <c r="N91" s="21"/>
      <c r="O91" s="117" t="s">
        <v>31</v>
      </c>
    </row>
    <row r="92" spans="1:15" x14ac:dyDescent="0.2">
      <c r="I92" s="132"/>
    </row>
    <row r="93" spans="1:15" x14ac:dyDescent="0.2">
      <c r="C93" s="9" t="s">
        <v>242</v>
      </c>
      <c r="I93" s="132"/>
    </row>
    <row r="94" spans="1:15" x14ac:dyDescent="0.2">
      <c r="I94" s="132"/>
    </row>
    <row r="95" spans="1:15" x14ac:dyDescent="0.2">
      <c r="A95" s="3">
        <v>1</v>
      </c>
      <c r="C95" s="3" t="s">
        <v>35</v>
      </c>
      <c r="E95" s="115" t="s">
        <v>209</v>
      </c>
      <c r="G95" s="59">
        <f>'Schedule 11'!$P$28</f>
        <v>164385.04437167948</v>
      </c>
      <c r="I95" s="132">
        <f>SUM(G95)/(G95+G97)</f>
        <v>0.59999142716417653</v>
      </c>
      <c r="K95" s="124">
        <f>SUM(K99)*(I95)</f>
        <v>164386.92912896778</v>
      </c>
      <c r="M95" s="118">
        <f>'Schedule 11'!P50</f>
        <v>2.3282681154600839E-2</v>
      </c>
      <c r="N95" s="119"/>
      <c r="O95" s="124">
        <f>SUM(K95)*(M95)</f>
        <v>3827.3684568937219</v>
      </c>
    </row>
    <row r="96" spans="1:15" x14ac:dyDescent="0.2">
      <c r="G96" s="59" t="s">
        <v>143</v>
      </c>
      <c r="I96" s="132"/>
      <c r="M96" s="119"/>
      <c r="N96" s="119" t="s">
        <v>143</v>
      </c>
      <c r="O96" s="59" t="s">
        <v>143</v>
      </c>
    </row>
    <row r="97" spans="1:15" x14ac:dyDescent="0.2">
      <c r="A97" s="3">
        <v>2</v>
      </c>
      <c r="C97" s="3" t="s">
        <v>36</v>
      </c>
      <c r="E97" s="115" t="s">
        <v>208</v>
      </c>
      <c r="G97" s="120">
        <f>AVERAGE('Schedule 7'!M25,'Schedule 7'!P25)</f>
        <v>109593.9442092666</v>
      </c>
      <c r="I97" s="133">
        <f>SUM(G97)/(G95+G97)</f>
        <v>0.40000857283582336</v>
      </c>
      <c r="K97" s="125">
        <f>SUM(K99)*(I97)</f>
        <v>109595.20075900864</v>
      </c>
      <c r="M97" s="121">
        <v>7.8938042930155647E-2</v>
      </c>
      <c r="N97" s="119"/>
      <c r="O97" s="125">
        <f>SUM(K97)*(M97)</f>
        <v>8651.2306624536504</v>
      </c>
    </row>
    <row r="98" spans="1:15" x14ac:dyDescent="0.2">
      <c r="I98" s="132"/>
      <c r="M98" s="119"/>
      <c r="N98" s="119"/>
      <c r="O98" s="59" t="s">
        <v>143</v>
      </c>
    </row>
    <row r="99" spans="1:15" ht="13.5" thickBot="1" x14ac:dyDescent="0.25">
      <c r="A99" s="3">
        <v>3</v>
      </c>
      <c r="C99" s="3" t="s">
        <v>37</v>
      </c>
      <c r="E99" s="115" t="s">
        <v>38</v>
      </c>
      <c r="G99" s="126">
        <f>SUM(G95+G97)</f>
        <v>273978.98858094611</v>
      </c>
      <c r="I99" s="134">
        <f>SUM(I95+I97)</f>
        <v>0.99999999999999989</v>
      </c>
      <c r="K99" s="126">
        <f>'Schedule 1'!P53</f>
        <v>273982.12988797645</v>
      </c>
      <c r="M99" s="123">
        <f>SUM(I95)*(M95)+SUM(I97)*(M97)</f>
        <v>4.5545302989101949E-2</v>
      </c>
      <c r="N99" s="119"/>
      <c r="O99" s="126">
        <f>O97+O95</f>
        <v>12478.599119347373</v>
      </c>
    </row>
    <row r="100" spans="1:15" x14ac:dyDescent="0.2">
      <c r="I100" s="132"/>
    </row>
    <row r="101" spans="1:15" x14ac:dyDescent="0.2">
      <c r="I101" s="132"/>
    </row>
    <row r="102" spans="1:15" x14ac:dyDescent="0.2">
      <c r="C102" s="9" t="s">
        <v>243</v>
      </c>
      <c r="I102" s="132"/>
    </row>
    <row r="103" spans="1:15" x14ac:dyDescent="0.2">
      <c r="I103" s="132"/>
    </row>
    <row r="104" spans="1:15" x14ac:dyDescent="0.2">
      <c r="A104" s="3">
        <v>4</v>
      </c>
      <c r="C104" s="3" t="s">
        <v>35</v>
      </c>
      <c r="E104" s="115" t="s">
        <v>209</v>
      </c>
      <c r="G104" s="59">
        <f>'Schedule 11'!$Q$28</f>
        <v>174972.75309670973</v>
      </c>
      <c r="I104" s="132">
        <f>SUM(G104)/(G104+G106)</f>
        <v>0.59999177026009409</v>
      </c>
      <c r="K104" s="124">
        <f>SUM(K108)*(I104)</f>
        <v>174973.60923295552</v>
      </c>
      <c r="M104" s="118">
        <f>'Schedule 11'!Q50</f>
        <v>2.3189735073739885E-2</v>
      </c>
      <c r="N104" s="119"/>
      <c r="O104" s="124">
        <f>SUM(K104)*(M104)</f>
        <v>4057.5916430083257</v>
      </c>
    </row>
    <row r="105" spans="1:15" x14ac:dyDescent="0.2">
      <c r="G105" s="59" t="s">
        <v>143</v>
      </c>
      <c r="I105" s="132"/>
      <c r="M105" s="119"/>
      <c r="N105" s="119" t="s">
        <v>143</v>
      </c>
      <c r="O105" s="59" t="s">
        <v>143</v>
      </c>
    </row>
    <row r="106" spans="1:15" x14ac:dyDescent="0.2">
      <c r="A106" s="3">
        <v>5</v>
      </c>
      <c r="C106" s="3" t="s">
        <v>36</v>
      </c>
      <c r="E106" s="115" t="s">
        <v>208</v>
      </c>
      <c r="G106" s="120">
        <f>AVERAGE('Schedule 7'!N25,'Schedule 7'!Q25)</f>
        <v>116652.50206447314</v>
      </c>
      <c r="I106" s="133">
        <f>SUM(G106)/(G104+G106)</f>
        <v>0.40000822973990602</v>
      </c>
      <c r="K106" s="125">
        <f>SUM(K108)*(I106)</f>
        <v>116653.07284154221</v>
      </c>
      <c r="M106" s="121">
        <v>8.8212467588194801E-2</v>
      </c>
      <c r="N106" s="119"/>
      <c r="O106" s="125">
        <f>SUM(K106)*(M106)</f>
        <v>10290.255407097869</v>
      </c>
    </row>
    <row r="107" spans="1:15" x14ac:dyDescent="0.2">
      <c r="I107" s="132"/>
      <c r="M107" s="119"/>
      <c r="N107" s="119"/>
      <c r="O107" s="59" t="s">
        <v>143</v>
      </c>
    </row>
    <row r="108" spans="1:15" ht="13.5" thickBot="1" x14ac:dyDescent="0.25">
      <c r="A108" s="3">
        <v>6</v>
      </c>
      <c r="C108" s="3" t="s">
        <v>37</v>
      </c>
      <c r="E108" s="115" t="s">
        <v>38</v>
      </c>
      <c r="G108" s="126">
        <f>SUM(G104+G106)</f>
        <v>291625.25516118284</v>
      </c>
      <c r="I108" s="134">
        <f>SUM(I104+I106)</f>
        <v>1</v>
      </c>
      <c r="K108" s="126">
        <f>'Schedule 1'!Q53</f>
        <v>291626.68207449769</v>
      </c>
      <c r="M108" s="123">
        <f>SUM(I104)*(M104)+SUM(I106)*(M106)</f>
        <v>4.9199363199698427E-2</v>
      </c>
      <c r="N108" s="119"/>
      <c r="O108" s="126">
        <f>O104+O106</f>
        <v>14347.847050106195</v>
      </c>
    </row>
  </sheetData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83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39997558519241921"/>
    <pageSetUpPr fitToPage="1"/>
  </sheetPr>
  <dimension ref="A1:R33"/>
  <sheetViews>
    <sheetView view="pageBreakPreview" zoomScaleSheetLayoutView="100" workbookViewId="0">
      <selection activeCell="C26" sqref="C26"/>
    </sheetView>
  </sheetViews>
  <sheetFormatPr defaultRowHeight="12.75" x14ac:dyDescent="0.2"/>
  <cols>
    <col min="1" max="1" width="7.42578125" style="2" customWidth="1"/>
    <col min="2" max="2" width="1.85546875" style="2" customWidth="1"/>
    <col min="3" max="3" width="28" style="2" customWidth="1"/>
    <col min="4" max="4" width="3.5703125" style="2" customWidth="1"/>
    <col min="5" max="5" width="9.140625" style="11"/>
    <col min="6" max="6" width="1.85546875" style="2" customWidth="1"/>
    <col min="7" max="7" width="10.42578125" style="2" customWidth="1"/>
    <col min="8" max="11" width="9.28515625" style="2" customWidth="1"/>
    <col min="12" max="12" width="1.42578125" style="12" customWidth="1"/>
    <col min="13" max="14" width="10.140625" style="2" customWidth="1"/>
    <col min="15" max="15" width="1.42578125" style="12" customWidth="1"/>
    <col min="16" max="17" width="10.140625" style="2" customWidth="1"/>
    <col min="18" max="18" width="1.85546875" style="2" customWidth="1"/>
    <col min="19" max="16384" width="9.140625" style="2"/>
  </cols>
  <sheetData>
    <row r="1" spans="1:18" ht="15.75" x14ac:dyDescent="0.25">
      <c r="A1" s="10" t="s">
        <v>5</v>
      </c>
      <c r="L1" s="2"/>
      <c r="O1" s="2"/>
      <c r="Q1" s="15" t="s">
        <v>15</v>
      </c>
    </row>
    <row r="2" spans="1:18" x14ac:dyDescent="0.2">
      <c r="A2" s="16" t="s">
        <v>14</v>
      </c>
      <c r="L2" s="2"/>
      <c r="O2" s="2"/>
      <c r="Q2" s="18" t="str">
        <f>'Schedule 1'!$Q$2</f>
        <v>June 2017</v>
      </c>
    </row>
    <row r="3" spans="1:18" x14ac:dyDescent="0.2">
      <c r="A3" s="16" t="s">
        <v>7</v>
      </c>
      <c r="L3" s="2"/>
      <c r="O3" s="2"/>
    </row>
    <row r="4" spans="1:18" x14ac:dyDescent="0.2">
      <c r="R4" s="2" t="s">
        <v>143</v>
      </c>
    </row>
    <row r="6" spans="1:18" s="11" customFormat="1" x14ac:dyDescent="0.2">
      <c r="G6" s="19"/>
      <c r="H6" s="19"/>
      <c r="I6" s="19"/>
      <c r="J6" s="19"/>
      <c r="K6" s="19"/>
      <c r="L6" s="19"/>
      <c r="M6" s="160" t="s">
        <v>3</v>
      </c>
      <c r="N6" s="160"/>
      <c r="O6" s="19"/>
      <c r="P6" s="160" t="s">
        <v>3</v>
      </c>
      <c r="Q6" s="160"/>
    </row>
    <row r="7" spans="1:18" s="21" customFormat="1" ht="25.5" x14ac:dyDescent="0.2">
      <c r="A7" s="20" t="s">
        <v>0</v>
      </c>
      <c r="C7" s="20" t="s">
        <v>1</v>
      </c>
      <c r="E7" s="20" t="s">
        <v>2</v>
      </c>
      <c r="G7" s="20" t="s">
        <v>228</v>
      </c>
      <c r="H7" s="20" t="s">
        <v>229</v>
      </c>
      <c r="I7" s="20" t="s">
        <v>230</v>
      </c>
      <c r="J7" s="20" t="s">
        <v>231</v>
      </c>
      <c r="K7" s="20" t="s">
        <v>272</v>
      </c>
      <c r="L7" s="22"/>
      <c r="M7" s="20" t="str">
        <f>'Schedule 1'!$M$7</f>
        <v>Existing 2017</v>
      </c>
      <c r="N7" s="20" t="str">
        <f>'Schedule 1'!$N$7</f>
        <v>Proposed 2017</v>
      </c>
      <c r="O7" s="22"/>
      <c r="P7" s="20" t="str">
        <f>'Schedule 1'!$P$7</f>
        <v>Existing 2018</v>
      </c>
      <c r="Q7" s="20" t="str">
        <f>'Schedule 1'!$Q$7</f>
        <v>Proposed 2018</v>
      </c>
    </row>
    <row r="9" spans="1:18" x14ac:dyDescent="0.2">
      <c r="A9" s="2">
        <v>1</v>
      </c>
      <c r="C9" s="2" t="s">
        <v>97</v>
      </c>
      <c r="E9" s="11" t="s">
        <v>188</v>
      </c>
      <c r="G9" s="31">
        <f>'Schedule 1'!G53</f>
        <v>226683.93863502727</v>
      </c>
      <c r="H9" s="31">
        <f>'Schedule 1'!H53</f>
        <v>223057.64588841432</v>
      </c>
      <c r="I9" s="31">
        <f>'Schedule 1'!I53</f>
        <v>222881.7428113299</v>
      </c>
      <c r="J9" s="31">
        <f>'Schedule 1'!J53</f>
        <v>240584.42009231279</v>
      </c>
      <c r="K9" s="31">
        <f>'Schedule 1'!K53</f>
        <v>258059.9190097031</v>
      </c>
      <c r="L9" s="32"/>
      <c r="M9" s="31">
        <f>'Schedule 1'!M53</f>
        <v>265504.05187556066</v>
      </c>
      <c r="N9" s="31">
        <f>'Schedule 1'!N53</f>
        <v>274459.17052176455</v>
      </c>
      <c r="O9" s="32"/>
      <c r="P9" s="31">
        <f>'Schedule 1'!P53</f>
        <v>273982.12988797645</v>
      </c>
      <c r="Q9" s="31">
        <f>'Schedule 1'!Q53</f>
        <v>291626.68207449769</v>
      </c>
      <c r="R9" s="25"/>
    </row>
    <row r="10" spans="1:18" x14ac:dyDescent="0.2">
      <c r="G10" s="2" t="s">
        <v>143</v>
      </c>
      <c r="H10" s="2" t="s">
        <v>143</v>
      </c>
      <c r="I10" s="2" t="s">
        <v>143</v>
      </c>
      <c r="J10" s="2" t="s">
        <v>143</v>
      </c>
      <c r="K10" s="2" t="s">
        <v>143</v>
      </c>
      <c r="M10" s="2" t="s">
        <v>143</v>
      </c>
      <c r="N10" s="2" t="s">
        <v>143</v>
      </c>
      <c r="P10" s="2" t="s">
        <v>143</v>
      </c>
      <c r="Q10" s="2" t="s">
        <v>143</v>
      </c>
    </row>
    <row r="11" spans="1:18" x14ac:dyDescent="0.2">
      <c r="A11" s="2">
        <v>2</v>
      </c>
      <c r="C11" s="2" t="s">
        <v>200</v>
      </c>
      <c r="G11" s="36">
        <f t="shared" ref="G11:K11" si="0">SUM(G13)/(G9)</f>
        <v>5.44720044191154E-2</v>
      </c>
      <c r="H11" s="36">
        <f>SUM(H13)/(H9)</f>
        <v>4.993351220297032E-2</v>
      </c>
      <c r="I11" s="36">
        <f t="shared" si="0"/>
        <v>5.3563153777061973E-2</v>
      </c>
      <c r="J11" s="36">
        <f t="shared" si="0"/>
        <v>4.5010653635371621E-2</v>
      </c>
      <c r="K11" s="36">
        <f t="shared" si="0"/>
        <v>4.7437659981042844E-2</v>
      </c>
      <c r="L11" s="111"/>
      <c r="M11" s="36">
        <f>SUM(M13)/(M9)</f>
        <v>4.6258513536359187E-2</v>
      </c>
      <c r="N11" s="36">
        <f>SUM(N13)/(N9)</f>
        <v>4.8419298267504282E-2</v>
      </c>
      <c r="O11" s="111"/>
      <c r="P11" s="36">
        <f>SUM(P13)/(P9)</f>
        <v>4.5545302989101949E-2</v>
      </c>
      <c r="Q11" s="36">
        <f>SUM(Q13)/(Q9)</f>
        <v>4.9199363199698427E-2</v>
      </c>
      <c r="R11" s="36" t="s">
        <v>143</v>
      </c>
    </row>
    <row r="13" spans="1:18" x14ac:dyDescent="0.2">
      <c r="A13" s="2">
        <v>3</v>
      </c>
      <c r="C13" s="2" t="s">
        <v>98</v>
      </c>
      <c r="E13" s="11" t="s">
        <v>210</v>
      </c>
      <c r="G13" s="31">
        <f>'Schedule 4'!O17</f>
        <v>12347.92850706969</v>
      </c>
      <c r="H13" s="31">
        <f>'Schedule 4'!O26</f>
        <v>11138.051682934969</v>
      </c>
      <c r="I13" s="31">
        <f>'Schedule 4'!O35</f>
        <v>11938.24906430284</v>
      </c>
      <c r="J13" s="31">
        <f>'Schedule 4'!O44</f>
        <v>10828.862002841832</v>
      </c>
      <c r="K13" s="31">
        <f>'Schedule 4'!O63</f>
        <v>12241.758692717751</v>
      </c>
      <c r="L13" s="32"/>
      <c r="M13" s="31">
        <f>'Schedule 4'!O72</f>
        <v>12281.822777643834</v>
      </c>
      <c r="N13" s="31">
        <f>'Schedule 4'!O81</f>
        <v>13289.120439745137</v>
      </c>
      <c r="O13" s="31"/>
      <c r="P13" s="31">
        <f>'Schedule 4'!O99</f>
        <v>12478.599119347373</v>
      </c>
      <c r="Q13" s="31">
        <f>'Schedule 4'!O108</f>
        <v>14347.847050106195</v>
      </c>
    </row>
    <row r="14" spans="1:18" x14ac:dyDescent="0.2">
      <c r="J14" s="14"/>
      <c r="M14" s="31"/>
      <c r="N14" s="31"/>
      <c r="O14" s="31"/>
      <c r="P14" s="31"/>
      <c r="Q14" s="31"/>
    </row>
    <row r="15" spans="1:18" x14ac:dyDescent="0.2">
      <c r="A15" s="2">
        <v>4</v>
      </c>
      <c r="C15" s="2" t="s">
        <v>99</v>
      </c>
      <c r="M15" s="31"/>
      <c r="N15" s="31"/>
      <c r="O15" s="31"/>
      <c r="P15" s="31"/>
      <c r="Q15" s="31"/>
    </row>
    <row r="16" spans="1:18" x14ac:dyDescent="0.2">
      <c r="A16" s="2">
        <v>5</v>
      </c>
      <c r="C16" s="2" t="s">
        <v>177</v>
      </c>
      <c r="E16" s="11" t="s">
        <v>141</v>
      </c>
      <c r="G16" s="31">
        <f>'Schedule 6'!G12</f>
        <v>20843.807625559384</v>
      </c>
      <c r="H16" s="31">
        <f>'Schedule 6'!H12</f>
        <v>22785.942859999999</v>
      </c>
      <c r="I16" s="31">
        <f>'Schedule 6'!I12</f>
        <v>21051.803415000002</v>
      </c>
      <c r="J16" s="31">
        <f>'Schedule 6'!J12</f>
        <v>21723.302069999998</v>
      </c>
      <c r="K16" s="31">
        <f>'Schedule 6'!K12</f>
        <v>21811.756999999998</v>
      </c>
      <c r="L16" s="32"/>
      <c r="M16" s="31">
        <f>'Schedule 6'!M12</f>
        <v>22211.528029657333</v>
      </c>
      <c r="N16" s="31">
        <f>'Schedule 6'!N12</f>
        <v>23362.874753166569</v>
      </c>
      <c r="O16" s="31"/>
      <c r="P16" s="31">
        <f>'Schedule 6'!P12</f>
        <v>22167.909714962308</v>
      </c>
      <c r="Q16" s="31">
        <f>'Schedule 6'!Q12</f>
        <v>23335.6664207742</v>
      </c>
    </row>
    <row r="17" spans="1:18" x14ac:dyDescent="0.2">
      <c r="A17" s="2">
        <v>6</v>
      </c>
      <c r="C17" s="2" t="s">
        <v>61</v>
      </c>
      <c r="E17" s="11" t="s">
        <v>160</v>
      </c>
      <c r="G17" s="31">
        <f>'Schedule 6'!G13</f>
        <v>326.40211583999996</v>
      </c>
      <c r="H17" s="31">
        <f>'Schedule 6'!H13</f>
        <v>330.96499999999997</v>
      </c>
      <c r="I17" s="31">
        <f>'Schedule 6'!I13</f>
        <v>331</v>
      </c>
      <c r="J17" s="31">
        <f>'Schedule 6'!J13</f>
        <v>473</v>
      </c>
      <c r="K17" s="31">
        <f>'Schedule 6'!K13</f>
        <v>686.43100000000004</v>
      </c>
      <c r="L17" s="32"/>
      <c r="M17" s="31">
        <f>'Schedule 6'!M13</f>
        <v>695.56769535040007</v>
      </c>
      <c r="N17" s="31">
        <f>'Schedule 6'!N13</f>
        <v>695.56769535040007</v>
      </c>
      <c r="O17" s="31"/>
      <c r="P17" s="31">
        <f>'Schedule 6'!P13</f>
        <v>708.13965357545919</v>
      </c>
      <c r="Q17" s="31">
        <f>'Schedule 6'!Q13</f>
        <v>708.13965357545919</v>
      </c>
    </row>
    <row r="18" spans="1:18" x14ac:dyDescent="0.2">
      <c r="A18" s="2">
        <v>7</v>
      </c>
      <c r="C18" s="2" t="s">
        <v>100</v>
      </c>
      <c r="E18" s="11" t="s">
        <v>95</v>
      </c>
      <c r="G18" s="31">
        <f>'Schedule 6'!G14</f>
        <v>3462.1635779999997</v>
      </c>
      <c r="H18" s="31">
        <f>'Schedule 6'!H14</f>
        <v>4561.385150000001</v>
      </c>
      <c r="I18" s="31">
        <f>'Schedule 6'!I14</f>
        <v>2846.0891999999994</v>
      </c>
      <c r="J18" s="31">
        <f>'Schedule 6'!J14</f>
        <v>2764.4429599999999</v>
      </c>
      <c r="K18" s="31">
        <f>'Schedule 6'!K14</f>
        <v>1581.4649999999999</v>
      </c>
      <c r="L18" s="32"/>
      <c r="M18" s="31">
        <f>'Schedule 6'!M14</f>
        <v>2152.0990729999999</v>
      </c>
      <c r="N18" s="31">
        <f>'Schedule 6'!N14</f>
        <v>3882.5717284999987</v>
      </c>
      <c r="O18" s="31"/>
      <c r="P18" s="31">
        <f>'Schedule 6'!P14</f>
        <v>2006.0250079999996</v>
      </c>
      <c r="Q18" s="31">
        <f>'Schedule 6'!Q14</f>
        <v>3891.3723639999998</v>
      </c>
    </row>
    <row r="19" spans="1:18" x14ac:dyDescent="0.2">
      <c r="A19" s="2">
        <v>8</v>
      </c>
      <c r="C19" s="2" t="s">
        <v>163</v>
      </c>
      <c r="E19" s="11" t="s">
        <v>82</v>
      </c>
      <c r="G19" s="31">
        <f>'Schedule 6'!G15</f>
        <v>226.09889199999998</v>
      </c>
      <c r="H19" s="31">
        <f>'Schedule 6'!H15</f>
        <v>226</v>
      </c>
      <c r="I19" s="31">
        <f>'Schedule 6'!I15</f>
        <v>226</v>
      </c>
      <c r="J19" s="31">
        <f>'Schedule 6'!J15</f>
        <v>226</v>
      </c>
      <c r="K19" s="31">
        <f>'Schedule 6'!K15</f>
        <v>226</v>
      </c>
      <c r="L19" s="32"/>
      <c r="M19" s="31">
        <f>'Schedule 6'!M15</f>
        <v>190</v>
      </c>
      <c r="N19" s="31">
        <f>'Schedule 6'!N15</f>
        <v>478.93700000000001</v>
      </c>
      <c r="O19" s="31"/>
      <c r="P19" s="31">
        <f>'Schedule 6'!P15</f>
        <v>190</v>
      </c>
      <c r="Q19" s="31">
        <f>'Schedule 6'!Q15</f>
        <v>478.93700000000001</v>
      </c>
    </row>
    <row r="20" spans="1:18" x14ac:dyDescent="0.2">
      <c r="A20" s="2">
        <v>9</v>
      </c>
      <c r="C20" s="2" t="s">
        <v>101</v>
      </c>
      <c r="E20" s="11" t="s">
        <v>96</v>
      </c>
      <c r="G20" s="31">
        <f>'Schedule 6'!G16</f>
        <v>8988.5451721392983</v>
      </c>
      <c r="H20" s="31">
        <f>'Schedule 6'!H16</f>
        <v>8893.6523100000068</v>
      </c>
      <c r="I20" s="31">
        <f>'Schedule 6'!I16</f>
        <v>8906.2113099999988</v>
      </c>
      <c r="J20" s="31">
        <f>'Schedule 6'!J16</f>
        <v>9828.0187700000024</v>
      </c>
      <c r="K20" s="31">
        <f>'Schedule 6'!K16</f>
        <v>10615.04</v>
      </c>
      <c r="L20" s="32"/>
      <c r="M20" s="31">
        <f>'Schedule 6'!M16</f>
        <v>11170.878252401511</v>
      </c>
      <c r="N20" s="31">
        <f>'Schedule 6'!N16</f>
        <v>12216.718041401509</v>
      </c>
      <c r="O20" s="31"/>
      <c r="P20" s="31">
        <f>'Schedule 6'!P16</f>
        <v>11168.246978537723</v>
      </c>
      <c r="Q20" s="31">
        <f>'Schedule 6'!Q16</f>
        <v>12418.540488926612</v>
      </c>
    </row>
    <row r="21" spans="1:18" ht="25.5" x14ac:dyDescent="0.2">
      <c r="A21" s="112">
        <v>10</v>
      </c>
      <c r="C21" s="98" t="s">
        <v>225</v>
      </c>
      <c r="E21" s="97" t="s">
        <v>167</v>
      </c>
      <c r="F21" s="112"/>
      <c r="G21" s="113">
        <f>'Schedule 6'!G17</f>
        <v>-3830.8182867079995</v>
      </c>
      <c r="H21" s="113">
        <f>'Schedule 6'!H17</f>
        <v>-3938.6859599999989</v>
      </c>
      <c r="I21" s="113">
        <f>'Schedule 6'!I17</f>
        <v>-3953.0807499999955</v>
      </c>
      <c r="J21" s="113">
        <f>'Schedule 6'!J17</f>
        <v>-3886</v>
      </c>
      <c r="K21" s="113">
        <f>'Schedule 6'!K17</f>
        <v>-4364.4110000000001</v>
      </c>
      <c r="L21" s="114"/>
      <c r="M21" s="113">
        <f>'Schedule 6'!M17</f>
        <v>-5164.0247104285718</v>
      </c>
      <c r="N21" s="113">
        <f>'Schedule 6'!N17</f>
        <v>-5269.4296104285713</v>
      </c>
      <c r="O21" s="113"/>
      <c r="P21" s="113">
        <f>'Schedule 6'!P17</f>
        <v>-5094.4784865714273</v>
      </c>
      <c r="Q21" s="113">
        <f>'Schedule 6'!Q17</f>
        <v>-5199.8833865714278</v>
      </c>
      <c r="R21" s="25"/>
    </row>
    <row r="22" spans="1:18" x14ac:dyDescent="0.2">
      <c r="A22" s="2">
        <v>11</v>
      </c>
      <c r="C22" s="2" t="s">
        <v>102</v>
      </c>
      <c r="G22" s="31">
        <v>-16.278565</v>
      </c>
      <c r="H22" s="31">
        <v>-16.278565</v>
      </c>
      <c r="I22" s="31">
        <v>-16.278565</v>
      </c>
      <c r="J22" s="31">
        <v>-16.278565</v>
      </c>
      <c r="K22" s="31">
        <v>-16.278565</v>
      </c>
      <c r="L22" s="32"/>
      <c r="M22" s="31">
        <v>-16.278565</v>
      </c>
      <c r="N22" s="31">
        <v>-16.278565</v>
      </c>
      <c r="O22" s="31"/>
      <c r="P22" s="31">
        <v>-16.278565</v>
      </c>
      <c r="Q22" s="31">
        <v>-16.278565</v>
      </c>
    </row>
    <row r="23" spans="1:18" x14ac:dyDescent="0.2">
      <c r="A23" s="2">
        <v>12</v>
      </c>
      <c r="C23" s="2" t="s">
        <v>118</v>
      </c>
      <c r="G23" s="31">
        <v>-85</v>
      </c>
      <c r="H23" s="31">
        <v>-84.405000000000001</v>
      </c>
      <c r="I23" s="31">
        <v>-85</v>
      </c>
      <c r="J23" s="31">
        <v>-86</v>
      </c>
      <c r="K23" s="31">
        <v>-95.414000000000001</v>
      </c>
      <c r="L23" s="32"/>
      <c r="M23" s="31">
        <v>-95.999999999999957</v>
      </c>
      <c r="N23" s="31">
        <v>-95.999999999999957</v>
      </c>
      <c r="O23" s="31"/>
      <c r="P23" s="31">
        <v>-99.999999999999957</v>
      </c>
      <c r="Q23" s="31">
        <v>-99.999999999999957</v>
      </c>
    </row>
    <row r="24" spans="1:18" x14ac:dyDescent="0.2">
      <c r="G24" s="30"/>
      <c r="H24" s="30"/>
      <c r="I24" s="30"/>
      <c r="J24" s="30"/>
      <c r="K24" s="30"/>
      <c r="L24" s="32"/>
      <c r="M24" s="31"/>
      <c r="N24" s="31"/>
      <c r="O24" s="31"/>
      <c r="P24" s="31"/>
      <c r="Q24" s="31"/>
    </row>
    <row r="25" spans="1:18" x14ac:dyDescent="0.2">
      <c r="A25" s="2">
        <v>13</v>
      </c>
      <c r="C25" s="2" t="s">
        <v>103</v>
      </c>
      <c r="G25" s="95">
        <f>SUM(G15:G24)</f>
        <v>29914.920531830681</v>
      </c>
      <c r="H25" s="95">
        <f>SUM(H15:H24)</f>
        <v>32758.575795000012</v>
      </c>
      <c r="I25" s="95">
        <f>SUM(I15:I24)</f>
        <v>29306.744610000009</v>
      </c>
      <c r="J25" s="95">
        <f>SUM(J15:J24)</f>
        <v>31026.485235</v>
      </c>
      <c r="K25" s="95">
        <f>SUM(K15:K24)</f>
        <v>30444.589434999998</v>
      </c>
      <c r="L25" s="32"/>
      <c r="M25" s="95">
        <f>SUM(M15:M24)</f>
        <v>31143.769774980676</v>
      </c>
      <c r="N25" s="95">
        <f>SUM(N15:N24)</f>
        <v>35254.961042989904</v>
      </c>
      <c r="O25" s="32"/>
      <c r="P25" s="95">
        <f>SUM(P15:P24)</f>
        <v>31029.564303504059</v>
      </c>
      <c r="Q25" s="95">
        <f>SUM(Q15:Q24)</f>
        <v>35516.493975704841</v>
      </c>
    </row>
    <row r="26" spans="1:18" x14ac:dyDescent="0.2"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8" ht="13.5" thickBot="1" x14ac:dyDescent="0.25">
      <c r="A27" s="2">
        <v>14</v>
      </c>
      <c r="C27" s="2" t="s">
        <v>176</v>
      </c>
      <c r="E27" s="11" t="s">
        <v>104</v>
      </c>
      <c r="G27" s="91">
        <f>G13+G25</f>
        <v>42262.849038900371</v>
      </c>
      <c r="H27" s="91">
        <f>H13+H25</f>
        <v>43896.627477934977</v>
      </c>
      <c r="I27" s="91">
        <f>I13+I25</f>
        <v>41244.993674302852</v>
      </c>
      <c r="J27" s="91">
        <f>J13+J25</f>
        <v>41855.34723784183</v>
      </c>
      <c r="K27" s="91">
        <f>K13+K25</f>
        <v>42686.348127717749</v>
      </c>
      <c r="L27" s="94"/>
      <c r="M27" s="91">
        <f>M13+M25</f>
        <v>43425.592552624512</v>
      </c>
      <c r="N27" s="91">
        <f>N13+N25</f>
        <v>48544.08148273504</v>
      </c>
      <c r="O27" s="94"/>
      <c r="P27" s="91">
        <f>P13+P25</f>
        <v>43508.16342285143</v>
      </c>
      <c r="Q27" s="91">
        <f>Q13+Q25</f>
        <v>49864.341025811038</v>
      </c>
    </row>
    <row r="29" spans="1:18" x14ac:dyDescent="0.2">
      <c r="C29" s="2" t="s">
        <v>198</v>
      </c>
    </row>
    <row r="30" spans="1:18" ht="12.75" customHeight="1" x14ac:dyDescent="0.2">
      <c r="A30" s="92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</row>
    <row r="31" spans="1:18" x14ac:dyDescent="0.2"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</row>
    <row r="32" spans="1:18" x14ac:dyDescent="0.2"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</row>
    <row r="33" spans="14:14" x14ac:dyDescent="0.2">
      <c r="N33" s="25"/>
    </row>
  </sheetData>
  <mergeCells count="3">
    <mergeCell ref="P6:Q6"/>
    <mergeCell ref="M6:N6"/>
    <mergeCell ref="C30:Q31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1" orientation="landscape" blackAndWhite="1" r:id="rId1"/>
  <headerFooter alignWithMargins="0"/>
  <ignoredErrors>
    <ignoredError sqref="G11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39997558519241921"/>
    <pageSetUpPr fitToPage="1"/>
  </sheetPr>
  <dimension ref="A1:T43"/>
  <sheetViews>
    <sheetView view="pageBreakPreview" zoomScaleSheetLayoutView="100" workbookViewId="0">
      <selection activeCell="C25" sqref="C25"/>
    </sheetView>
  </sheetViews>
  <sheetFormatPr defaultRowHeight="12.75" x14ac:dyDescent="0.2"/>
  <cols>
    <col min="1" max="1" width="5.28515625" style="2" customWidth="1"/>
    <col min="2" max="2" width="1.85546875" style="2" customWidth="1"/>
    <col min="3" max="3" width="29" style="2" customWidth="1"/>
    <col min="4" max="4" width="1.85546875" style="2" customWidth="1"/>
    <col min="5" max="5" width="11" style="11" customWidth="1"/>
    <col min="6" max="6" width="1.85546875" style="2" customWidth="1"/>
    <col min="7" max="11" width="9.42578125" style="2" customWidth="1"/>
    <col min="12" max="12" width="1.42578125" style="12" customWidth="1"/>
    <col min="13" max="14" width="10.5703125" style="2" customWidth="1"/>
    <col min="15" max="15" width="1.42578125" style="12" customWidth="1"/>
    <col min="16" max="17" width="10.5703125" style="2" customWidth="1"/>
    <col min="18" max="19" width="1.85546875" style="2" customWidth="1"/>
    <col min="20" max="20" width="11.28515625" style="2" customWidth="1"/>
    <col min="21" max="16384" width="9.140625" style="2"/>
  </cols>
  <sheetData>
    <row r="1" spans="1:20" ht="15.75" x14ac:dyDescent="0.25">
      <c r="A1" s="10" t="s">
        <v>5</v>
      </c>
      <c r="Q1" s="15" t="s">
        <v>16</v>
      </c>
    </row>
    <row r="2" spans="1:20" x14ac:dyDescent="0.2">
      <c r="A2" s="16" t="s">
        <v>17</v>
      </c>
      <c r="Q2" s="18" t="str">
        <f>'Schedule 1'!$Q$2</f>
        <v>June 2017</v>
      </c>
    </row>
    <row r="3" spans="1:20" x14ac:dyDescent="0.2">
      <c r="A3" s="16" t="s">
        <v>7</v>
      </c>
    </row>
    <row r="4" spans="1:20" x14ac:dyDescent="0.2">
      <c r="C4" s="2" t="s">
        <v>143</v>
      </c>
    </row>
    <row r="5" spans="1:20" x14ac:dyDescent="0.2">
      <c r="C5" s="2" t="s">
        <v>143</v>
      </c>
      <c r="S5" s="12"/>
      <c r="T5" s="12"/>
    </row>
    <row r="6" spans="1:20" s="11" customFormat="1" x14ac:dyDescent="0.2">
      <c r="G6" s="19"/>
      <c r="H6" s="19"/>
      <c r="I6" s="19"/>
      <c r="J6" s="19"/>
      <c r="K6" s="19"/>
      <c r="L6" s="19"/>
      <c r="M6" s="160" t="s">
        <v>3</v>
      </c>
      <c r="N6" s="160"/>
      <c r="O6" s="19"/>
      <c r="P6" s="160" t="s">
        <v>3</v>
      </c>
      <c r="Q6" s="160"/>
      <c r="S6" s="19"/>
      <c r="T6" s="19"/>
    </row>
    <row r="7" spans="1:20" s="21" customFormat="1" ht="38.25" x14ac:dyDescent="0.2">
      <c r="A7" s="20" t="s">
        <v>0</v>
      </c>
      <c r="C7" s="20" t="s">
        <v>1</v>
      </c>
      <c r="E7" s="20" t="s">
        <v>2</v>
      </c>
      <c r="G7" s="20" t="s">
        <v>228</v>
      </c>
      <c r="H7" s="20" t="s">
        <v>229</v>
      </c>
      <c r="I7" s="20" t="s">
        <v>230</v>
      </c>
      <c r="J7" s="20" t="s">
        <v>231</v>
      </c>
      <c r="K7" s="20" t="s">
        <v>272</v>
      </c>
      <c r="L7" s="22"/>
      <c r="M7" s="20" t="str">
        <f>'Schedule 1'!$M$7</f>
        <v>Existing 2017</v>
      </c>
      <c r="N7" s="20" t="str">
        <f>'Schedule 1'!$N$7</f>
        <v>Proposed 2017</v>
      </c>
      <c r="O7" s="22"/>
      <c r="P7" s="20" t="str">
        <f>'Schedule 1'!$P$7</f>
        <v>Existing 2018</v>
      </c>
      <c r="Q7" s="20" t="str">
        <f>'Schedule 1'!$Q$7</f>
        <v>Proposed 2018</v>
      </c>
      <c r="S7" s="22"/>
      <c r="T7" s="22"/>
    </row>
    <row r="8" spans="1:20" x14ac:dyDescent="0.2">
      <c r="S8" s="12"/>
      <c r="T8" s="12"/>
    </row>
    <row r="9" spans="1:20" x14ac:dyDescent="0.2">
      <c r="A9" s="2">
        <v>1</v>
      </c>
      <c r="C9" s="2" t="s">
        <v>190</v>
      </c>
      <c r="E9" s="11" t="s">
        <v>252</v>
      </c>
      <c r="G9" s="31">
        <v>42262.889974871898</v>
      </c>
      <c r="H9" s="31">
        <v>43897.442019999995</v>
      </c>
      <c r="I9" s="31">
        <v>41245</v>
      </c>
      <c r="J9" s="31">
        <v>41855.427067248616</v>
      </c>
      <c r="K9" s="31">
        <v>42686.221000000005</v>
      </c>
      <c r="L9" s="32"/>
      <c r="M9" s="31">
        <v>43425.445616340417</v>
      </c>
      <c r="N9" s="31">
        <v>48543.914055009394</v>
      </c>
      <c r="O9" s="31"/>
      <c r="P9" s="31">
        <v>43508.041432392958</v>
      </c>
      <c r="Q9" s="31">
        <v>49864.161893267126</v>
      </c>
      <c r="S9" s="12"/>
      <c r="T9" s="90"/>
    </row>
    <row r="10" spans="1:20" x14ac:dyDescent="0.2">
      <c r="O10" s="2"/>
      <c r="S10" s="12"/>
      <c r="T10" s="12"/>
    </row>
    <row r="11" spans="1:20" x14ac:dyDescent="0.2">
      <c r="A11" s="2">
        <v>2</v>
      </c>
      <c r="C11" s="9" t="s">
        <v>105</v>
      </c>
      <c r="O11" s="2"/>
      <c r="S11" s="12"/>
      <c r="T11" s="12"/>
    </row>
    <row r="12" spans="1:20" x14ac:dyDescent="0.2">
      <c r="A12" s="2">
        <v>3</v>
      </c>
      <c r="C12" s="2" t="s">
        <v>60</v>
      </c>
      <c r="E12" s="11" t="s">
        <v>211</v>
      </c>
      <c r="G12" s="31">
        <v>20843.807625559384</v>
      </c>
      <c r="H12" s="31">
        <v>22785.942859999999</v>
      </c>
      <c r="I12" s="31">
        <v>21051.803415000002</v>
      </c>
      <c r="J12" s="31">
        <v>21723.302069999998</v>
      </c>
      <c r="K12" s="31">
        <v>21811.756999999998</v>
      </c>
      <c r="L12" s="31">
        <v>0</v>
      </c>
      <c r="M12" s="31">
        <v>22211.528029657333</v>
      </c>
      <c r="N12" s="31">
        <v>23362.874753166569</v>
      </c>
      <c r="O12" s="31">
        <v>0</v>
      </c>
      <c r="P12" s="31">
        <v>22167.909714962308</v>
      </c>
      <c r="Q12" s="31">
        <v>23335.6664207742</v>
      </c>
      <c r="S12" s="12"/>
      <c r="T12" s="90"/>
    </row>
    <row r="13" spans="1:20" x14ac:dyDescent="0.2">
      <c r="A13" s="2">
        <v>4</v>
      </c>
      <c r="C13" s="2" t="s">
        <v>61</v>
      </c>
      <c r="E13" s="11" t="s">
        <v>90</v>
      </c>
      <c r="G13" s="31">
        <v>326.40211583999996</v>
      </c>
      <c r="H13" s="31">
        <v>330.96499999999997</v>
      </c>
      <c r="I13" s="31">
        <v>331</v>
      </c>
      <c r="J13" s="31">
        <v>473</v>
      </c>
      <c r="K13" s="31">
        <v>686.43100000000004</v>
      </c>
      <c r="L13" s="32"/>
      <c r="M13" s="31">
        <v>695.56769535040007</v>
      </c>
      <c r="N13" s="31">
        <v>695.56769535040007</v>
      </c>
      <c r="O13" s="31"/>
      <c r="P13" s="31">
        <v>708.13965357545919</v>
      </c>
      <c r="Q13" s="31">
        <v>708.13965357545919</v>
      </c>
      <c r="S13" s="12"/>
      <c r="T13" s="90"/>
    </row>
    <row r="14" spans="1:20" x14ac:dyDescent="0.2">
      <c r="A14" s="2">
        <v>5</v>
      </c>
      <c r="C14" s="2" t="s">
        <v>138</v>
      </c>
      <c r="E14" s="11" t="s">
        <v>161</v>
      </c>
      <c r="G14" s="31">
        <v>3462.1635779999997</v>
      </c>
      <c r="H14" s="31">
        <v>4561.385150000001</v>
      </c>
      <c r="I14" s="31">
        <v>2846.0891999999994</v>
      </c>
      <c r="J14" s="31">
        <v>2764.4429599999999</v>
      </c>
      <c r="K14" s="31">
        <v>1581.4649999999999</v>
      </c>
      <c r="L14" s="32"/>
      <c r="M14" s="31">
        <v>2152.0990729999999</v>
      </c>
      <c r="N14" s="31">
        <v>3882.5717284999987</v>
      </c>
      <c r="O14" s="31"/>
      <c r="P14" s="31">
        <v>2006.0250079999996</v>
      </c>
      <c r="Q14" s="31">
        <v>3891.3723639999998</v>
      </c>
      <c r="R14" s="2" t="s">
        <v>143</v>
      </c>
      <c r="S14" s="12"/>
      <c r="T14" s="90"/>
    </row>
    <row r="15" spans="1:20" x14ac:dyDescent="0.2">
      <c r="A15" s="2">
        <v>6</v>
      </c>
      <c r="C15" s="2" t="s">
        <v>163</v>
      </c>
      <c r="E15" s="11" t="s">
        <v>164</v>
      </c>
      <c r="G15" s="31">
        <v>226.09889199999998</v>
      </c>
      <c r="H15" s="31">
        <v>226</v>
      </c>
      <c r="I15" s="31">
        <v>226</v>
      </c>
      <c r="J15" s="31">
        <v>226</v>
      </c>
      <c r="K15" s="31">
        <v>226</v>
      </c>
      <c r="L15" s="32"/>
      <c r="M15" s="31">
        <v>190</v>
      </c>
      <c r="N15" s="31">
        <v>478.93700000000001</v>
      </c>
      <c r="O15" s="31"/>
      <c r="P15" s="31">
        <v>190</v>
      </c>
      <c r="Q15" s="31">
        <v>478.93700000000001</v>
      </c>
      <c r="S15" s="12"/>
      <c r="T15" s="90"/>
    </row>
    <row r="16" spans="1:20" x14ac:dyDescent="0.2">
      <c r="A16" s="2">
        <v>7</v>
      </c>
      <c r="C16" s="2" t="s">
        <v>101</v>
      </c>
      <c r="E16" s="11" t="s">
        <v>112</v>
      </c>
      <c r="G16" s="31">
        <v>8988.5451721392983</v>
      </c>
      <c r="H16" s="31">
        <v>8893.6523100000068</v>
      </c>
      <c r="I16" s="31">
        <v>8906.2113099999988</v>
      </c>
      <c r="J16" s="31">
        <v>9828.0187700000024</v>
      </c>
      <c r="K16" s="31">
        <v>10615.04</v>
      </c>
      <c r="L16" s="32"/>
      <c r="M16" s="31">
        <v>11170.878252401511</v>
      </c>
      <c r="N16" s="31">
        <v>12216.718041401509</v>
      </c>
      <c r="O16" s="32"/>
      <c r="P16" s="31">
        <v>11168.246978537723</v>
      </c>
      <c r="Q16" s="31">
        <v>12418.540488926612</v>
      </c>
      <c r="S16" s="12"/>
      <c r="T16" s="90"/>
    </row>
    <row r="17" spans="1:20" ht="25.5" x14ac:dyDescent="0.2">
      <c r="A17" s="96">
        <v>8</v>
      </c>
      <c r="B17" s="97"/>
      <c r="C17" s="98" t="s">
        <v>225</v>
      </c>
      <c r="D17" s="97"/>
      <c r="E17" s="97" t="s">
        <v>165</v>
      </c>
      <c r="F17" s="97"/>
      <c r="G17" s="99">
        <v>-3830.8182867079995</v>
      </c>
      <c r="H17" s="99">
        <v>-3938.6859599999989</v>
      </c>
      <c r="I17" s="99">
        <v>-3953.0807499999955</v>
      </c>
      <c r="J17" s="99">
        <v>-3886</v>
      </c>
      <c r="K17" s="99">
        <v>-4364.4110000000001</v>
      </c>
      <c r="L17" s="100"/>
      <c r="M17" s="99">
        <v>-5164.0247104285718</v>
      </c>
      <c r="N17" s="99">
        <v>-5269.4296104285713</v>
      </c>
      <c r="O17" s="100"/>
      <c r="P17" s="99">
        <v>-5094.4784865714273</v>
      </c>
      <c r="Q17" s="99">
        <v>-5199.8833865714278</v>
      </c>
      <c r="S17" s="12"/>
      <c r="T17" s="90"/>
    </row>
    <row r="18" spans="1:20" x14ac:dyDescent="0.2">
      <c r="G18" s="30"/>
      <c r="H18" s="30"/>
      <c r="I18" s="30"/>
      <c r="J18" s="30"/>
      <c r="K18" s="30"/>
      <c r="L18" s="32"/>
      <c r="M18" s="30"/>
      <c r="N18" s="30"/>
      <c r="O18" s="32"/>
      <c r="P18" s="30"/>
      <c r="Q18" s="30"/>
      <c r="S18" s="12"/>
      <c r="T18" s="90"/>
    </row>
    <row r="19" spans="1:20" s="14" customFormat="1" x14ac:dyDescent="0.2">
      <c r="A19" s="14">
        <v>9</v>
      </c>
      <c r="C19" s="14" t="s">
        <v>37</v>
      </c>
      <c r="E19" s="101"/>
      <c r="G19" s="102">
        <f>SUM(G12:G14)+G16+G17+G15+G18</f>
        <v>30016.199096830678</v>
      </c>
      <c r="H19" s="102">
        <f>SUM(H12:H14)+H16+H17+H15+H18</f>
        <v>32859.259360000011</v>
      </c>
      <c r="I19" s="102">
        <f>SUM(I12:I14)+I16+I17+I15+I18</f>
        <v>29408.023175000009</v>
      </c>
      <c r="J19" s="102">
        <f>SUM(J12:J14)+J16+J17+J15+J18</f>
        <v>31128.763800000001</v>
      </c>
      <c r="K19" s="102">
        <f>SUM(K12:K14)+K16+K17+K15+K18</f>
        <v>30556.281999999999</v>
      </c>
      <c r="L19" s="103"/>
      <c r="M19" s="102">
        <f>SUM(M12:M14)+M16+M17+M15+M18</f>
        <v>31256.048339980676</v>
      </c>
      <c r="N19" s="102">
        <f>SUM(N12:N14)+N16+N17+N15+N18</f>
        <v>35367.239607989897</v>
      </c>
      <c r="O19" s="103"/>
      <c r="P19" s="102">
        <f>SUM(P12:P14)+P16+P17+P15+P18</f>
        <v>31145.84286850406</v>
      </c>
      <c r="Q19" s="102">
        <f>SUM(Q12:Q14)+Q16+Q17+Q15+Q18</f>
        <v>35632.772540704842</v>
      </c>
      <c r="S19" s="13"/>
      <c r="T19" s="13"/>
    </row>
    <row r="20" spans="1:20" x14ac:dyDescent="0.2">
      <c r="C20" s="2" t="s">
        <v>143</v>
      </c>
      <c r="S20" s="12"/>
      <c r="T20" s="12"/>
    </row>
    <row r="21" spans="1:20" x14ac:dyDescent="0.2">
      <c r="A21" s="14">
        <f>A19+1</f>
        <v>10</v>
      </c>
      <c r="C21" s="9" t="s">
        <v>106</v>
      </c>
      <c r="G21" s="104">
        <f>SUM(G9-G19)</f>
        <v>12246.69087804122</v>
      </c>
      <c r="H21" s="104">
        <f>SUM(H9-H19)</f>
        <v>11038.182659999984</v>
      </c>
      <c r="I21" s="104">
        <f>SUM(I9-I19)</f>
        <v>11836.976824999991</v>
      </c>
      <c r="J21" s="104">
        <f>SUM(J9-J19)</f>
        <v>10726.663267248616</v>
      </c>
      <c r="K21" s="104">
        <f>SUM(K9-K19)</f>
        <v>12129.939000000006</v>
      </c>
      <c r="L21" s="105"/>
      <c r="M21" s="104">
        <f>SUM(M9-M19)</f>
        <v>12169.397276359741</v>
      </c>
      <c r="N21" s="104">
        <f>SUM(N9-N19)</f>
        <v>13176.674447019497</v>
      </c>
      <c r="O21" s="105"/>
      <c r="P21" s="104">
        <f>SUM(P9-P19)</f>
        <v>12362.198563888898</v>
      </c>
      <c r="Q21" s="104">
        <f>SUM(Q9-Q19)</f>
        <v>14231.389352562284</v>
      </c>
      <c r="S21" s="12"/>
      <c r="T21" s="12"/>
    </row>
    <row r="22" spans="1:20" x14ac:dyDescent="0.2">
      <c r="S22" s="12"/>
      <c r="T22" s="12"/>
    </row>
    <row r="23" spans="1:20" x14ac:dyDescent="0.2">
      <c r="A23" s="14">
        <f>A21+1</f>
        <v>11</v>
      </c>
      <c r="C23" s="9" t="s">
        <v>107</v>
      </c>
      <c r="S23" s="12"/>
      <c r="T23" s="12"/>
    </row>
    <row r="24" spans="1:20" x14ac:dyDescent="0.2">
      <c r="A24" s="14">
        <f>A23+1</f>
        <v>12</v>
      </c>
      <c r="C24" s="2" t="s">
        <v>108</v>
      </c>
      <c r="E24" s="11" t="s">
        <v>212</v>
      </c>
      <c r="G24" s="31">
        <v>500</v>
      </c>
      <c r="H24" s="31">
        <v>926.82899999999995</v>
      </c>
      <c r="I24" s="31">
        <v>1188</v>
      </c>
      <c r="J24" s="31">
        <v>714</v>
      </c>
      <c r="K24" s="31">
        <v>819.38300000000004</v>
      </c>
      <c r="L24" s="31"/>
      <c r="M24" s="31">
        <v>1092.7887450706239</v>
      </c>
      <c r="N24" s="31">
        <v>863.20982205887219</v>
      </c>
      <c r="O24" s="31"/>
      <c r="P24" s="31">
        <v>1260.7791209274226</v>
      </c>
      <c r="Q24" s="31">
        <v>719.19819271980862</v>
      </c>
      <c r="S24" s="12"/>
      <c r="T24" s="90"/>
    </row>
    <row r="25" spans="1:20" x14ac:dyDescent="0.2">
      <c r="A25" s="14">
        <f t="shared" ref="A25:A26" si="0">A24+1</f>
        <v>13</v>
      </c>
      <c r="C25" s="2" t="s">
        <v>194</v>
      </c>
      <c r="E25" s="11" t="s">
        <v>213</v>
      </c>
      <c r="G25" s="31">
        <v>-22.602739726027398</v>
      </c>
      <c r="H25" s="31">
        <v>-491.928</v>
      </c>
      <c r="I25" s="31">
        <v>-86.138009374510673</v>
      </c>
      <c r="J25" s="31">
        <v>-97.515433072998192</v>
      </c>
      <c r="K25" s="31">
        <v>-1591.86</v>
      </c>
      <c r="L25" s="31"/>
      <c r="M25" s="31">
        <v>-31.769462215448822</v>
      </c>
      <c r="N25" s="31">
        <v>-31.769462215448822</v>
      </c>
      <c r="O25" s="31"/>
      <c r="P25" s="31">
        <v>-31.555950444255529</v>
      </c>
      <c r="Q25" s="31">
        <v>-31.555950444255529</v>
      </c>
      <c r="R25" s="25"/>
      <c r="S25" s="12"/>
      <c r="T25" s="12"/>
    </row>
    <row r="26" spans="1:20" x14ac:dyDescent="0.2">
      <c r="A26" s="14">
        <f t="shared" si="0"/>
        <v>14</v>
      </c>
      <c r="C26" s="2" t="s">
        <v>37</v>
      </c>
      <c r="G26" s="95">
        <f t="shared" ref="G26:K26" si="1">SUM(G24+G25)</f>
        <v>477.39726027397262</v>
      </c>
      <c r="H26" s="95">
        <f t="shared" si="1"/>
        <v>434.90099999999995</v>
      </c>
      <c r="I26" s="95">
        <f t="shared" si="1"/>
        <v>1101.8619906254894</v>
      </c>
      <c r="J26" s="95">
        <f t="shared" si="1"/>
        <v>616.48456692700177</v>
      </c>
      <c r="K26" s="95">
        <f t="shared" si="1"/>
        <v>-772.47699999999986</v>
      </c>
      <c r="L26" s="32"/>
      <c r="M26" s="95">
        <f t="shared" ref="M26:P26" si="2">SUM(M24+M25)</f>
        <v>1061.0192828551751</v>
      </c>
      <c r="N26" s="95">
        <f>SUM(N24+N25)</f>
        <v>831.44035984342338</v>
      </c>
      <c r="O26" s="32"/>
      <c r="P26" s="95">
        <f t="shared" si="2"/>
        <v>1229.223170483167</v>
      </c>
      <c r="Q26" s="95">
        <f>SUM(Q24+Q25)</f>
        <v>687.64224227555314</v>
      </c>
      <c r="S26" s="12"/>
      <c r="T26" s="90"/>
    </row>
    <row r="27" spans="1:20" x14ac:dyDescent="0.2">
      <c r="S27" s="12"/>
      <c r="T27" s="12"/>
    </row>
    <row r="28" spans="1:20" x14ac:dyDescent="0.2">
      <c r="A28" s="14">
        <f>A26+1</f>
        <v>15</v>
      </c>
      <c r="C28" s="9" t="s">
        <v>109</v>
      </c>
      <c r="S28" s="12"/>
      <c r="T28" s="12"/>
    </row>
    <row r="29" spans="1:20" x14ac:dyDescent="0.2">
      <c r="A29" s="14">
        <f>A28+1</f>
        <v>16</v>
      </c>
      <c r="C29" s="2" t="s">
        <v>110</v>
      </c>
      <c r="E29" s="11" t="s">
        <v>214</v>
      </c>
      <c r="G29" s="32">
        <v>4917.2862240983786</v>
      </c>
      <c r="H29" s="32">
        <v>4128</v>
      </c>
      <c r="I29" s="32">
        <v>5225.342419175272</v>
      </c>
      <c r="J29" s="32">
        <v>3662.4169507675865</v>
      </c>
      <c r="K29" s="32">
        <v>3356</v>
      </c>
      <c r="L29" s="32"/>
      <c r="M29" s="32">
        <v>3961.0396276397346</v>
      </c>
      <c r="N29" s="30">
        <v>3944.712468009333</v>
      </c>
      <c r="O29" s="32"/>
      <c r="P29" s="30">
        <v>4258.9592446989491</v>
      </c>
      <c r="Q29" s="30">
        <v>4201.0577432740793</v>
      </c>
      <c r="S29" s="12"/>
      <c r="T29" s="90"/>
    </row>
    <row r="30" spans="1:20" x14ac:dyDescent="0.2">
      <c r="A30" s="14">
        <f t="shared" ref="A30" si="3">A29+1</f>
        <v>17</v>
      </c>
      <c r="C30" s="2" t="s">
        <v>37</v>
      </c>
      <c r="G30" s="95">
        <f t="shared" ref="G30:K30" si="4">SUM(G29:G29)</f>
        <v>4917.2862240983786</v>
      </c>
      <c r="H30" s="95">
        <f t="shared" si="4"/>
        <v>4128</v>
      </c>
      <c r="I30" s="95">
        <f t="shared" si="4"/>
        <v>5225.342419175272</v>
      </c>
      <c r="J30" s="95">
        <f t="shared" si="4"/>
        <v>3662.4169507675865</v>
      </c>
      <c r="K30" s="95">
        <f t="shared" si="4"/>
        <v>3356</v>
      </c>
      <c r="L30" s="32"/>
      <c r="M30" s="95">
        <f t="shared" ref="M30:P30" si="5">SUM(M29:M29)</f>
        <v>3961.0396276397346</v>
      </c>
      <c r="N30" s="95">
        <f>SUM(N29:N29)</f>
        <v>3944.712468009333</v>
      </c>
      <c r="O30" s="32"/>
      <c r="P30" s="95">
        <f t="shared" si="5"/>
        <v>4258.9592446989491</v>
      </c>
      <c r="Q30" s="95">
        <f>SUM(Q29:Q29)</f>
        <v>4201.0577432740793</v>
      </c>
      <c r="R30" s="106" t="s">
        <v>143</v>
      </c>
      <c r="S30" s="90"/>
      <c r="T30" s="90"/>
    </row>
    <row r="31" spans="1:20" x14ac:dyDescent="0.2">
      <c r="E31" s="17"/>
      <c r="S31" s="12"/>
      <c r="T31" s="12"/>
    </row>
    <row r="32" spans="1:20" ht="13.5" thickBot="1" x14ac:dyDescent="0.25">
      <c r="A32" s="14">
        <f>A30+1</f>
        <v>18</v>
      </c>
      <c r="C32" s="9" t="s">
        <v>111</v>
      </c>
      <c r="E32" s="11" t="s">
        <v>222</v>
      </c>
      <c r="G32" s="91">
        <f t="shared" ref="G32:K32" si="6">SUM(G21+G26-G30)</f>
        <v>7806.8019142168132</v>
      </c>
      <c r="H32" s="91">
        <f t="shared" si="6"/>
        <v>7345.0836599999839</v>
      </c>
      <c r="I32" s="91">
        <f t="shared" si="6"/>
        <v>7713.4963964502085</v>
      </c>
      <c r="J32" s="91">
        <f t="shared" si="6"/>
        <v>7680.7308834080304</v>
      </c>
      <c r="K32" s="91">
        <f t="shared" si="6"/>
        <v>8001.4620000000068</v>
      </c>
      <c r="L32" s="94"/>
      <c r="M32" s="91">
        <f t="shared" ref="M32:P32" si="7">SUM(M21+M26-M30)</f>
        <v>9269.3769315751815</v>
      </c>
      <c r="N32" s="91">
        <f>SUM(N21+N26-N30)</f>
        <v>10063.402338853588</v>
      </c>
      <c r="O32" s="94"/>
      <c r="P32" s="91">
        <f t="shared" si="7"/>
        <v>9332.4624896731148</v>
      </c>
      <c r="Q32" s="91">
        <f>SUM(Q21+Q26-Q30)</f>
        <v>10717.973851563758</v>
      </c>
      <c r="S32" s="12"/>
      <c r="T32" s="90"/>
    </row>
    <row r="33" spans="1:20" x14ac:dyDescent="0.2">
      <c r="A33" s="2" t="s">
        <v>143</v>
      </c>
      <c r="C33" s="2" t="s">
        <v>143</v>
      </c>
      <c r="G33" s="107"/>
      <c r="H33" s="107"/>
      <c r="I33" s="107"/>
      <c r="J33" s="107"/>
      <c r="K33" s="107"/>
      <c r="L33" s="108"/>
      <c r="S33" s="12"/>
      <c r="T33" s="12"/>
    </row>
    <row r="34" spans="1:20" x14ac:dyDescent="0.2">
      <c r="A34" s="92"/>
      <c r="C34" s="161" t="s">
        <v>253</v>
      </c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S34" s="12"/>
      <c r="T34" s="12"/>
    </row>
    <row r="35" spans="1:20" x14ac:dyDescent="0.2">
      <c r="C35" s="159" t="s">
        <v>219</v>
      </c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</row>
    <row r="36" spans="1:20" x14ac:dyDescent="0.2">
      <c r="G36" s="109"/>
      <c r="H36" s="109"/>
      <c r="I36" s="109"/>
      <c r="J36" s="109"/>
      <c r="K36" s="109"/>
      <c r="L36" s="110"/>
      <c r="M36" s="109"/>
      <c r="N36" s="109"/>
      <c r="O36" s="110"/>
      <c r="P36" s="109"/>
      <c r="Q36" s="109"/>
    </row>
    <row r="37" spans="1:20" x14ac:dyDescent="0.2">
      <c r="G37" s="14"/>
      <c r="H37" s="14"/>
      <c r="I37" s="14"/>
      <c r="J37" s="14"/>
      <c r="K37" s="14"/>
      <c r="M37" s="14"/>
      <c r="N37" s="14"/>
      <c r="P37" s="14"/>
      <c r="Q37" s="14"/>
    </row>
    <row r="38" spans="1:20" x14ac:dyDescent="0.2">
      <c r="G38" s="107"/>
      <c r="H38" s="107"/>
      <c r="I38" s="107"/>
      <c r="J38" s="107"/>
      <c r="K38" s="107"/>
      <c r="L38" s="107"/>
      <c r="M38" s="107"/>
      <c r="N38" s="107"/>
      <c r="P38" s="107"/>
      <c r="Q38" s="107"/>
    </row>
    <row r="39" spans="1:20" x14ac:dyDescent="0.2">
      <c r="C39" s="47" t="s">
        <v>143</v>
      </c>
      <c r="G39" s="107"/>
      <c r="H39" s="107"/>
      <c r="I39" s="107"/>
      <c r="J39" s="107"/>
      <c r="K39" s="107"/>
      <c r="L39" s="107"/>
      <c r="M39" s="107"/>
      <c r="N39" s="107"/>
      <c r="O39" s="90"/>
      <c r="P39" s="107"/>
      <c r="Q39" s="107"/>
      <c r="T39" s="25"/>
    </row>
    <row r="40" spans="1:20" x14ac:dyDescent="0.2">
      <c r="C40" s="47" t="s">
        <v>143</v>
      </c>
      <c r="G40" s="107"/>
      <c r="H40" s="107"/>
      <c r="I40" s="107"/>
      <c r="J40" s="107"/>
      <c r="K40" s="107"/>
      <c r="L40" s="107"/>
      <c r="M40" s="107"/>
      <c r="N40" s="107"/>
      <c r="O40" s="90"/>
      <c r="P40" s="107"/>
      <c r="Q40" s="107"/>
      <c r="T40" s="25"/>
    </row>
    <row r="41" spans="1:20" x14ac:dyDescent="0.2">
      <c r="G41" s="107"/>
      <c r="H41" s="107"/>
      <c r="I41" s="107"/>
      <c r="J41" s="107"/>
      <c r="K41" s="107"/>
      <c r="L41" s="107"/>
      <c r="M41" s="107"/>
      <c r="N41" s="107"/>
      <c r="P41" s="107"/>
      <c r="Q41" s="107"/>
    </row>
    <row r="42" spans="1:20" x14ac:dyDescent="0.2">
      <c r="G42" s="107"/>
      <c r="H42" s="107"/>
      <c r="I42" s="107"/>
      <c r="J42" s="107"/>
      <c r="K42" s="107"/>
      <c r="L42" s="107"/>
      <c r="M42" s="107"/>
      <c r="N42" s="107"/>
      <c r="P42" s="107"/>
      <c r="Q42" s="107"/>
    </row>
    <row r="43" spans="1:20" x14ac:dyDescent="0.2">
      <c r="G43" s="107"/>
      <c r="H43" s="107"/>
      <c r="I43" s="107"/>
      <c r="J43" s="107"/>
      <c r="K43" s="107"/>
      <c r="L43" s="107"/>
      <c r="M43" s="107"/>
      <c r="N43" s="107"/>
      <c r="P43" s="107"/>
      <c r="Q43" s="107"/>
    </row>
  </sheetData>
  <mergeCells count="4">
    <mergeCell ref="P6:Q6"/>
    <mergeCell ref="M6:N6"/>
    <mergeCell ref="C34:Q34"/>
    <mergeCell ref="C35:Q35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1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39997558519241921"/>
    <pageSetUpPr fitToPage="1"/>
  </sheetPr>
  <dimension ref="A1:T29"/>
  <sheetViews>
    <sheetView view="pageBreakPreview" zoomScaleSheetLayoutView="100" workbookViewId="0">
      <selection activeCell="B18" sqref="B18"/>
    </sheetView>
  </sheetViews>
  <sheetFormatPr defaultRowHeight="12.75" x14ac:dyDescent="0.2"/>
  <cols>
    <col min="1" max="1" width="5.28515625" style="2" customWidth="1"/>
    <col min="2" max="2" width="1.85546875" style="2" customWidth="1"/>
    <col min="3" max="3" width="31.85546875" style="2" customWidth="1"/>
    <col min="4" max="4" width="1.85546875" style="2" customWidth="1"/>
    <col min="5" max="5" width="9.140625" style="11"/>
    <col min="6" max="6" width="1.85546875" style="2" customWidth="1"/>
    <col min="7" max="7" width="10.42578125" style="2" customWidth="1"/>
    <col min="8" max="11" width="9.42578125" style="2" customWidth="1"/>
    <col min="12" max="12" width="1.42578125" style="12" customWidth="1"/>
    <col min="13" max="14" width="10.28515625" style="2" customWidth="1"/>
    <col min="15" max="15" width="1.42578125" style="12" customWidth="1"/>
    <col min="16" max="17" width="10.28515625" style="2" customWidth="1"/>
    <col min="18" max="19" width="1.85546875" style="2" customWidth="1"/>
    <col min="20" max="20" width="11.28515625" style="2" customWidth="1"/>
    <col min="21" max="16384" width="9.140625" style="2"/>
  </cols>
  <sheetData>
    <row r="1" spans="1:20" ht="15.75" x14ac:dyDescent="0.25">
      <c r="A1" s="10" t="s">
        <v>5</v>
      </c>
      <c r="Q1" s="15" t="s">
        <v>18</v>
      </c>
    </row>
    <row r="2" spans="1:20" x14ac:dyDescent="0.2">
      <c r="A2" s="16" t="s">
        <v>19</v>
      </c>
      <c r="P2" s="85"/>
      <c r="Q2" s="18" t="str">
        <f>'Schedule 1'!$Q$2</f>
        <v>June 2017</v>
      </c>
    </row>
    <row r="3" spans="1:20" x14ac:dyDescent="0.2">
      <c r="A3" s="16" t="s">
        <v>7</v>
      </c>
    </row>
    <row r="4" spans="1:20" x14ac:dyDescent="0.2">
      <c r="S4" s="12"/>
      <c r="T4" s="12"/>
    </row>
    <row r="5" spans="1:20" x14ac:dyDescent="0.2">
      <c r="S5" s="12"/>
      <c r="T5" s="12"/>
    </row>
    <row r="6" spans="1:20" s="11" customFormat="1" x14ac:dyDescent="0.2">
      <c r="G6" s="19"/>
      <c r="H6" s="19"/>
      <c r="I6" s="19"/>
      <c r="J6" s="19"/>
      <c r="K6" s="19"/>
      <c r="L6" s="19"/>
      <c r="M6" s="160" t="s">
        <v>3</v>
      </c>
      <c r="N6" s="160"/>
      <c r="O6" s="19"/>
      <c r="P6" s="160" t="s">
        <v>3</v>
      </c>
      <c r="Q6" s="160"/>
      <c r="S6" s="19"/>
      <c r="T6" s="19"/>
    </row>
    <row r="7" spans="1:20" s="21" customFormat="1" ht="25.5" x14ac:dyDescent="0.2">
      <c r="A7" s="20" t="s">
        <v>0</v>
      </c>
      <c r="C7" s="20" t="s">
        <v>1</v>
      </c>
      <c r="E7" s="20" t="s">
        <v>2</v>
      </c>
      <c r="G7" s="20" t="s">
        <v>228</v>
      </c>
      <c r="H7" s="20" t="s">
        <v>229</v>
      </c>
      <c r="I7" s="20" t="s">
        <v>230</v>
      </c>
      <c r="J7" s="20" t="s">
        <v>231</v>
      </c>
      <c r="K7" s="20" t="s">
        <v>272</v>
      </c>
      <c r="L7" s="22"/>
      <c r="M7" s="20" t="str">
        <f>'Schedule 1'!$M$7</f>
        <v>Existing 2017</v>
      </c>
      <c r="N7" s="20" t="str">
        <f>'Schedule 1'!$N$7</f>
        <v>Proposed 2017</v>
      </c>
      <c r="O7" s="22"/>
      <c r="P7" s="20" t="str">
        <f>'Schedule 1'!$P$7</f>
        <v>Existing 2018</v>
      </c>
      <c r="Q7" s="20" t="str">
        <f>'Schedule 1'!$Q$7</f>
        <v>Proposed 2018</v>
      </c>
      <c r="S7" s="22"/>
      <c r="T7" s="22"/>
    </row>
    <row r="8" spans="1:20" x14ac:dyDescent="0.2">
      <c r="S8" s="12"/>
      <c r="T8" s="12"/>
    </row>
    <row r="9" spans="1:20" x14ac:dyDescent="0.2">
      <c r="A9" s="2">
        <v>1</v>
      </c>
      <c r="C9" s="2" t="s">
        <v>76</v>
      </c>
      <c r="G9" s="31">
        <v>37269.587100565957</v>
      </c>
      <c r="H9" s="31">
        <v>35039.834000000003</v>
      </c>
      <c r="I9" s="31">
        <f t="shared" ref="I9" si="0">H19</f>
        <v>35433.917659999985</v>
      </c>
      <c r="J9" s="31">
        <f t="shared" ref="J9" si="1">I19</f>
        <v>43147.414056450194</v>
      </c>
      <c r="K9" s="31">
        <f t="shared" ref="K9" si="2">J19</f>
        <v>46307.144939858226</v>
      </c>
      <c r="L9" s="32"/>
      <c r="M9" s="31">
        <f>K19</f>
        <v>51037.409481141745</v>
      </c>
      <c r="N9" s="31">
        <f>K19</f>
        <v>51037.409481141745</v>
      </c>
      <c r="O9" s="32"/>
      <c r="P9" s="31">
        <f>M19</f>
        <v>55310.147297450138</v>
      </c>
      <c r="Q9" s="31">
        <f>N19</f>
        <v>61100.811819995331</v>
      </c>
      <c r="S9" s="12"/>
      <c r="T9" s="12"/>
    </row>
    <row r="10" spans="1:20" x14ac:dyDescent="0.2">
      <c r="S10" s="12"/>
      <c r="T10" s="12"/>
    </row>
    <row r="11" spans="1:20" x14ac:dyDescent="0.2">
      <c r="C11" s="2" t="s">
        <v>48</v>
      </c>
      <c r="S11" s="12"/>
      <c r="T11" s="12"/>
    </row>
    <row r="12" spans="1:20" x14ac:dyDescent="0.2">
      <c r="A12" s="2">
        <v>2</v>
      </c>
      <c r="C12" s="2" t="s">
        <v>111</v>
      </c>
      <c r="E12" s="11" t="s">
        <v>223</v>
      </c>
      <c r="G12" s="32">
        <f>'Schedule 6'!G32</f>
        <v>7806.8019142168132</v>
      </c>
      <c r="H12" s="32">
        <f>'Schedule 6'!H32</f>
        <v>7345.0836599999839</v>
      </c>
      <c r="I12" s="32">
        <f>'Schedule 6'!I32</f>
        <v>7713.4963964502085</v>
      </c>
      <c r="J12" s="32">
        <f>'Schedule 6'!J32</f>
        <v>7680.7308834080304</v>
      </c>
      <c r="K12" s="32">
        <f>'Schedule 6'!K32</f>
        <v>8001.4620000000068</v>
      </c>
      <c r="L12" s="32"/>
      <c r="M12" s="32">
        <f>'Schedule 6'!M32</f>
        <v>9269.3769315751815</v>
      </c>
      <c r="N12" s="32">
        <f>'Schedule 6'!N32</f>
        <v>10063.402338853588</v>
      </c>
      <c r="O12" s="32"/>
      <c r="P12" s="32">
        <f>'Schedule 6'!P32</f>
        <v>9332.4624896731148</v>
      </c>
      <c r="Q12" s="32">
        <f>'Schedule 6'!Q32</f>
        <v>10717.973851563758</v>
      </c>
      <c r="S12" s="12"/>
      <c r="T12" s="90"/>
    </row>
    <row r="13" spans="1:20" x14ac:dyDescent="0.2">
      <c r="A13" s="2">
        <v>3</v>
      </c>
      <c r="C13" s="2" t="s">
        <v>257</v>
      </c>
      <c r="G13" s="30">
        <v>0</v>
      </c>
      <c r="H13" s="30">
        <v>0</v>
      </c>
      <c r="I13" s="30">
        <v>0</v>
      </c>
      <c r="J13" s="30">
        <v>-4521</v>
      </c>
      <c r="K13" s="30">
        <v>-430.16</v>
      </c>
      <c r="L13" s="32"/>
      <c r="M13" s="30">
        <v>0</v>
      </c>
      <c r="N13" s="30">
        <v>0</v>
      </c>
      <c r="O13" s="30"/>
      <c r="P13" s="30">
        <v>0</v>
      </c>
      <c r="Q13" s="30">
        <v>0</v>
      </c>
      <c r="S13" s="12"/>
      <c r="T13" s="90"/>
    </row>
    <row r="14" spans="1:20" x14ac:dyDescent="0.2">
      <c r="A14" s="2">
        <v>4</v>
      </c>
      <c r="C14" s="2" t="s">
        <v>255</v>
      </c>
      <c r="G14" s="31">
        <f>SUM(G12:G13,G9)</f>
        <v>45076.38901478277</v>
      </c>
      <c r="H14" s="31">
        <f>SUM(H12:H13,H9)</f>
        <v>42384.917659999985</v>
      </c>
      <c r="I14" s="31">
        <f>SUM(I12:I13,I9)</f>
        <v>43147.414056450194</v>
      </c>
      <c r="J14" s="31">
        <f>SUM(J12:J13,J9)</f>
        <v>46307.144939858226</v>
      </c>
      <c r="K14" s="31">
        <f>SUM(K12:K13,K9)</f>
        <v>53878.44693985823</v>
      </c>
      <c r="L14" s="32"/>
      <c r="M14" s="31">
        <f>SUM(M12:M13,M9)</f>
        <v>60306.78641271693</v>
      </c>
      <c r="N14" s="31">
        <f>SUM(N12:N13,N9)</f>
        <v>61100.811819995331</v>
      </c>
      <c r="O14" s="32"/>
      <c r="P14" s="31">
        <f>SUM(P12:P13,P9)</f>
        <v>64642.609787123249</v>
      </c>
      <c r="Q14" s="31">
        <f>SUM(Q12:Q13,Q9)</f>
        <v>71818.78567155909</v>
      </c>
      <c r="S14" s="12"/>
      <c r="T14" s="12"/>
    </row>
    <row r="15" spans="1:20" x14ac:dyDescent="0.2">
      <c r="S15" s="12"/>
      <c r="T15" s="12"/>
    </row>
    <row r="16" spans="1:20" x14ac:dyDescent="0.2">
      <c r="C16" s="2" t="s">
        <v>113</v>
      </c>
      <c r="S16" s="12"/>
      <c r="T16" s="12"/>
    </row>
    <row r="17" spans="1:20" x14ac:dyDescent="0.2">
      <c r="A17" s="2">
        <v>5</v>
      </c>
      <c r="C17" s="2" t="s">
        <v>227</v>
      </c>
      <c r="G17" s="30">
        <v>6332</v>
      </c>
      <c r="H17" s="30">
        <v>6951</v>
      </c>
      <c r="I17" s="30">
        <v>0</v>
      </c>
      <c r="J17" s="30">
        <v>0</v>
      </c>
      <c r="K17" s="30">
        <v>2841.0374587164843</v>
      </c>
      <c r="L17" s="32"/>
      <c r="M17" s="30">
        <v>4996.6391152667929</v>
      </c>
      <c r="N17" s="30">
        <v>0</v>
      </c>
      <c r="O17" s="93"/>
      <c r="P17" s="30">
        <v>7964.8686660401727</v>
      </c>
      <c r="Q17" s="30">
        <v>9511.5742553057789</v>
      </c>
      <c r="S17" s="12"/>
      <c r="T17" s="12"/>
    </row>
    <row r="18" spans="1:20" x14ac:dyDescent="0.2">
      <c r="S18" s="12"/>
      <c r="T18" s="12"/>
    </row>
    <row r="19" spans="1:20" ht="13.5" thickBot="1" x14ac:dyDescent="0.25">
      <c r="A19" s="2">
        <v>6</v>
      </c>
      <c r="C19" s="2" t="s">
        <v>77</v>
      </c>
      <c r="G19" s="91">
        <f t="shared" ref="G19:K19" si="3">SUM(G14-G17)</f>
        <v>38744.38901478277</v>
      </c>
      <c r="H19" s="91">
        <f t="shared" si="3"/>
        <v>35433.917659999985</v>
      </c>
      <c r="I19" s="91">
        <f t="shared" si="3"/>
        <v>43147.414056450194</v>
      </c>
      <c r="J19" s="91">
        <f t="shared" si="3"/>
        <v>46307.144939858226</v>
      </c>
      <c r="K19" s="91">
        <f t="shared" si="3"/>
        <v>51037.409481141745</v>
      </c>
      <c r="L19" s="94"/>
      <c r="M19" s="91">
        <f>SUM(M14-M17)</f>
        <v>55310.147297450138</v>
      </c>
      <c r="N19" s="91">
        <f>SUM(N14-N17)</f>
        <v>61100.811819995331</v>
      </c>
      <c r="O19" s="94"/>
      <c r="P19" s="91">
        <f>SUM(P14-P17)</f>
        <v>56677.741121083076</v>
      </c>
      <c r="Q19" s="91">
        <f>SUM(Q14-Q17)</f>
        <v>62307.211416253311</v>
      </c>
      <c r="S19" s="12"/>
      <c r="T19" s="12"/>
    </row>
    <row r="20" spans="1:20" x14ac:dyDescent="0.2">
      <c r="S20" s="12"/>
      <c r="T20" s="12"/>
    </row>
    <row r="21" spans="1:20" x14ac:dyDescent="0.2">
      <c r="S21" s="12"/>
      <c r="T21" s="12"/>
    </row>
    <row r="22" spans="1:20" x14ac:dyDescent="0.2">
      <c r="C22" s="9" t="s">
        <v>114</v>
      </c>
    </row>
    <row r="23" spans="1:20" x14ac:dyDescent="0.2">
      <c r="A23" s="2">
        <f>A19+1</f>
        <v>7</v>
      </c>
      <c r="C23" s="2" t="s">
        <v>115</v>
      </c>
      <c r="G23" s="31">
        <v>53600</v>
      </c>
      <c r="H23" s="31">
        <v>53600</v>
      </c>
      <c r="I23" s="31">
        <v>53600</v>
      </c>
      <c r="J23" s="31">
        <v>53600</v>
      </c>
      <c r="K23" s="31">
        <v>53600</v>
      </c>
      <c r="L23" s="32"/>
      <c r="M23" s="31">
        <v>53600</v>
      </c>
      <c r="N23" s="31">
        <v>54948.49044634882</v>
      </c>
      <c r="O23" s="32"/>
      <c r="P23" s="31">
        <v>53600</v>
      </c>
      <c r="Q23" s="31">
        <v>54948.49044634882</v>
      </c>
    </row>
    <row r="24" spans="1:20" x14ac:dyDescent="0.2">
      <c r="A24" s="2">
        <f>A23+1</f>
        <v>8</v>
      </c>
      <c r="C24" s="2" t="s">
        <v>116</v>
      </c>
      <c r="G24" s="32">
        <f t="shared" ref="G24:K24" si="4">G19</f>
        <v>38744.38901478277</v>
      </c>
      <c r="H24" s="32">
        <f t="shared" si="4"/>
        <v>35433.917659999985</v>
      </c>
      <c r="I24" s="32">
        <f t="shared" si="4"/>
        <v>43147.414056450194</v>
      </c>
      <c r="J24" s="32">
        <f t="shared" si="4"/>
        <v>46307.144939858226</v>
      </c>
      <c r="K24" s="32">
        <f t="shared" si="4"/>
        <v>51037.409481141745</v>
      </c>
      <c r="L24" s="32"/>
      <c r="M24" s="32">
        <f>M19</f>
        <v>55310.147297450138</v>
      </c>
      <c r="N24" s="32">
        <f>N19</f>
        <v>61100.811819995331</v>
      </c>
      <c r="O24" s="87"/>
      <c r="P24" s="86">
        <f>P19</f>
        <v>56677.741121083076</v>
      </c>
      <c r="Q24" s="32">
        <f>Q19</f>
        <v>62307.211416253311</v>
      </c>
    </row>
    <row r="25" spans="1:20" x14ac:dyDescent="0.2">
      <c r="A25" s="2">
        <f>A24+1</f>
        <v>9</v>
      </c>
      <c r="C25" s="2" t="s">
        <v>37</v>
      </c>
      <c r="G25" s="95">
        <f t="shared" ref="G25:K25" si="5">SUM(G23:G24)</f>
        <v>92344.389014782762</v>
      </c>
      <c r="H25" s="95">
        <f t="shared" si="5"/>
        <v>89033.917659999977</v>
      </c>
      <c r="I25" s="95">
        <f t="shared" si="5"/>
        <v>96747.414056450187</v>
      </c>
      <c r="J25" s="95">
        <f t="shared" si="5"/>
        <v>99907.144939858234</v>
      </c>
      <c r="K25" s="95">
        <f t="shared" si="5"/>
        <v>104637.40948114175</v>
      </c>
      <c r="L25" s="32"/>
      <c r="M25" s="95">
        <f t="shared" ref="M25:P25" si="6">SUM(M23:M24)</f>
        <v>108910.14729745014</v>
      </c>
      <c r="N25" s="95">
        <f>SUM(N23:N24)</f>
        <v>116049.30226634415</v>
      </c>
      <c r="O25" s="32"/>
      <c r="P25" s="95">
        <f t="shared" si="6"/>
        <v>110277.74112108308</v>
      </c>
      <c r="Q25" s="95">
        <f>SUM(Q23:Q24)</f>
        <v>117255.70186260213</v>
      </c>
    </row>
    <row r="28" spans="1:20" x14ac:dyDescent="0.2">
      <c r="C28" s="2" t="s">
        <v>207</v>
      </c>
    </row>
    <row r="29" spans="1:20" x14ac:dyDescent="0.2">
      <c r="C29" s="2" t="s">
        <v>248</v>
      </c>
    </row>
  </sheetData>
  <mergeCells count="2">
    <mergeCell ref="M6:N6"/>
    <mergeCell ref="P6:Q6"/>
  </mergeCells>
  <phoneticPr fontId="0" type="noConversion"/>
  <printOptions horizontalCentered="1"/>
  <pageMargins left="0.55118110236220474" right="0.31496062992125984" top="0.82677165354330717" bottom="0.9055118110236221" header="0.51181102362204722" footer="0.51181102362204722"/>
  <pageSetup scale="9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D4C50305BE10458CD404A5428DFAFC" ma:contentTypeVersion="18" ma:contentTypeDescription="Create a new document." ma:contentTypeScope="" ma:versionID="9f75fc61c6759d535cad9c591186f491">
  <xsd:schema xmlns:xsd="http://www.w3.org/2001/XMLSchema" xmlns:xs="http://www.w3.org/2001/XMLSchema" xmlns:p="http://schemas.microsoft.com/office/2006/metadata/properties" xmlns:ns1="http://schemas.microsoft.com/sharepoint/v3" xmlns:ns2="5bfdca30-96b2-4830-9e6a-55665cf1f43a" xmlns:ns3="a982a263-ee9f-41c6-b5fa-2fdd33119a79" targetNamespace="http://schemas.microsoft.com/office/2006/metadata/properties" ma:root="true" ma:fieldsID="648507ec280a474bc5de0dc8da8f7bfe" ns1:_="" ns2:_="" ns3:_="">
    <xsd:import namespace="http://schemas.microsoft.com/sharepoint/v3"/>
    <xsd:import namespace="5bfdca30-96b2-4830-9e6a-55665cf1f43a"/>
    <xsd:import namespace="a982a263-ee9f-41c6-b5fa-2fdd33119a79"/>
    <xsd:element name="properties">
      <xsd:complexType>
        <xsd:sequence>
          <xsd:element name="documentManagement">
            <xsd:complexType>
              <xsd:all>
                <xsd:element ref="ns2:Primary0" minOccurs="0"/>
                <xsd:element ref="ns3:File" minOccurs="0"/>
                <xsd:element ref="ns3:Record_x0020_Type" minOccurs="0"/>
                <xsd:element ref="ns3:Record_x0020_Date" minOccurs="0"/>
                <xsd:element ref="ns1:PublishingStartDate" minOccurs="0"/>
                <xsd:element ref="ns1:PublishingExpirationDate" minOccurs="0"/>
                <xsd:element ref="ns2:C_Primary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dca30-96b2-4830-9e6a-55665cf1f43a" elementFormDefault="qualified">
    <xsd:import namespace="http://schemas.microsoft.com/office/2006/documentManagement/types"/>
    <xsd:import namespace="http://schemas.microsoft.com/office/infopath/2007/PartnerControls"/>
    <xsd:element name="Primary0" ma:index="1" nillable="true" ma:displayName="Primary" ma:list="{232132A6-3F26-4228-B0B1-3737A219D610}" ma:internalName="Primary0" ma:readOnly="false" ma:showField="Title" ma:web="e5db508d-f132-4833-80a7-d32b4d3b12db">
      <xsd:simpleType>
        <xsd:restriction base="dms:Lookup"/>
      </xsd:simpleType>
    </xsd:element>
    <xsd:element name="C_Primary0" ma:index="11" nillable="true" ma:displayName="C_Primary" ma:internalName="C_Primary0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82a263-ee9f-41c6-b5fa-2fdd33119a79" elementFormDefault="qualified">
    <xsd:import namespace="http://schemas.microsoft.com/office/2006/documentManagement/types"/>
    <xsd:import namespace="http://schemas.microsoft.com/office/infopath/2007/PartnerControls"/>
    <xsd:element name="File" ma:index="2" nillable="true" ma:displayName="File" ma:list="{93605203-C9C8-4A6A-8351-CAAB20E3C00B}" ma:internalName="File" ma:readOnly="false" ma:showField="File" ma:web="2de80cbe-736b-47a8-a178-f9284634e602">
      <xsd:simpleType>
        <xsd:restriction base="dms:Lookup"/>
      </xsd:simpleType>
    </xsd:element>
    <xsd:element name="Record_x0020_Type" ma:index="3" nillable="true" ma:displayName="Record Type" ma:list="{0182e605-c9a4-41b2-8cac-ad1103909fa5}" ma:internalName="Record_x0020_Type" ma:readOnly="false" ma:showField="Title" ma:web="e5db508d-f132-4833-80a7-d32b4d3b12db">
      <xsd:simpleType>
        <xsd:restriction base="dms:Lookup"/>
      </xsd:simpleType>
    </xsd:element>
    <xsd:element name="Record_x0020_Date" ma:index="4" nillable="true" ma:displayName="Record Date" ma:format="DateOnly" ma:internalName="Record_x0020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ord_x0020_Date xmlns="a982a263-ee9f-41c6-b5fa-2fdd33119a79" xsi:nil="true"/>
    <C_Primary0 xmlns="5bfdca30-96b2-4830-9e6a-55665cf1f43a">02 Application</C_Primary0>
    <Primary0 xmlns="5bfdca30-96b2-4830-9e6a-55665cf1f43a">2</Primary0>
    <PublishingStartDate xmlns="http://schemas.microsoft.com/sharepoint/v3" xsi:nil="true"/>
    <PublishingExpirationDate xmlns="http://schemas.microsoft.com/sharepoint/v3" xsi:nil="true"/>
    <Record_x0020_Type xmlns="a982a263-ee9f-41c6-b5fa-2fdd33119a79">10</Record_x0020_Type>
    <File xmlns="a982a263-ee9f-41c6-b5fa-2fdd33119a79">1</File>
  </documentManagement>
</p:properties>
</file>

<file path=customXml/itemProps1.xml><?xml version="1.0" encoding="utf-8"?>
<ds:datastoreItem xmlns:ds="http://schemas.openxmlformats.org/officeDocument/2006/customXml" ds:itemID="{C460E19B-A7A3-4AA4-8C4C-0641515EEB79}"/>
</file>

<file path=customXml/itemProps2.xml><?xml version="1.0" encoding="utf-8"?>
<ds:datastoreItem xmlns:ds="http://schemas.openxmlformats.org/officeDocument/2006/customXml" ds:itemID="{F63804B8-5D53-4D94-BDF0-D455FEE737B6}"/>
</file>

<file path=customXml/itemProps3.xml><?xml version="1.0" encoding="utf-8"?>
<ds:datastoreItem xmlns:ds="http://schemas.openxmlformats.org/officeDocument/2006/customXml" ds:itemID="{E4BD2C45-4B90-4533-8945-FA97FA688F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Index</vt:lpstr>
      <vt:lpstr>Schedule 1</vt:lpstr>
      <vt:lpstr>Schedule 2</vt:lpstr>
      <vt:lpstr>Schedule 2A</vt:lpstr>
      <vt:lpstr>Schedule 3</vt:lpstr>
      <vt:lpstr>Schedule 4</vt:lpstr>
      <vt:lpstr>Schedule 5</vt:lpstr>
      <vt:lpstr>Schedule 6</vt:lpstr>
      <vt:lpstr>Schedule 7</vt:lpstr>
      <vt:lpstr>Schedule 8</vt:lpstr>
      <vt:lpstr>Schedule 9</vt:lpstr>
      <vt:lpstr>Schedule 10</vt:lpstr>
      <vt:lpstr>Schedule 11</vt:lpstr>
      <vt:lpstr>Index!Print_Area</vt:lpstr>
      <vt:lpstr>'Schedule 1'!Print_Area</vt:lpstr>
      <vt:lpstr>'Schedule 10'!Print_Area</vt:lpstr>
      <vt:lpstr>'Schedule 11'!Print_Area</vt:lpstr>
      <vt:lpstr>'Schedule 2'!Print_Area</vt:lpstr>
      <vt:lpstr>'Schedule 2A'!Print_Area</vt:lpstr>
      <vt:lpstr>'Schedule 3'!Print_Area</vt:lpstr>
      <vt:lpstr>'Schedule 4'!Print_Area</vt:lpstr>
      <vt:lpstr>'Schedule 5'!Print_Area</vt:lpstr>
      <vt:lpstr>'Schedule 6'!Print_Area</vt:lpstr>
      <vt:lpstr>'Schedule 7'!Print_Area</vt:lpstr>
      <vt:lpstr>'Schedule 8'!Print_Area</vt:lpstr>
      <vt:lpstr>'Schedule 9'!Print_Area</vt:lpstr>
      <vt:lpstr>'Schedule 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2017-06-26T15:01:29Z</dcterms:created>
  <dcterms:modified xsi:type="dcterms:W3CDTF">2017-06-26T15:38:04Z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b8dab019-e8a7-4f3a-a4e2-f366c14a0227</vt:lpwstr>
  </property>
  <property fmtid="{D5CDD505-2E9C-101B-9397-08002B2CF9AE}" pid="3" name="_dlc_DocId">
    <vt:lpwstr>7UVQ43MC76ES-870-1041</vt:lpwstr>
  </property>
  <property fmtid="{D5CDD505-2E9C-101B-9397-08002B2CF9AE}" pid="4" name="ContentTypeId">
    <vt:lpwstr>0x01010070D4C50305BE10458CD404A5428DFAFC</vt:lpwstr>
  </property>
  <property fmtid="{D5CDD505-2E9C-101B-9397-08002B2CF9AE}" pid="5" name="_dlc_DocIdUrl">
    <vt:lpwstr>https://sp2010.yec.yk.ca/Projects/2716/_layouts/DocIdRedir.aspx?ID=7UVQ43MC76ES-870-1041, 7UVQ43MC76ES-870-1041</vt:lpwstr>
  </property>
</Properties>
</file>