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codeName="ThisWorkbook" defaultThemeVersion="124226"/>
  <xr:revisionPtr revIDLastSave="193" documentId="13_ncr:1_{EDE73EBB-2FE4-4230-BF99-7C22C73C66FC}" xr6:coauthVersionLast="47" xr6:coauthVersionMax="47" xr10:uidLastSave="{7B1F576C-F04D-41D6-9D23-E590B375D411}"/>
  <bookViews>
    <workbookView xWindow="19090" yWindow="-230" windowWidth="19420" windowHeight="10420" xr2:uid="{00000000-000D-0000-FFFF-FFFF00000000}"/>
  </bookViews>
  <sheets>
    <sheet name="5.1" sheetId="17" r:id="rId1"/>
    <sheet name="5.2a - 2021 approved" sheetId="37" r:id="rId2"/>
    <sheet name="5.2b - 2021" sheetId="34" r:id="rId3"/>
    <sheet name="5.3 - 2022" sheetId="32" r:id="rId4"/>
    <sheet name="5.4 - 2023" sheetId="31" r:id="rId5"/>
    <sheet name="5.5 - 2024" sheetId="29" r:id="rId6"/>
  </sheets>
  <definedNames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hidden="1">#REF!</definedName>
    <definedName name="_Order1" hidden="1">255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hidden="1">#REF!</definedName>
    <definedName name="_xlnm.Print_Titles" localSheetId="1">'5.2a - 2021 approved'!$1:$6</definedName>
    <definedName name="_xlnm.Print_Titles" localSheetId="2">'5.2b - 2021'!$1:$6</definedName>
    <definedName name="_xlnm.Print_Titles" localSheetId="3">'5.3 - 2022'!$1:$6</definedName>
    <definedName name="_xlnm.Print_Titles" localSheetId="4">'5.4 - 2023'!$1:$6</definedName>
    <definedName name="_xlnm.Print_Titles" localSheetId="5">'5.5 - 2024'!$1:$6</definedName>
    <definedName name="Z_2E51B7C0_6CEE_11D3_AD1A_A5A650036065_.wvu.Cols" hidden="1">#REF!</definedName>
    <definedName name="Z_418DF6FE_13EF_11D2_8C37_00A0C92A9A63_.wvu.PrintArea" localSheetId="1" hidden="1">#REF!</definedName>
    <definedName name="Z_418DF6FE_13EF_11D2_8C37_00A0C92A9A63_.wvu.PrintArea" localSheetId="2" hidden="1">#REF!</definedName>
    <definedName name="Z_418DF6FE_13EF_11D2_8C37_00A0C92A9A63_.wvu.PrintArea" localSheetId="3" hidden="1">#REF!</definedName>
    <definedName name="Z_418DF6FE_13EF_11D2_8C37_00A0C92A9A63_.wvu.PrintArea" localSheetId="4" hidden="1">#REF!</definedName>
    <definedName name="Z_418DF6FE_13EF_11D2_8C37_00A0C92A9A63_.wvu.PrintArea" localSheetId="5" hidden="1">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localSheetId="1" hidden="1">#REF!,#REF!,#REF!,#REF!,#REF!,#REF!,#REF!</definedName>
    <definedName name="Z_418DF6FE_13EF_11D2_8C37_00A0C92A9A63_.wvu.Rows" localSheetId="2" hidden="1">#REF!,#REF!,#REF!,#REF!,#REF!,#REF!,#REF!</definedName>
    <definedName name="Z_418DF6FE_13EF_11D2_8C37_00A0C92A9A63_.wvu.Rows" localSheetId="3" hidden="1">#REF!,#REF!,#REF!,#REF!,#REF!,#REF!,#REF!</definedName>
    <definedName name="Z_418DF6FE_13EF_11D2_8C37_00A0C92A9A63_.wvu.Rows" localSheetId="4" hidden="1">#REF!,#REF!,#REF!,#REF!,#REF!,#REF!,#REF!</definedName>
    <definedName name="Z_418DF6FE_13EF_11D2_8C37_00A0C92A9A63_.wvu.Rows" localSheetId="5" hidden="1">#REF!,#REF!,#REF!,#REF!,#REF!,#REF!,#REF!</definedName>
    <definedName name="Z_418DF6FE_13EF_11D2_8C37_00A0C92A9A63_.wvu.Rows" hidden="1">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37" l="1"/>
  <c r="C23" i="17" l="1"/>
  <c r="C21" i="17"/>
  <c r="E70" i="37"/>
  <c r="D70" i="37"/>
  <c r="E64" i="37"/>
  <c r="D64" i="37"/>
  <c r="E59" i="37"/>
  <c r="E53" i="37"/>
  <c r="E41" i="37"/>
  <c r="F77" i="37"/>
  <c r="G68" i="37"/>
  <c r="G10" i="37"/>
  <c r="G15" i="37"/>
  <c r="G17" i="37"/>
  <c r="G21" i="37"/>
  <c r="G18" i="37"/>
  <c r="G20" i="37"/>
  <c r="F128" i="37"/>
  <c r="G128" i="37" s="1"/>
  <c r="F50" i="37"/>
  <c r="F57" i="37"/>
  <c r="F67" i="37"/>
  <c r="F81" i="37"/>
  <c r="F79" i="37"/>
  <c r="F22" i="37"/>
  <c r="F95" i="37"/>
  <c r="F40" i="37"/>
  <c r="F41" i="37" s="1"/>
  <c r="D96" i="37"/>
  <c r="D80" i="37"/>
  <c r="D78" i="37"/>
  <c r="D56" i="37"/>
  <c r="D44" i="37"/>
  <c r="D26" i="37"/>
  <c r="D39" i="37"/>
  <c r="D36" i="37"/>
  <c r="D35" i="37"/>
  <c r="D33" i="37"/>
  <c r="D32" i="37"/>
  <c r="D16" i="37"/>
  <c r="G16" i="37" s="1"/>
  <c r="D14" i="37"/>
  <c r="G14" i="37" s="1"/>
  <c r="D24" i="37"/>
  <c r="G24" i="37" s="1"/>
  <c r="D13" i="37"/>
  <c r="F13" i="37" s="1"/>
  <c r="D11" i="37"/>
  <c r="D9" i="37"/>
  <c r="G9" i="37" s="1"/>
  <c r="F100" i="37"/>
  <c r="F62" i="37"/>
  <c r="E80" i="37" l="1"/>
  <c r="E12" i="37" s="1"/>
  <c r="F44" i="37"/>
  <c r="F45" i="37" s="1"/>
  <c r="D45" i="37"/>
  <c r="F59" i="37"/>
  <c r="D41" i="37"/>
  <c r="D53" i="37"/>
  <c r="F70" i="37"/>
  <c r="F53" i="37"/>
  <c r="F64" i="37"/>
  <c r="D59" i="37"/>
  <c r="D86" i="37"/>
  <c r="G13" i="37"/>
  <c r="F11" i="37"/>
  <c r="G84" i="37"/>
  <c r="G83" i="37"/>
  <c r="E73" i="37"/>
  <c r="G82" i="37"/>
  <c r="E86" i="37" l="1"/>
  <c r="F12" i="37"/>
  <c r="G12" i="37" s="1"/>
  <c r="E28" i="37"/>
  <c r="F80" i="37"/>
  <c r="F86" i="37" s="1"/>
  <c r="G11" i="37"/>
  <c r="F73" i="37"/>
  <c r="G73" i="37" s="1"/>
  <c r="F28" i="37" l="1"/>
  <c r="G81" i="37"/>
  <c r="G80" i="37"/>
  <c r="E74" i="37" l="1"/>
  <c r="E115" i="37" s="1"/>
  <c r="C22" i="17" s="1"/>
  <c r="G2" i="37"/>
  <c r="B1" i="37"/>
  <c r="G74" i="37" l="1"/>
  <c r="G115" i="37" s="1"/>
  <c r="F74" i="37"/>
  <c r="F115" i="37" s="1"/>
  <c r="D74" i="37"/>
  <c r="D115" i="37" s="1"/>
  <c r="E97" i="37"/>
  <c r="G130" i="37"/>
  <c r="E130" i="37"/>
  <c r="G78" i="37"/>
  <c r="F130" i="37"/>
  <c r="E105" i="37"/>
  <c r="D101" i="37"/>
  <c r="D111" i="37"/>
  <c r="D90" i="37"/>
  <c r="G39" i="37"/>
  <c r="G40" i="37"/>
  <c r="E111" i="37"/>
  <c r="C20" i="17" s="1"/>
  <c r="G56" i="37"/>
  <c r="G77" i="37"/>
  <c r="E101" i="37"/>
  <c r="G33" i="37"/>
  <c r="F110" i="37"/>
  <c r="D108" i="37"/>
  <c r="F109" i="37"/>
  <c r="G37" i="37"/>
  <c r="G44" i="37"/>
  <c r="G45" i="37" s="1"/>
  <c r="F111" i="37"/>
  <c r="E90" i="37"/>
  <c r="F90" i="37"/>
  <c r="G51" i="37"/>
  <c r="G57" i="37"/>
  <c r="G36" i="37"/>
  <c r="G96" i="37"/>
  <c r="D109" i="37"/>
  <c r="E108" i="37"/>
  <c r="C17" i="17" s="1"/>
  <c r="F108" i="37"/>
  <c r="G32" i="37"/>
  <c r="G26" i="37"/>
  <c r="E110" i="37"/>
  <c r="C19" i="17" s="1"/>
  <c r="G79" i="37"/>
  <c r="D97" i="37"/>
  <c r="F101" i="37"/>
  <c r="G22" i="37"/>
  <c r="E109" i="37"/>
  <c r="C18" i="17" s="1"/>
  <c r="G35" i="37"/>
  <c r="G50" i="37"/>
  <c r="G53" i="37" s="1"/>
  <c r="G95" i="37"/>
  <c r="F97" i="37"/>
  <c r="D28" i="37"/>
  <c r="D105" i="37" s="1"/>
  <c r="G67" i="37"/>
  <c r="G70" i="37" s="1"/>
  <c r="F105" i="37"/>
  <c r="G100" i="37"/>
  <c r="G62" i="37"/>
  <c r="G64" i="37" s="1"/>
  <c r="G28" i="37" l="1"/>
  <c r="G105" i="37" s="1"/>
  <c r="C14" i="17"/>
  <c r="D121" i="37"/>
  <c r="G86" i="37"/>
  <c r="G59" i="37"/>
  <c r="G109" i="37" s="1"/>
  <c r="D110" i="37"/>
  <c r="D92" i="37"/>
  <c r="G108" i="37"/>
  <c r="G41" i="37"/>
  <c r="E124" i="37"/>
  <c r="C52" i="17" s="1"/>
  <c r="E119" i="37"/>
  <c r="D130" i="37"/>
  <c r="D124" i="37"/>
  <c r="G101" i="37"/>
  <c r="F124" i="37"/>
  <c r="C54" i="17" s="1"/>
  <c r="F119" i="37"/>
  <c r="G90" i="37"/>
  <c r="E121" i="37"/>
  <c r="D119" i="37"/>
  <c r="F121" i="37"/>
  <c r="G110" i="37"/>
  <c r="E117" i="37"/>
  <c r="F92" i="37"/>
  <c r="E92" i="37"/>
  <c r="F103" i="37"/>
  <c r="F117" i="37"/>
  <c r="C34" i="17" s="1"/>
  <c r="D117" i="37"/>
  <c r="C10" i="17" s="1"/>
  <c r="E103" i="37"/>
  <c r="G97" i="37"/>
  <c r="D103" i="37"/>
  <c r="G124" i="37" l="1"/>
  <c r="C55" i="17" s="1"/>
  <c r="G121" i="37"/>
  <c r="G111" i="37"/>
  <c r="G92" i="37"/>
  <c r="G119" i="37"/>
  <c r="G103" i="37"/>
  <c r="G117" i="37" l="1"/>
  <c r="C63" i="17" l="1"/>
  <c r="C62" i="17" s="1"/>
  <c r="C29" i="17"/>
  <c r="C32" i="17" s="1"/>
  <c r="C25" i="17"/>
  <c r="C27" i="17" s="1"/>
  <c r="C12" i="17"/>
  <c r="G2" i="29"/>
  <c r="G2" i="31"/>
  <c r="G2" i="32"/>
  <c r="G2" i="34"/>
  <c r="B1" i="34"/>
  <c r="E133" i="29"/>
  <c r="E157" i="29" s="1"/>
  <c r="G104" i="34" l="1"/>
  <c r="D120" i="32" s="1"/>
  <c r="C37" i="17"/>
  <c r="C39" i="17"/>
  <c r="C46" i="17"/>
  <c r="B1" i="32"/>
  <c r="B1" i="31"/>
  <c r="B1" i="29"/>
  <c r="E61" i="29"/>
  <c r="C36" i="17" l="1"/>
  <c r="C43" i="17"/>
  <c r="C40" i="17" s="1"/>
  <c r="G135" i="32" l="1"/>
  <c r="E116" i="32"/>
  <c r="D21" i="17"/>
  <c r="G93" i="34" l="1"/>
  <c r="D110" i="32" s="1"/>
  <c r="F116" i="32"/>
  <c r="G38" i="34" l="1"/>
  <c r="D46" i="32" s="1"/>
  <c r="G16" i="34"/>
  <c r="D16" i="32" s="1"/>
  <c r="G45" i="34"/>
  <c r="D53" i="32" s="1"/>
  <c r="G36" i="34"/>
  <c r="D43" i="32" s="1"/>
  <c r="G34" i="34"/>
  <c r="D40" i="32" s="1"/>
  <c r="G17" i="34"/>
  <c r="D17" i="32" s="1"/>
  <c r="E134" i="34" l="1"/>
  <c r="D23" i="17" s="1"/>
  <c r="G21" i="17" l="1"/>
  <c r="D22" i="17" l="1"/>
  <c r="D46" i="17" l="1"/>
  <c r="G15" i="34" l="1"/>
  <c r="D15" i="32" s="1"/>
  <c r="D148" i="32"/>
  <c r="D149" i="32"/>
  <c r="G134" i="34" l="1"/>
  <c r="D133" i="34"/>
  <c r="G73" i="34"/>
  <c r="G52" i="34"/>
  <c r="G54" i="34"/>
  <c r="G81" i="34"/>
  <c r="G97" i="34"/>
  <c r="G61" i="34"/>
  <c r="G44" i="34"/>
  <c r="G60" i="34"/>
  <c r="G74" i="34"/>
  <c r="G55" i="34"/>
  <c r="G12" i="34"/>
  <c r="G13" i="34"/>
  <c r="F46" i="34" l="1"/>
  <c r="F64" i="34"/>
  <c r="F113" i="34" s="1"/>
  <c r="F94" i="34"/>
  <c r="E87" i="34"/>
  <c r="E46" i="34"/>
  <c r="E99" i="34"/>
  <c r="E64" i="34"/>
  <c r="E94" i="34"/>
  <c r="D87" i="34"/>
  <c r="D46" i="34"/>
  <c r="D134" i="34"/>
  <c r="D99" i="34"/>
  <c r="D64" i="34"/>
  <c r="D113" i="34" s="1"/>
  <c r="E121" i="32"/>
  <c r="E54" i="32"/>
  <c r="E154" i="32"/>
  <c r="E24" i="17" s="1"/>
  <c r="D154" i="32"/>
  <c r="D105" i="34" l="1"/>
  <c r="D129" i="34" s="1"/>
  <c r="E105" i="34"/>
  <c r="E129" i="34" s="1"/>
  <c r="E112" i="32"/>
  <c r="E144" i="32" s="1"/>
  <c r="E52" i="17" s="1"/>
  <c r="E63" i="17" s="1"/>
  <c r="F105" i="34"/>
  <c r="F129" i="34" s="1"/>
  <c r="D94" i="34"/>
  <c r="D107" i="34" s="1"/>
  <c r="E34" i="32"/>
  <c r="E125" i="32" s="1"/>
  <c r="E128" i="34"/>
  <c r="D52" i="17" s="1"/>
  <c r="F134" i="34"/>
  <c r="D125" i="34"/>
  <c r="F40" i="34"/>
  <c r="E125" i="34"/>
  <c r="D40" i="34"/>
  <c r="E113" i="34"/>
  <c r="D18" i="17" s="1"/>
  <c r="F99" i="34"/>
  <c r="F128" i="34" s="1"/>
  <c r="E40" i="34"/>
  <c r="E26" i="34"/>
  <c r="E109" i="34" s="1"/>
  <c r="D26" i="34"/>
  <c r="D109" i="34" s="1"/>
  <c r="F26" i="34"/>
  <c r="F109" i="34" s="1"/>
  <c r="D104" i="32"/>
  <c r="E104" i="32"/>
  <c r="E141" i="32" s="1"/>
  <c r="D150" i="32"/>
  <c r="E150" i="32"/>
  <c r="E23" i="17" s="1"/>
  <c r="E88" i="32"/>
  <c r="E133" i="32" s="1"/>
  <c r="E21" i="17" s="1"/>
  <c r="D88" i="32"/>
  <c r="D133" i="32" s="1"/>
  <c r="D70" i="32"/>
  <c r="E70" i="32"/>
  <c r="F87" i="34"/>
  <c r="F125" i="34" s="1"/>
  <c r="E70" i="34"/>
  <c r="E114" i="34" s="1"/>
  <c r="D19" i="17" s="1"/>
  <c r="E22" i="17"/>
  <c r="E76" i="32"/>
  <c r="E130" i="32" s="1"/>
  <c r="E19" i="17" s="1"/>
  <c r="D83" i="34"/>
  <c r="E83" i="34"/>
  <c r="E76" i="34"/>
  <c r="E115" i="34" s="1"/>
  <c r="D20" i="17" s="1"/>
  <c r="D76" i="34"/>
  <c r="D115" i="34" s="1"/>
  <c r="D70" i="34"/>
  <c r="D114" i="34" s="1"/>
  <c r="D57" i="34"/>
  <c r="E57" i="34"/>
  <c r="D83" i="32"/>
  <c r="D131" i="32" s="1"/>
  <c r="D76" i="32"/>
  <c r="D130" i="32" s="1"/>
  <c r="E83" i="32"/>
  <c r="E65" i="32"/>
  <c r="G35" i="34"/>
  <c r="D41" i="32" s="1"/>
  <c r="G11" i="34"/>
  <c r="G10" i="34"/>
  <c r="G98" i="34"/>
  <c r="D115" i="32" s="1"/>
  <c r="G79" i="34"/>
  <c r="G62" i="34"/>
  <c r="G64" i="34" s="1"/>
  <c r="G113" i="34" s="1"/>
  <c r="G92" i="34"/>
  <c r="G14" i="34"/>
  <c r="G9" i="34"/>
  <c r="D10" i="32" s="1"/>
  <c r="G43" i="34"/>
  <c r="G87" i="34"/>
  <c r="G21" i="34"/>
  <c r="G25" i="34"/>
  <c r="D29" i="32" s="1"/>
  <c r="G23" i="34"/>
  <c r="D26" i="32" s="1"/>
  <c r="G102" i="34"/>
  <c r="G67" i="34"/>
  <c r="G53" i="34"/>
  <c r="G51" i="34"/>
  <c r="G30" i="34"/>
  <c r="D9" i="32" s="1"/>
  <c r="G103" i="34"/>
  <c r="D111" i="32" s="1"/>
  <c r="G20" i="34"/>
  <c r="G31" i="34"/>
  <c r="D27" i="32" s="1"/>
  <c r="G19" i="34"/>
  <c r="D21" i="32" s="1"/>
  <c r="G68" i="34"/>
  <c r="G39" i="34"/>
  <c r="D48" i="32" s="1"/>
  <c r="G80" i="34"/>
  <c r="G32" i="34"/>
  <c r="D38" i="32" s="1"/>
  <c r="G148" i="32"/>
  <c r="G73" i="32"/>
  <c r="G68" i="32"/>
  <c r="E107" i="34" l="1"/>
  <c r="F83" i="34"/>
  <c r="F123" i="34" s="1"/>
  <c r="F57" i="34"/>
  <c r="F112" i="34" s="1"/>
  <c r="E14" i="17"/>
  <c r="G9" i="32"/>
  <c r="D9" i="31" s="1"/>
  <c r="D128" i="34"/>
  <c r="G105" i="34"/>
  <c r="G129" i="34" s="1"/>
  <c r="D119" i="32"/>
  <c r="D49" i="32"/>
  <c r="E11" i="17"/>
  <c r="D116" i="32"/>
  <c r="G115" i="32"/>
  <c r="D34" i="32"/>
  <c r="D125" i="32" s="1"/>
  <c r="G94" i="34"/>
  <c r="D109" i="32"/>
  <c r="G46" i="34"/>
  <c r="G125" i="34" s="1"/>
  <c r="D52" i="32"/>
  <c r="E123" i="32"/>
  <c r="E145" i="32"/>
  <c r="E89" i="34"/>
  <c r="D89" i="34"/>
  <c r="D14" i="17"/>
  <c r="F107" i="34"/>
  <c r="D123" i="34"/>
  <c r="E123" i="34"/>
  <c r="G99" i="34"/>
  <c r="G40" i="34"/>
  <c r="G26" i="34"/>
  <c r="G109" i="34" s="1"/>
  <c r="E112" i="34"/>
  <c r="D17" i="17" s="1"/>
  <c r="D112" i="34"/>
  <c r="D63" i="17"/>
  <c r="D64" i="17" s="1"/>
  <c r="E129" i="32"/>
  <c r="E18" i="17" s="1"/>
  <c r="D65" i="32"/>
  <c r="D128" i="32" s="1"/>
  <c r="F70" i="34"/>
  <c r="F114" i="34" s="1"/>
  <c r="F76" i="34"/>
  <c r="F115" i="34" s="1"/>
  <c r="G83" i="34"/>
  <c r="E131" i="32"/>
  <c r="E20" i="17" s="1"/>
  <c r="E128" i="32"/>
  <c r="G70" i="34"/>
  <c r="G114" i="34" s="1"/>
  <c r="G76" i="34"/>
  <c r="G115" i="34" s="1"/>
  <c r="G57" i="34"/>
  <c r="D121" i="34" l="1"/>
  <c r="D10" i="17" s="1"/>
  <c r="D51" i="17"/>
  <c r="D57" i="17" s="1"/>
  <c r="G128" i="34"/>
  <c r="D121" i="32"/>
  <c r="D145" i="32" s="1"/>
  <c r="G116" i="32"/>
  <c r="D120" i="31"/>
  <c r="D112" i="32"/>
  <c r="D144" i="32" s="1"/>
  <c r="D54" i="32"/>
  <c r="D141" i="32" s="1"/>
  <c r="E17" i="17"/>
  <c r="E137" i="32"/>
  <c r="F89" i="34"/>
  <c r="G89" i="34"/>
  <c r="G107" i="34"/>
  <c r="F121" i="34"/>
  <c r="D34" i="17" s="1"/>
  <c r="E121" i="34"/>
  <c r="G123" i="34"/>
  <c r="G112" i="34"/>
  <c r="D129" i="32"/>
  <c r="D55" i="17" l="1"/>
  <c r="D54" i="17" s="1"/>
  <c r="D137" i="32"/>
  <c r="D123" i="32"/>
  <c r="G121" i="34"/>
  <c r="E147" i="29" l="1"/>
  <c r="E129" i="29" l="1"/>
  <c r="E117" i="29"/>
  <c r="E153" i="29" s="1"/>
  <c r="E95" i="29"/>
  <c r="E86" i="29"/>
  <c r="E142" i="29" l="1"/>
  <c r="G19" i="17" s="1"/>
  <c r="E110" i="29"/>
  <c r="E72" i="29"/>
  <c r="E140" i="29" s="1"/>
  <c r="G17" i="17" s="1"/>
  <c r="E57" i="29"/>
  <c r="E80" i="29"/>
  <c r="E141" i="29" s="1"/>
  <c r="G18" i="17" s="1"/>
  <c r="E151" i="29" l="1"/>
  <c r="B27" i="17" l="1"/>
  <c r="E45" i="17" l="1"/>
  <c r="D58" i="17" l="1"/>
  <c r="D60" i="17" s="1"/>
  <c r="E51" i="17"/>
  <c r="E57" i="17" l="1"/>
  <c r="E62" i="17" l="1"/>
  <c r="E64" i="17" s="1"/>
  <c r="F62" i="17" l="1"/>
  <c r="F45" i="17" l="1"/>
  <c r="E46" i="17"/>
  <c r="G45" i="17" l="1"/>
  <c r="G46" i="17" s="1"/>
  <c r="F46" i="17"/>
  <c r="E143" i="29" l="1"/>
  <c r="G20" i="17" s="1"/>
  <c r="D98" i="32" l="1"/>
  <c r="D139" i="32" s="1"/>
  <c r="E98" i="32"/>
  <c r="E90" i="31" l="1"/>
  <c r="E139" i="31" s="1"/>
  <c r="F21" i="17" s="1"/>
  <c r="E29" i="17" l="1"/>
  <c r="E32" i="17" s="1"/>
  <c r="E25" i="17"/>
  <c r="E49" i="32" l="1"/>
  <c r="E139" i="32" s="1"/>
  <c r="G41" i="32" l="1"/>
  <c r="D39" i="31" s="1"/>
  <c r="G22" i="17" l="1"/>
  <c r="F22" i="17" l="1"/>
  <c r="D12" i="17" l="1"/>
  <c r="D39" i="17"/>
  <c r="D25" i="17" l="1"/>
  <c r="D27" i="17" s="1"/>
  <c r="D29" i="17" l="1"/>
  <c r="D32" i="17" s="1"/>
  <c r="D37" i="17" s="1"/>
  <c r="E10" i="17" l="1"/>
  <c r="E39" i="17" s="1"/>
  <c r="D43" i="17"/>
  <c r="D40" i="17" s="1"/>
  <c r="D36" i="17"/>
  <c r="E12" i="17" l="1"/>
  <c r="E27" i="17" l="1"/>
  <c r="D106" i="32" l="1"/>
  <c r="E106" i="32" l="1"/>
  <c r="D161" i="29" l="1"/>
  <c r="D147" i="29" l="1"/>
  <c r="D129" i="29"/>
  <c r="E117" i="31" l="1"/>
  <c r="G42" i="29" l="1"/>
  <c r="G22" i="29" l="1"/>
  <c r="G40" i="29"/>
  <c r="G21" i="29"/>
  <c r="F61" i="29"/>
  <c r="G84" i="29"/>
  <c r="G25" i="29"/>
  <c r="G106" i="29"/>
  <c r="G23" i="29"/>
  <c r="G26" i="29"/>
  <c r="G34" i="29"/>
  <c r="G20" i="29"/>
  <c r="G78" i="29"/>
  <c r="G33" i="29"/>
  <c r="G93" i="29"/>
  <c r="G32" i="29"/>
  <c r="G24" i="29"/>
  <c r="G70" i="29"/>
  <c r="F133" i="29"/>
  <c r="F157" i="29" s="1"/>
  <c r="F125" i="29" l="1"/>
  <c r="G65" i="31" l="1"/>
  <c r="G72" i="31"/>
  <c r="G116" i="31" l="1"/>
  <c r="D124" i="29" s="1"/>
  <c r="G124" i="29" s="1"/>
  <c r="F117" i="31" l="1"/>
  <c r="E127" i="31" l="1"/>
  <c r="E151" i="31" s="1"/>
  <c r="G46" i="31" l="1"/>
  <c r="D56" i="29" s="1"/>
  <c r="G56" i="29" s="1"/>
  <c r="G99" i="31" l="1"/>
  <c r="D107" i="29" s="1"/>
  <c r="F90" i="31"/>
  <c r="F139" i="31" s="1"/>
  <c r="G107" i="29" l="1"/>
  <c r="G98" i="31" l="1"/>
  <c r="D102" i="29" s="1"/>
  <c r="G102" i="29" s="1"/>
  <c r="G101" i="31"/>
  <c r="D108" i="29" s="1"/>
  <c r="E155" i="31"/>
  <c r="F23" i="17" s="1"/>
  <c r="G97" i="31"/>
  <c r="D101" i="29" s="1"/>
  <c r="G101" i="29" s="1"/>
  <c r="G18" i="31"/>
  <c r="D18" i="29" s="1"/>
  <c r="G18" i="29" s="1"/>
  <c r="E159" i="31"/>
  <c r="F24" i="17" s="1"/>
  <c r="G19" i="31"/>
  <c r="D19" i="29" s="1"/>
  <c r="G19" i="29" s="1"/>
  <c r="F29" i="17" l="1"/>
  <c r="F32" i="17" s="1"/>
  <c r="G9" i="31"/>
  <c r="E34" i="31"/>
  <c r="E131" i="31" s="1"/>
  <c r="E60" i="31"/>
  <c r="E134" i="31" s="1"/>
  <c r="F17" i="17" s="1"/>
  <c r="G13" i="31"/>
  <c r="D12" i="29" s="1"/>
  <c r="E122" i="31"/>
  <c r="E150" i="31" s="1"/>
  <c r="F52" i="17" s="1"/>
  <c r="F63" i="17" s="1"/>
  <c r="F64" i="17" s="1"/>
  <c r="E67" i="31"/>
  <c r="E135" i="31" s="1"/>
  <c r="F18" i="17" s="1"/>
  <c r="E109" i="31"/>
  <c r="E47" i="31"/>
  <c r="E86" i="31"/>
  <c r="E137" i="31" s="1"/>
  <c r="F20" i="17" s="1"/>
  <c r="E103" i="31"/>
  <c r="E74" i="31"/>
  <c r="E136" i="31" s="1"/>
  <c r="F19" i="17" s="1"/>
  <c r="G62" i="17" l="1"/>
  <c r="E145" i="31"/>
  <c r="F25" i="17"/>
  <c r="F14" i="17"/>
  <c r="E143" i="31"/>
  <c r="D9" i="29"/>
  <c r="G12" i="29"/>
  <c r="E129" i="31"/>
  <c r="F27" i="17" l="1"/>
  <c r="D159" i="31" l="1"/>
  <c r="D122" i="31"/>
  <c r="D155" i="31"/>
  <c r="E44" i="29"/>
  <c r="E137" i="29" s="1"/>
  <c r="G9" i="29"/>
  <c r="D74" i="31"/>
  <c r="D136" i="31" s="1"/>
  <c r="G120" i="31"/>
  <c r="G64" i="31"/>
  <c r="G121" i="31"/>
  <c r="G77" i="31"/>
  <c r="G122" i="31" l="1"/>
  <c r="G31" i="31"/>
  <c r="E125" i="29"/>
  <c r="E156" i="29" s="1"/>
  <c r="G52" i="17" s="1"/>
  <c r="G63" i="17" s="1"/>
  <c r="G64" i="17" s="1"/>
  <c r="G107" i="31"/>
  <c r="E119" i="29"/>
  <c r="G14" i="17"/>
  <c r="E149" i="29"/>
  <c r="G79" i="31"/>
  <c r="G32" i="31"/>
  <c r="F159" i="31"/>
  <c r="G71" i="31"/>
  <c r="G158" i="31"/>
  <c r="G159" i="31" s="1"/>
  <c r="F155" i="31"/>
  <c r="G78" i="31"/>
  <c r="F67" i="31"/>
  <c r="F135" i="31" s="1"/>
  <c r="G81" i="31"/>
  <c r="G154" i="31"/>
  <c r="G155" i="31" s="1"/>
  <c r="F34" i="31"/>
  <c r="F131" i="31" s="1"/>
  <c r="G70" i="31"/>
  <c r="F122" i="31"/>
  <c r="F150" i="31" s="1"/>
  <c r="F74" i="31" l="1"/>
  <c r="F136" i="31" s="1"/>
  <c r="E135" i="29"/>
  <c r="G74" i="31"/>
  <c r="G136" i="31" s="1"/>
  <c r="F127" i="31"/>
  <c r="F151" i="31" s="1"/>
  <c r="F129" i="31" l="1"/>
  <c r="F52" i="31"/>
  <c r="E52" i="31"/>
  <c r="E147" i="31" s="1"/>
  <c r="E111" i="31" l="1"/>
  <c r="G39" i="31"/>
  <c r="D49" i="29" s="1"/>
  <c r="F47" i="31"/>
  <c r="E161" i="29" l="1"/>
  <c r="G90" i="29" l="1"/>
  <c r="F147" i="29"/>
  <c r="G98" i="29"/>
  <c r="G147" i="29" s="1"/>
  <c r="G83" i="29"/>
  <c r="F129" i="29"/>
  <c r="F156" i="29" s="1"/>
  <c r="G128" i="29"/>
  <c r="G129" i="29" s="1"/>
  <c r="F161" i="29"/>
  <c r="G160" i="29"/>
  <c r="G161" i="29" s="1"/>
  <c r="G23" i="17"/>
  <c r="F135" i="29" l="1"/>
  <c r="G29" i="17"/>
  <c r="G32" i="17" s="1"/>
  <c r="G25" i="17"/>
  <c r="G27" i="17" s="1"/>
  <c r="D109" i="31" l="1"/>
  <c r="G24" i="32" l="1"/>
  <c r="D23" i="31" s="1"/>
  <c r="G84" i="31"/>
  <c r="D92" i="29" s="1"/>
  <c r="F109" i="31"/>
  <c r="F147" i="31" s="1"/>
  <c r="G96" i="31"/>
  <c r="G83" i="31"/>
  <c r="D91" i="29" s="1"/>
  <c r="G106" i="31"/>
  <c r="G109" i="31" s="1"/>
  <c r="G82" i="31"/>
  <c r="G23" i="31" l="1"/>
  <c r="D31" i="29" s="1"/>
  <c r="G31" i="29" l="1"/>
  <c r="D86" i="29" l="1"/>
  <c r="D142" i="29" s="1"/>
  <c r="D67" i="31" l="1"/>
  <c r="D135" i="31" s="1"/>
  <c r="G63" i="31"/>
  <c r="D75" i="29" l="1"/>
  <c r="G67" i="31"/>
  <c r="G135" i="31" s="1"/>
  <c r="G67" i="29"/>
  <c r="G115" i="29"/>
  <c r="D117" i="29"/>
  <c r="G76" i="29"/>
  <c r="F103" i="31"/>
  <c r="F145" i="31" s="1"/>
  <c r="G104" i="29"/>
  <c r="G113" i="29" l="1"/>
  <c r="G105" i="29"/>
  <c r="G69" i="29"/>
  <c r="G68" i="29"/>
  <c r="G86" i="29"/>
  <c r="G142" i="29" s="1"/>
  <c r="G75" i="29"/>
  <c r="G103" i="29"/>
  <c r="G27" i="29"/>
  <c r="F86" i="29" l="1"/>
  <c r="F142" i="29" s="1"/>
  <c r="G108" i="29" l="1"/>
  <c r="G91" i="29" l="1"/>
  <c r="G92" i="29"/>
  <c r="G87" i="32"/>
  <c r="G81" i="32" l="1"/>
  <c r="G47" i="32" l="1"/>
  <c r="D45" i="31" s="1"/>
  <c r="G45" i="31" l="1"/>
  <c r="D55" i="29" s="1"/>
  <c r="G55" i="29" l="1"/>
  <c r="D110" i="29" l="1"/>
  <c r="D80" i="29"/>
  <c r="D141" i="29" s="1"/>
  <c r="D86" i="31"/>
  <c r="D137" i="31" s="1"/>
  <c r="D95" i="29"/>
  <c r="D143" i="29" s="1"/>
  <c r="G70" i="32" l="1"/>
  <c r="G129" i="32" s="1"/>
  <c r="F86" i="31"/>
  <c r="F137" i="31" s="1"/>
  <c r="G80" i="31"/>
  <c r="F70" i="32" l="1"/>
  <c r="F129" i="32" s="1"/>
  <c r="G86" i="31"/>
  <c r="G137" i="31" s="1"/>
  <c r="F60" i="31"/>
  <c r="F134" i="31" s="1"/>
  <c r="F111" i="31" l="1"/>
  <c r="F143" i="31"/>
  <c r="F34" i="17" l="1"/>
  <c r="G96" i="32"/>
  <c r="D100" i="31" s="1"/>
  <c r="G100" i="31" l="1"/>
  <c r="G91" i="32" l="1"/>
  <c r="D93" i="31" l="1"/>
  <c r="G93" i="31" l="1"/>
  <c r="G42" i="32" l="1"/>
  <c r="D40" i="31" s="1"/>
  <c r="G40" i="31" s="1"/>
  <c r="D50" i="29" s="1"/>
  <c r="G50" i="29" s="1"/>
  <c r="F88" i="32" l="1"/>
  <c r="F133" i="32" s="1"/>
  <c r="G86" i="32"/>
  <c r="G88" i="32" s="1"/>
  <c r="G133" i="32" l="1"/>
  <c r="D89" i="31"/>
  <c r="D90" i="31" l="1"/>
  <c r="D139" i="31" s="1"/>
  <c r="G89" i="31"/>
  <c r="G90" i="31" s="1"/>
  <c r="G139" i="31" s="1"/>
  <c r="G114" i="29" l="1"/>
  <c r="G117" i="29" s="1"/>
  <c r="F117" i="29"/>
  <c r="F153" i="29" s="1"/>
  <c r="G19" i="32"/>
  <c r="D17" i="31" s="1"/>
  <c r="G17" i="31" s="1"/>
  <c r="D17" i="29" s="1"/>
  <c r="G17" i="29" s="1"/>
  <c r="G13" i="32"/>
  <c r="D11" i="31" s="1"/>
  <c r="G62" i="32"/>
  <c r="D58" i="31" s="1"/>
  <c r="G58" i="31" s="1"/>
  <c r="D66" i="29" s="1"/>
  <c r="G102" i="32"/>
  <c r="G93" i="32"/>
  <c r="G92" i="32"/>
  <c r="G101" i="32"/>
  <c r="G11" i="31" l="1"/>
  <c r="D11" i="29" s="1"/>
  <c r="G13" i="29"/>
  <c r="G66" i="29"/>
  <c r="D94" i="31"/>
  <c r="G120" i="32"/>
  <c r="D126" i="31" s="1"/>
  <c r="G126" i="31" s="1"/>
  <c r="D132" i="29" s="1"/>
  <c r="G94" i="31" l="1"/>
  <c r="G132" i="29"/>
  <c r="G133" i="29" s="1"/>
  <c r="G157" i="29" s="1"/>
  <c r="D133" i="29"/>
  <c r="D157" i="29" s="1"/>
  <c r="G11" i="29"/>
  <c r="F150" i="32" l="1"/>
  <c r="G149" i="32"/>
  <c r="G150" i="32" s="1"/>
  <c r="G26" i="32" l="1"/>
  <c r="D25" i="31" s="1"/>
  <c r="G43" i="32"/>
  <c r="D41" i="31" s="1"/>
  <c r="G41" i="31" s="1"/>
  <c r="D51" i="29" s="1"/>
  <c r="G51" i="29" s="1"/>
  <c r="G16" i="32"/>
  <c r="D14" i="31" s="1"/>
  <c r="G14" i="31" s="1"/>
  <c r="D14" i="29" s="1"/>
  <c r="G14" i="29" s="1"/>
  <c r="G53" i="32"/>
  <c r="D51" i="31" s="1"/>
  <c r="G51" i="31" s="1"/>
  <c r="D60" i="29" s="1"/>
  <c r="G94" i="32"/>
  <c r="G44" i="32"/>
  <c r="D42" i="31" s="1"/>
  <c r="G42" i="31" s="1"/>
  <c r="D52" i="29" s="1"/>
  <c r="G52" i="29" s="1"/>
  <c r="G109" i="32"/>
  <c r="G40" i="32"/>
  <c r="D38" i="31" s="1"/>
  <c r="G14" i="32"/>
  <c r="D12" i="31" s="1"/>
  <c r="G11" i="32"/>
  <c r="G12" i="32"/>
  <c r="G18" i="32"/>
  <c r="D16" i="31" s="1"/>
  <c r="G16" i="31" s="1"/>
  <c r="D16" i="29" s="1"/>
  <c r="G16" i="29" s="1"/>
  <c r="G23" i="32"/>
  <c r="D95" i="31" l="1"/>
  <c r="G38" i="31"/>
  <c r="G12" i="31"/>
  <c r="G25" i="31"/>
  <c r="D36" i="29" s="1"/>
  <c r="G60" i="29"/>
  <c r="G61" i="29" s="1"/>
  <c r="G153" i="29" s="1"/>
  <c r="D61" i="29"/>
  <c r="D153" i="29" s="1"/>
  <c r="G38" i="32"/>
  <c r="D48" i="29" l="1"/>
  <c r="D103" i="31"/>
  <c r="G95" i="31"/>
  <c r="G103" i="31" s="1"/>
  <c r="G61" i="32" l="1"/>
  <c r="G48" i="29"/>
  <c r="G60" i="32" l="1"/>
  <c r="G15" i="32" l="1"/>
  <c r="G10" i="32" l="1"/>
  <c r="D10" i="31" l="1"/>
  <c r="G10" i="31" l="1"/>
  <c r="D10" i="29" l="1"/>
  <c r="G10" i="29" l="1"/>
  <c r="G22" i="32" l="1"/>
  <c r="D22" i="31" s="1"/>
  <c r="G21" i="32"/>
  <c r="D21" i="31" s="1"/>
  <c r="G21" i="31" l="1"/>
  <c r="D29" i="29" s="1"/>
  <c r="G80" i="32"/>
  <c r="G22" i="31"/>
  <c r="D30" i="29" s="1"/>
  <c r="G30" i="29" l="1"/>
  <c r="G29" i="29"/>
  <c r="F72" i="29" l="1"/>
  <c r="F140" i="29" s="1"/>
  <c r="G104" i="32" l="1"/>
  <c r="G153" i="32" l="1"/>
  <c r="G154" i="32" s="1"/>
  <c r="F154" i="32"/>
  <c r="F104" i="32" l="1"/>
  <c r="G110" i="29" l="1"/>
  <c r="F110" i="29" l="1"/>
  <c r="G46" i="32" l="1"/>
  <c r="D44" i="31" l="1"/>
  <c r="G44" i="31" l="1"/>
  <c r="D47" i="31"/>
  <c r="D145" i="31" s="1"/>
  <c r="D54" i="29" l="1"/>
  <c r="G47" i="31"/>
  <c r="G145" i="31" s="1"/>
  <c r="G54" i="29" l="1"/>
  <c r="D57" i="29"/>
  <c r="D151" i="29" s="1"/>
  <c r="G29" i="32" l="1"/>
  <c r="D28" i="31" s="1"/>
  <c r="G28" i="31" l="1"/>
  <c r="D39" i="29" s="1"/>
  <c r="G39" i="29" l="1"/>
  <c r="G32" i="32" l="1"/>
  <c r="G119" i="32"/>
  <c r="F121" i="32"/>
  <c r="F145" i="32" s="1"/>
  <c r="D125" i="31" l="1"/>
  <c r="G121" i="32"/>
  <c r="G145" i="32" s="1"/>
  <c r="G31" i="32"/>
  <c r="D30" i="31" s="1"/>
  <c r="G30" i="31" l="1"/>
  <c r="D127" i="31"/>
  <c r="D151" i="31" s="1"/>
  <c r="G125" i="31"/>
  <c r="G127" i="31" s="1"/>
  <c r="G151" i="31" s="1"/>
  <c r="F95" i="29" l="1"/>
  <c r="F143" i="29" s="1"/>
  <c r="G89" i="29"/>
  <c r="G95" i="29" s="1"/>
  <c r="G143" i="29" s="1"/>
  <c r="G63" i="32" l="1"/>
  <c r="D57" i="31" l="1"/>
  <c r="G57" i="31" l="1"/>
  <c r="G27" i="32" l="1"/>
  <c r="D26" i="31" s="1"/>
  <c r="G111" i="32"/>
  <c r="D115" i="31" s="1"/>
  <c r="G115" i="31" l="1"/>
  <c r="D123" i="29" s="1"/>
  <c r="G123" i="29" s="1"/>
  <c r="G26" i="31"/>
  <c r="D37" i="29" s="1"/>
  <c r="G37" i="29" s="1"/>
  <c r="F80" i="29" l="1"/>
  <c r="F141" i="29" s="1"/>
  <c r="G77" i="29"/>
  <c r="G80" i="29" s="1"/>
  <c r="G141" i="29" s="1"/>
  <c r="F44" i="29" l="1"/>
  <c r="F137" i="29" s="1"/>
  <c r="F149" i="29" s="1"/>
  <c r="G34" i="17" s="1"/>
  <c r="G36" i="29"/>
  <c r="G74" i="32" l="1"/>
  <c r="G76" i="32" s="1"/>
  <c r="G130" i="32" s="1"/>
  <c r="F76" i="32"/>
  <c r="F130" i="32" s="1"/>
  <c r="F54" i="32" l="1"/>
  <c r="F141" i="32" s="1"/>
  <c r="G52" i="32"/>
  <c r="G79" i="32" l="1"/>
  <c r="G54" i="32"/>
  <c r="G141" i="32" s="1"/>
  <c r="D50" i="31"/>
  <c r="G83" i="32" l="1"/>
  <c r="G131" i="32" s="1"/>
  <c r="G48" i="32"/>
  <c r="G49" i="32" s="1"/>
  <c r="F49" i="32"/>
  <c r="D52" i="31"/>
  <c r="D147" i="31" s="1"/>
  <c r="G50" i="31"/>
  <c r="G52" i="31" s="1"/>
  <c r="G147" i="31" s="1"/>
  <c r="F83" i="32" l="1"/>
  <c r="F131" i="32" s="1"/>
  <c r="G110" i="32" l="1"/>
  <c r="F112" i="32"/>
  <c r="F144" i="32" s="1"/>
  <c r="F123" i="32" l="1"/>
  <c r="D114" i="31"/>
  <c r="G112" i="32"/>
  <c r="G144" i="32" s="1"/>
  <c r="E55" i="17" l="1"/>
  <c r="G123" i="32"/>
  <c r="D117" i="31"/>
  <c r="D150" i="31" s="1"/>
  <c r="G114" i="31"/>
  <c r="D129" i="31" l="1"/>
  <c r="E54" i="17"/>
  <c r="E58" i="17" s="1"/>
  <c r="E60" i="17" s="1"/>
  <c r="F57" i="17" s="1"/>
  <c r="F51" i="17"/>
  <c r="D122" i="29"/>
  <c r="G117" i="31"/>
  <c r="G150" i="31" s="1"/>
  <c r="G129" i="31" l="1"/>
  <c r="F55" i="17"/>
  <c r="G51" i="17" s="1"/>
  <c r="D125" i="29"/>
  <c r="D156" i="29" s="1"/>
  <c r="G122" i="29"/>
  <c r="F54" i="17" l="1"/>
  <c r="F58" i="17" s="1"/>
  <c r="F60" i="17" s="1"/>
  <c r="G57" i="17" s="1"/>
  <c r="D135" i="29"/>
  <c r="G125" i="29"/>
  <c r="G156" i="29" s="1"/>
  <c r="G135" i="29" l="1"/>
  <c r="G55" i="17"/>
  <c r="G54" i="17" s="1"/>
  <c r="G58" i="17" s="1"/>
  <c r="G60" i="17" s="1"/>
  <c r="G95" i="32" l="1"/>
  <c r="G98" i="32" s="1"/>
  <c r="G139" i="32" s="1"/>
  <c r="F98" i="32"/>
  <c r="F139" i="32" s="1"/>
  <c r="F65" i="32" l="1"/>
  <c r="F128" i="32" s="1"/>
  <c r="G65" i="32"/>
  <c r="G128" i="32" s="1"/>
  <c r="D60" i="31" l="1"/>
  <c r="D134" i="31" s="1"/>
  <c r="G60" i="31" l="1"/>
  <c r="G134" i="31" s="1"/>
  <c r="G72" i="29" l="1"/>
  <c r="G140" i="29" s="1"/>
  <c r="D72" i="29"/>
  <c r="D140" i="29" s="1"/>
  <c r="G17" i="32" l="1"/>
  <c r="F34" i="32"/>
  <c r="F125" i="32" s="1"/>
  <c r="F137" i="32" l="1"/>
  <c r="E34" i="17" s="1"/>
  <c r="F106" i="32"/>
  <c r="D15" i="31"/>
  <c r="G34" i="32"/>
  <c r="G125" i="32" s="1"/>
  <c r="G106" i="32" l="1"/>
  <c r="G137" i="32"/>
  <c r="G15" i="31"/>
  <c r="D34" i="31"/>
  <c r="D131" i="31" s="1"/>
  <c r="E37" i="17"/>
  <c r="D111" i="31" l="1"/>
  <c r="D15" i="29"/>
  <c r="G34" i="31"/>
  <c r="G131" i="31" s="1"/>
  <c r="F57" i="29"/>
  <c r="G49" i="29"/>
  <c r="G57" i="29" s="1"/>
  <c r="G151" i="29" s="1"/>
  <c r="E36" i="17"/>
  <c r="E43" i="17"/>
  <c r="E40" i="17" s="1"/>
  <c r="F10" i="17"/>
  <c r="D143" i="31"/>
  <c r="F151" i="29" l="1"/>
  <c r="F119" i="29"/>
  <c r="G111" i="31"/>
  <c r="F39" i="17"/>
  <c r="F12" i="17"/>
  <c r="F37" i="17" s="1"/>
  <c r="G143" i="31"/>
  <c r="G15" i="29"/>
  <c r="D44" i="29"/>
  <c r="D137" i="29" s="1"/>
  <c r="F36" i="17" l="1"/>
  <c r="D149" i="29"/>
  <c r="G44" i="29"/>
  <c r="G137" i="29" s="1"/>
  <c r="G10" i="17"/>
  <c r="F43" i="17"/>
  <c r="F40" i="17" s="1"/>
  <c r="D119" i="29"/>
  <c r="G119" i="29" l="1"/>
  <c r="G149" i="29"/>
  <c r="G12" i="17"/>
  <c r="G37" i="17" s="1"/>
  <c r="G39" i="17"/>
  <c r="G36" i="17" l="1"/>
  <c r="G43" i="17"/>
  <c r="G40" i="17" s="1"/>
  <c r="C58" i="17" l="1"/>
  <c r="C57" i="17" s="1"/>
  <c r="C51" i="17" s="1"/>
</calcChain>
</file>

<file path=xl/sharedStrings.xml><?xml version="1.0" encoding="utf-8"?>
<sst xmlns="http://schemas.openxmlformats.org/spreadsheetml/2006/main" count="694" uniqueCount="250">
  <si>
    <t>Opening PPE in-service</t>
  </si>
  <si>
    <t>Closing PPE in-service</t>
  </si>
  <si>
    <t>RECONCILIATION OF CUSTOMER CONTRIBUTIONS</t>
  </si>
  <si>
    <t>Opening Customer Contributions WIP</t>
  </si>
  <si>
    <t>Customer Contributions Received</t>
  </si>
  <si>
    <t>less: transfer to Rate Base</t>
  </si>
  <si>
    <t>Customer Contributions WIP end of year</t>
  </si>
  <si>
    <t xml:space="preserve">Opening Gross Customer Contributions in Service </t>
  </si>
  <si>
    <t>Transfers from WIP</t>
  </si>
  <si>
    <t xml:space="preserve">Closing Gross Customer Contributions in Service </t>
  </si>
  <si>
    <t>Total Transmission</t>
  </si>
  <si>
    <t>Total Distribution</t>
  </si>
  <si>
    <t>Total Generation</t>
  </si>
  <si>
    <t>Total General Plant &amp; Equipment</t>
  </si>
  <si>
    <t>SUMMARY - RECONCILIATION OF PROPERTY, PLANT AND EQUIPMENT</t>
  </si>
  <si>
    <t>($000S)</t>
  </si>
  <si>
    <t>Description</t>
  </si>
  <si>
    <t>Transfer to Ratebase</t>
  </si>
  <si>
    <t>Total WIP Adjustments and Transfers</t>
  </si>
  <si>
    <t>WIP end of year</t>
  </si>
  <si>
    <t>Opening Total PPE (in-service plus WIP)</t>
  </si>
  <si>
    <t>Change to total PPE</t>
  </si>
  <si>
    <t>Closing total PPE</t>
  </si>
  <si>
    <t>Opening Total Contribution (in-service plus WIP)</t>
  </si>
  <si>
    <t>Closing total Contribution</t>
  </si>
  <si>
    <t>Work in Progress (WIP), Beginning of Year</t>
  </si>
  <si>
    <t>Transmission</t>
  </si>
  <si>
    <t>Distribution</t>
  </si>
  <si>
    <t>Actual</t>
  </si>
  <si>
    <t>Generation</t>
  </si>
  <si>
    <t>Total Major Projects</t>
  </si>
  <si>
    <t>Change to total Contribution</t>
  </si>
  <si>
    <t>Table 5.1</t>
  </si>
  <si>
    <t>Subtotal Ongoing Capital</t>
  </si>
  <si>
    <t xml:space="preserve">Total Expenditures </t>
  </si>
  <si>
    <t>Table 5.3</t>
  </si>
  <si>
    <t>Forecast</t>
  </si>
  <si>
    <t>Adjustments</t>
  </si>
  <si>
    <t>Table 5.4</t>
  </si>
  <si>
    <t>Table 5.5</t>
  </si>
  <si>
    <t>Retirements and other adjustments</t>
  </si>
  <si>
    <t>Net transfer from WIP</t>
  </si>
  <si>
    <t>Notes:</t>
  </si>
  <si>
    <t>EXPENDITURES ON PROPERTY, PLANT AND EQUIPMENT - SUMMARY</t>
  </si>
  <si>
    <t>Total Overhaul</t>
  </si>
  <si>
    <t>Regulatory</t>
  </si>
  <si>
    <t>Retirements, Disposals and Adjustments</t>
  </si>
  <si>
    <t>Total RFID</t>
  </si>
  <si>
    <t>Category of capital project</t>
  </si>
  <si>
    <t>Opening WIP</t>
  </si>
  <si>
    <t>Capital Expenditures</t>
  </si>
  <si>
    <t>Completed Projects</t>
  </si>
  <si>
    <t>Closing WIP</t>
  </si>
  <si>
    <t>Capital Projects  – Projects $100,000 to $1 million - Rate Base Additions</t>
  </si>
  <si>
    <t>Right of Use Assets</t>
  </si>
  <si>
    <t>RFID</t>
  </si>
  <si>
    <t>Feasibility</t>
  </si>
  <si>
    <t>Licensing</t>
  </si>
  <si>
    <t>General Plant</t>
  </si>
  <si>
    <t>Overhaul</t>
  </si>
  <si>
    <t>Total</t>
  </si>
  <si>
    <t>Subtotal</t>
  </si>
  <si>
    <t>Other Projects with &lt;$100k Spending</t>
  </si>
  <si>
    <t>Ongoing Maintenance Capital</t>
  </si>
  <si>
    <t>Total Net RFID</t>
  </si>
  <si>
    <t>WORK IN PROGRESS CONTINUITY SCHEDULE - 2021</t>
  </si>
  <si>
    <t>WORK IN PROGRESS CONTINUITY SCHEDULE - 2024</t>
  </si>
  <si>
    <t>WORK IN PROGRESS CONTINUITY SCHEDULE - 2023</t>
  </si>
  <si>
    <t>WORK IN PROGRESS CONTINUITY SCHEDULE - 2022</t>
  </si>
  <si>
    <t>PAMMS Asset Management Framework</t>
  </si>
  <si>
    <t>EAM Purchase and Implementation</t>
  </si>
  <si>
    <t>Transfers</t>
  </si>
  <si>
    <t>*</t>
  </si>
  <si>
    <t>**</t>
  </si>
  <si>
    <t>** In 2021 Thermal Replacement Project and IPP Connections Projects were under Deferred costs.</t>
  </si>
  <si>
    <t xml:space="preserve">* Total project cost at $2.072 million including $1.923 million closed in 2020 and $0.149 million closed in 2021. </t>
  </si>
  <si>
    <t>Reserve for Site Restoration</t>
  </si>
  <si>
    <t>Total Net RFSR</t>
  </si>
  <si>
    <t>Overhauls</t>
  </si>
  <si>
    <t>* In 2021 Thermal Replacement Project and IPP Connections Projects were under Deferred costs. The $0.150 million Thermal Replacement Project adjustment reflects the closed cost to feasibility deferred costs.</t>
  </si>
  <si>
    <t>** Reflects $1.3 million spending in 2022 and $5.7 million transfer to long-term relicensing project [25-year license].</t>
  </si>
  <si>
    <t>2023 Mayo-Faro Diesel Infrastructure</t>
  </si>
  <si>
    <t>Total RFSR</t>
  </si>
  <si>
    <t>Transfer to RFID/RFSR</t>
  </si>
  <si>
    <t>Other Adjustments</t>
  </si>
  <si>
    <t>Right of Use Asset Battery Land Lease</t>
  </si>
  <si>
    <t>Capital Projects – Major projects &gt; $1 million</t>
  </si>
  <si>
    <t>Deferred Costs – Major projects &gt; $1 million</t>
  </si>
  <si>
    <t>Intangible Assets – Major projects &gt; $1 million</t>
  </si>
  <si>
    <t>Capital Projects Contributions – Major projects &gt; $1 million</t>
  </si>
  <si>
    <t>Capital Projects  – Projects $100,000 to $1 million</t>
  </si>
  <si>
    <t>Capital Projects Contributions – Projects $100,000 to $1 million</t>
  </si>
  <si>
    <t>Intangible Assets – Projects $100,000 to $1 million</t>
  </si>
  <si>
    <t>Deferred Costs – Projects $100,000 to $1  million</t>
  </si>
  <si>
    <t>Deferred Costs Contributions – Major projects &gt; $1 million</t>
  </si>
  <si>
    <t>Total Major Capital Projects</t>
  </si>
  <si>
    <t>Total Deferred Costs</t>
  </si>
  <si>
    <t>Total Intangible Assets</t>
  </si>
  <si>
    <t>Total Right of Use Assets</t>
  </si>
  <si>
    <t>Total Capital Contributions</t>
  </si>
  <si>
    <t>Total Deferred Cost Contributions</t>
  </si>
  <si>
    <t>Total Capital Projects</t>
  </si>
  <si>
    <t>Total Contributions</t>
  </si>
  <si>
    <t>Pumped Storage</t>
  </si>
  <si>
    <t xml:space="preserve">Energy Storage System </t>
  </si>
  <si>
    <t>MH0 Surge Chamber Replacement</t>
  </si>
  <si>
    <t>Lewes River Boat Lock</t>
  </si>
  <si>
    <t>MH0 rockslide Stabilization and Remediation</t>
  </si>
  <si>
    <t>Mayo Civil/Structural Infrastructure Program</t>
  </si>
  <si>
    <t>Aishihik Roof Replacement</t>
  </si>
  <si>
    <t>Whitehorse WH0 P125 Trash Rake</t>
  </si>
  <si>
    <t>Whitehorse WH4 Trash Rake</t>
  </si>
  <si>
    <t>AH1 and AH2 Governor Upgrades</t>
  </si>
  <si>
    <t>Lewes Gate Automation</t>
  </si>
  <si>
    <t>Faro 870S and S140 Substation Interconnection</t>
  </si>
  <si>
    <t>Mayo Lake Control Structure Valve Clean Out System</t>
  </si>
  <si>
    <t>WH3 Headgate Replacement</t>
  </si>
  <si>
    <t>Lewes River Boat Lock Road Access Rebuild</t>
  </si>
  <si>
    <t>P&amp;C: WH4 Protection, Control, SCADA and Installation</t>
  </si>
  <si>
    <t>P&amp;C: S150 Protection, Control and SCADA Upgrade</t>
  </si>
  <si>
    <t>P126 Building Renovation</t>
  </si>
  <si>
    <t>Mayo Lake Storage (see also P11-073)</t>
  </si>
  <si>
    <t>Aishihik 5-Year License Renewal</t>
  </si>
  <si>
    <t>Aishihik 25-Year License Renewal</t>
  </si>
  <si>
    <t>Whitehorse Water Use License Renewal</t>
  </si>
  <si>
    <t>MGS Water Use License Renewal</t>
  </si>
  <si>
    <t>Atlin Hydro SIS and EPA</t>
  </si>
  <si>
    <t>DSM Program 2022-2030</t>
  </si>
  <si>
    <t>2024 Resource Plan</t>
  </si>
  <si>
    <t>ERP Replacement</t>
  </si>
  <si>
    <t>MBH1/MBH2 LP/HP Oil Supply System replacement</t>
  </si>
  <si>
    <t>WH1 Headgate Replacement</t>
  </si>
  <si>
    <t>P&amp;C: DD0 Exciter, Governor and Load Sharing</t>
  </si>
  <si>
    <t>Carmacks Substation Relocate</t>
  </si>
  <si>
    <t>Central Storeroom for Generation Parts</t>
  </si>
  <si>
    <t>Renewable Diesel Pilot Project</t>
  </si>
  <si>
    <t>Skagway Shoreside Power</t>
  </si>
  <si>
    <t>YEC 2023/24 GRA COMPLIANCE FILING</t>
  </si>
  <si>
    <t>Approved</t>
  </si>
  <si>
    <t>WIP Beginning of Year</t>
  </si>
  <si>
    <t>Replace P125 WH2 Head Gate</t>
  </si>
  <si>
    <t>WAF L178</t>
  </si>
  <si>
    <t>WH2 Uprate</t>
  </si>
  <si>
    <t>WH4 Servomotor Replacement</t>
  </si>
  <si>
    <t>Dam Safety Program</t>
  </si>
  <si>
    <t>WH4 Ventilation</t>
  </si>
  <si>
    <t>L177 Re Route</t>
  </si>
  <si>
    <t>Protection and Control Program</t>
  </si>
  <si>
    <t>Crane Replacement/Refurbishment</t>
  </si>
  <si>
    <t>Vehicle Purchases</t>
  </si>
  <si>
    <t>Dawson Voltage Conversion</t>
  </si>
  <si>
    <t>MH0 (Mayo A) Generating Station Slope Stability</t>
  </si>
  <si>
    <t>Replacement of Mayo A Surge Chamber</t>
  </si>
  <si>
    <t>Southern Lakes Transmission Line</t>
  </si>
  <si>
    <t>Stop Log Crane WH Main Spillway</t>
  </si>
  <si>
    <t>Whitehorse Interconnection</t>
  </si>
  <si>
    <t>Energy Storage System</t>
  </si>
  <si>
    <t>Mayo to McQuesten Transmission Line Upgrade</t>
  </si>
  <si>
    <t>WH2 Uprate Engineering</t>
  </si>
  <si>
    <t>PMF Flood Study</t>
  </si>
  <si>
    <t>Aishihik Water License Renewal</t>
  </si>
  <si>
    <t>Energy Storage System Contributions</t>
  </si>
  <si>
    <t>Synchronous Condenser Overhaul</t>
  </si>
  <si>
    <t>Server Replacements</t>
  </si>
  <si>
    <t>Callison S250-T1 Replacement Assessment</t>
  </si>
  <si>
    <t>EV Infrastructure Strategy</t>
  </si>
  <si>
    <t>P125 Trashrack</t>
  </si>
  <si>
    <t>IPP Standing Offer Program Implementation</t>
  </si>
  <si>
    <t>GRA 2020-2021 (Hearing Reserve Acct)</t>
  </si>
  <si>
    <t>Dam Safety Review</t>
  </si>
  <si>
    <t>Thermal Replacement (16.5 MW)</t>
  </si>
  <si>
    <t>Southern Lakes Storage</t>
  </si>
  <si>
    <t>DSM Program Development</t>
  </si>
  <si>
    <t>Customer Extensions</t>
  </si>
  <si>
    <t>Mayo - McQuesten Contributions</t>
  </si>
  <si>
    <t>Customer Extensions Customer Contributions</t>
  </si>
  <si>
    <t>WORK IN PROGRESS CONTINUITY SCHEDULE - 2021 APPROVED</t>
  </si>
  <si>
    <t xml:space="preserve">* PAMMS Asset Management Framework was included under General Plant. </t>
  </si>
  <si>
    <t>August 5, 2024</t>
  </si>
  <si>
    <t>MH0 Road &amp; Road Slope Stability</t>
  </si>
  <si>
    <t>WH2 Uprate Construction</t>
  </si>
  <si>
    <t>Wareham Spillway Concrete Repair</t>
  </si>
  <si>
    <t>Transmission Line Replacement L178</t>
  </si>
  <si>
    <t>Mayo - McQuesten Transmission Line Upgrade</t>
  </si>
  <si>
    <t>Whitehorse Stoplog Crane Replacement</t>
  </si>
  <si>
    <t>IPP Connections</t>
  </si>
  <si>
    <t>Faro Fuel System</t>
  </si>
  <si>
    <t>Wareham Spillway Stoplogs - New Set</t>
  </si>
  <si>
    <t>WH3 Tailrace Gate Certification</t>
  </si>
  <si>
    <t xml:space="preserve">WH1&amp;2 Penstock Repair </t>
  </si>
  <si>
    <t>Wareham Spillway - Gate Refurbishment</t>
  </si>
  <si>
    <t>Transmission Line Access</t>
  </si>
  <si>
    <t>Alexco Mobile Substation Connection</t>
  </si>
  <si>
    <t>Major Crane Assessment/Refurbishment</t>
  </si>
  <si>
    <t>Compact Digger Truck</t>
  </si>
  <si>
    <t>Alexco Mobile Substation Connection Contributions</t>
  </si>
  <si>
    <t>DSM Program Development Contributions</t>
  </si>
  <si>
    <t>IPP Connections Customer Contributions</t>
  </si>
  <si>
    <t>Atlin Hydro SIS and EPA Contributions</t>
  </si>
  <si>
    <t>RFID Contributions</t>
  </si>
  <si>
    <t>Schwatka Lake Safety/Debris Boom</t>
  </si>
  <si>
    <t>P&amp;C: S250 Callison Protection, Control and SCADA Upgrade</t>
  </si>
  <si>
    <t>AH1 10 Year Overhaul</t>
  </si>
  <si>
    <t>AH2 Overhaul</t>
  </si>
  <si>
    <t>Lewes Gate/Seal Refurbishment</t>
  </si>
  <si>
    <t>MBH1/2 Seal Water Filtration</t>
  </si>
  <si>
    <t>New Mobile Office Unit - IT</t>
  </si>
  <si>
    <t>Aishihik Bridge Redecking</t>
  </si>
  <si>
    <t>Mayo-McQuesten Radio to Fiber Migration</t>
  </si>
  <si>
    <t>Right of Use Asset Kulan Land</t>
  </si>
  <si>
    <t>Mayo Civil Infrastructure Refurbishment Planning</t>
  </si>
  <si>
    <t>System Wide Arc Flash Study</t>
  </si>
  <si>
    <t>Whitehorse Post-Flood Assessment</t>
  </si>
  <si>
    <t>Atlin EPA Section 18 Proceeding (Hearing Reserve Acct)</t>
  </si>
  <si>
    <t>EAM Enhancements Review</t>
  </si>
  <si>
    <t>CIS Replacement</t>
  </si>
  <si>
    <t>Reserve for Site Restoration Bucket</t>
  </si>
  <si>
    <t>WG1 Overhaul</t>
  </si>
  <si>
    <t>WG2 Overhaul</t>
  </si>
  <si>
    <t>P&amp;C: S170 Protection, Control and SCADA Upgrade</t>
  </si>
  <si>
    <t>NWTEL Make Ready Work</t>
  </si>
  <si>
    <t>Dawson Distribution 3 Phase Loop</t>
  </si>
  <si>
    <t>Skid Steer</t>
  </si>
  <si>
    <t>Waste Management Equipment</t>
  </si>
  <si>
    <t>HQ Datacenter Server Replacement</t>
  </si>
  <si>
    <t>SCADA Operation Network Segregation</t>
  </si>
  <si>
    <t>Right of Use Asset 1 Lindeman Road</t>
  </si>
  <si>
    <t>System Wide Stability Study</t>
  </si>
  <si>
    <t>WRGS Thermal Assessment &amp; Permitting</t>
  </si>
  <si>
    <t>GRA 2023-2024 (Hearing Reserve Acct)</t>
  </si>
  <si>
    <t>Network Software Traffic Shaping</t>
  </si>
  <si>
    <t>Lewes River Boat Lock Insurance Proceeds</t>
  </si>
  <si>
    <t>L177 Re Route Contributions</t>
  </si>
  <si>
    <t>Whitehorse Spillway Stoplog Refurbishment</t>
  </si>
  <si>
    <t>AH3 Overhaul</t>
  </si>
  <si>
    <t>WH4 Air Admission Valve Automation</t>
  </si>
  <si>
    <t>WG2 Cylinder Heads Swap</t>
  </si>
  <si>
    <t>WG1 Radiator Replacement</t>
  </si>
  <si>
    <t>L177 Gang Switches</t>
  </si>
  <si>
    <t>Transmission Line Test and Treat Program 2020-22</t>
  </si>
  <si>
    <t>WG3 Overhaul</t>
  </si>
  <si>
    <t>Transmission Line Detailed Inspection Program</t>
  </si>
  <si>
    <t>Gates/TIV's Certification Assessment System Wide</t>
  </si>
  <si>
    <t>Breaker Condition Assessment</t>
  </si>
  <si>
    <t>Substation and Distribution Load Planning Study</t>
  </si>
  <si>
    <t>P&amp;C Central Event Data Collection System</t>
  </si>
  <si>
    <t>SharePoint Upgrades</t>
  </si>
  <si>
    <t>Project Management Software</t>
  </si>
  <si>
    <t>Table 5.2b</t>
  </si>
  <si>
    <t>Table 5.2a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</si>
</sst>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,"/>
    <numFmt numFmtId="167" formatCode="&quot;$&quot;#,##0;[Red]&quot;$&quot;#,##0"/>
    <numFmt numFmtId="168" formatCode="#,##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theme="0"/>
      <name val="Tahoma"/>
      <family val="2"/>
    </font>
    <font>
      <sz val="8.25"/>
      <color rgb="FF000000"/>
      <name val="Arial"/>
      <family val="2"/>
    </font>
    <font>
      <sz val="10"/>
      <name val="MS Sans Serif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Tahoma"/>
      <family val="2"/>
    </font>
    <font>
      <b/>
      <sz val="10"/>
      <name val="MS Sans Serif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mediumGray">
        <fgColor indexed="22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16">
    <xf numFmtId="0" fontId="0" fillId="0" borderId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0" fontId="1" fillId="0" borderId="0"/>
    <xf numFmtId="0" fontId="9" fillId="2" borderId="0" applyNumberFormat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6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37" fontId="11" fillId="0" borderId="0" applyFill="0" applyBorder="0" applyProtection="0"/>
    <xf numFmtId="0" fontId="1" fillId="0" borderId="0"/>
    <xf numFmtId="0" fontId="10" fillId="0" borderId="0" applyAlignment="0"/>
    <xf numFmtId="0" fontId="10" fillId="0" borderId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0" fillId="0" borderId="0" applyAlignment="0"/>
    <xf numFmtId="0" fontId="4" fillId="0" borderId="0"/>
    <xf numFmtId="0" fontId="4" fillId="0" borderId="0"/>
    <xf numFmtId="0" fontId="1" fillId="0" borderId="0"/>
    <xf numFmtId="0" fontId="10" fillId="0" borderId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1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Alignment="0"/>
    <xf numFmtId="0" fontId="4" fillId="0" borderId="0"/>
    <xf numFmtId="0" fontId="10" fillId="0" borderId="0" applyAlignment="0"/>
    <xf numFmtId="0" fontId="14" fillId="0" borderId="0"/>
    <xf numFmtId="0" fontId="11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5" fillId="0" borderId="3">
      <alignment horizontal="center"/>
    </xf>
    <xf numFmtId="3" fontId="11" fillId="0" borderId="0" applyFont="0" applyFill="0" applyBorder="0" applyAlignment="0" applyProtection="0"/>
    <xf numFmtId="0" fontId="11" fillId="3" borderId="0" applyNumberFormat="0" applyFont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vertical="center"/>
    </xf>
    <xf numFmtId="0" fontId="5" fillId="0" borderId="0" xfId="0" applyFont="1"/>
    <xf numFmtId="0" fontId="6" fillId="0" borderId="0" xfId="0" quotePrefix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5" fillId="0" borderId="0" xfId="0" applyNumberFormat="1" applyFont="1"/>
    <xf numFmtId="0" fontId="5" fillId="0" borderId="1" xfId="0" applyFont="1" applyBorder="1"/>
    <xf numFmtId="0" fontId="7" fillId="0" borderId="0" xfId="0" applyFont="1"/>
    <xf numFmtId="0" fontId="5" fillId="0" borderId="2" xfId="0" applyFont="1" applyBorder="1"/>
    <xf numFmtId="3" fontId="5" fillId="0" borderId="0" xfId="0" applyNumberFormat="1" applyFont="1"/>
    <xf numFmtId="0" fontId="3" fillId="0" borderId="0" xfId="0" applyFont="1" applyAlignment="1">
      <alignment horizontal="left" indent="10"/>
    </xf>
    <xf numFmtId="9" fontId="5" fillId="0" borderId="0" xfId="4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7" fontId="6" fillId="0" borderId="0" xfId="0" applyNumberFormat="1" applyFont="1"/>
    <xf numFmtId="0" fontId="17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right" wrapText="1"/>
    </xf>
    <xf numFmtId="0" fontId="17" fillId="0" borderId="0" xfId="0" applyFont="1" applyAlignment="1">
      <alignment horizontal="right" wrapText="1"/>
    </xf>
    <xf numFmtId="165" fontId="17" fillId="0" borderId="0" xfId="1" applyFont="1"/>
    <xf numFmtId="165" fontId="0" fillId="0" borderId="0" xfId="1" applyFont="1"/>
    <xf numFmtId="168" fontId="0" fillId="0" borderId="0" xfId="1" applyNumberFormat="1" applyFont="1"/>
    <xf numFmtId="168" fontId="17" fillId="0" borderId="0" xfId="1" applyNumberFormat="1" applyFont="1"/>
    <xf numFmtId="3" fontId="6" fillId="0" borderId="0" xfId="0" applyNumberFormat="1" applyFont="1"/>
    <xf numFmtId="0" fontId="17" fillId="0" borderId="4" xfId="0" applyFont="1" applyBorder="1"/>
    <xf numFmtId="168" fontId="17" fillId="0" borderId="4" xfId="1" applyNumberFormat="1" applyFont="1" applyBorder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17" fontId="17" fillId="0" borderId="0" xfId="0" applyNumberFormat="1" applyFont="1"/>
    <xf numFmtId="0" fontId="17" fillId="0" borderId="0" xfId="0" quotePrefix="1" applyFont="1" applyAlignment="1">
      <alignment horizontal="right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5" fillId="0" borderId="1" xfId="0" applyNumberFormat="1" applyFont="1" applyBorder="1"/>
    <xf numFmtId="3" fontId="7" fillId="0" borderId="0" xfId="0" applyNumberFormat="1" applyFont="1"/>
    <xf numFmtId="168" fontId="0" fillId="0" borderId="0" xfId="1" applyNumberFormat="1" applyFont="1" applyFill="1"/>
    <xf numFmtId="3" fontId="16" fillId="0" borderId="2" xfId="0" applyNumberFormat="1" applyFont="1" applyBorder="1"/>
    <xf numFmtId="168" fontId="17" fillId="0" borderId="0" xfId="1" applyNumberFormat="1" applyFont="1" applyBorder="1"/>
    <xf numFmtId="0" fontId="0" fillId="0" borderId="0" xfId="0" applyAlignment="1">
      <alignment horizontal="right"/>
    </xf>
    <xf numFmtId="168" fontId="17" fillId="0" borderId="0" xfId="1" applyNumberFormat="1" applyFont="1" applyFill="1"/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168" fontId="4" fillId="0" borderId="0" xfId="1" applyNumberFormat="1" applyFont="1"/>
    <xf numFmtId="0" fontId="1" fillId="0" borderId="0" xfId="0" applyFont="1" applyAlignment="1">
      <alignment horizontal="left" vertical="center" indent="1"/>
    </xf>
    <xf numFmtId="168" fontId="17" fillId="0" borderId="4" xfId="1" applyNumberFormat="1" applyFont="1" applyFill="1" applyBorder="1"/>
    <xf numFmtId="168" fontId="17" fillId="0" borderId="0" xfId="1" applyNumberFormat="1" applyFont="1" applyFill="1" applyBorder="1"/>
    <xf numFmtId="0" fontId="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 wrapText="1"/>
    </xf>
  </cellXfs>
  <cellStyles count="116">
    <cellStyle name="60% - Accent4 2" xfId="8" xr:uid="{00000000-0005-0000-0000-000000000000}"/>
    <cellStyle name="Comma" xfId="1" builtinId="3"/>
    <cellStyle name="Comma 10" xfId="9" xr:uid="{00000000-0005-0000-0000-000002000000}"/>
    <cellStyle name="Comma 11" xfId="10" xr:uid="{00000000-0005-0000-0000-000003000000}"/>
    <cellStyle name="Comma 11 2" xfId="11" xr:uid="{00000000-0005-0000-0000-000004000000}"/>
    <cellStyle name="Comma 12" xfId="12" xr:uid="{00000000-0005-0000-0000-000005000000}"/>
    <cellStyle name="Comma 2" xfId="2" xr:uid="{00000000-0005-0000-0000-000006000000}"/>
    <cellStyle name="Comma 2 2" xfId="13" xr:uid="{00000000-0005-0000-0000-000007000000}"/>
    <cellStyle name="Comma 2 3" xfId="14" xr:uid="{00000000-0005-0000-0000-000008000000}"/>
    <cellStyle name="Comma 2 4" xfId="15" xr:uid="{00000000-0005-0000-0000-000009000000}"/>
    <cellStyle name="Comma 3" xfId="16" xr:uid="{00000000-0005-0000-0000-00000A000000}"/>
    <cellStyle name="Comma 3 2" xfId="17" xr:uid="{00000000-0005-0000-0000-00000B000000}"/>
    <cellStyle name="Comma 3 2 2" xfId="18" xr:uid="{00000000-0005-0000-0000-00000C000000}"/>
    <cellStyle name="Comma 3 3" xfId="19" xr:uid="{00000000-0005-0000-0000-00000D000000}"/>
    <cellStyle name="Comma 3 3 2" xfId="20" xr:uid="{00000000-0005-0000-0000-00000E000000}"/>
    <cellStyle name="Comma 3 4" xfId="21" xr:uid="{00000000-0005-0000-0000-00000F000000}"/>
    <cellStyle name="Comma 3 5" xfId="22" xr:uid="{00000000-0005-0000-0000-000010000000}"/>
    <cellStyle name="Comma 4" xfId="23" xr:uid="{00000000-0005-0000-0000-000011000000}"/>
    <cellStyle name="Comma 4 2" xfId="24" xr:uid="{00000000-0005-0000-0000-000012000000}"/>
    <cellStyle name="Comma 4 2 2" xfId="25" xr:uid="{00000000-0005-0000-0000-000013000000}"/>
    <cellStyle name="Comma 4 3" xfId="26" xr:uid="{00000000-0005-0000-0000-000014000000}"/>
    <cellStyle name="Comma 5" xfId="27" xr:uid="{00000000-0005-0000-0000-000015000000}"/>
    <cellStyle name="Comma 5 2" xfId="28" xr:uid="{00000000-0005-0000-0000-000016000000}"/>
    <cellStyle name="Comma 6" xfId="29" xr:uid="{00000000-0005-0000-0000-000017000000}"/>
    <cellStyle name="Comma 6 2" xfId="30" xr:uid="{00000000-0005-0000-0000-000018000000}"/>
    <cellStyle name="Comma 6 2 2" xfId="31" xr:uid="{00000000-0005-0000-0000-000019000000}"/>
    <cellStyle name="Comma 6 3" xfId="32" xr:uid="{00000000-0005-0000-0000-00001A000000}"/>
    <cellStyle name="Comma 7" xfId="33" xr:uid="{00000000-0005-0000-0000-00001B000000}"/>
    <cellStyle name="Comma 7 2" xfId="34" xr:uid="{00000000-0005-0000-0000-00001C000000}"/>
    <cellStyle name="Comma 7 2 2" xfId="35" xr:uid="{00000000-0005-0000-0000-00001D000000}"/>
    <cellStyle name="Comma 7 3" xfId="36" xr:uid="{00000000-0005-0000-0000-00001E000000}"/>
    <cellStyle name="Comma 8" xfId="37" xr:uid="{00000000-0005-0000-0000-00001F000000}"/>
    <cellStyle name="Comma 8 2" xfId="38" xr:uid="{00000000-0005-0000-0000-000020000000}"/>
    <cellStyle name="Comma 9" xfId="39" xr:uid="{00000000-0005-0000-0000-000021000000}"/>
    <cellStyle name="Comma 9 2" xfId="40" xr:uid="{00000000-0005-0000-0000-000022000000}"/>
    <cellStyle name="Currency 2" xfId="6" xr:uid="{00000000-0005-0000-0000-000023000000}"/>
    <cellStyle name="Currency 2 2" xfId="41" xr:uid="{00000000-0005-0000-0000-000024000000}"/>
    <cellStyle name="Currency 2 2 2" xfId="42" xr:uid="{00000000-0005-0000-0000-000025000000}"/>
    <cellStyle name="Currency 2 3" xfId="43" xr:uid="{00000000-0005-0000-0000-000026000000}"/>
    <cellStyle name="Currency 2 3 2" xfId="44" xr:uid="{00000000-0005-0000-0000-000027000000}"/>
    <cellStyle name="Currency 2 4" xfId="45" xr:uid="{00000000-0005-0000-0000-000028000000}"/>
    <cellStyle name="Currency 3" xfId="46" xr:uid="{00000000-0005-0000-0000-000029000000}"/>
    <cellStyle name="Currency 3 2" xfId="47" xr:uid="{00000000-0005-0000-0000-00002A000000}"/>
    <cellStyle name="Currency 3 3" xfId="48" xr:uid="{00000000-0005-0000-0000-00002B000000}"/>
    <cellStyle name="Currency 4" xfId="49" xr:uid="{00000000-0005-0000-0000-00002C000000}"/>
    <cellStyle name="Currency 4 2" xfId="50" xr:uid="{00000000-0005-0000-0000-00002D000000}"/>
    <cellStyle name="Currency 4 2 2" xfId="51" xr:uid="{00000000-0005-0000-0000-00002E000000}"/>
    <cellStyle name="Currency 4 3" xfId="52" xr:uid="{00000000-0005-0000-0000-00002F000000}"/>
    <cellStyle name="Currency 5" xfId="53" xr:uid="{00000000-0005-0000-0000-000030000000}"/>
    <cellStyle name="Currency 6" xfId="54" xr:uid="{00000000-0005-0000-0000-000031000000}"/>
    <cellStyle name="Normal" xfId="0" builtinId="0"/>
    <cellStyle name="Normal 10" xfId="55" xr:uid="{00000000-0005-0000-0000-000033000000}"/>
    <cellStyle name="Normal 11" xfId="56" xr:uid="{00000000-0005-0000-0000-000034000000}"/>
    <cellStyle name="Normal 12" xfId="57" xr:uid="{00000000-0005-0000-0000-000035000000}"/>
    <cellStyle name="Normal 13" xfId="58" xr:uid="{00000000-0005-0000-0000-000036000000}"/>
    <cellStyle name="Normal 14" xfId="59" xr:uid="{00000000-0005-0000-0000-000037000000}"/>
    <cellStyle name="Normal 14 2" xfId="60" xr:uid="{00000000-0005-0000-0000-000038000000}"/>
    <cellStyle name="Normal 15" xfId="61" xr:uid="{00000000-0005-0000-0000-000039000000}"/>
    <cellStyle name="Normal 15 2" xfId="62" xr:uid="{00000000-0005-0000-0000-00003A000000}"/>
    <cellStyle name="Normal 16" xfId="63" xr:uid="{00000000-0005-0000-0000-00003B000000}"/>
    <cellStyle name="Normal 17" xfId="64" xr:uid="{00000000-0005-0000-0000-00003C000000}"/>
    <cellStyle name="Normal 17 2" xfId="65" xr:uid="{00000000-0005-0000-0000-00003D000000}"/>
    <cellStyle name="Normal 18" xfId="66" xr:uid="{00000000-0005-0000-0000-00003E000000}"/>
    <cellStyle name="Normal 2" xfId="3" xr:uid="{00000000-0005-0000-0000-00003F000000}"/>
    <cellStyle name="Normal 2 2" xfId="7" xr:uid="{00000000-0005-0000-0000-000040000000}"/>
    <cellStyle name="Normal 2 3" xfId="67" xr:uid="{00000000-0005-0000-0000-000041000000}"/>
    <cellStyle name="Normal 2 4" xfId="68" xr:uid="{00000000-0005-0000-0000-000042000000}"/>
    <cellStyle name="Normal 2 5" xfId="69" xr:uid="{00000000-0005-0000-0000-000043000000}"/>
    <cellStyle name="Normal 3" xfId="5" xr:uid="{00000000-0005-0000-0000-000044000000}"/>
    <cellStyle name="Normal 3 2" xfId="70" xr:uid="{00000000-0005-0000-0000-000045000000}"/>
    <cellStyle name="Normal 3 3" xfId="71" xr:uid="{00000000-0005-0000-0000-000046000000}"/>
    <cellStyle name="Normal 3 3 2" xfId="72" xr:uid="{00000000-0005-0000-0000-000047000000}"/>
    <cellStyle name="Normal 3 4" xfId="73" xr:uid="{00000000-0005-0000-0000-000048000000}"/>
    <cellStyle name="Normal 4" xfId="74" xr:uid="{00000000-0005-0000-0000-000049000000}"/>
    <cellStyle name="Normal 4 2" xfId="75" xr:uid="{00000000-0005-0000-0000-00004A000000}"/>
    <cellStyle name="Normal 4 2 2" xfId="76" xr:uid="{00000000-0005-0000-0000-00004B000000}"/>
    <cellStyle name="Normal 4 3" xfId="77" xr:uid="{00000000-0005-0000-0000-00004C000000}"/>
    <cellStyle name="Normal 5" xfId="78" xr:uid="{00000000-0005-0000-0000-00004D000000}"/>
    <cellStyle name="Normal 5 2" xfId="79" xr:uid="{00000000-0005-0000-0000-00004E000000}"/>
    <cellStyle name="Normal 5 3" xfId="80" xr:uid="{00000000-0005-0000-0000-00004F000000}"/>
    <cellStyle name="Normal 5 4" xfId="81" xr:uid="{00000000-0005-0000-0000-000050000000}"/>
    <cellStyle name="Normal 6" xfId="82" xr:uid="{00000000-0005-0000-0000-000051000000}"/>
    <cellStyle name="Normal 6 2" xfId="83" xr:uid="{00000000-0005-0000-0000-000052000000}"/>
    <cellStyle name="Normal 6 2 2" xfId="84" xr:uid="{00000000-0005-0000-0000-000053000000}"/>
    <cellStyle name="Normal 6 3" xfId="85" xr:uid="{00000000-0005-0000-0000-000054000000}"/>
    <cellStyle name="Normal 7" xfId="86" xr:uid="{00000000-0005-0000-0000-000055000000}"/>
    <cellStyle name="Normal 7 2" xfId="87" xr:uid="{00000000-0005-0000-0000-000056000000}"/>
    <cellStyle name="Normal 7 3" xfId="88" xr:uid="{00000000-0005-0000-0000-000057000000}"/>
    <cellStyle name="Normal 8" xfId="89" xr:uid="{00000000-0005-0000-0000-000058000000}"/>
    <cellStyle name="Normal 8 2" xfId="90" xr:uid="{00000000-0005-0000-0000-000059000000}"/>
    <cellStyle name="Normal 9" xfId="91" xr:uid="{00000000-0005-0000-0000-00005A000000}"/>
    <cellStyle name="Normal 9 2" xfId="92" xr:uid="{00000000-0005-0000-0000-00005B000000}"/>
    <cellStyle name="Percent" xfId="4" builtinId="5"/>
    <cellStyle name="Percent 2" xfId="93" xr:uid="{00000000-0005-0000-0000-00005D000000}"/>
    <cellStyle name="Percent 2 2" xfId="94" xr:uid="{00000000-0005-0000-0000-00005E000000}"/>
    <cellStyle name="Percent 3" xfId="95" xr:uid="{00000000-0005-0000-0000-00005F000000}"/>
    <cellStyle name="Percent 3 2" xfId="96" xr:uid="{00000000-0005-0000-0000-000060000000}"/>
    <cellStyle name="Percent 3 2 2" xfId="97" xr:uid="{00000000-0005-0000-0000-000061000000}"/>
    <cellStyle name="Percent 3 3" xfId="98" xr:uid="{00000000-0005-0000-0000-000062000000}"/>
    <cellStyle name="Percent 4" xfId="99" xr:uid="{00000000-0005-0000-0000-000063000000}"/>
    <cellStyle name="Percent 4 2" xfId="100" xr:uid="{00000000-0005-0000-0000-000064000000}"/>
    <cellStyle name="Percent 4 2 2" xfId="101" xr:uid="{00000000-0005-0000-0000-000065000000}"/>
    <cellStyle name="Percent 4 3" xfId="102" xr:uid="{00000000-0005-0000-0000-000066000000}"/>
    <cellStyle name="Percent 5" xfId="103" xr:uid="{00000000-0005-0000-0000-000067000000}"/>
    <cellStyle name="Percent 5 2" xfId="104" xr:uid="{00000000-0005-0000-0000-000068000000}"/>
    <cellStyle name="Percent 6" xfId="105" xr:uid="{00000000-0005-0000-0000-000069000000}"/>
    <cellStyle name="Percent 6 2" xfId="106" xr:uid="{00000000-0005-0000-0000-00006A000000}"/>
    <cellStyle name="Percent 7" xfId="107" xr:uid="{00000000-0005-0000-0000-00006B000000}"/>
    <cellStyle name="Percent 7 2" xfId="108" xr:uid="{00000000-0005-0000-0000-00006C000000}"/>
    <cellStyle name="Percent 8" xfId="109" xr:uid="{00000000-0005-0000-0000-00006D000000}"/>
    <cellStyle name="PSChar" xfId="110" xr:uid="{00000000-0005-0000-0000-00006E000000}"/>
    <cellStyle name="PSDate" xfId="111" xr:uid="{00000000-0005-0000-0000-00006F000000}"/>
    <cellStyle name="PSDec" xfId="112" xr:uid="{00000000-0005-0000-0000-000070000000}"/>
    <cellStyle name="PSHeading" xfId="113" xr:uid="{00000000-0005-0000-0000-000071000000}"/>
    <cellStyle name="PSInt" xfId="114" xr:uid="{00000000-0005-0000-0000-000072000000}"/>
    <cellStyle name="PSSpacer" xfId="115" xr:uid="{00000000-0005-0000-0000-00007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9"/>
  <sheetViews>
    <sheetView tabSelected="1" view="pageBreakPreview" zoomScaleSheetLayoutView="100" workbookViewId="0">
      <pane ySplit="6" topLeftCell="A9" activePane="bottomLeft" state="frozen"/>
      <selection activeCell="C5" sqref="C5"/>
      <selection pane="bottomLeft" activeCell="A19" sqref="A19"/>
    </sheetView>
  </sheetViews>
  <sheetFormatPr defaultColWidth="9.08984375" defaultRowHeight="14.5" x14ac:dyDescent="0.35"/>
  <cols>
    <col min="1" max="1" width="50" style="9" customWidth="1"/>
    <col min="2" max="2" width="1.453125" style="9" customWidth="1"/>
    <col min="3" max="3" width="11" style="9" customWidth="1"/>
    <col min="4" max="7" width="10.36328125" style="9" customWidth="1"/>
    <col min="15" max="16384" width="9.08984375" style="9"/>
  </cols>
  <sheetData>
    <row r="1" spans="1:15" x14ac:dyDescent="0.35">
      <c r="A1" s="11" t="s">
        <v>137</v>
      </c>
      <c r="B1" s="21"/>
      <c r="C1" s="21"/>
      <c r="D1" s="21"/>
      <c r="E1" s="21"/>
      <c r="F1" s="21"/>
      <c r="G1" s="22" t="s">
        <v>32</v>
      </c>
    </row>
    <row r="2" spans="1:15" x14ac:dyDescent="0.35">
      <c r="A2" s="11" t="s">
        <v>43</v>
      </c>
      <c r="B2" s="11"/>
      <c r="C2" s="11"/>
      <c r="D2" s="11"/>
      <c r="E2" s="11"/>
      <c r="F2" s="23"/>
      <c r="G2" s="10" t="s">
        <v>178</v>
      </c>
    </row>
    <row r="3" spans="1:15" x14ac:dyDescent="0.35">
      <c r="A3" s="55" t="s">
        <v>15</v>
      </c>
      <c r="B3" s="55"/>
      <c r="C3" s="55"/>
      <c r="D3" s="55"/>
      <c r="E3" s="55"/>
      <c r="F3" s="55"/>
      <c r="G3" s="55"/>
    </row>
    <row r="5" spans="1:15" x14ac:dyDescent="0.35">
      <c r="B5" s="20"/>
      <c r="C5" s="12" t="s">
        <v>138</v>
      </c>
      <c r="D5" s="12" t="s">
        <v>28</v>
      </c>
      <c r="E5" s="12" t="s">
        <v>28</v>
      </c>
      <c r="F5" s="12" t="s">
        <v>36</v>
      </c>
      <c r="G5" s="12" t="s">
        <v>36</v>
      </c>
    </row>
    <row r="6" spans="1:15" x14ac:dyDescent="0.35">
      <c r="A6" s="4" t="s">
        <v>16</v>
      </c>
      <c r="B6" s="4"/>
      <c r="C6" s="4">
        <v>2021</v>
      </c>
      <c r="D6" s="4">
        <v>2021</v>
      </c>
      <c r="E6" s="4">
        <v>2022</v>
      </c>
      <c r="F6" s="4">
        <v>2023</v>
      </c>
      <c r="G6" s="4">
        <v>2024</v>
      </c>
    </row>
    <row r="8" spans="1:15" x14ac:dyDescent="0.35">
      <c r="A8" s="2" t="s">
        <v>14</v>
      </c>
    </row>
    <row r="9" spans="1:15" x14ac:dyDescent="0.35">
      <c r="A9" s="2"/>
      <c r="E9" s="13"/>
      <c r="F9" s="13"/>
      <c r="G9" s="13"/>
    </row>
    <row r="10" spans="1:15" x14ac:dyDescent="0.35">
      <c r="A10" s="2" t="s">
        <v>25</v>
      </c>
      <c r="C10" s="17">
        <f>'5.2a - 2021 approved'!D117</f>
        <v>11872.680559999999</v>
      </c>
      <c r="D10" s="17">
        <f>'5.2b - 2021'!D121</f>
        <v>25294.987179999996</v>
      </c>
      <c r="E10" s="17">
        <f>D37</f>
        <v>3808.3901399999959</v>
      </c>
      <c r="F10" s="17">
        <f>E37</f>
        <v>33637.833770000005</v>
      </c>
      <c r="G10" s="17">
        <f>F37</f>
        <v>80910.873870000025</v>
      </c>
    </row>
    <row r="11" spans="1:15" x14ac:dyDescent="0.35">
      <c r="A11" s="2" t="s">
        <v>71</v>
      </c>
      <c r="C11" s="17"/>
      <c r="D11" s="17"/>
      <c r="E11" s="17">
        <f>'5.3 - 2022'!D9+'5.3 - 2022'!D27</f>
        <v>3246.9603999999999</v>
      </c>
      <c r="F11" s="17"/>
      <c r="G11" s="17"/>
    </row>
    <row r="12" spans="1:15" x14ac:dyDescent="0.35">
      <c r="A12" s="2" t="s">
        <v>139</v>
      </c>
      <c r="C12" s="17">
        <f>SUM(C10:C11)</f>
        <v>11872.680559999999</v>
      </c>
      <c r="D12" s="17">
        <f>SUM(D10:D11)</f>
        <v>25294.987179999996</v>
      </c>
      <c r="E12" s="17">
        <f>SUM(E10:E11)</f>
        <v>7055.3505399999958</v>
      </c>
      <c r="F12" s="17">
        <f>SUM(F10:F11)</f>
        <v>33637.833770000005</v>
      </c>
      <c r="G12" s="17">
        <f>SUM(G10:G11)</f>
        <v>80910.873870000025</v>
      </c>
    </row>
    <row r="13" spans="1:15" x14ac:dyDescent="0.35">
      <c r="A13" s="2"/>
      <c r="C13" s="17"/>
      <c r="D13" s="17"/>
      <c r="E13" s="17"/>
      <c r="F13" s="17"/>
      <c r="G13" s="17"/>
    </row>
    <row r="14" spans="1:15" x14ac:dyDescent="0.35">
      <c r="A14" s="2" t="s">
        <v>30</v>
      </c>
      <c r="C14" s="17">
        <f>'5.2a - 2021 approved'!E105</f>
        <v>54049.594379999995</v>
      </c>
      <c r="D14" s="17">
        <f>'5.2b - 2021'!E109</f>
        <v>23088.035230000001</v>
      </c>
      <c r="E14" s="17">
        <f>'5.3 - 2022'!E125</f>
        <v>37394.86108000001</v>
      </c>
      <c r="F14" s="17">
        <f>'5.4 - 2023'!E131</f>
        <v>59178.082020000002</v>
      </c>
      <c r="G14" s="17">
        <f>'5.5 - 2024'!E137</f>
        <v>85463.225249999989</v>
      </c>
      <c r="O14" s="19"/>
    </row>
    <row r="15" spans="1:15" x14ac:dyDescent="0.35">
      <c r="A15" s="2"/>
      <c r="C15" s="17"/>
      <c r="D15" s="17"/>
      <c r="E15" s="17"/>
      <c r="F15" s="17"/>
      <c r="G15" s="17"/>
    </row>
    <row r="16" spans="1:15" x14ac:dyDescent="0.35">
      <c r="A16" s="2" t="s">
        <v>63</v>
      </c>
      <c r="C16" s="17"/>
      <c r="D16" s="17"/>
      <c r="E16" s="17"/>
      <c r="F16" s="17"/>
      <c r="G16" s="17"/>
    </row>
    <row r="17" spans="1:7" x14ac:dyDescent="0.35">
      <c r="A17" s="8" t="s">
        <v>12</v>
      </c>
      <c r="C17" s="17">
        <f>'5.2a - 2021 approved'!E108</f>
        <v>475</v>
      </c>
      <c r="D17" s="17">
        <f>'5.2b - 2021'!E112</f>
        <v>1735.2214899999999</v>
      </c>
      <c r="E17" s="17">
        <f>'5.3 - 2022'!E128</f>
        <v>565.39375999999993</v>
      </c>
      <c r="F17" s="17">
        <f>'5.4 - 2023'!E134</f>
        <v>520</v>
      </c>
      <c r="G17" s="17">
        <f>'5.5 - 2024'!E140</f>
        <v>1559.99</v>
      </c>
    </row>
    <row r="18" spans="1:7" x14ac:dyDescent="0.35">
      <c r="A18" s="8" t="s">
        <v>10</v>
      </c>
      <c r="C18" s="17">
        <f>'5.2a - 2021 approved'!E109</f>
        <v>200</v>
      </c>
      <c r="D18" s="17">
        <f>'5.2b - 2021'!E113</f>
        <v>253.3929</v>
      </c>
      <c r="E18" s="17">
        <f>'5.3 - 2022'!E129</f>
        <v>451.81689999999992</v>
      </c>
      <c r="F18" s="17">
        <f>'5.4 - 2023'!E135</f>
        <v>1103.5748900000001</v>
      </c>
      <c r="G18" s="17">
        <f>'5.5 - 2024'!E141</f>
        <v>1179</v>
      </c>
    </row>
    <row r="19" spans="1:7" x14ac:dyDescent="0.35">
      <c r="A19" s="8" t="s">
        <v>11</v>
      </c>
      <c r="C19" s="17">
        <f>'5.2a - 2021 approved'!E110</f>
        <v>625</v>
      </c>
      <c r="D19" s="17">
        <f>'5.2b - 2021'!E114</f>
        <v>996.15630999999996</v>
      </c>
      <c r="E19" s="17">
        <f>'5.3 - 2022'!E130</f>
        <v>1108.4172700000001</v>
      </c>
      <c r="F19" s="17">
        <f>'5.4 - 2023'!E136</f>
        <v>1300</v>
      </c>
      <c r="G19" s="17">
        <f>'5.5 - 2024'!E142</f>
        <v>1005</v>
      </c>
    </row>
    <row r="20" spans="1:7" x14ac:dyDescent="0.35">
      <c r="A20" s="8" t="s">
        <v>13</v>
      </c>
      <c r="C20" s="17">
        <f>'5.2a - 2021 approved'!E111</f>
        <v>1623.6</v>
      </c>
      <c r="D20" s="17">
        <f>'5.2b - 2021'!E115</f>
        <v>716.09530999999993</v>
      </c>
      <c r="E20" s="17">
        <f>'5.3 - 2022'!E131</f>
        <v>1487.5440600000002</v>
      </c>
      <c r="F20" s="17">
        <f>'5.4 - 2023'!E137</f>
        <v>2596.0610000000001</v>
      </c>
      <c r="G20" s="17">
        <f>'5.5 - 2024'!E143</f>
        <v>2872.01</v>
      </c>
    </row>
    <row r="21" spans="1:7" x14ac:dyDescent="0.35">
      <c r="A21" s="8" t="s">
        <v>54</v>
      </c>
      <c r="C21" s="17">
        <f>'5.2a - 2021 approved'!E113</f>
        <v>0</v>
      </c>
      <c r="D21" s="17">
        <f>'5.2b - 2021'!E117</f>
        <v>0</v>
      </c>
      <c r="E21" s="17">
        <f>'5.3 - 2022'!E133</f>
        <v>1180.856</v>
      </c>
      <c r="F21" s="17">
        <f>'5.4 - 2023'!E139</f>
        <v>750.13410999999996</v>
      </c>
      <c r="G21" s="17">
        <f>'5.5 - 2024'!E145</f>
        <v>0</v>
      </c>
    </row>
    <row r="22" spans="1:7" x14ac:dyDescent="0.35">
      <c r="A22" s="8" t="s">
        <v>44</v>
      </c>
      <c r="C22" s="17">
        <f>'5.2a - 2021 approved'!E115</f>
        <v>180</v>
      </c>
      <c r="D22" s="17">
        <f>'5.2b - 2021'!E119</f>
        <v>0</v>
      </c>
      <c r="E22" s="17">
        <f>'5.3 - 2022'!E135</f>
        <v>0</v>
      </c>
      <c r="F22" s="17">
        <f>'5.4 - 2023'!E141</f>
        <v>0</v>
      </c>
      <c r="G22" s="17">
        <f>'5.5 - 2024'!E147</f>
        <v>400</v>
      </c>
    </row>
    <row r="23" spans="1:7" x14ac:dyDescent="0.35">
      <c r="A23" s="8" t="s">
        <v>47</v>
      </c>
      <c r="C23" s="17">
        <f>'5.2a - 2021 approved'!E128</f>
        <v>411</v>
      </c>
      <c r="D23" s="17">
        <f>'5.2b - 2021'!E134</f>
        <v>916.49708999999984</v>
      </c>
      <c r="E23" s="17">
        <f>'5.3 - 2022'!E150</f>
        <v>2085.8006700000001</v>
      </c>
      <c r="F23" s="17">
        <f>'5.4 - 2023'!E155</f>
        <v>554</v>
      </c>
      <c r="G23" s="17">
        <f>'5.5 - 2024'!E161</f>
        <v>681.74099999999999</v>
      </c>
    </row>
    <row r="24" spans="1:7" x14ac:dyDescent="0.35">
      <c r="A24" s="8" t="s">
        <v>82</v>
      </c>
      <c r="C24" s="41">
        <v>0</v>
      </c>
      <c r="D24" s="41">
        <v>0</v>
      </c>
      <c r="E24" s="41">
        <f>'5.3 - 2022'!E154</f>
        <v>40.0929</v>
      </c>
      <c r="F24" s="41">
        <f>'5.4 - 2023'!E159</f>
        <v>723</v>
      </c>
      <c r="G24" s="41">
        <v>0</v>
      </c>
    </row>
    <row r="25" spans="1:7" x14ac:dyDescent="0.35">
      <c r="A25" s="2" t="s">
        <v>33</v>
      </c>
      <c r="C25" s="17">
        <f>SUM(C17:C24)</f>
        <v>3514.6</v>
      </c>
      <c r="D25" s="17">
        <f>SUM(D17:D24)</f>
        <v>4617.3630999999996</v>
      </c>
      <c r="E25" s="17">
        <f>SUM(E17:E24)</f>
        <v>6919.9215600000007</v>
      </c>
      <c r="F25" s="17">
        <f>SUM(F17:F24)</f>
        <v>7546.7699999999995</v>
      </c>
      <c r="G25" s="17">
        <f>SUM(G17:G24)</f>
        <v>7697.741</v>
      </c>
    </row>
    <row r="26" spans="1:7" x14ac:dyDescent="0.35">
      <c r="A26" s="5"/>
      <c r="B26" s="14"/>
      <c r="C26" s="41"/>
      <c r="D26" s="41"/>
      <c r="E26" s="41"/>
      <c r="F26" s="41"/>
      <c r="G26" s="41"/>
    </row>
    <row r="27" spans="1:7" x14ac:dyDescent="0.35">
      <c r="A27" s="2" t="s">
        <v>34</v>
      </c>
      <c r="B27" s="13">
        <f>SUM(B14:B20)</f>
        <v>0</v>
      </c>
      <c r="C27" s="17">
        <f>C14+C25</f>
        <v>57564.194379999994</v>
      </c>
      <c r="D27" s="17">
        <f>D14+D25</f>
        <v>27705.39833</v>
      </c>
      <c r="E27" s="17">
        <f>E14+E25</f>
        <v>44314.782640000012</v>
      </c>
      <c r="F27" s="17">
        <f>F14+F25</f>
        <v>66724.852020000006</v>
      </c>
      <c r="G27" s="17">
        <f>G14+G25</f>
        <v>93160.966249999983</v>
      </c>
    </row>
    <row r="28" spans="1:7" s="15" customFormat="1" ht="13" x14ac:dyDescent="0.3">
      <c r="A28" s="18"/>
      <c r="C28" s="42"/>
      <c r="D28" s="42"/>
      <c r="E28" s="42"/>
      <c r="F28" s="42"/>
      <c r="G28" s="42"/>
    </row>
    <row r="29" spans="1:7" x14ac:dyDescent="0.35">
      <c r="A29" s="1" t="s">
        <v>83</v>
      </c>
      <c r="C29" s="17">
        <f>-C23-C24</f>
        <v>-411</v>
      </c>
      <c r="D29" s="17">
        <f>-D23-D24</f>
        <v>-916.49708999999984</v>
      </c>
      <c r="E29" s="17">
        <f>-E23-E24</f>
        <v>-2125.8935700000002</v>
      </c>
      <c r="F29" s="17">
        <f>-F23-F24</f>
        <v>-1277</v>
      </c>
      <c r="G29" s="17">
        <f>-G23-G24</f>
        <v>-681.74099999999999</v>
      </c>
    </row>
    <row r="30" spans="1:7" x14ac:dyDescent="0.35">
      <c r="A30" s="1" t="s">
        <v>84</v>
      </c>
      <c r="C30" s="17"/>
      <c r="D30" s="17"/>
      <c r="E30" s="17"/>
      <c r="F30" s="17"/>
      <c r="G30" s="17"/>
    </row>
    <row r="31" spans="1:7" x14ac:dyDescent="0.35">
      <c r="A31" s="6"/>
      <c r="B31" s="14"/>
      <c r="C31" s="41"/>
      <c r="D31" s="41"/>
      <c r="E31" s="41"/>
      <c r="F31" s="41"/>
      <c r="G31" s="41"/>
    </row>
    <row r="32" spans="1:7" x14ac:dyDescent="0.35">
      <c r="A32" s="2" t="s">
        <v>18</v>
      </c>
      <c r="C32" s="17">
        <f>SUM(C29:C30)</f>
        <v>-411</v>
      </c>
      <c r="D32" s="17">
        <f>SUM(D29:D30)</f>
        <v>-916.49708999999984</v>
      </c>
      <c r="E32" s="17">
        <f>SUM(E29:E30)</f>
        <v>-2125.8935700000002</v>
      </c>
      <c r="F32" s="17">
        <f>SUM(F29:F30)</f>
        <v>-1277</v>
      </c>
      <c r="G32" s="17">
        <f>SUM(G29:G30)</f>
        <v>-681.74099999999999</v>
      </c>
    </row>
    <row r="33" spans="1:7" x14ac:dyDescent="0.35">
      <c r="A33" s="1"/>
      <c r="C33" s="17"/>
      <c r="D33" s="17"/>
      <c r="E33" s="17"/>
      <c r="F33" s="17"/>
      <c r="G33" s="17"/>
    </row>
    <row r="34" spans="1:7" x14ac:dyDescent="0.35">
      <c r="A34" s="3" t="s">
        <v>17</v>
      </c>
      <c r="C34" s="17">
        <f>'5.2a - 2021 approved'!F117</f>
        <v>-28453.933279999997</v>
      </c>
      <c r="D34" s="17">
        <f>'5.2b - 2021'!F121</f>
        <v>-48275.49828</v>
      </c>
      <c r="E34" s="17">
        <f>'5.3 - 2022'!F137</f>
        <v>-15606.405839999999</v>
      </c>
      <c r="F34" s="17">
        <f>'5.4 - 2023'!F143</f>
        <v>-18174.811919999996</v>
      </c>
      <c r="G34" s="17">
        <f>'5.5 - 2024'!F149</f>
        <v>-56560.673160000006</v>
      </c>
    </row>
    <row r="35" spans="1:7" x14ac:dyDescent="0.35">
      <c r="A35" s="15"/>
      <c r="C35" s="17"/>
      <c r="D35" s="17"/>
      <c r="E35" s="17"/>
      <c r="F35" s="17"/>
      <c r="G35" s="17"/>
    </row>
    <row r="36" spans="1:7" ht="15" thickBot="1" x14ac:dyDescent="0.4">
      <c r="A36" s="7"/>
      <c r="B36" s="16"/>
      <c r="C36" s="44">
        <f>C10+C27+C32+C34-C37</f>
        <v>0</v>
      </c>
      <c r="D36" s="44">
        <f>D10+D27+D32+D34-D37</f>
        <v>0</v>
      </c>
      <c r="E36" s="44">
        <f>E10+E27+E32+E34-E37</f>
        <v>-3246.9603999999963</v>
      </c>
      <c r="F36" s="44">
        <f>F10+F27+F32+F34-F37</f>
        <v>0</v>
      </c>
      <c r="G36" s="44">
        <f>G10+G27+G32+G34-G37</f>
        <v>0</v>
      </c>
    </row>
    <row r="37" spans="1:7" ht="15" thickTop="1" x14ac:dyDescent="0.35">
      <c r="A37" s="3" t="s">
        <v>19</v>
      </c>
      <c r="B37" s="11"/>
      <c r="C37" s="32">
        <f>C12+C27+C32+C34</f>
        <v>40571.941659999997</v>
      </c>
      <c r="D37" s="32">
        <f>D12+D27+D32+D34</f>
        <v>3808.3901399999959</v>
      </c>
      <c r="E37" s="32">
        <f>E12+E27+E32+E34</f>
        <v>33637.833770000005</v>
      </c>
      <c r="F37" s="32">
        <f>F12+F27+F32+F34</f>
        <v>80910.873870000025</v>
      </c>
      <c r="G37" s="32">
        <f>G12+G27+G32+G34</f>
        <v>116829.42595999999</v>
      </c>
    </row>
    <row r="38" spans="1:7" x14ac:dyDescent="0.35">
      <c r="A38" s="3"/>
      <c r="C38" s="17"/>
      <c r="D38" s="17"/>
      <c r="E38" s="17"/>
      <c r="F38" s="17"/>
      <c r="G38" s="17"/>
    </row>
    <row r="39" spans="1:7" x14ac:dyDescent="0.35">
      <c r="A39" s="3" t="s">
        <v>0</v>
      </c>
      <c r="C39" s="17">
        <f>C45-C10</f>
        <v>660593.99255999993</v>
      </c>
      <c r="D39" s="17">
        <f>D45-D10</f>
        <v>642666.79582000012</v>
      </c>
      <c r="E39" s="17">
        <f>E45-E10</f>
        <v>687789.25185999996</v>
      </c>
      <c r="F39" s="17">
        <f>F45-F10</f>
        <v>701616.22823000001</v>
      </c>
      <c r="G39" s="17">
        <f>G45-G10</f>
        <v>718120.42313000001</v>
      </c>
    </row>
    <row r="40" spans="1:7" x14ac:dyDescent="0.35">
      <c r="A40" s="1" t="s">
        <v>41</v>
      </c>
      <c r="C40" s="17">
        <f>C43-C39-C41</f>
        <v>28452.378439999971</v>
      </c>
      <c r="D40" s="17">
        <f>D43-D39-D41</f>
        <v>48275.498039999846</v>
      </c>
      <c r="E40" s="17">
        <f>E43-E39-E41</f>
        <v>12359.445370000047</v>
      </c>
      <c r="F40" s="17">
        <f>F43-F39-F41</f>
        <v>18174.811900000001</v>
      </c>
      <c r="G40" s="17">
        <f>G43-G39-G41</f>
        <v>56560.672909999979</v>
      </c>
    </row>
    <row r="41" spans="1:7" x14ac:dyDescent="0.35">
      <c r="A41" s="1" t="s">
        <v>40</v>
      </c>
      <c r="C41" s="17">
        <v>-1336.5035415384614</v>
      </c>
      <c r="D41" s="17">
        <v>-3153.0419999999999</v>
      </c>
      <c r="E41" s="17">
        <v>1467.5310000000002</v>
      </c>
      <c r="F41" s="17">
        <v>-1670.6169999999997</v>
      </c>
      <c r="G41" s="17">
        <v>-1.556</v>
      </c>
    </row>
    <row r="42" spans="1:7" x14ac:dyDescent="0.35">
      <c r="A42" s="1"/>
      <c r="C42" s="17"/>
      <c r="D42" s="17"/>
      <c r="E42" s="17"/>
      <c r="F42" s="17"/>
      <c r="G42" s="17"/>
    </row>
    <row r="43" spans="1:7" x14ac:dyDescent="0.35">
      <c r="A43" s="3" t="s">
        <v>1</v>
      </c>
      <c r="B43" s="11"/>
      <c r="C43" s="32">
        <f>C47-C37</f>
        <v>687709.86745846143</v>
      </c>
      <c r="D43" s="32">
        <f>D47-D37</f>
        <v>687789.25185999996</v>
      </c>
      <c r="E43" s="32">
        <f>E47-E37</f>
        <v>701616.22823000001</v>
      </c>
      <c r="F43" s="32">
        <f>F47-F37</f>
        <v>718120.42313000001</v>
      </c>
      <c r="G43" s="32">
        <f>G47-G37</f>
        <v>774679.54003999999</v>
      </c>
    </row>
    <row r="44" spans="1:7" x14ac:dyDescent="0.35">
      <c r="A44" s="3"/>
      <c r="C44" s="17"/>
      <c r="D44" s="17"/>
      <c r="E44" s="17"/>
      <c r="F44" s="17"/>
      <c r="G44" s="17"/>
    </row>
    <row r="45" spans="1:7" x14ac:dyDescent="0.35">
      <c r="A45" s="3" t="s">
        <v>20</v>
      </c>
      <c r="C45" s="17">
        <v>672466.67311999993</v>
      </c>
      <c r="D45" s="17">
        <v>667961.78300000005</v>
      </c>
      <c r="E45" s="17">
        <f>D47</f>
        <v>691597.64199999999</v>
      </c>
      <c r="F45" s="17">
        <f>E47</f>
        <v>735254.06200000003</v>
      </c>
      <c r="G45" s="17">
        <f>F47</f>
        <v>799031.29700000002</v>
      </c>
    </row>
    <row r="46" spans="1:7" x14ac:dyDescent="0.35">
      <c r="A46" s="1" t="s">
        <v>21</v>
      </c>
      <c r="C46" s="17">
        <f>C47-C45</f>
        <v>55815.135998461512</v>
      </c>
      <c r="D46" s="17">
        <f>D47-D45</f>
        <v>23635.858999999939</v>
      </c>
      <c r="E46" s="17">
        <f>E47-E45</f>
        <v>43656.420000000042</v>
      </c>
      <c r="F46" s="17">
        <f>F47-F45</f>
        <v>63777.234999999986</v>
      </c>
      <c r="G46" s="17">
        <f>G47-G45</f>
        <v>92477.668999999994</v>
      </c>
    </row>
    <row r="47" spans="1:7" x14ac:dyDescent="0.35">
      <c r="A47" s="3" t="s">
        <v>22</v>
      </c>
      <c r="B47" s="11"/>
      <c r="C47" s="32">
        <v>728281.80911846145</v>
      </c>
      <c r="D47" s="32">
        <v>691597.64199999999</v>
      </c>
      <c r="E47" s="32">
        <v>735254.06200000003</v>
      </c>
      <c r="F47" s="32">
        <v>799031.29700000002</v>
      </c>
      <c r="G47" s="32">
        <v>891508.96600000001</v>
      </c>
    </row>
    <row r="48" spans="1:7" x14ac:dyDescent="0.35">
      <c r="A48" s="3"/>
      <c r="C48" s="17"/>
      <c r="D48" s="17"/>
      <c r="E48" s="17"/>
      <c r="F48" s="17"/>
      <c r="G48" s="17"/>
    </row>
    <row r="49" spans="1:7" x14ac:dyDescent="0.35">
      <c r="A49" s="3" t="s">
        <v>2</v>
      </c>
      <c r="C49" s="17"/>
      <c r="D49" s="17"/>
      <c r="E49" s="17"/>
      <c r="F49" s="17"/>
      <c r="G49" s="17"/>
    </row>
    <row r="50" spans="1:7" x14ac:dyDescent="0.35">
      <c r="A50" s="3"/>
      <c r="C50" s="17"/>
      <c r="D50" s="17"/>
      <c r="E50" s="17"/>
      <c r="F50" s="17"/>
      <c r="G50" s="17"/>
    </row>
    <row r="51" spans="1:7" x14ac:dyDescent="0.35">
      <c r="A51" s="3" t="s">
        <v>3</v>
      </c>
      <c r="C51" s="32">
        <f>C62-C57</f>
        <v>776.28208999999333</v>
      </c>
      <c r="D51" s="32">
        <f>-'5.2b - 2021'!D128</f>
        <v>13360.840490000001</v>
      </c>
      <c r="E51" s="32">
        <f>D55</f>
        <v>1385.7724500000002</v>
      </c>
      <c r="F51" s="32">
        <f>E55</f>
        <v>12787.722890000001</v>
      </c>
      <c r="G51" s="32">
        <f>F55</f>
        <v>21504.399300000001</v>
      </c>
    </row>
    <row r="52" spans="1:7" x14ac:dyDescent="0.35">
      <c r="A52" s="1" t="s">
        <v>4</v>
      </c>
      <c r="C52" s="17">
        <f>-'5.2a - 2021 approved'!E124</f>
        <v>29011</v>
      </c>
      <c r="D52" s="17">
        <f>-'5.2b - 2021'!E128</f>
        <v>10128.471820000001</v>
      </c>
      <c r="E52" s="17">
        <f>-'5.3 - 2022'!E144</f>
        <v>10787.768180000001</v>
      </c>
      <c r="F52" s="17">
        <f>-SUM('5.4 - 2023'!E150)</f>
        <v>10586.9416</v>
      </c>
      <c r="G52" s="17">
        <f>-SUM('5.5 - 2024'!E156)</f>
        <v>6446.7737399999996</v>
      </c>
    </row>
    <row r="53" spans="1:7" x14ac:dyDescent="0.35">
      <c r="A53" s="1" t="s">
        <v>37</v>
      </c>
      <c r="C53" s="17"/>
      <c r="D53" s="17"/>
      <c r="E53" s="17"/>
      <c r="F53" s="17"/>
      <c r="G53" s="17"/>
    </row>
    <row r="54" spans="1:7" x14ac:dyDescent="0.35">
      <c r="A54" s="1" t="s">
        <v>5</v>
      </c>
      <c r="C54" s="17">
        <f>-'5.2a - 2021 approved'!F124</f>
        <v>-9011</v>
      </c>
      <c r="D54" s="17">
        <f>-(D51+D52-D55+D53)</f>
        <v>-22103.539860000001</v>
      </c>
      <c r="E54" s="17">
        <f>-(E51+E52-E55)</f>
        <v>614.18225999999959</v>
      </c>
      <c r="F54" s="17">
        <f>-(F51+F52-F55)</f>
        <v>-1870.2651900000019</v>
      </c>
      <c r="G54" s="17">
        <f>-(G51+G52-G55)</f>
        <v>-1435.5640000000058</v>
      </c>
    </row>
    <row r="55" spans="1:7" x14ac:dyDescent="0.35">
      <c r="A55" s="3" t="s">
        <v>6</v>
      </c>
      <c r="C55" s="32">
        <f>'5.2a - 2021 approved'!G124</f>
        <v>-20776.282090000001</v>
      </c>
      <c r="D55" s="32">
        <f>-'5.2b - 2021'!G128</f>
        <v>1385.7724500000002</v>
      </c>
      <c r="E55" s="32">
        <f>-'5.3 - 2022'!G144</f>
        <v>12787.722890000001</v>
      </c>
      <c r="F55" s="32">
        <f>-'5.4 - 2023'!G150</f>
        <v>21504.399300000001</v>
      </c>
      <c r="G55" s="32">
        <f>-'5.5 - 2024'!G156</f>
        <v>26515.609039999996</v>
      </c>
    </row>
    <row r="56" spans="1:7" x14ac:dyDescent="0.35">
      <c r="A56" s="1"/>
      <c r="C56" s="17"/>
      <c r="D56" s="17"/>
      <c r="E56" s="17"/>
      <c r="F56" s="17"/>
      <c r="G56" s="17"/>
    </row>
    <row r="57" spans="1:7" x14ac:dyDescent="0.35">
      <c r="A57" s="3" t="s">
        <v>7</v>
      </c>
      <c r="C57" s="32">
        <f>C60-C58-C59</f>
        <v>224560.31852000003</v>
      </c>
      <c r="D57" s="32">
        <f>D62-D51</f>
        <v>211830.17467999997</v>
      </c>
      <c r="E57" s="32">
        <f>D60</f>
        <v>233917.32953999995</v>
      </c>
      <c r="F57" s="32">
        <f>E60</f>
        <v>234687.25727999993</v>
      </c>
      <c r="G57" s="32">
        <f>F60</f>
        <v>236557.52246999994</v>
      </c>
    </row>
    <row r="58" spans="1:7" x14ac:dyDescent="0.35">
      <c r="A58" s="1" t="s">
        <v>8</v>
      </c>
      <c r="C58" s="17">
        <f>-C54</f>
        <v>9011</v>
      </c>
      <c r="D58" s="17">
        <f>-D54</f>
        <v>22103.539860000001</v>
      </c>
      <c r="E58" s="17">
        <f>-E54</f>
        <v>-614.18225999999959</v>
      </c>
      <c r="F58" s="17">
        <f>-F54</f>
        <v>1870.2651900000019</v>
      </c>
      <c r="G58" s="17">
        <f>-G54</f>
        <v>1435.5640000000058</v>
      </c>
    </row>
    <row r="59" spans="1:7" x14ac:dyDescent="0.35">
      <c r="A59" s="1" t="s">
        <v>46</v>
      </c>
      <c r="C59" s="17"/>
      <c r="D59" s="17">
        <v>-16.385000000000002</v>
      </c>
      <c r="E59" s="17">
        <v>1384.11</v>
      </c>
      <c r="F59" s="17">
        <v>0</v>
      </c>
      <c r="G59" s="17">
        <v>0</v>
      </c>
    </row>
    <row r="60" spans="1:7" x14ac:dyDescent="0.35">
      <c r="A60" s="3" t="s">
        <v>9</v>
      </c>
      <c r="C60" s="32">
        <v>233571.31852000003</v>
      </c>
      <c r="D60" s="32">
        <f>SUM(D57:D59)</f>
        <v>233917.32953999995</v>
      </c>
      <c r="E60" s="32">
        <f>SUM(E57:E59)</f>
        <v>234687.25727999993</v>
      </c>
      <c r="F60" s="32">
        <f>SUM(F57:F59)</f>
        <v>236557.52246999994</v>
      </c>
      <c r="G60" s="32">
        <f>SUM(G57:G59)</f>
        <v>237993.08646999995</v>
      </c>
    </row>
    <row r="61" spans="1:7" x14ac:dyDescent="0.35">
      <c r="C61" s="17"/>
      <c r="D61" s="17"/>
      <c r="E61" s="17"/>
      <c r="F61" s="17"/>
      <c r="G61" s="17"/>
    </row>
    <row r="62" spans="1:7" x14ac:dyDescent="0.35">
      <c r="A62" s="3" t="s">
        <v>23</v>
      </c>
      <c r="C62" s="17">
        <f>C64-C63</f>
        <v>225336.60061000002</v>
      </c>
      <c r="D62" s="17">
        <v>225191.01516999997</v>
      </c>
      <c r="E62" s="17">
        <f>D64</f>
        <v>235303.10198999997</v>
      </c>
      <c r="F62" s="17">
        <f>E64</f>
        <v>247474.98016999997</v>
      </c>
      <c r="G62" s="17">
        <f>F64</f>
        <v>258061.92176999996</v>
      </c>
    </row>
    <row r="63" spans="1:7" x14ac:dyDescent="0.35">
      <c r="A63" s="1" t="s">
        <v>31</v>
      </c>
      <c r="C63" s="17">
        <f>SUM(C52:C53,C59)</f>
        <v>29011</v>
      </c>
      <c r="D63" s="17">
        <f>SUM(D52:D53,D59)</f>
        <v>10112.08682</v>
      </c>
      <c r="E63" s="17">
        <f>SUM(E52:E53,E59)</f>
        <v>12171.878180000002</v>
      </c>
      <c r="F63" s="17">
        <f>SUM(F52:F53,F59)</f>
        <v>10586.9416</v>
      </c>
      <c r="G63" s="17">
        <f>SUM(G52:G53,G59)</f>
        <v>6446.7737399999996</v>
      </c>
    </row>
    <row r="64" spans="1:7" x14ac:dyDescent="0.35">
      <c r="A64" s="3" t="s">
        <v>24</v>
      </c>
      <c r="B64" s="11"/>
      <c r="C64" s="17">
        <v>254347.60061000002</v>
      </c>
      <c r="D64" s="17">
        <f>SUM(D62:D63)</f>
        <v>235303.10198999997</v>
      </c>
      <c r="E64" s="17">
        <f>SUM(E62:E63)</f>
        <v>247474.98016999997</v>
      </c>
      <c r="F64" s="17">
        <f>SUM(F62:F63)</f>
        <v>258061.92176999996</v>
      </c>
      <c r="G64" s="17">
        <f>SUM(G62:G63)</f>
        <v>264508.69550999993</v>
      </c>
    </row>
    <row r="103" spans="4:7" x14ac:dyDescent="0.35">
      <c r="D103" s="17"/>
      <c r="E103" s="17"/>
      <c r="F103" s="17"/>
      <c r="G103" s="17"/>
    </row>
    <row r="104" spans="4:7" x14ac:dyDescent="0.35">
      <c r="D104" s="17"/>
      <c r="E104" s="17"/>
      <c r="F104" s="17"/>
      <c r="G104" s="17"/>
    </row>
    <row r="105" spans="4:7" x14ac:dyDescent="0.35">
      <c r="D105" s="17"/>
      <c r="E105" s="17"/>
      <c r="F105" s="17"/>
      <c r="G105" s="17"/>
    </row>
    <row r="106" spans="4:7" x14ac:dyDescent="0.35">
      <c r="D106" s="17"/>
      <c r="E106" s="17"/>
      <c r="F106" s="17"/>
      <c r="G106" s="17"/>
    </row>
    <row r="107" spans="4:7" x14ac:dyDescent="0.35">
      <c r="D107" s="17"/>
      <c r="E107" s="17"/>
      <c r="F107" s="17"/>
      <c r="G107" s="17"/>
    </row>
    <row r="108" spans="4:7" x14ac:dyDescent="0.35">
      <c r="D108" s="17"/>
      <c r="E108" s="17"/>
      <c r="F108" s="17"/>
      <c r="G108" s="17"/>
    </row>
    <row r="109" spans="4:7" x14ac:dyDescent="0.35">
      <c r="D109" s="17"/>
      <c r="E109" s="17"/>
      <c r="F109" s="17"/>
      <c r="G109" s="17"/>
    </row>
    <row r="110" spans="4:7" x14ac:dyDescent="0.35">
      <c r="D110" s="17"/>
      <c r="E110" s="17"/>
      <c r="F110" s="17"/>
      <c r="G110" s="17"/>
    </row>
    <row r="111" spans="4:7" x14ac:dyDescent="0.35">
      <c r="D111" s="17"/>
      <c r="E111" s="17"/>
      <c r="F111" s="17"/>
      <c r="G111" s="17"/>
    </row>
    <row r="112" spans="4:7" x14ac:dyDescent="0.35">
      <c r="D112" s="17"/>
      <c r="E112" s="17"/>
      <c r="F112" s="17"/>
      <c r="G112" s="17"/>
    </row>
    <row r="113" spans="4:7" x14ac:dyDescent="0.35">
      <c r="D113" s="17"/>
      <c r="E113" s="17"/>
      <c r="F113" s="17"/>
      <c r="G113" s="17"/>
    </row>
    <row r="114" spans="4:7" x14ac:dyDescent="0.35">
      <c r="D114" s="17"/>
      <c r="E114" s="17"/>
      <c r="F114" s="17"/>
      <c r="G114" s="17"/>
    </row>
    <row r="115" spans="4:7" x14ac:dyDescent="0.35">
      <c r="D115" s="17"/>
      <c r="E115" s="17"/>
      <c r="F115" s="17"/>
      <c r="G115" s="17"/>
    </row>
    <row r="116" spans="4:7" x14ac:dyDescent="0.35">
      <c r="D116" s="17"/>
      <c r="E116" s="17"/>
      <c r="F116" s="17"/>
      <c r="G116" s="17"/>
    </row>
    <row r="117" spans="4:7" x14ac:dyDescent="0.35">
      <c r="D117" s="17"/>
      <c r="E117" s="17"/>
      <c r="F117" s="17"/>
      <c r="G117" s="17"/>
    </row>
    <row r="118" spans="4:7" x14ac:dyDescent="0.35">
      <c r="D118" s="17"/>
      <c r="E118" s="17"/>
      <c r="F118" s="17"/>
      <c r="G118" s="17"/>
    </row>
    <row r="119" spans="4:7" x14ac:dyDescent="0.35">
      <c r="D119" s="17"/>
      <c r="E119" s="17"/>
      <c r="F119" s="17"/>
      <c r="G119" s="17"/>
    </row>
    <row r="120" spans="4:7" x14ac:dyDescent="0.35">
      <c r="D120" s="17"/>
      <c r="E120" s="17"/>
      <c r="F120" s="17"/>
      <c r="G120" s="17"/>
    </row>
    <row r="121" spans="4:7" x14ac:dyDescent="0.35">
      <c r="D121" s="17"/>
      <c r="E121" s="17"/>
      <c r="F121" s="17"/>
      <c r="G121" s="17"/>
    </row>
    <row r="122" spans="4:7" x14ac:dyDescent="0.35">
      <c r="D122" s="17"/>
      <c r="E122" s="17"/>
      <c r="F122" s="17"/>
      <c r="G122" s="17"/>
    </row>
    <row r="123" spans="4:7" x14ac:dyDescent="0.35">
      <c r="D123" s="17"/>
      <c r="E123" s="17"/>
      <c r="F123" s="17"/>
      <c r="G123" s="17"/>
    </row>
    <row r="124" spans="4:7" x14ac:dyDescent="0.35">
      <c r="D124" s="17"/>
      <c r="E124" s="17"/>
      <c r="F124" s="17"/>
      <c r="G124" s="17"/>
    </row>
    <row r="125" spans="4:7" x14ac:dyDescent="0.35">
      <c r="D125" s="17"/>
      <c r="E125" s="17"/>
      <c r="F125" s="17"/>
      <c r="G125" s="17"/>
    </row>
    <row r="126" spans="4:7" x14ac:dyDescent="0.35">
      <c r="D126" s="17"/>
      <c r="E126" s="17"/>
      <c r="F126" s="17"/>
      <c r="G126" s="17"/>
    </row>
    <row r="127" spans="4:7" x14ac:dyDescent="0.35">
      <c r="D127" s="17"/>
      <c r="E127" s="17"/>
      <c r="F127" s="17"/>
      <c r="G127" s="17"/>
    </row>
    <row r="128" spans="4:7" x14ac:dyDescent="0.35">
      <c r="D128" s="17"/>
      <c r="E128" s="17"/>
      <c r="F128" s="17"/>
      <c r="G128" s="17"/>
    </row>
    <row r="129" spans="4:7" x14ac:dyDescent="0.35">
      <c r="D129" s="17"/>
      <c r="E129" s="17"/>
      <c r="F129" s="17"/>
      <c r="G129" s="17"/>
    </row>
    <row r="130" spans="4:7" x14ac:dyDescent="0.35">
      <c r="D130" s="17"/>
      <c r="E130" s="17"/>
      <c r="F130" s="17"/>
      <c r="G130" s="17"/>
    </row>
    <row r="131" spans="4:7" x14ac:dyDescent="0.35">
      <c r="D131" s="17"/>
      <c r="E131" s="17"/>
      <c r="F131" s="17"/>
      <c r="G131" s="17"/>
    </row>
    <row r="132" spans="4:7" x14ac:dyDescent="0.35">
      <c r="D132" s="17"/>
      <c r="E132" s="17"/>
      <c r="F132" s="17"/>
      <c r="G132" s="17"/>
    </row>
    <row r="133" spans="4:7" x14ac:dyDescent="0.35">
      <c r="D133" s="17"/>
      <c r="E133" s="17"/>
      <c r="F133" s="17"/>
      <c r="G133" s="17"/>
    </row>
    <row r="134" spans="4:7" x14ac:dyDescent="0.35">
      <c r="D134" s="17"/>
      <c r="E134" s="17"/>
      <c r="F134" s="17"/>
      <c r="G134" s="17"/>
    </row>
    <row r="135" spans="4:7" x14ac:dyDescent="0.35">
      <c r="D135" s="17"/>
      <c r="E135" s="17"/>
      <c r="F135" s="17"/>
      <c r="G135" s="17"/>
    </row>
    <row r="136" spans="4:7" x14ac:dyDescent="0.35">
      <c r="D136" s="17"/>
      <c r="E136" s="17"/>
      <c r="F136" s="17"/>
      <c r="G136" s="17"/>
    </row>
    <row r="137" spans="4:7" x14ac:dyDescent="0.35">
      <c r="D137" s="17"/>
      <c r="E137" s="17"/>
      <c r="F137" s="17"/>
      <c r="G137" s="17"/>
    </row>
    <row r="138" spans="4:7" x14ac:dyDescent="0.35">
      <c r="D138" s="17"/>
      <c r="E138" s="17"/>
      <c r="F138" s="17"/>
      <c r="G138" s="17"/>
    </row>
    <row r="139" spans="4:7" x14ac:dyDescent="0.35">
      <c r="D139" s="17"/>
      <c r="E139" s="17"/>
      <c r="F139" s="17"/>
      <c r="G139" s="17"/>
    </row>
  </sheetData>
  <mergeCells count="1"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6D5A-20A5-46C7-A391-0913D4E2C5D5}">
  <dimension ref="A1:H221"/>
  <sheetViews>
    <sheetView showGridLines="0" view="pageBreakPreview" zoomScaleNormal="100" zoomScaleSheetLayoutView="100" workbookViewId="0">
      <pane ySplit="5" topLeftCell="A6" activePane="bottomLeft" state="frozen"/>
      <selection activeCell="A19" sqref="A19"/>
      <selection pane="bottomLeft" activeCell="B11" sqref="B11"/>
    </sheetView>
  </sheetViews>
  <sheetFormatPr defaultRowHeight="14.5" x14ac:dyDescent="0.35"/>
  <cols>
    <col min="2" max="2" width="44.26953125" customWidth="1"/>
    <col min="3" max="3" width="3.26953125" customWidth="1"/>
    <col min="4" max="5" width="13.90625" customWidth="1"/>
    <col min="6" max="6" width="15" bestFit="1" customWidth="1"/>
    <col min="7" max="7" width="13.90625" customWidth="1"/>
    <col min="8" max="8" width="5.1796875" customWidth="1"/>
  </cols>
  <sheetData>
    <row r="1" spans="1:8" x14ac:dyDescent="0.35">
      <c r="B1" s="24" t="str">
        <f>'5.1'!A1</f>
        <v>YEC 2023/24 GRA COMPLIANCE FILING</v>
      </c>
      <c r="C1" s="35"/>
      <c r="D1" s="35"/>
      <c r="E1" s="35"/>
      <c r="F1" s="35"/>
      <c r="G1" s="36" t="s">
        <v>249</v>
      </c>
    </row>
    <row r="2" spans="1:8" x14ac:dyDescent="0.35">
      <c r="B2" s="24" t="s">
        <v>176</v>
      </c>
      <c r="C2" s="24"/>
      <c r="D2" s="24"/>
      <c r="E2" s="24"/>
      <c r="F2" s="37"/>
      <c r="G2" s="38" t="str">
        <f>'5.1'!$G$2</f>
        <v>August 5, 2024</v>
      </c>
    </row>
    <row r="3" spans="1:8" x14ac:dyDescent="0.35">
      <c r="B3" s="56" t="s">
        <v>15</v>
      </c>
      <c r="C3" s="56"/>
      <c r="D3" s="56"/>
      <c r="E3" s="56"/>
      <c r="F3" s="56"/>
      <c r="G3" s="56"/>
    </row>
    <row r="4" spans="1:8" x14ac:dyDescent="0.35">
      <c r="B4" s="24"/>
      <c r="C4" s="24"/>
    </row>
    <row r="5" spans="1:8" s="24" customFormat="1" ht="29" x14ac:dyDescent="0.35">
      <c r="B5" s="25" t="s">
        <v>48</v>
      </c>
      <c r="C5" s="25"/>
      <c r="D5" s="26" t="s">
        <v>49</v>
      </c>
      <c r="E5" s="26" t="s">
        <v>50</v>
      </c>
      <c r="F5" s="26" t="s">
        <v>51</v>
      </c>
      <c r="G5" s="26" t="s">
        <v>52</v>
      </c>
      <c r="H5" s="27"/>
    </row>
    <row r="6" spans="1:8" s="24" customFormat="1" x14ac:dyDescent="0.35">
      <c r="D6" s="27"/>
      <c r="E6" s="27"/>
      <c r="F6" s="27"/>
      <c r="G6" s="27"/>
      <c r="H6" s="27"/>
    </row>
    <row r="7" spans="1:8" s="24" customFormat="1" x14ac:dyDescent="0.35">
      <c r="B7" s="24" t="s">
        <v>86</v>
      </c>
      <c r="D7" s="28"/>
      <c r="E7" s="28"/>
      <c r="F7" s="28"/>
      <c r="G7" s="28"/>
      <c r="H7" s="28"/>
    </row>
    <row r="8" spans="1:8" s="24" customFormat="1" x14ac:dyDescent="0.35">
      <c r="B8" s="24" t="s">
        <v>29</v>
      </c>
      <c r="D8" s="28"/>
      <c r="E8" s="28"/>
      <c r="F8" s="28"/>
      <c r="G8" s="28"/>
      <c r="H8" s="28"/>
    </row>
    <row r="9" spans="1:8" x14ac:dyDescent="0.35">
      <c r="B9" s="48" t="s">
        <v>140</v>
      </c>
      <c r="D9" s="43">
        <f>2051568.63/1000</f>
        <v>2051.5686299999998</v>
      </c>
      <c r="E9" s="43">
        <v>20.523</v>
      </c>
      <c r="F9" s="43"/>
      <c r="G9" s="43">
        <f t="shared" ref="G9:G18" si="0">SUM(D9:F9)</f>
        <v>2072.0916299999999</v>
      </c>
      <c r="H9" s="30"/>
    </row>
    <row r="10" spans="1:8" x14ac:dyDescent="0.35">
      <c r="B10" s="48" t="s">
        <v>141</v>
      </c>
      <c r="D10" s="43"/>
      <c r="E10" s="43">
        <v>300</v>
      </c>
      <c r="F10" s="43"/>
      <c r="G10" s="43">
        <f t="shared" si="0"/>
        <v>300</v>
      </c>
      <c r="H10" s="30"/>
    </row>
    <row r="11" spans="1:8" x14ac:dyDescent="0.35">
      <c r="B11" s="48" t="s">
        <v>142</v>
      </c>
      <c r="D11" s="43">
        <f>3910257.28/1000</f>
        <v>3910.2572799999998</v>
      </c>
      <c r="E11" s="43">
        <v>8357</v>
      </c>
      <c r="F11" s="43">
        <f>-(E11+D11)</f>
        <v>-12267.25728</v>
      </c>
      <c r="G11" s="43">
        <f t="shared" si="0"/>
        <v>0</v>
      </c>
      <c r="H11" s="30"/>
    </row>
    <row r="12" spans="1:8" x14ac:dyDescent="0.35">
      <c r="B12" s="48" t="s">
        <v>158</v>
      </c>
      <c r="D12" s="43"/>
      <c r="E12" s="43">
        <f>-E80</f>
        <v>259.07137999999998</v>
      </c>
      <c r="F12" s="43">
        <f>-(E12+D12)</f>
        <v>-259.07137999999998</v>
      </c>
      <c r="G12" s="43">
        <f t="shared" si="0"/>
        <v>0</v>
      </c>
      <c r="H12" s="30"/>
    </row>
    <row r="13" spans="1:8" x14ac:dyDescent="0.35">
      <c r="A13" s="46"/>
      <c r="B13" s="48" t="s">
        <v>143</v>
      </c>
      <c r="D13" s="43">
        <f>384747.14/1000</f>
        <v>384.74714</v>
      </c>
      <c r="E13" s="43">
        <v>1015</v>
      </c>
      <c r="F13" s="43">
        <f>-(E13+D13)</f>
        <v>-1399.7471399999999</v>
      </c>
      <c r="G13" s="43">
        <f t="shared" si="0"/>
        <v>0</v>
      </c>
      <c r="H13" s="30"/>
    </row>
    <row r="14" spans="1:8" x14ac:dyDescent="0.35">
      <c r="A14" s="46"/>
      <c r="B14" s="48" t="s">
        <v>156</v>
      </c>
      <c r="D14" s="43">
        <f>1061542.28/1000</f>
        <v>1061.5422800000001</v>
      </c>
      <c r="E14" s="43">
        <v>25000</v>
      </c>
      <c r="F14" s="43"/>
      <c r="G14" s="43">
        <f t="shared" si="0"/>
        <v>26061.542280000001</v>
      </c>
      <c r="H14" s="30"/>
    </row>
    <row r="15" spans="1:8" x14ac:dyDescent="0.35">
      <c r="A15" s="46"/>
      <c r="B15" s="48" t="s">
        <v>151</v>
      </c>
      <c r="D15" s="43"/>
      <c r="E15" s="43">
        <v>1500</v>
      </c>
      <c r="F15" s="43"/>
      <c r="G15" s="43">
        <f t="shared" si="0"/>
        <v>1500</v>
      </c>
      <c r="H15" s="30"/>
    </row>
    <row r="16" spans="1:8" x14ac:dyDescent="0.35">
      <c r="A16" s="46"/>
      <c r="B16" s="48" t="s">
        <v>103</v>
      </c>
      <c r="D16" s="43">
        <f>250000/1000</f>
        <v>250</v>
      </c>
      <c r="E16" s="43">
        <v>395</v>
      </c>
      <c r="F16" s="43"/>
      <c r="G16" s="43">
        <f t="shared" si="0"/>
        <v>645</v>
      </c>
      <c r="H16" s="30"/>
    </row>
    <row r="17" spans="1:8" x14ac:dyDescent="0.35">
      <c r="A17" s="46"/>
      <c r="B17" s="48" t="s">
        <v>152</v>
      </c>
      <c r="D17" s="43"/>
      <c r="E17" s="43">
        <v>200</v>
      </c>
      <c r="F17" s="43"/>
      <c r="G17" s="43">
        <f t="shared" si="0"/>
        <v>200</v>
      </c>
      <c r="H17" s="30"/>
    </row>
    <row r="18" spans="1:8" x14ac:dyDescent="0.35">
      <c r="A18" s="46"/>
      <c r="B18" s="48" t="s">
        <v>154</v>
      </c>
      <c r="D18" s="43"/>
      <c r="E18" s="43">
        <v>200</v>
      </c>
      <c r="F18" s="43"/>
      <c r="G18" s="43">
        <f t="shared" si="0"/>
        <v>200</v>
      </c>
      <c r="H18" s="30"/>
    </row>
    <row r="19" spans="1:8" x14ac:dyDescent="0.35">
      <c r="B19" s="24" t="s">
        <v>26</v>
      </c>
      <c r="D19" s="43"/>
      <c r="E19" s="43"/>
      <c r="F19" s="43"/>
      <c r="G19" s="43"/>
      <c r="H19" s="30"/>
    </row>
    <row r="20" spans="1:8" x14ac:dyDescent="0.35">
      <c r="B20" s="48" t="s">
        <v>155</v>
      </c>
      <c r="D20" s="43"/>
      <c r="E20" s="43">
        <v>3000</v>
      </c>
      <c r="F20" s="43"/>
      <c r="G20" s="43">
        <f>SUM(D20:F20)</f>
        <v>3000</v>
      </c>
      <c r="H20" s="30"/>
    </row>
    <row r="21" spans="1:8" x14ac:dyDescent="0.35">
      <c r="B21" s="48" t="s">
        <v>153</v>
      </c>
      <c r="D21" s="43"/>
      <c r="E21" s="43">
        <v>175</v>
      </c>
      <c r="F21" s="43"/>
      <c r="G21" s="43">
        <f>SUM(D21:F21)</f>
        <v>175</v>
      </c>
      <c r="H21" s="30"/>
    </row>
    <row r="22" spans="1:8" x14ac:dyDescent="0.35">
      <c r="B22" s="48" t="s">
        <v>157</v>
      </c>
      <c r="D22" s="43"/>
      <c r="E22" s="43">
        <v>12132</v>
      </c>
      <c r="F22" s="43">
        <f>-(E22+D22)</f>
        <v>-12132</v>
      </c>
      <c r="G22" s="43">
        <f>SUM(D22:F22)</f>
        <v>0</v>
      </c>
      <c r="H22" s="30"/>
    </row>
    <row r="23" spans="1:8" x14ac:dyDescent="0.35">
      <c r="B23" s="24" t="s">
        <v>27</v>
      </c>
      <c r="D23" s="43"/>
      <c r="E23" s="43"/>
      <c r="F23" s="43"/>
      <c r="G23" s="43"/>
      <c r="H23" s="30"/>
    </row>
    <row r="24" spans="1:8" x14ac:dyDescent="0.35">
      <c r="B24" s="48" t="s">
        <v>150</v>
      </c>
      <c r="D24" s="43">
        <f>110080.48/1000</f>
        <v>110.08047999999999</v>
      </c>
      <c r="E24" s="43">
        <v>300</v>
      </c>
      <c r="F24" s="43"/>
      <c r="G24" s="43">
        <f>SUM(D24:F24)</f>
        <v>410.08047999999997</v>
      </c>
      <c r="H24" s="30"/>
    </row>
    <row r="25" spans="1:8" x14ac:dyDescent="0.35">
      <c r="B25" s="24" t="s">
        <v>58</v>
      </c>
      <c r="D25" s="43"/>
      <c r="E25" s="43"/>
      <c r="F25" s="43"/>
      <c r="G25" s="43"/>
      <c r="H25" s="30"/>
    </row>
    <row r="26" spans="1:8" x14ac:dyDescent="0.35">
      <c r="A26" s="46" t="s">
        <v>72</v>
      </c>
      <c r="B26" s="48" t="s">
        <v>69</v>
      </c>
      <c r="D26" s="43">
        <f>3348228.8/1000</f>
        <v>3348.2287999999999</v>
      </c>
      <c r="E26" s="43">
        <v>1196</v>
      </c>
      <c r="F26" s="43"/>
      <c r="G26" s="43">
        <f>SUM(D26:F26)</f>
        <v>4544.2287999999999</v>
      </c>
      <c r="H26" s="30"/>
    </row>
    <row r="27" spans="1:8" ht="4" customHeight="1" x14ac:dyDescent="0.35">
      <c r="B27" s="48"/>
      <c r="D27" s="43"/>
      <c r="E27" s="43"/>
      <c r="F27" s="43"/>
      <c r="G27" s="43"/>
      <c r="H27" s="30"/>
    </row>
    <row r="28" spans="1:8" x14ac:dyDescent="0.35">
      <c r="B28" s="24" t="s">
        <v>61</v>
      </c>
      <c r="C28" s="24"/>
      <c r="D28" s="47">
        <f>SUBTOTAL(9,D9:D27)</f>
        <v>11116.42461</v>
      </c>
      <c r="E28" s="47">
        <f>SUBTOTAL(9,E9:E27)</f>
        <v>54049.594379999995</v>
      </c>
      <c r="F28" s="47">
        <f>SUBTOTAL(9,F9:F27)</f>
        <v>-26058.075799999999</v>
      </c>
      <c r="G28" s="47">
        <f>SUBTOTAL(9,G9:G27)</f>
        <v>39107.943189999998</v>
      </c>
      <c r="H28" s="30"/>
    </row>
    <row r="29" spans="1:8" ht="9.5" customHeight="1" x14ac:dyDescent="0.35">
      <c r="D29" s="43"/>
      <c r="E29" s="43"/>
      <c r="F29" s="43"/>
      <c r="G29" s="43"/>
      <c r="H29" s="30"/>
    </row>
    <row r="30" spans="1:8" s="24" customFormat="1" x14ac:dyDescent="0.35">
      <c r="B30" s="24" t="s">
        <v>87</v>
      </c>
      <c r="D30" s="47"/>
      <c r="E30" s="47"/>
      <c r="F30" s="47"/>
      <c r="G30" s="47"/>
      <c r="H30" s="31"/>
    </row>
    <row r="31" spans="1:8" s="24" customFormat="1" x14ac:dyDescent="0.35">
      <c r="B31" s="24" t="s">
        <v>56</v>
      </c>
      <c r="D31" s="47"/>
      <c r="E31" s="47"/>
      <c r="F31" s="47"/>
      <c r="G31" s="47"/>
      <c r="H31" s="31"/>
    </row>
    <row r="32" spans="1:8" x14ac:dyDescent="0.35">
      <c r="A32" s="46" t="s">
        <v>73</v>
      </c>
      <c r="B32" s="48" t="s">
        <v>170</v>
      </c>
      <c r="D32" s="43">
        <f>1395229.89/1000</f>
        <v>1395.2298899999998</v>
      </c>
      <c r="E32" s="43">
        <v>5000</v>
      </c>
      <c r="F32" s="43"/>
      <c r="G32" s="43">
        <f>SUM(D32:F32)</f>
        <v>6395.2298899999996</v>
      </c>
      <c r="H32" s="30"/>
    </row>
    <row r="33" spans="2:8" x14ac:dyDescent="0.35">
      <c r="B33" s="48" t="s">
        <v>171</v>
      </c>
      <c r="D33" s="43">
        <f>8178966.06/1000</f>
        <v>8178.9660599999997</v>
      </c>
      <c r="E33" s="43">
        <v>1200</v>
      </c>
      <c r="F33" s="43"/>
      <c r="G33" s="43">
        <f>SUM(D33:F33)</f>
        <v>9378.9660599999988</v>
      </c>
      <c r="H33" s="30"/>
    </row>
    <row r="34" spans="2:8" x14ac:dyDescent="0.35">
      <c r="B34" s="24" t="s">
        <v>57</v>
      </c>
      <c r="D34" s="43"/>
      <c r="E34" s="43"/>
      <c r="F34" s="43"/>
      <c r="G34" s="43"/>
      <c r="H34" s="30"/>
    </row>
    <row r="35" spans="2:8" x14ac:dyDescent="0.35">
      <c r="B35" s="48" t="s">
        <v>121</v>
      </c>
      <c r="D35" s="43">
        <f>4095757.65/1000</f>
        <v>4095.75765</v>
      </c>
      <c r="E35" s="43">
        <v>525</v>
      </c>
      <c r="F35" s="43"/>
      <c r="G35" s="43">
        <f>SUM(D35:F35)</f>
        <v>4620.7576499999996</v>
      </c>
      <c r="H35" s="30"/>
    </row>
    <row r="36" spans="2:8" x14ac:dyDescent="0.35">
      <c r="B36" s="48" t="s">
        <v>160</v>
      </c>
      <c r="D36" s="43">
        <f>6957953.59/1000</f>
        <v>6957.9535900000001</v>
      </c>
      <c r="E36" s="43">
        <v>960</v>
      </c>
      <c r="F36" s="43"/>
      <c r="G36" s="43">
        <f>SUM(D36:F36)</f>
        <v>7917.9535900000001</v>
      </c>
      <c r="H36" s="30"/>
    </row>
    <row r="37" spans="2:8" x14ac:dyDescent="0.35">
      <c r="B37" s="48" t="s">
        <v>124</v>
      </c>
      <c r="D37" s="43"/>
      <c r="E37" s="43">
        <v>260</v>
      </c>
      <c r="F37" s="43"/>
      <c r="G37" s="43">
        <f>SUM(D37:F37)</f>
        <v>260</v>
      </c>
      <c r="H37" s="30"/>
    </row>
    <row r="38" spans="2:8" x14ac:dyDescent="0.35">
      <c r="B38" s="24" t="s">
        <v>45</v>
      </c>
      <c r="D38" s="43"/>
      <c r="E38" s="43"/>
      <c r="F38" s="43"/>
      <c r="G38" s="43"/>
      <c r="H38" s="30"/>
    </row>
    <row r="39" spans="2:8" x14ac:dyDescent="0.35">
      <c r="B39" s="48" t="s">
        <v>126</v>
      </c>
      <c r="D39" s="43">
        <f>201742.82/1000</f>
        <v>201.74281999999999</v>
      </c>
      <c r="E39" s="43">
        <v>315</v>
      </c>
      <c r="F39" s="43"/>
      <c r="G39" s="43">
        <f>SUM(D39:F39)</f>
        <v>516.74281999999994</v>
      </c>
      <c r="H39" s="30"/>
    </row>
    <row r="40" spans="2:8" x14ac:dyDescent="0.35">
      <c r="B40" s="48" t="s">
        <v>172</v>
      </c>
      <c r="D40" s="43"/>
      <c r="E40" s="43">
        <v>120</v>
      </c>
      <c r="F40" s="43">
        <f>-(E40+D40)</f>
        <v>-120</v>
      </c>
      <c r="G40" s="43">
        <f>SUM(D40:F40)</f>
        <v>0</v>
      </c>
      <c r="H40" s="30"/>
    </row>
    <row r="41" spans="2:8" x14ac:dyDescent="0.35">
      <c r="B41" s="24" t="s">
        <v>61</v>
      </c>
      <c r="C41" s="24"/>
      <c r="D41" s="47">
        <f>SUBTOTAL(9,D32:D40)</f>
        <v>20829.650009999998</v>
      </c>
      <c r="E41" s="47">
        <f>SUBTOTAL(9,E32:E40)</f>
        <v>8380</v>
      </c>
      <c r="F41" s="47">
        <f>SUBTOTAL(9,F32:F40)</f>
        <v>-120</v>
      </c>
      <c r="G41" s="47">
        <f>SUBTOTAL(9,G32:G40)</f>
        <v>29089.650009999998</v>
      </c>
      <c r="H41" s="30"/>
    </row>
    <row r="42" spans="2:8" ht="7.5" customHeight="1" x14ac:dyDescent="0.35">
      <c r="D42" s="43"/>
      <c r="E42" s="43"/>
      <c r="F42" s="43"/>
      <c r="G42" s="43"/>
      <c r="H42" s="30"/>
    </row>
    <row r="43" spans="2:8" s="24" customFormat="1" x14ac:dyDescent="0.35">
      <c r="B43" s="24" t="s">
        <v>88</v>
      </c>
      <c r="D43" s="47"/>
      <c r="E43" s="47"/>
      <c r="F43" s="47"/>
      <c r="G43" s="47"/>
      <c r="H43" s="31"/>
    </row>
    <row r="44" spans="2:8" x14ac:dyDescent="0.35">
      <c r="B44" s="48" t="s">
        <v>70</v>
      </c>
      <c r="D44" s="43">
        <f>3781552.39/1000</f>
        <v>3781.5523900000003</v>
      </c>
      <c r="E44" s="43">
        <v>875</v>
      </c>
      <c r="F44" s="43">
        <f>-(E44+D44)</f>
        <v>-4656.5523900000007</v>
      </c>
      <c r="G44" s="43">
        <f>SUM(D44:F44)</f>
        <v>0</v>
      </c>
      <c r="H44" s="30"/>
    </row>
    <row r="45" spans="2:8" x14ac:dyDescent="0.35">
      <c r="B45" s="24" t="s">
        <v>61</v>
      </c>
      <c r="C45" s="24"/>
      <c r="D45" s="47">
        <f>SUBTOTAL(9,D44:D44)</f>
        <v>3781.5523900000003</v>
      </c>
      <c r="E45" s="47">
        <f>SUBTOTAL(9,E44:E44)</f>
        <v>875</v>
      </c>
      <c r="F45" s="47">
        <f>SUBTOTAL(9,F44:F44)</f>
        <v>-4656.5523900000007</v>
      </c>
      <c r="G45" s="47">
        <f>SUBTOTAL(9,G44:G44)</f>
        <v>0</v>
      </c>
      <c r="H45" s="30"/>
    </row>
    <row r="46" spans="2:8" x14ac:dyDescent="0.35">
      <c r="D46" s="43"/>
      <c r="E46" s="43"/>
      <c r="F46" s="43"/>
      <c r="G46" s="43"/>
      <c r="H46" s="30"/>
    </row>
    <row r="47" spans="2:8" s="24" customFormat="1" x14ac:dyDescent="0.35">
      <c r="B47" s="24" t="s">
        <v>90</v>
      </c>
      <c r="D47" s="47"/>
      <c r="E47" s="47"/>
      <c r="F47" s="47"/>
      <c r="G47" s="47"/>
      <c r="H47" s="31"/>
    </row>
    <row r="48" spans="2:8" s="24" customFormat="1" ht="3.5" customHeight="1" x14ac:dyDescent="0.35">
      <c r="D48" s="47"/>
      <c r="E48" s="47"/>
      <c r="F48" s="47"/>
      <c r="G48" s="47"/>
      <c r="H48" s="31"/>
    </row>
    <row r="49" spans="2:8" s="24" customFormat="1" x14ac:dyDescent="0.35">
      <c r="B49" s="24" t="s">
        <v>29</v>
      </c>
      <c r="D49" s="47"/>
      <c r="E49" s="47"/>
      <c r="F49" s="47"/>
      <c r="G49" s="47"/>
      <c r="H49" s="31"/>
    </row>
    <row r="50" spans="2:8" x14ac:dyDescent="0.35">
      <c r="B50" s="48" t="s">
        <v>144</v>
      </c>
      <c r="D50" s="43"/>
      <c r="E50" s="43">
        <v>300</v>
      </c>
      <c r="F50" s="43">
        <f>-(E50+D50)</f>
        <v>-300</v>
      </c>
      <c r="G50" s="43">
        <f>SUM(D50:F50)</f>
        <v>0</v>
      </c>
      <c r="H50" s="30"/>
    </row>
    <row r="51" spans="2:8" x14ac:dyDescent="0.35">
      <c r="B51" s="48" t="s">
        <v>145</v>
      </c>
      <c r="D51" s="43"/>
      <c r="E51" s="43">
        <v>150</v>
      </c>
      <c r="F51" s="43"/>
      <c r="G51" s="43">
        <f>SUM(D51:F51)</f>
        <v>150</v>
      </c>
      <c r="H51" s="30"/>
    </row>
    <row r="52" spans="2:8" x14ac:dyDescent="0.35">
      <c r="B52" s="48" t="s">
        <v>62</v>
      </c>
      <c r="D52" s="43">
        <v>628.56272999999999</v>
      </c>
      <c r="E52" s="43">
        <v>25</v>
      </c>
      <c r="F52" s="43">
        <v>-25</v>
      </c>
      <c r="G52" s="43">
        <v>628.56272999999999</v>
      </c>
      <c r="H52" s="30"/>
    </row>
    <row r="53" spans="2:8" x14ac:dyDescent="0.35">
      <c r="B53" s="24" t="s">
        <v>61</v>
      </c>
      <c r="C53" s="24"/>
      <c r="D53" s="47">
        <f>SUBTOTAL(9,D50:D52)</f>
        <v>628.56272999999999</v>
      </c>
      <c r="E53" s="47">
        <f>SUBTOTAL(9,E50:E52)</f>
        <v>475</v>
      </c>
      <c r="F53" s="47">
        <f>SUBTOTAL(9,F50:F52)</f>
        <v>-325</v>
      </c>
      <c r="G53" s="47">
        <f>SUBTOTAL(9,G50:G52)</f>
        <v>778.56272999999999</v>
      </c>
    </row>
    <row r="54" spans="2:8" s="24" customFormat="1" ht="3.5" customHeight="1" x14ac:dyDescent="0.35">
      <c r="D54" s="47"/>
      <c r="E54" s="47"/>
      <c r="F54" s="47"/>
      <c r="G54" s="47"/>
      <c r="H54" s="31"/>
    </row>
    <row r="55" spans="2:8" s="24" customFormat="1" x14ac:dyDescent="0.35">
      <c r="B55" s="24" t="s">
        <v>26</v>
      </c>
      <c r="D55" s="47"/>
      <c r="E55" s="47"/>
      <c r="F55" s="47"/>
      <c r="G55" s="47"/>
      <c r="H55" s="31"/>
    </row>
    <row r="56" spans="2:8" x14ac:dyDescent="0.35">
      <c r="B56" s="48" t="s">
        <v>146</v>
      </c>
      <c r="D56" s="43">
        <f>103635.74/1000</f>
        <v>103.63574</v>
      </c>
      <c r="E56" s="43">
        <v>75</v>
      </c>
      <c r="F56" s="43"/>
      <c r="G56" s="43">
        <f>SUM(D56:F56)</f>
        <v>178.63574</v>
      </c>
      <c r="H56" s="30"/>
    </row>
    <row r="57" spans="2:8" x14ac:dyDescent="0.35">
      <c r="B57" s="48" t="s">
        <v>147</v>
      </c>
      <c r="D57" s="43"/>
      <c r="E57" s="43">
        <v>125</v>
      </c>
      <c r="F57" s="43">
        <f>-(E57+D57)</f>
        <v>-125</v>
      </c>
      <c r="G57" s="43">
        <f>SUM(D57:F57)</f>
        <v>0</v>
      </c>
      <c r="H57" s="30"/>
    </row>
    <row r="58" spans="2:8" x14ac:dyDescent="0.35">
      <c r="B58" s="48" t="s">
        <v>62</v>
      </c>
      <c r="D58" s="43">
        <v>24.057479999999998</v>
      </c>
      <c r="E58" s="43">
        <v>0</v>
      </c>
      <c r="F58" s="43">
        <v>-24.057479999999998</v>
      </c>
      <c r="G58" s="43">
        <v>0</v>
      </c>
      <c r="H58" s="30"/>
    </row>
    <row r="59" spans="2:8" x14ac:dyDescent="0.35">
      <c r="B59" s="24" t="s">
        <v>61</v>
      </c>
      <c r="C59" s="24"/>
      <c r="D59" s="47">
        <f>SUBTOTAL(9,D56:D58)</f>
        <v>127.69322</v>
      </c>
      <c r="E59" s="47">
        <f>SUBTOTAL(9,E56:E58)</f>
        <v>200</v>
      </c>
      <c r="F59" s="47">
        <f>SUBTOTAL(9,F56:F58)</f>
        <v>-149.05748</v>
      </c>
      <c r="G59" s="47">
        <f>SUBTOTAL(9,G56:G58)</f>
        <v>178.63574</v>
      </c>
      <c r="H59" s="30"/>
    </row>
    <row r="60" spans="2:8" s="24" customFormat="1" ht="3.5" customHeight="1" x14ac:dyDescent="0.35">
      <c r="D60" s="47"/>
      <c r="E60" s="47"/>
      <c r="F60" s="47"/>
      <c r="G60" s="47"/>
      <c r="H60" s="31"/>
    </row>
    <row r="61" spans="2:8" s="24" customFormat="1" x14ac:dyDescent="0.35">
      <c r="B61" s="24" t="s">
        <v>27</v>
      </c>
      <c r="D61" s="47"/>
      <c r="E61" s="47"/>
      <c r="F61" s="47"/>
      <c r="G61" s="47"/>
      <c r="H61" s="31"/>
    </row>
    <row r="62" spans="2:8" x14ac:dyDescent="0.35">
      <c r="B62" s="48" t="s">
        <v>173</v>
      </c>
      <c r="D62" s="43"/>
      <c r="E62" s="43">
        <v>600</v>
      </c>
      <c r="F62" s="43">
        <f>-E62</f>
        <v>-600</v>
      </c>
      <c r="G62" s="43">
        <f>SUM(D62:F62)</f>
        <v>0</v>
      </c>
      <c r="H62" s="30"/>
    </row>
    <row r="63" spans="2:8" x14ac:dyDescent="0.35">
      <c r="B63" s="48" t="s">
        <v>62</v>
      </c>
      <c r="D63" s="43">
        <v>0</v>
      </c>
      <c r="E63" s="43">
        <v>25</v>
      </c>
      <c r="F63" s="43">
        <v>-25</v>
      </c>
      <c r="G63" s="43">
        <v>0</v>
      </c>
      <c r="H63" s="30"/>
    </row>
    <row r="64" spans="2:8" s="24" customFormat="1" x14ac:dyDescent="0.35">
      <c r="B64" s="24" t="s">
        <v>61</v>
      </c>
      <c r="D64" s="47">
        <f>SUBTOTAL(9,D62:D63)</f>
        <v>0</v>
      </c>
      <c r="E64" s="47">
        <f>SUBTOTAL(9,E62:E63)</f>
        <v>625</v>
      </c>
      <c r="F64" s="47">
        <f>SUBTOTAL(9,F62:F63)</f>
        <v>-625</v>
      </c>
      <c r="G64" s="47">
        <f>SUBTOTAL(9,G62:G63)</f>
        <v>0</v>
      </c>
      <c r="H64" s="30"/>
    </row>
    <row r="65" spans="2:8" s="24" customFormat="1" ht="3.5" customHeight="1" x14ac:dyDescent="0.35">
      <c r="D65" s="47"/>
      <c r="E65" s="47"/>
      <c r="F65" s="47"/>
      <c r="G65" s="47"/>
      <c r="H65" s="31"/>
    </row>
    <row r="66" spans="2:8" s="24" customFormat="1" x14ac:dyDescent="0.35">
      <c r="B66" s="24" t="s">
        <v>58</v>
      </c>
      <c r="D66" s="47"/>
      <c r="E66" s="47"/>
      <c r="F66" s="47"/>
      <c r="G66" s="47"/>
      <c r="H66" s="31"/>
    </row>
    <row r="67" spans="2:8" x14ac:dyDescent="0.35">
      <c r="B67" s="48" t="s">
        <v>148</v>
      </c>
      <c r="D67" s="43"/>
      <c r="E67" s="43">
        <v>400</v>
      </c>
      <c r="F67" s="43">
        <f>-(E67+D67)</f>
        <v>-400</v>
      </c>
      <c r="G67" s="43">
        <f>SUM(D67:F67)</f>
        <v>0</v>
      </c>
      <c r="H67" s="30"/>
    </row>
    <row r="68" spans="2:8" x14ac:dyDescent="0.35">
      <c r="B68" s="48" t="s">
        <v>149</v>
      </c>
      <c r="D68" s="43"/>
      <c r="E68" s="43">
        <v>481.8</v>
      </c>
      <c r="F68" s="43"/>
      <c r="G68" s="43">
        <f>SUM(D68:F68)</f>
        <v>481.8</v>
      </c>
      <c r="H68" s="30"/>
    </row>
    <row r="69" spans="2:8" x14ac:dyDescent="0.35">
      <c r="B69" s="48" t="s">
        <v>62</v>
      </c>
      <c r="D69" s="43">
        <v>0</v>
      </c>
      <c r="E69" s="43">
        <v>741.8</v>
      </c>
      <c r="F69" s="43">
        <v>-716.8</v>
      </c>
      <c r="G69" s="43">
        <v>25</v>
      </c>
      <c r="H69" s="30"/>
    </row>
    <row r="70" spans="2:8" s="24" customFormat="1" x14ac:dyDescent="0.35">
      <c r="B70" s="24" t="s">
        <v>61</v>
      </c>
      <c r="D70" s="47">
        <f>SUBTOTAL(9,D67:D69)</f>
        <v>0</v>
      </c>
      <c r="E70" s="47">
        <f>SUBTOTAL(9,E67:E69)</f>
        <v>1623.6</v>
      </c>
      <c r="F70" s="47">
        <f>SUBTOTAL(9,F67:F69)</f>
        <v>-1116.8</v>
      </c>
      <c r="G70" s="47">
        <f>SUBTOTAL(9,G67:G69)</f>
        <v>506.8</v>
      </c>
      <c r="H70" s="31"/>
    </row>
    <row r="71" spans="2:8" s="24" customFormat="1" ht="8.5" customHeight="1" x14ac:dyDescent="0.35">
      <c r="D71" s="47"/>
      <c r="E71" s="47"/>
      <c r="F71" s="47"/>
      <c r="G71" s="47"/>
      <c r="H71" s="31"/>
    </row>
    <row r="72" spans="2:8" s="24" customFormat="1" x14ac:dyDescent="0.35">
      <c r="B72" s="24" t="s">
        <v>78</v>
      </c>
      <c r="D72" s="47"/>
      <c r="E72" s="47"/>
      <c r="F72" s="47"/>
      <c r="G72" s="47"/>
      <c r="H72" s="31"/>
    </row>
    <row r="73" spans="2:8" s="24" customFormat="1" x14ac:dyDescent="0.35">
      <c r="B73" s="48" t="s">
        <v>62</v>
      </c>
      <c r="C73"/>
      <c r="D73" s="43"/>
      <c r="E73" s="43">
        <f>120+60</f>
        <v>180</v>
      </c>
      <c r="F73" s="43">
        <f>-(E73+D73)</f>
        <v>-180</v>
      </c>
      <c r="G73" s="43">
        <f>SUM(D73:F73)</f>
        <v>0</v>
      </c>
      <c r="H73" s="31"/>
    </row>
    <row r="74" spans="2:8" s="24" customFormat="1" x14ac:dyDescent="0.35">
      <c r="B74" s="24" t="s">
        <v>61</v>
      </c>
      <c r="D74" s="47">
        <f>SUBTOTAL(9,D73:D73)</f>
        <v>0</v>
      </c>
      <c r="E74" s="47">
        <f>SUBTOTAL(9,E73:E73)</f>
        <v>180</v>
      </c>
      <c r="F74" s="47">
        <f>SUBTOTAL(9,F73:F73)</f>
        <v>-180</v>
      </c>
      <c r="G74" s="47">
        <f>SUBTOTAL(9,G73:G73)</f>
        <v>0</v>
      </c>
      <c r="H74" s="31"/>
    </row>
    <row r="75" spans="2:8" s="24" customFormat="1" x14ac:dyDescent="0.35">
      <c r="D75" s="47"/>
      <c r="E75" s="47"/>
      <c r="F75" s="47"/>
      <c r="G75" s="47"/>
      <c r="H75" s="31"/>
    </row>
    <row r="76" spans="2:8" s="24" customFormat="1" x14ac:dyDescent="0.35">
      <c r="B76" s="24" t="s">
        <v>93</v>
      </c>
      <c r="D76" s="47"/>
      <c r="E76" s="47"/>
      <c r="F76" s="47"/>
      <c r="G76" s="47"/>
      <c r="H76" s="31"/>
    </row>
    <row r="77" spans="2:8" x14ac:dyDescent="0.35">
      <c r="B77" s="48" t="s">
        <v>167</v>
      </c>
      <c r="D77" s="43"/>
      <c r="E77" s="43">
        <v>50</v>
      </c>
      <c r="F77" s="43">
        <f>-(E77+D77)</f>
        <v>-50</v>
      </c>
      <c r="G77" s="43">
        <f t="shared" ref="G77:G84" si="1">SUM(D77:F77)</f>
        <v>0</v>
      </c>
      <c r="H77" s="30"/>
    </row>
    <row r="78" spans="2:8" x14ac:dyDescent="0.35">
      <c r="B78" s="48" t="s">
        <v>168</v>
      </c>
      <c r="D78" s="43">
        <f>404874.89/1000</f>
        <v>404.87488999999999</v>
      </c>
      <c r="E78" s="43">
        <v>500</v>
      </c>
      <c r="F78" s="43"/>
      <c r="G78" s="43">
        <f t="shared" si="1"/>
        <v>904.87489000000005</v>
      </c>
      <c r="H78" s="30"/>
    </row>
    <row r="79" spans="2:8" x14ac:dyDescent="0.35">
      <c r="B79" s="48" t="s">
        <v>169</v>
      </c>
      <c r="D79" s="43"/>
      <c r="E79" s="43">
        <v>80</v>
      </c>
      <c r="F79" s="43">
        <f>-(E79+D79)</f>
        <v>-80</v>
      </c>
      <c r="G79" s="43">
        <f t="shared" si="1"/>
        <v>0</v>
      </c>
      <c r="H79" s="30"/>
    </row>
    <row r="80" spans="2:8" x14ac:dyDescent="0.35">
      <c r="B80" s="48" t="s">
        <v>158</v>
      </c>
      <c r="D80" s="43">
        <f>259071.38/1000</f>
        <v>259.07137999999998</v>
      </c>
      <c r="E80" s="43">
        <f>-D80</f>
        <v>-259.07137999999998</v>
      </c>
      <c r="F80" s="43">
        <f>-(E80+D80)</f>
        <v>0</v>
      </c>
      <c r="G80" s="43">
        <f t="shared" si="1"/>
        <v>0</v>
      </c>
      <c r="H80" s="30"/>
    </row>
    <row r="81" spans="2:8" x14ac:dyDescent="0.35">
      <c r="B81" s="48" t="s">
        <v>159</v>
      </c>
      <c r="D81" s="43"/>
      <c r="E81" s="43">
        <v>150</v>
      </c>
      <c r="F81" s="43">
        <f>-(E81+D81)</f>
        <v>-150</v>
      </c>
      <c r="G81" s="43">
        <f t="shared" si="1"/>
        <v>0</v>
      </c>
      <c r="H81" s="30"/>
    </row>
    <row r="82" spans="2:8" x14ac:dyDescent="0.35">
      <c r="B82" s="48" t="s">
        <v>164</v>
      </c>
      <c r="D82" s="43"/>
      <c r="E82" s="43">
        <v>50</v>
      </c>
      <c r="F82" s="43"/>
      <c r="G82" s="43">
        <f t="shared" si="1"/>
        <v>50</v>
      </c>
      <c r="H82" s="30"/>
    </row>
    <row r="83" spans="2:8" x14ac:dyDescent="0.35">
      <c r="B83" s="48" t="s">
        <v>165</v>
      </c>
      <c r="D83" s="43"/>
      <c r="E83" s="43">
        <v>200</v>
      </c>
      <c r="F83" s="43"/>
      <c r="G83" s="43">
        <f t="shared" si="1"/>
        <v>200</v>
      </c>
      <c r="H83" s="30"/>
    </row>
    <row r="84" spans="2:8" x14ac:dyDescent="0.35">
      <c r="B84" s="48" t="s">
        <v>166</v>
      </c>
      <c r="D84" s="43"/>
      <c r="E84" s="43">
        <v>200</v>
      </c>
      <c r="F84" s="43"/>
      <c r="G84" s="43">
        <f t="shared" si="1"/>
        <v>200</v>
      </c>
      <c r="H84" s="30"/>
    </row>
    <row r="85" spans="2:8" x14ac:dyDescent="0.35">
      <c r="B85" s="48" t="s">
        <v>62</v>
      </c>
      <c r="D85" s="43">
        <v>44.716999999999999</v>
      </c>
      <c r="E85" s="43">
        <v>95</v>
      </c>
      <c r="F85" s="43">
        <v>-95</v>
      </c>
      <c r="G85" s="43">
        <v>44.716999999999999</v>
      </c>
      <c r="H85" s="30"/>
    </row>
    <row r="86" spans="2:8" x14ac:dyDescent="0.35">
      <c r="B86" s="24" t="s">
        <v>61</v>
      </c>
      <c r="C86" s="24"/>
      <c r="D86" s="47">
        <f>SUBTOTAL(9,D77:D85)</f>
        <v>708.6632699999999</v>
      </c>
      <c r="E86" s="47">
        <f>SUBTOTAL(9,E77:E85)</f>
        <v>1065.9286200000001</v>
      </c>
      <c r="F86" s="47">
        <f>SUBTOTAL(9,F77:F85)</f>
        <v>-375</v>
      </c>
      <c r="G86" s="47">
        <f>SUBTOTAL(9,G77:G85)</f>
        <v>1399.5918900000001</v>
      </c>
      <c r="H86" s="30"/>
    </row>
    <row r="87" spans="2:8" ht="11" customHeight="1" x14ac:dyDescent="0.35">
      <c r="D87" s="43"/>
      <c r="E87" s="43"/>
      <c r="F87" s="43"/>
      <c r="G87" s="43"/>
      <c r="H87" s="30"/>
    </row>
    <row r="88" spans="2:8" x14ac:dyDescent="0.35">
      <c r="B88" s="24" t="s">
        <v>92</v>
      </c>
      <c r="C88" s="24"/>
      <c r="D88" s="43"/>
      <c r="E88" s="43"/>
      <c r="F88" s="43"/>
      <c r="G88" s="43"/>
      <c r="H88" s="30"/>
    </row>
    <row r="89" spans="2:8" x14ac:dyDescent="0.35">
      <c r="B89" s="48" t="s">
        <v>62</v>
      </c>
      <c r="D89" s="43">
        <v>65.76888000000001</v>
      </c>
      <c r="E89" s="43">
        <v>220</v>
      </c>
      <c r="F89" s="43">
        <v>-285.76888000000002</v>
      </c>
      <c r="G89" s="43">
        <v>0</v>
      </c>
      <c r="H89" s="30"/>
    </row>
    <row r="90" spans="2:8" x14ac:dyDescent="0.35">
      <c r="B90" s="24" t="s">
        <v>61</v>
      </c>
      <c r="C90" s="24"/>
      <c r="D90" s="47">
        <f>SUBTOTAL(9,D89:D89)</f>
        <v>65.76888000000001</v>
      </c>
      <c r="E90" s="47">
        <f>SUBTOTAL(9,E89:E89)</f>
        <v>220</v>
      </c>
      <c r="F90" s="47">
        <f>SUBTOTAL(9,F89:F89)</f>
        <v>-285.76888000000002</v>
      </c>
      <c r="G90" s="47">
        <f>SUBTOTAL(9,G89:G89)</f>
        <v>0</v>
      </c>
      <c r="H90" s="30"/>
    </row>
    <row r="91" spans="2:8" ht="10" customHeight="1" x14ac:dyDescent="0.35">
      <c r="B91" s="24"/>
      <c r="C91" s="24"/>
      <c r="D91" s="47"/>
      <c r="E91" s="47"/>
      <c r="F91" s="47"/>
      <c r="G91" s="47"/>
      <c r="H91" s="30"/>
    </row>
    <row r="92" spans="2:8" ht="15" thickBot="1" x14ac:dyDescent="0.4">
      <c r="B92" s="33" t="s">
        <v>60</v>
      </c>
      <c r="C92" s="33"/>
      <c r="D92" s="53">
        <f>SUBTOTAL(9,D9:D90)</f>
        <v>37258.315109999996</v>
      </c>
      <c r="E92" s="53">
        <f>SUBTOTAL(9,E9:E90)</f>
        <v>67694.123000000007</v>
      </c>
      <c r="F92" s="53">
        <f>SUBTOTAL(9,F9:F90)</f>
        <v>-33891.254550000005</v>
      </c>
      <c r="G92" s="53">
        <f>SUBTOTAL(9,G9:G90)</f>
        <v>71061.183560000019</v>
      </c>
    </row>
    <row r="93" spans="2:8" ht="15" thickTop="1" x14ac:dyDescent="0.35">
      <c r="D93" s="43"/>
      <c r="E93" s="43"/>
      <c r="F93" s="43"/>
      <c r="G93" s="43"/>
    </row>
    <row r="94" spans="2:8" x14ac:dyDescent="0.35">
      <c r="B94" s="24" t="s">
        <v>89</v>
      </c>
      <c r="D94" s="43"/>
      <c r="E94" s="43"/>
      <c r="F94" s="43"/>
      <c r="G94" s="43"/>
    </row>
    <row r="95" spans="2:8" x14ac:dyDescent="0.35">
      <c r="B95" s="48" t="s">
        <v>174</v>
      </c>
      <c r="D95" s="43"/>
      <c r="E95" s="43">
        <v>-8611</v>
      </c>
      <c r="F95" s="43">
        <f>-(E95+D95)</f>
        <v>8611</v>
      </c>
      <c r="G95" s="43">
        <f>SUM(D95:F95)</f>
        <v>0</v>
      </c>
      <c r="H95" s="30"/>
    </row>
    <row r="96" spans="2:8" x14ac:dyDescent="0.35">
      <c r="B96" s="48" t="s">
        <v>161</v>
      </c>
      <c r="D96" s="43">
        <f>-776282.09/1000</f>
        <v>-776.28208999999993</v>
      </c>
      <c r="E96" s="43">
        <v>-20000</v>
      </c>
      <c r="F96" s="43"/>
      <c r="G96" s="43">
        <f>SUM(D96:F96)</f>
        <v>-20776.282090000001</v>
      </c>
      <c r="H96" s="30"/>
    </row>
    <row r="97" spans="2:8" x14ac:dyDescent="0.35">
      <c r="B97" s="24" t="s">
        <v>61</v>
      </c>
      <c r="D97" s="43">
        <f>SUBTOTAL(9,D95:D96)</f>
        <v>-776.28208999999993</v>
      </c>
      <c r="E97" s="43">
        <f>SUBTOTAL(9,E95:E96)</f>
        <v>-28611</v>
      </c>
      <c r="F97" s="43">
        <f>SUBTOTAL(9,F95:F96)</f>
        <v>8611</v>
      </c>
      <c r="G97" s="43">
        <f>SUBTOTAL(9,G95:G96)</f>
        <v>-20776.282090000001</v>
      </c>
      <c r="H97" s="30"/>
    </row>
    <row r="98" spans="2:8" x14ac:dyDescent="0.35">
      <c r="B98" s="24"/>
      <c r="D98" s="43"/>
      <c r="E98" s="43"/>
      <c r="F98" s="43"/>
      <c r="G98" s="43"/>
      <c r="H98" s="30"/>
    </row>
    <row r="99" spans="2:8" x14ac:dyDescent="0.35">
      <c r="B99" s="24" t="s">
        <v>91</v>
      </c>
      <c r="D99" s="43"/>
      <c r="E99" s="43"/>
      <c r="F99" s="43"/>
      <c r="G99" s="43"/>
      <c r="H99" s="30"/>
    </row>
    <row r="100" spans="2:8" x14ac:dyDescent="0.35">
      <c r="B100" s="48" t="s">
        <v>175</v>
      </c>
      <c r="D100" s="43"/>
      <c r="E100" s="43">
        <v>-400</v>
      </c>
      <c r="F100" s="43">
        <f>-E100</f>
        <v>400</v>
      </c>
      <c r="G100" s="43">
        <f>SUM(D100:F100)</f>
        <v>0</v>
      </c>
      <c r="H100" s="30"/>
    </row>
    <row r="101" spans="2:8" x14ac:dyDescent="0.35">
      <c r="B101" s="24" t="s">
        <v>61</v>
      </c>
      <c r="D101" s="43">
        <f>SUBTOTAL(9,D100:D100)</f>
        <v>0</v>
      </c>
      <c r="E101" s="43">
        <f>SUBTOTAL(9,E100:E100)</f>
        <v>-400</v>
      </c>
      <c r="F101" s="43">
        <f>SUBTOTAL(9,F100:F100)</f>
        <v>400</v>
      </c>
      <c r="G101" s="43">
        <f>SUBTOTAL(9,G100:G100)</f>
        <v>0</v>
      </c>
      <c r="H101" s="30"/>
    </row>
    <row r="102" spans="2:8" x14ac:dyDescent="0.35">
      <c r="B102" s="24"/>
      <c r="D102" s="43"/>
      <c r="E102" s="43"/>
      <c r="F102" s="43"/>
      <c r="G102" s="43"/>
      <c r="H102" s="30"/>
    </row>
    <row r="103" spans="2:8" ht="15" thickBot="1" x14ac:dyDescent="0.4">
      <c r="B103" s="33" t="s">
        <v>60</v>
      </c>
      <c r="C103" s="33"/>
      <c r="D103" s="53">
        <f>SUBTOTAL(9,D95:D102)</f>
        <v>-776.28208999999993</v>
      </c>
      <c r="E103" s="53">
        <f>SUBTOTAL(9,E95:E102)</f>
        <v>-29011</v>
      </c>
      <c r="F103" s="53">
        <f>SUBTOTAL(9,F95:F102)</f>
        <v>9011</v>
      </c>
      <c r="G103" s="53">
        <f>SUBTOTAL(9,G95:G102)</f>
        <v>-20776.282090000001</v>
      </c>
    </row>
    <row r="104" spans="2:8" ht="15" thickTop="1" x14ac:dyDescent="0.35">
      <c r="B104" s="24"/>
      <c r="C104" s="24"/>
      <c r="D104" s="54"/>
      <c r="E104" s="54"/>
      <c r="F104" s="54"/>
      <c r="G104" s="54"/>
    </row>
    <row r="105" spans="2:8" x14ac:dyDescent="0.35">
      <c r="B105" s="39" t="s">
        <v>95</v>
      </c>
      <c r="D105" s="43">
        <f>D28</f>
        <v>11116.42461</v>
      </c>
      <c r="E105" s="43">
        <f>E28</f>
        <v>54049.594379999995</v>
      </c>
      <c r="F105" s="43">
        <f>F28</f>
        <v>-26058.075799999999</v>
      </c>
      <c r="G105" s="43">
        <f>G28</f>
        <v>39107.943189999998</v>
      </c>
    </row>
    <row r="106" spans="2:8" ht="3" customHeight="1" x14ac:dyDescent="0.35">
      <c r="B106" s="39"/>
      <c r="D106" s="43"/>
      <c r="E106" s="43"/>
      <c r="F106" s="43"/>
      <c r="G106" s="43"/>
    </row>
    <row r="107" spans="2:8" x14ac:dyDescent="0.35">
      <c r="B107" s="39" t="s">
        <v>90</v>
      </c>
      <c r="D107" s="43"/>
      <c r="E107" s="43"/>
      <c r="F107" s="43"/>
      <c r="G107" s="43"/>
    </row>
    <row r="108" spans="2:8" x14ac:dyDescent="0.35">
      <c r="B108" s="50" t="s">
        <v>12</v>
      </c>
      <c r="D108" s="43">
        <f>D53</f>
        <v>628.56272999999999</v>
      </c>
      <c r="E108" s="43">
        <f>E53</f>
        <v>475</v>
      </c>
      <c r="F108" s="43">
        <f>F53</f>
        <v>-325</v>
      </c>
      <c r="G108" s="43">
        <f>G53</f>
        <v>778.56272999999999</v>
      </c>
    </row>
    <row r="109" spans="2:8" x14ac:dyDescent="0.35">
      <c r="B109" s="50" t="s">
        <v>10</v>
      </c>
      <c r="D109" s="43">
        <f>D59</f>
        <v>127.69322</v>
      </c>
      <c r="E109" s="43">
        <f>E59</f>
        <v>200</v>
      </c>
      <c r="F109" s="43">
        <f>F59</f>
        <v>-149.05748</v>
      </c>
      <c r="G109" s="43">
        <f>G59</f>
        <v>178.63574</v>
      </c>
    </row>
    <row r="110" spans="2:8" x14ac:dyDescent="0.35">
      <c r="B110" s="50" t="s">
        <v>11</v>
      </c>
      <c r="D110" s="43">
        <f>D64</f>
        <v>0</v>
      </c>
      <c r="E110" s="43">
        <f>E64</f>
        <v>625</v>
      </c>
      <c r="F110" s="43">
        <f>F64</f>
        <v>-625</v>
      </c>
      <c r="G110" s="43">
        <f>G64</f>
        <v>0</v>
      </c>
    </row>
    <row r="111" spans="2:8" x14ac:dyDescent="0.35">
      <c r="B111" s="50" t="s">
        <v>13</v>
      </c>
      <c r="D111" s="43">
        <f>D70</f>
        <v>0</v>
      </c>
      <c r="E111" s="43">
        <f>E70</f>
        <v>1623.6</v>
      </c>
      <c r="F111" s="43">
        <f>F70</f>
        <v>-1116.8</v>
      </c>
      <c r="G111" s="43">
        <f>G70</f>
        <v>506.8</v>
      </c>
    </row>
    <row r="112" spans="2:8" ht="3" customHeight="1" x14ac:dyDescent="0.35">
      <c r="D112" s="43"/>
      <c r="E112" s="43"/>
      <c r="F112" s="43"/>
      <c r="G112" s="43"/>
    </row>
    <row r="113" spans="2:8" x14ac:dyDescent="0.35">
      <c r="B113" s="39" t="s">
        <v>98</v>
      </c>
      <c r="D113" s="43">
        <v>0</v>
      </c>
      <c r="E113" s="43">
        <v>0</v>
      </c>
      <c r="F113" s="43">
        <v>0</v>
      </c>
      <c r="G113" s="43">
        <v>0</v>
      </c>
    </row>
    <row r="114" spans="2:8" ht="3" customHeight="1" x14ac:dyDescent="0.35">
      <c r="B114" s="39"/>
      <c r="D114" s="43"/>
      <c r="E114" s="43"/>
      <c r="F114" s="43"/>
      <c r="G114" s="43"/>
    </row>
    <row r="115" spans="2:8" x14ac:dyDescent="0.35">
      <c r="B115" s="39" t="s">
        <v>44</v>
      </c>
      <c r="D115" s="43">
        <f>D74</f>
        <v>0</v>
      </c>
      <c r="E115" s="43">
        <f>E74</f>
        <v>180</v>
      </c>
      <c r="F115" s="43">
        <f>F74</f>
        <v>-180</v>
      </c>
      <c r="G115" s="43">
        <f>G74</f>
        <v>0</v>
      </c>
    </row>
    <row r="116" spans="2:8" ht="3" customHeight="1" x14ac:dyDescent="0.35">
      <c r="B116" s="39"/>
      <c r="D116" s="43"/>
      <c r="E116" s="43"/>
      <c r="F116" s="43"/>
      <c r="G116" s="43"/>
    </row>
    <row r="117" spans="2:8" x14ac:dyDescent="0.35">
      <c r="B117" s="39" t="s">
        <v>101</v>
      </c>
      <c r="D117" s="43">
        <f>SUM(D105:D115)</f>
        <v>11872.680559999999</v>
      </c>
      <c r="E117" s="43">
        <f>SUM(E105:E115)</f>
        <v>57153.194379999994</v>
      </c>
      <c r="F117" s="43">
        <f>SUM(F105:F115)</f>
        <v>-28453.933279999997</v>
      </c>
      <c r="G117" s="43">
        <f>SUM(G105:G115)</f>
        <v>40571.941659999997</v>
      </c>
    </row>
    <row r="118" spans="2:8" ht="8.5" customHeight="1" x14ac:dyDescent="0.35">
      <c r="B118" s="39"/>
      <c r="D118" s="43"/>
      <c r="E118" s="43"/>
      <c r="F118" s="43"/>
      <c r="G118" s="43"/>
    </row>
    <row r="119" spans="2:8" x14ac:dyDescent="0.35">
      <c r="B119" s="24" t="s">
        <v>96</v>
      </c>
      <c r="D119" s="43">
        <f>D41+D86</f>
        <v>21538.313279999998</v>
      </c>
      <c r="E119" s="43">
        <f>E41+E86</f>
        <v>9445.9286200000006</v>
      </c>
      <c r="F119" s="43">
        <f>F41+F86</f>
        <v>-495</v>
      </c>
      <c r="G119" s="43">
        <f>G41+G86</f>
        <v>30489.241899999997</v>
      </c>
    </row>
    <row r="120" spans="2:8" ht="8.5" customHeight="1" x14ac:dyDescent="0.35">
      <c r="D120" s="43"/>
      <c r="E120" s="43"/>
      <c r="F120" s="43"/>
      <c r="G120" s="43"/>
    </row>
    <row r="121" spans="2:8" x14ac:dyDescent="0.35">
      <c r="B121" s="39" t="s">
        <v>97</v>
      </c>
      <c r="D121" s="43">
        <f>D45+D90</f>
        <v>3847.3212700000004</v>
      </c>
      <c r="E121" s="43">
        <f>E45+E90</f>
        <v>1095</v>
      </c>
      <c r="F121" s="43">
        <f>F45+F90</f>
        <v>-4942.3212700000004</v>
      </c>
      <c r="G121" s="43">
        <f>G45+G90</f>
        <v>0</v>
      </c>
    </row>
    <row r="122" spans="2:8" ht="10" customHeight="1" x14ac:dyDescent="0.35">
      <c r="D122" s="43"/>
      <c r="E122" s="43"/>
      <c r="F122" s="43"/>
      <c r="G122" s="43"/>
    </row>
    <row r="123" spans="2:8" x14ac:dyDescent="0.35">
      <c r="B123" s="39" t="s">
        <v>102</v>
      </c>
      <c r="D123" s="43"/>
      <c r="E123" s="43"/>
      <c r="F123" s="43"/>
      <c r="G123" s="43"/>
    </row>
    <row r="124" spans="2:8" x14ac:dyDescent="0.35">
      <c r="B124" s="49" t="s">
        <v>99</v>
      </c>
      <c r="D124" s="43">
        <f>SUM(D97,D101)</f>
        <v>-776.28208999999993</v>
      </c>
      <c r="E124" s="43">
        <f>SUM(E97,E101)</f>
        <v>-29011</v>
      </c>
      <c r="F124" s="43">
        <f>SUM(F97,F101)</f>
        <v>9011</v>
      </c>
      <c r="G124" s="43">
        <f>SUM(G97,G101)</f>
        <v>-20776.282090000001</v>
      </c>
    </row>
    <row r="125" spans="2:8" x14ac:dyDescent="0.35">
      <c r="B125" s="49" t="s">
        <v>100</v>
      </c>
      <c r="D125" s="43"/>
      <c r="E125" s="43"/>
      <c r="F125" s="43"/>
      <c r="G125" s="43"/>
    </row>
    <row r="126" spans="2:8" ht="8.5" customHeight="1" x14ac:dyDescent="0.35">
      <c r="D126" s="43"/>
      <c r="E126" s="43"/>
      <c r="F126" s="43"/>
      <c r="G126" s="43"/>
    </row>
    <row r="127" spans="2:8" s="24" customFormat="1" x14ac:dyDescent="0.35">
      <c r="B127" s="24" t="s">
        <v>55</v>
      </c>
      <c r="D127" s="43"/>
      <c r="E127" s="43"/>
      <c r="F127" s="43"/>
      <c r="G127" s="43"/>
      <c r="H127" s="30"/>
    </row>
    <row r="128" spans="2:8" x14ac:dyDescent="0.35">
      <c r="B128" s="48" t="s">
        <v>55</v>
      </c>
      <c r="D128" s="43"/>
      <c r="E128" s="43">
        <v>411</v>
      </c>
      <c r="F128" s="43">
        <f>-E128</f>
        <v>-411</v>
      </c>
      <c r="G128" s="43">
        <f>SUM(D128:F128)</f>
        <v>0</v>
      </c>
      <c r="H128" s="30"/>
    </row>
    <row r="129" spans="2:8" ht="5.5" customHeight="1" x14ac:dyDescent="0.35">
      <c r="B129" s="48"/>
      <c r="D129" s="43"/>
      <c r="E129" s="43"/>
      <c r="F129" s="43"/>
      <c r="G129" s="43"/>
      <c r="H129" s="30"/>
    </row>
    <row r="130" spans="2:8" x14ac:dyDescent="0.35">
      <c r="B130" s="39" t="s">
        <v>64</v>
      </c>
      <c r="C130" s="24"/>
      <c r="D130" s="47">
        <f>SUBTOTAL(9,D128:D129)</f>
        <v>0</v>
      </c>
      <c r="E130" s="47">
        <f>SUBTOTAL(9,E128:E129)</f>
        <v>411</v>
      </c>
      <c r="F130" s="47">
        <f>SUBTOTAL(9,F128:F129)</f>
        <v>-411</v>
      </c>
      <c r="G130" s="47">
        <f>SUBTOTAL(9,G128:G129)</f>
        <v>0</v>
      </c>
      <c r="H130" s="30"/>
    </row>
    <row r="132" spans="2:8" x14ac:dyDescent="0.35">
      <c r="B132" t="s">
        <v>42</v>
      </c>
      <c r="C132" s="24"/>
      <c r="D132" s="54"/>
      <c r="E132" s="54"/>
      <c r="F132" s="54"/>
      <c r="G132" s="54"/>
    </row>
    <row r="133" spans="2:8" x14ac:dyDescent="0.35">
      <c r="B133" t="s">
        <v>177</v>
      </c>
      <c r="C133" s="24"/>
      <c r="D133" s="54"/>
      <c r="E133" s="54"/>
      <c r="F133" s="54"/>
      <c r="G133" s="54"/>
    </row>
    <row r="134" spans="2:8" x14ac:dyDescent="0.35">
      <c r="B134" t="s">
        <v>74</v>
      </c>
      <c r="D134" s="43"/>
      <c r="E134" s="43"/>
      <c r="F134" s="43"/>
      <c r="G134" s="43"/>
    </row>
    <row r="178" spans="4:8" x14ac:dyDescent="0.35">
      <c r="D178" s="29"/>
      <c r="E178" s="29"/>
      <c r="F178" s="29"/>
      <c r="G178" s="29"/>
      <c r="H178" s="29"/>
    </row>
    <row r="179" spans="4:8" x14ac:dyDescent="0.35">
      <c r="D179" s="29"/>
      <c r="E179" s="29"/>
      <c r="F179" s="29"/>
      <c r="G179" s="29"/>
      <c r="H179" s="29"/>
    </row>
    <row r="180" spans="4:8" x14ac:dyDescent="0.35">
      <c r="D180" s="29"/>
      <c r="E180" s="29"/>
      <c r="F180" s="29"/>
      <c r="G180" s="29"/>
      <c r="H180" s="29"/>
    </row>
    <row r="181" spans="4:8" x14ac:dyDescent="0.35">
      <c r="D181" s="29"/>
      <c r="E181" s="29"/>
      <c r="F181" s="29"/>
      <c r="G181" s="29"/>
      <c r="H181" s="29"/>
    </row>
    <row r="182" spans="4:8" x14ac:dyDescent="0.35">
      <c r="D182" s="29"/>
      <c r="E182" s="29"/>
      <c r="F182" s="29"/>
      <c r="G182" s="29"/>
      <c r="H182" s="29"/>
    </row>
    <row r="183" spans="4:8" x14ac:dyDescent="0.35">
      <c r="D183" s="29"/>
      <c r="E183" s="29"/>
      <c r="F183" s="29"/>
      <c r="G183" s="29"/>
      <c r="H183" s="29"/>
    </row>
    <row r="184" spans="4:8" x14ac:dyDescent="0.35">
      <c r="D184" s="29"/>
      <c r="E184" s="29"/>
      <c r="F184" s="29"/>
      <c r="G184" s="29"/>
      <c r="H184" s="29"/>
    </row>
    <row r="185" spans="4:8" x14ac:dyDescent="0.35">
      <c r="D185" s="29"/>
      <c r="E185" s="29"/>
      <c r="F185" s="29"/>
      <c r="G185" s="29"/>
      <c r="H185" s="29"/>
    </row>
    <row r="186" spans="4:8" x14ac:dyDescent="0.35">
      <c r="D186" s="29"/>
      <c r="E186" s="29"/>
      <c r="F186" s="29"/>
      <c r="G186" s="29"/>
      <c r="H186" s="29"/>
    </row>
    <row r="187" spans="4:8" x14ac:dyDescent="0.35">
      <c r="D187" s="29"/>
      <c r="E187" s="29"/>
      <c r="F187" s="29"/>
      <c r="G187" s="29"/>
      <c r="H187" s="29"/>
    </row>
    <row r="188" spans="4:8" x14ac:dyDescent="0.35">
      <c r="D188" s="29"/>
      <c r="E188" s="29"/>
      <c r="F188" s="29"/>
      <c r="G188" s="29"/>
      <c r="H188" s="29"/>
    </row>
    <row r="189" spans="4:8" x14ac:dyDescent="0.35">
      <c r="D189" s="29"/>
      <c r="E189" s="29"/>
      <c r="F189" s="29"/>
      <c r="G189" s="29"/>
      <c r="H189" s="29"/>
    </row>
    <row r="190" spans="4:8" x14ac:dyDescent="0.35">
      <c r="D190" s="29"/>
      <c r="E190" s="29"/>
      <c r="F190" s="29"/>
      <c r="G190" s="29"/>
      <c r="H190" s="29"/>
    </row>
    <row r="191" spans="4:8" x14ac:dyDescent="0.35">
      <c r="D191" s="29"/>
      <c r="E191" s="29"/>
      <c r="F191" s="29"/>
      <c r="G191" s="29"/>
      <c r="H191" s="29"/>
    </row>
    <row r="192" spans="4:8" x14ac:dyDescent="0.35">
      <c r="D192" s="29"/>
      <c r="E192" s="29"/>
      <c r="F192" s="29"/>
      <c r="G192" s="29"/>
      <c r="H192" s="29"/>
    </row>
    <row r="193" spans="4:8" x14ac:dyDescent="0.35">
      <c r="D193" s="29"/>
      <c r="E193" s="29"/>
      <c r="F193" s="29"/>
      <c r="G193" s="29"/>
      <c r="H193" s="29"/>
    </row>
    <row r="194" spans="4:8" x14ac:dyDescent="0.35">
      <c r="D194" s="29"/>
      <c r="E194" s="29"/>
      <c r="F194" s="29"/>
      <c r="G194" s="29"/>
      <c r="H194" s="29"/>
    </row>
    <row r="195" spans="4:8" x14ac:dyDescent="0.35">
      <c r="D195" s="29"/>
      <c r="E195" s="29"/>
      <c r="F195" s="29"/>
      <c r="G195" s="29"/>
      <c r="H195" s="29"/>
    </row>
    <row r="196" spans="4:8" x14ac:dyDescent="0.35">
      <c r="D196" s="29"/>
      <c r="E196" s="29"/>
      <c r="F196" s="29"/>
      <c r="G196" s="29"/>
      <c r="H196" s="29"/>
    </row>
    <row r="197" spans="4:8" x14ac:dyDescent="0.35">
      <c r="D197" s="29"/>
      <c r="E197" s="29"/>
      <c r="F197" s="29"/>
      <c r="G197" s="29"/>
      <c r="H197" s="29"/>
    </row>
    <row r="198" spans="4:8" x14ac:dyDescent="0.35">
      <c r="D198" s="29"/>
      <c r="E198" s="29"/>
      <c r="F198" s="29"/>
      <c r="G198" s="29"/>
      <c r="H198" s="29"/>
    </row>
    <row r="199" spans="4:8" x14ac:dyDescent="0.35">
      <c r="D199" s="29"/>
      <c r="E199" s="29"/>
      <c r="F199" s="29"/>
      <c r="G199" s="29"/>
      <c r="H199" s="29"/>
    </row>
    <row r="200" spans="4:8" x14ac:dyDescent="0.35">
      <c r="D200" s="29"/>
      <c r="E200" s="29"/>
      <c r="F200" s="29"/>
      <c r="G200" s="29"/>
      <c r="H200" s="29"/>
    </row>
    <row r="201" spans="4:8" x14ac:dyDescent="0.35">
      <c r="D201" s="29"/>
      <c r="E201" s="29"/>
      <c r="F201" s="29"/>
      <c r="G201" s="29"/>
      <c r="H201" s="29"/>
    </row>
    <row r="202" spans="4:8" x14ac:dyDescent="0.35">
      <c r="D202" s="29"/>
      <c r="E202" s="29"/>
      <c r="F202" s="29"/>
      <c r="G202" s="29"/>
      <c r="H202" s="29"/>
    </row>
    <row r="203" spans="4:8" x14ac:dyDescent="0.35">
      <c r="D203" s="29"/>
      <c r="E203" s="29"/>
      <c r="F203" s="29"/>
      <c r="G203" s="29"/>
      <c r="H203" s="29"/>
    </row>
    <row r="204" spans="4:8" x14ac:dyDescent="0.35">
      <c r="D204" s="29"/>
      <c r="E204" s="29"/>
      <c r="F204" s="29"/>
      <c r="G204" s="29"/>
      <c r="H204" s="29"/>
    </row>
    <row r="205" spans="4:8" x14ac:dyDescent="0.35">
      <c r="D205" s="29"/>
      <c r="E205" s="29"/>
      <c r="F205" s="29"/>
      <c r="G205" s="29"/>
      <c r="H205" s="29"/>
    </row>
    <row r="206" spans="4:8" x14ac:dyDescent="0.35">
      <c r="D206" s="29"/>
      <c r="E206" s="29"/>
      <c r="F206" s="29"/>
      <c r="G206" s="29"/>
      <c r="H206" s="29"/>
    </row>
    <row r="207" spans="4:8" x14ac:dyDescent="0.35">
      <c r="D207" s="29"/>
      <c r="E207" s="29"/>
      <c r="F207" s="29"/>
      <c r="G207" s="29"/>
      <c r="H207" s="29"/>
    </row>
    <row r="208" spans="4:8" x14ac:dyDescent="0.35">
      <c r="D208" s="29"/>
      <c r="E208" s="29"/>
      <c r="F208" s="29"/>
      <c r="G208" s="29"/>
      <c r="H208" s="29"/>
    </row>
    <row r="209" spans="4:8" x14ac:dyDescent="0.35">
      <c r="D209" s="29"/>
      <c r="E209" s="29"/>
      <c r="F209" s="29"/>
      <c r="G209" s="29"/>
      <c r="H209" s="29"/>
    </row>
    <row r="210" spans="4:8" x14ac:dyDescent="0.35">
      <c r="D210" s="29"/>
      <c r="E210" s="29"/>
      <c r="F210" s="29"/>
      <c r="G210" s="29"/>
      <c r="H210" s="29"/>
    </row>
    <row r="211" spans="4:8" x14ac:dyDescent="0.35">
      <c r="D211" s="29"/>
      <c r="E211" s="29"/>
      <c r="F211" s="29"/>
      <c r="G211" s="29"/>
      <c r="H211" s="29"/>
    </row>
    <row r="212" spans="4:8" x14ac:dyDescent="0.35">
      <c r="D212" s="29"/>
      <c r="E212" s="29"/>
      <c r="F212" s="29"/>
      <c r="G212" s="29"/>
      <c r="H212" s="29"/>
    </row>
    <row r="213" spans="4:8" x14ac:dyDescent="0.35">
      <c r="D213" s="29"/>
      <c r="E213" s="29"/>
      <c r="F213" s="29"/>
      <c r="G213" s="29"/>
      <c r="H213" s="29"/>
    </row>
    <row r="214" spans="4:8" x14ac:dyDescent="0.35">
      <c r="D214" s="29"/>
      <c r="E214" s="29"/>
      <c r="F214" s="29"/>
      <c r="G214" s="29"/>
      <c r="H214" s="29"/>
    </row>
    <row r="215" spans="4:8" x14ac:dyDescent="0.35">
      <c r="D215" s="29"/>
      <c r="E215" s="29"/>
      <c r="F215" s="29"/>
      <c r="G215" s="29"/>
      <c r="H215" s="29"/>
    </row>
    <row r="216" spans="4:8" x14ac:dyDescent="0.35">
      <c r="D216" s="29"/>
      <c r="E216" s="29"/>
      <c r="F216" s="29"/>
      <c r="G216" s="29"/>
      <c r="H216" s="29"/>
    </row>
    <row r="217" spans="4:8" x14ac:dyDescent="0.35">
      <c r="D217" s="29"/>
      <c r="E217" s="29"/>
      <c r="F217" s="29"/>
      <c r="G217" s="29"/>
      <c r="H217" s="29"/>
    </row>
    <row r="218" spans="4:8" x14ac:dyDescent="0.35">
      <c r="D218" s="29"/>
      <c r="E218" s="29"/>
      <c r="F218" s="29"/>
      <c r="G218" s="29"/>
      <c r="H218" s="29"/>
    </row>
    <row r="219" spans="4:8" x14ac:dyDescent="0.35">
      <c r="D219" s="29"/>
      <c r="E219" s="29"/>
      <c r="F219" s="29"/>
      <c r="G219" s="29"/>
      <c r="H219" s="29"/>
    </row>
    <row r="220" spans="4:8" x14ac:dyDescent="0.35">
      <c r="D220" s="29"/>
      <c r="E220" s="29"/>
      <c r="F220" s="29"/>
      <c r="G220" s="29"/>
      <c r="H220" s="29"/>
    </row>
    <row r="221" spans="4:8" x14ac:dyDescent="0.35">
      <c r="D221" s="29"/>
      <c r="E221" s="29"/>
      <c r="F221" s="29"/>
      <c r="G221" s="29"/>
      <c r="H221" s="29"/>
    </row>
  </sheetData>
  <mergeCells count="1">
    <mergeCell ref="B3:G3"/>
  </mergeCells>
  <pageMargins left="0.70866141732283472" right="0.70866141732283472" top="0.74803149606299213" bottom="0.74803149606299213" header="0.31496062992125984" footer="0.31496062992125984"/>
  <pageSetup scale="68" fitToHeight="2" orientation="portrait" r:id="rId1"/>
  <rowBreaks count="1" manualBreakCount="1">
    <brk id="7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5"/>
  <sheetViews>
    <sheetView showGridLines="0" view="pageBreakPreview" zoomScaleNormal="100" zoomScaleSheetLayoutView="100" workbookViewId="0">
      <pane ySplit="5" topLeftCell="A59" activePane="bottomLeft" state="frozen"/>
      <selection activeCell="A19" sqref="A19"/>
      <selection pane="bottomLeft" activeCell="C67" sqref="C67"/>
    </sheetView>
  </sheetViews>
  <sheetFormatPr defaultRowHeight="14.5" x14ac:dyDescent="0.35"/>
  <cols>
    <col min="2" max="2" width="44.26953125" customWidth="1"/>
    <col min="3" max="3" width="3.26953125" customWidth="1"/>
    <col min="4" max="5" width="13.90625" customWidth="1"/>
    <col min="6" max="6" width="15" bestFit="1" customWidth="1"/>
    <col min="7" max="7" width="13.90625" customWidth="1"/>
    <col min="8" max="8" width="5.1796875" customWidth="1"/>
  </cols>
  <sheetData>
    <row r="1" spans="1:8" x14ac:dyDescent="0.35">
      <c r="B1" s="24" t="str">
        <f>'5.1'!A1</f>
        <v>YEC 2023/24 GRA COMPLIANCE FILING</v>
      </c>
      <c r="C1" s="35"/>
      <c r="D1" s="35"/>
      <c r="E1" s="35"/>
      <c r="F1" s="35"/>
      <c r="G1" s="36" t="s">
        <v>248</v>
      </c>
    </row>
    <row r="2" spans="1:8" x14ac:dyDescent="0.35">
      <c r="B2" s="24" t="s">
        <v>65</v>
      </c>
      <c r="C2" s="24"/>
      <c r="D2" s="24"/>
      <c r="E2" s="24"/>
      <c r="F2" s="37"/>
      <c r="G2" s="38" t="str">
        <f>'5.1'!$G$2</f>
        <v>August 5, 2024</v>
      </c>
    </row>
    <row r="3" spans="1:8" x14ac:dyDescent="0.35">
      <c r="B3" s="56" t="s">
        <v>15</v>
      </c>
      <c r="C3" s="56"/>
      <c r="D3" s="56"/>
      <c r="E3" s="56"/>
      <c r="F3" s="56"/>
      <c r="G3" s="56"/>
    </row>
    <row r="4" spans="1:8" x14ac:dyDescent="0.35">
      <c r="B4" s="24"/>
      <c r="C4" s="24"/>
    </row>
    <row r="5" spans="1:8" s="24" customFormat="1" ht="29" x14ac:dyDescent="0.35">
      <c r="B5" s="25" t="s">
        <v>48</v>
      </c>
      <c r="C5" s="25"/>
      <c r="D5" s="26" t="s">
        <v>49</v>
      </c>
      <c r="E5" s="26" t="s">
        <v>50</v>
      </c>
      <c r="F5" s="26" t="s">
        <v>51</v>
      </c>
      <c r="G5" s="26" t="s">
        <v>52</v>
      </c>
      <c r="H5" s="27"/>
    </row>
    <row r="6" spans="1:8" s="24" customFormat="1" ht="10" customHeight="1" x14ac:dyDescent="0.35">
      <c r="D6" s="27"/>
      <c r="E6" s="27"/>
      <c r="F6" s="27"/>
      <c r="G6" s="27"/>
      <c r="H6" s="27"/>
    </row>
    <row r="7" spans="1:8" s="24" customFormat="1" x14ac:dyDescent="0.35">
      <c r="B7" s="24" t="s">
        <v>86</v>
      </c>
      <c r="D7" s="28"/>
      <c r="E7" s="28"/>
      <c r="F7" s="28"/>
      <c r="G7" s="28"/>
      <c r="H7" s="28"/>
    </row>
    <row r="8" spans="1:8" s="24" customFormat="1" x14ac:dyDescent="0.35">
      <c r="B8" s="24" t="s">
        <v>29</v>
      </c>
      <c r="D8" s="28"/>
      <c r="E8" s="28"/>
      <c r="F8" s="28"/>
      <c r="G8" s="28"/>
      <c r="H8" s="28"/>
    </row>
    <row r="9" spans="1:8" x14ac:dyDescent="0.35">
      <c r="B9" s="48" t="s">
        <v>179</v>
      </c>
      <c r="D9" s="30">
        <v>0</v>
      </c>
      <c r="E9" s="30">
        <v>13.256920000000001</v>
      </c>
      <c r="F9" s="30">
        <v>0</v>
      </c>
      <c r="G9" s="30">
        <f t="shared" ref="G9:G17" si="0">SUM(D9:F9)</f>
        <v>13.256920000000001</v>
      </c>
      <c r="H9" s="30"/>
    </row>
    <row r="10" spans="1:8" x14ac:dyDescent="0.35">
      <c r="B10" s="48" t="s">
        <v>143</v>
      </c>
      <c r="D10" s="30">
        <v>384.74714</v>
      </c>
      <c r="E10" s="30">
        <v>933.48086999999998</v>
      </c>
      <c r="F10" s="30">
        <v>-1318.22801</v>
      </c>
      <c r="G10" s="30">
        <f t="shared" si="0"/>
        <v>0</v>
      </c>
      <c r="H10" s="30"/>
    </row>
    <row r="11" spans="1:8" x14ac:dyDescent="0.35">
      <c r="B11" s="48" t="s">
        <v>180</v>
      </c>
      <c r="D11" s="30">
        <v>3910.2572799999998</v>
      </c>
      <c r="E11" s="30">
        <v>8182.0360000000001</v>
      </c>
      <c r="F11" s="30">
        <v>-12092.29328</v>
      </c>
      <c r="G11" s="30">
        <f t="shared" si="0"/>
        <v>0</v>
      </c>
      <c r="H11" s="30"/>
    </row>
    <row r="12" spans="1:8" x14ac:dyDescent="0.35">
      <c r="B12" s="48" t="s">
        <v>158</v>
      </c>
      <c r="D12" s="30">
        <v>259.07137999999998</v>
      </c>
      <c r="E12" s="30">
        <v>6.3501599999999998</v>
      </c>
      <c r="F12" s="30">
        <v>-265.42153999999999</v>
      </c>
      <c r="G12" s="30">
        <f t="shared" si="0"/>
        <v>0</v>
      </c>
      <c r="H12" s="30"/>
    </row>
    <row r="13" spans="1:8" x14ac:dyDescent="0.35">
      <c r="A13" s="46" t="s">
        <v>72</v>
      </c>
      <c r="B13" s="48" t="s">
        <v>140</v>
      </c>
      <c r="D13" s="30">
        <v>128.69648000000001</v>
      </c>
      <c r="E13" s="30">
        <v>20.523900000000001</v>
      </c>
      <c r="F13" s="30">
        <v>-149.22038000000001</v>
      </c>
      <c r="G13" s="30">
        <f t="shared" si="0"/>
        <v>0</v>
      </c>
      <c r="H13" s="30"/>
    </row>
    <row r="14" spans="1:8" x14ac:dyDescent="0.35">
      <c r="B14" s="48" t="s">
        <v>181</v>
      </c>
      <c r="D14" s="30">
        <v>192.44272000000001</v>
      </c>
      <c r="E14" s="30">
        <v>705.62957999999992</v>
      </c>
      <c r="F14" s="30">
        <v>-898.07230000000004</v>
      </c>
      <c r="G14" s="30">
        <f t="shared" si="0"/>
        <v>0</v>
      </c>
      <c r="H14" s="30"/>
    </row>
    <row r="15" spans="1:8" x14ac:dyDescent="0.35">
      <c r="B15" s="48" t="s">
        <v>131</v>
      </c>
      <c r="D15" s="30">
        <v>0</v>
      </c>
      <c r="E15" s="30">
        <v>11.25712</v>
      </c>
      <c r="F15" s="30">
        <v>0</v>
      </c>
      <c r="G15" s="30">
        <f t="shared" si="0"/>
        <v>11.25712</v>
      </c>
      <c r="H15" s="30"/>
    </row>
    <row r="16" spans="1:8" x14ac:dyDescent="0.35">
      <c r="B16" s="48" t="s">
        <v>103</v>
      </c>
      <c r="D16" s="30">
        <v>0.43769000000000002</v>
      </c>
      <c r="E16" s="30">
        <v>1.116E-2</v>
      </c>
      <c r="F16" s="30">
        <v>0</v>
      </c>
      <c r="G16" s="30">
        <f t="shared" si="0"/>
        <v>0.44885000000000003</v>
      </c>
      <c r="H16" s="30"/>
    </row>
    <row r="17" spans="1:8" x14ac:dyDescent="0.35">
      <c r="B17" s="48" t="s">
        <v>104</v>
      </c>
      <c r="D17" s="30">
        <v>517.39288999999997</v>
      </c>
      <c r="E17" s="30">
        <v>854.54684999999995</v>
      </c>
      <c r="F17" s="30">
        <v>-219.51868999999999</v>
      </c>
      <c r="G17" s="30">
        <f t="shared" si="0"/>
        <v>1152.4210499999999</v>
      </c>
      <c r="H17" s="30"/>
    </row>
    <row r="18" spans="1:8" x14ac:dyDescent="0.35">
      <c r="B18" s="24" t="s">
        <v>26</v>
      </c>
      <c r="D18" s="30"/>
      <c r="E18" s="30"/>
      <c r="F18" s="30"/>
      <c r="G18" s="30"/>
      <c r="H18" s="30"/>
    </row>
    <row r="19" spans="1:8" x14ac:dyDescent="0.35">
      <c r="B19" s="48" t="s">
        <v>155</v>
      </c>
      <c r="D19" s="30">
        <v>0</v>
      </c>
      <c r="E19" s="30">
        <v>507.96957000000003</v>
      </c>
      <c r="F19" s="30">
        <v>0</v>
      </c>
      <c r="G19" s="30">
        <f>SUM(D19:F19)</f>
        <v>507.96957000000003</v>
      </c>
      <c r="H19" s="30"/>
    </row>
    <row r="20" spans="1:8" x14ac:dyDescent="0.35">
      <c r="B20" s="48" t="s">
        <v>182</v>
      </c>
      <c r="D20" s="30">
        <v>0</v>
      </c>
      <c r="E20" s="30">
        <v>311.08184999999997</v>
      </c>
      <c r="F20" s="30">
        <v>-311.08184999999997</v>
      </c>
      <c r="G20" s="30">
        <f>SUM(D20:F20)</f>
        <v>0</v>
      </c>
      <c r="H20" s="30"/>
    </row>
    <row r="21" spans="1:8" x14ac:dyDescent="0.35">
      <c r="B21" s="48" t="s">
        <v>183</v>
      </c>
      <c r="D21" s="30">
        <v>17487.132969999999</v>
      </c>
      <c r="E21" s="30">
        <v>11451.47033</v>
      </c>
      <c r="F21" s="30">
        <v>-28938.603300000002</v>
      </c>
      <c r="G21" s="30">
        <f>SUM(D21:F21)</f>
        <v>0</v>
      </c>
      <c r="H21" s="30"/>
    </row>
    <row r="22" spans="1:8" x14ac:dyDescent="0.35">
      <c r="B22" s="24" t="s">
        <v>27</v>
      </c>
      <c r="D22" s="30"/>
      <c r="E22" s="30"/>
      <c r="F22" s="30"/>
      <c r="G22" s="30"/>
      <c r="H22" s="30"/>
    </row>
    <row r="23" spans="1:8" x14ac:dyDescent="0.35">
      <c r="B23" s="48" t="s">
        <v>150</v>
      </c>
      <c r="D23" s="30">
        <v>67.582419999999999</v>
      </c>
      <c r="E23" s="30">
        <v>2.4145599999999998</v>
      </c>
      <c r="F23" s="30">
        <v>0</v>
      </c>
      <c r="G23" s="30">
        <f>SUM(D23:F23)</f>
        <v>69.996979999999994</v>
      </c>
      <c r="H23" s="30"/>
    </row>
    <row r="24" spans="1:8" x14ac:dyDescent="0.35">
      <c r="B24" s="24" t="s">
        <v>58</v>
      </c>
      <c r="D24" s="30"/>
      <c r="E24" s="30"/>
      <c r="F24" s="30"/>
      <c r="G24" s="30"/>
      <c r="H24" s="30"/>
    </row>
    <row r="25" spans="1:8" x14ac:dyDescent="0.35">
      <c r="B25" s="48" t="s">
        <v>184</v>
      </c>
      <c r="D25" s="30">
        <v>0</v>
      </c>
      <c r="E25" s="30">
        <v>88.006360000000001</v>
      </c>
      <c r="F25" s="30">
        <v>0</v>
      </c>
      <c r="G25" s="30">
        <f>SUM(D25:F25)</f>
        <v>88.006360000000001</v>
      </c>
      <c r="H25" s="30"/>
    </row>
    <row r="26" spans="1:8" x14ac:dyDescent="0.35">
      <c r="B26" s="24" t="s">
        <v>61</v>
      </c>
      <c r="C26" s="24"/>
      <c r="D26" s="31">
        <f>SUBTOTAL(9,D9:D25)</f>
        <v>22947.760969999996</v>
      </c>
      <c r="E26" s="31">
        <f>SUBTOTAL(9,E9:E25)</f>
        <v>23088.035230000001</v>
      </c>
      <c r="F26" s="31">
        <f>SUBTOTAL(9,F9:F25)</f>
        <v>-44192.439350000001</v>
      </c>
      <c r="G26" s="31">
        <f>SUBTOTAL(9,G9:G25)</f>
        <v>1843.3568499999999</v>
      </c>
      <c r="H26" s="30"/>
    </row>
    <row r="27" spans="1:8" x14ac:dyDescent="0.35">
      <c r="D27" s="30"/>
      <c r="E27" s="30"/>
      <c r="F27" s="30"/>
      <c r="G27" s="30"/>
      <c r="H27" s="30"/>
    </row>
    <row r="28" spans="1:8" s="24" customFormat="1" x14ac:dyDescent="0.35">
      <c r="B28" s="24" t="s">
        <v>87</v>
      </c>
      <c r="D28" s="31"/>
      <c r="E28" s="31"/>
      <c r="F28" s="31"/>
      <c r="G28" s="31"/>
      <c r="H28" s="31"/>
    </row>
    <row r="29" spans="1:8" s="24" customFormat="1" x14ac:dyDescent="0.35">
      <c r="B29" s="24" t="s">
        <v>56</v>
      </c>
      <c r="D29" s="31"/>
      <c r="E29" s="31"/>
      <c r="F29" s="31"/>
      <c r="G29" s="31"/>
      <c r="H29" s="31"/>
    </row>
    <row r="30" spans="1:8" x14ac:dyDescent="0.35">
      <c r="A30" s="46" t="s">
        <v>73</v>
      </c>
      <c r="B30" s="48" t="s">
        <v>170</v>
      </c>
      <c r="D30" s="30">
        <v>1071.01305</v>
      </c>
      <c r="E30" s="43">
        <v>752.2323100000001</v>
      </c>
      <c r="F30" s="30">
        <v>0</v>
      </c>
      <c r="G30" s="30">
        <f>SUM(D30:F30)</f>
        <v>1823.2453600000001</v>
      </c>
      <c r="H30" s="30"/>
    </row>
    <row r="31" spans="1:8" s="24" customFormat="1" x14ac:dyDescent="0.35">
      <c r="A31" s="46" t="s">
        <v>73</v>
      </c>
      <c r="B31" s="48" t="s">
        <v>185</v>
      </c>
      <c r="C31"/>
      <c r="D31" s="30">
        <v>50.987519999999996</v>
      </c>
      <c r="E31" s="43">
        <v>1372.7275199999999</v>
      </c>
      <c r="F31" s="30">
        <v>0</v>
      </c>
      <c r="G31" s="30">
        <f>SUM(D31:F31)</f>
        <v>1423.7150399999998</v>
      </c>
      <c r="H31" s="30"/>
    </row>
    <row r="32" spans="1:8" x14ac:dyDescent="0.35">
      <c r="B32" s="48" t="s">
        <v>171</v>
      </c>
      <c r="D32" s="30">
        <v>7938.9264199999998</v>
      </c>
      <c r="E32" s="30">
        <v>561.10093999999992</v>
      </c>
      <c r="F32" s="30">
        <v>0</v>
      </c>
      <c r="G32" s="30">
        <f>SUM(D32:F32)</f>
        <v>8500.02736</v>
      </c>
      <c r="H32" s="30"/>
    </row>
    <row r="33" spans="2:8" x14ac:dyDescent="0.35">
      <c r="B33" s="24" t="s">
        <v>57</v>
      </c>
      <c r="D33" s="30"/>
      <c r="E33" s="30"/>
      <c r="F33" s="30"/>
      <c r="G33" s="30"/>
      <c r="H33" s="30"/>
    </row>
    <row r="34" spans="2:8" x14ac:dyDescent="0.35">
      <c r="B34" s="48" t="s">
        <v>121</v>
      </c>
      <c r="D34" s="30">
        <v>4060.54718</v>
      </c>
      <c r="E34" s="30">
        <v>342.49546999999995</v>
      </c>
      <c r="F34" s="30">
        <v>0</v>
      </c>
      <c r="G34" s="30">
        <f>SUM(D34:F34)</f>
        <v>4403.0426500000003</v>
      </c>
      <c r="H34" s="30"/>
    </row>
    <row r="35" spans="2:8" x14ac:dyDescent="0.35">
      <c r="B35" s="48" t="s">
        <v>122</v>
      </c>
      <c r="D35" s="30">
        <v>7627.2710700000007</v>
      </c>
      <c r="E35" s="30">
        <v>1273.0652299999999</v>
      </c>
      <c r="F35" s="30">
        <v>0</v>
      </c>
      <c r="G35" s="30">
        <f>SUM(D35:F35)</f>
        <v>8900.3363000000008</v>
      </c>
      <c r="H35" s="30"/>
    </row>
    <row r="36" spans="2:8" x14ac:dyDescent="0.35">
      <c r="B36" s="48" t="s">
        <v>124</v>
      </c>
      <c r="D36" s="30">
        <v>0</v>
      </c>
      <c r="E36" s="30">
        <v>121.98983</v>
      </c>
      <c r="F36" s="30">
        <v>0</v>
      </c>
      <c r="G36" s="30">
        <f>SUM(D36:F36)</f>
        <v>121.98983</v>
      </c>
      <c r="H36" s="30"/>
    </row>
    <row r="37" spans="2:8" x14ac:dyDescent="0.35">
      <c r="B37" s="24" t="s">
        <v>45</v>
      </c>
      <c r="D37" s="30"/>
      <c r="E37" s="30"/>
      <c r="F37" s="30"/>
      <c r="G37" s="30"/>
      <c r="H37" s="30"/>
    </row>
    <row r="38" spans="2:8" x14ac:dyDescent="0.35">
      <c r="B38" s="48" t="s">
        <v>126</v>
      </c>
      <c r="D38" s="30">
        <v>201.74281999999999</v>
      </c>
      <c r="E38" s="30">
        <v>784.85031000000004</v>
      </c>
      <c r="F38" s="30">
        <v>0</v>
      </c>
      <c r="G38" s="30">
        <f>SUM(D38:F38)</f>
        <v>986.59312999999997</v>
      </c>
      <c r="H38" s="30"/>
    </row>
    <row r="39" spans="2:8" x14ac:dyDescent="0.35">
      <c r="B39" s="48" t="s">
        <v>172</v>
      </c>
      <c r="D39" s="30">
        <v>1014.0896300000001</v>
      </c>
      <c r="E39" s="30">
        <v>245.82176999999999</v>
      </c>
      <c r="F39" s="30">
        <v>-10.379430000000001</v>
      </c>
      <c r="G39" s="30">
        <f>SUM(D39:F39)</f>
        <v>1249.53197</v>
      </c>
      <c r="H39" s="30"/>
    </row>
    <row r="40" spans="2:8" x14ac:dyDescent="0.35">
      <c r="B40" s="24" t="s">
        <v>61</v>
      </c>
      <c r="C40" s="24"/>
      <c r="D40" s="31">
        <f>SUBTOTAL(9,D30:D39)</f>
        <v>21964.577689999998</v>
      </c>
      <c r="E40" s="31">
        <f>SUBTOTAL(9,E30:E39)</f>
        <v>5454.2833799999989</v>
      </c>
      <c r="F40" s="31">
        <f>SUBTOTAL(9,F30:F39)</f>
        <v>-10.379430000000001</v>
      </c>
      <c r="G40" s="31">
        <f>SUBTOTAL(9,G30:G39)</f>
        <v>27408.481640000002</v>
      </c>
      <c r="H40" s="30"/>
    </row>
    <row r="41" spans="2:8" x14ac:dyDescent="0.35">
      <c r="D41" s="30"/>
      <c r="E41" s="30"/>
      <c r="F41" s="30"/>
      <c r="G41" s="30"/>
      <c r="H41" s="30"/>
    </row>
    <row r="42" spans="2:8" s="24" customFormat="1" x14ac:dyDescent="0.35">
      <c r="B42" s="24" t="s">
        <v>88</v>
      </c>
      <c r="D42" s="31"/>
      <c r="E42" s="31"/>
      <c r="F42" s="31"/>
      <c r="G42" s="31"/>
      <c r="H42" s="31"/>
    </row>
    <row r="43" spans="2:8" x14ac:dyDescent="0.35">
      <c r="B43" s="48" t="s">
        <v>69</v>
      </c>
      <c r="D43" s="30">
        <v>3317.7492299999999</v>
      </c>
      <c r="E43" s="30">
        <v>302.79295000000002</v>
      </c>
      <c r="F43" s="30">
        <v>0</v>
      </c>
      <c r="G43" s="30">
        <f>SUM(D43:F43)</f>
        <v>3620.5421799999999</v>
      </c>
      <c r="H43" s="30"/>
    </row>
    <row r="44" spans="2:8" x14ac:dyDescent="0.35">
      <c r="B44" s="48" t="s">
        <v>70</v>
      </c>
      <c r="D44" s="30">
        <v>3781.5523900000003</v>
      </c>
      <c r="E44" s="30">
        <v>768.30093000000011</v>
      </c>
      <c r="F44" s="30">
        <v>-4549.8533200000002</v>
      </c>
      <c r="G44" s="30">
        <f>SUM(D44:F44)</f>
        <v>0</v>
      </c>
      <c r="H44" s="30"/>
    </row>
    <row r="45" spans="2:8" x14ac:dyDescent="0.35">
      <c r="B45" s="48" t="s">
        <v>129</v>
      </c>
      <c r="D45" s="30">
        <v>0</v>
      </c>
      <c r="E45" s="30">
        <v>24.975000000000001</v>
      </c>
      <c r="F45" s="30">
        <v>0</v>
      </c>
      <c r="G45" s="30">
        <f>SUM(D45:F45)</f>
        <v>24.975000000000001</v>
      </c>
      <c r="H45" s="30"/>
    </row>
    <row r="46" spans="2:8" x14ac:dyDescent="0.35">
      <c r="B46" s="24" t="s">
        <v>61</v>
      </c>
      <c r="C46" s="24"/>
      <c r="D46" s="31">
        <f>SUBTOTAL(9,D43:D45)</f>
        <v>7099.3016200000002</v>
      </c>
      <c r="E46" s="31">
        <f>SUBTOTAL(9,E43:E45)</f>
        <v>1096.06888</v>
      </c>
      <c r="F46" s="31">
        <f>SUBTOTAL(9,F43:F45)</f>
        <v>-4549.8533200000002</v>
      </c>
      <c r="G46" s="31">
        <f>SUBTOTAL(9,G43:G45)</f>
        <v>3645.5171799999998</v>
      </c>
      <c r="H46" s="30"/>
    </row>
    <row r="47" spans="2:8" x14ac:dyDescent="0.35">
      <c r="D47" s="30"/>
      <c r="E47" s="30"/>
      <c r="F47" s="30"/>
      <c r="G47" s="30"/>
      <c r="H47" s="30"/>
    </row>
    <row r="48" spans="2:8" s="24" customFormat="1" x14ac:dyDescent="0.35">
      <c r="B48" s="24" t="s">
        <v>90</v>
      </c>
      <c r="D48" s="31"/>
      <c r="E48" s="31"/>
      <c r="F48" s="31"/>
      <c r="G48" s="31"/>
      <c r="H48" s="31"/>
    </row>
    <row r="49" spans="2:8" s="24" customFormat="1" ht="3.5" customHeight="1" x14ac:dyDescent="0.35">
      <c r="D49" s="31"/>
      <c r="E49" s="31"/>
      <c r="F49" s="31"/>
      <c r="G49" s="31"/>
      <c r="H49" s="31"/>
    </row>
    <row r="50" spans="2:8" s="24" customFormat="1" x14ac:dyDescent="0.35">
      <c r="B50" s="24" t="s">
        <v>29</v>
      </c>
      <c r="D50" s="31"/>
      <c r="E50" s="31"/>
      <c r="F50" s="31"/>
      <c r="G50" s="31"/>
      <c r="H50" s="31"/>
    </row>
    <row r="51" spans="2:8" x14ac:dyDescent="0.35">
      <c r="B51" s="48" t="s">
        <v>186</v>
      </c>
      <c r="D51" s="30">
        <v>0</v>
      </c>
      <c r="E51" s="30">
        <v>840.55914000000007</v>
      </c>
      <c r="F51" s="30">
        <v>0</v>
      </c>
      <c r="G51" s="30">
        <f>SUM(D51:F51)</f>
        <v>840.55914000000007</v>
      </c>
      <c r="H51" s="30"/>
    </row>
    <row r="52" spans="2:8" x14ac:dyDescent="0.35">
      <c r="B52" s="48" t="s">
        <v>187</v>
      </c>
      <c r="D52" s="30">
        <v>0</v>
      </c>
      <c r="E52" s="30">
        <v>385.22419000000002</v>
      </c>
      <c r="F52" s="30">
        <v>-385.22419000000002</v>
      </c>
      <c r="G52" s="30">
        <f>SUM(D52:F52)</f>
        <v>0</v>
      </c>
      <c r="H52" s="30"/>
    </row>
    <row r="53" spans="2:8" x14ac:dyDescent="0.35">
      <c r="B53" s="48" t="s">
        <v>188</v>
      </c>
      <c r="D53" s="30">
        <v>0</v>
      </c>
      <c r="E53" s="30">
        <v>207.53754999999998</v>
      </c>
      <c r="F53" s="30">
        <v>0</v>
      </c>
      <c r="G53" s="30">
        <f>SUM(D53:F53)</f>
        <v>207.53754999999998</v>
      </c>
      <c r="H53" s="30"/>
    </row>
    <row r="54" spans="2:8" x14ac:dyDescent="0.35">
      <c r="B54" s="48" t="s">
        <v>189</v>
      </c>
      <c r="D54" s="30">
        <v>0</v>
      </c>
      <c r="E54" s="30">
        <v>226.67295999999999</v>
      </c>
      <c r="F54" s="30">
        <v>-226.67295999999999</v>
      </c>
      <c r="G54" s="30">
        <f>SUM(D54:F54)</f>
        <v>0</v>
      </c>
      <c r="H54" s="30"/>
    </row>
    <row r="55" spans="2:8" x14ac:dyDescent="0.35">
      <c r="B55" s="48" t="s">
        <v>190</v>
      </c>
      <c r="D55" s="30">
        <v>146.26105999999999</v>
      </c>
      <c r="E55" s="30">
        <v>336.49248</v>
      </c>
      <c r="F55" s="30">
        <v>-482.75354000000004</v>
      </c>
      <c r="G55" s="30">
        <f>SUM(D55:F55)</f>
        <v>0</v>
      </c>
      <c r="H55" s="30"/>
    </row>
    <row r="56" spans="2:8" x14ac:dyDescent="0.35">
      <c r="B56" s="48" t="s">
        <v>62</v>
      </c>
      <c r="D56" s="30">
        <v>744.21474000000001</v>
      </c>
      <c r="E56" s="30">
        <v>-261.26483000000007</v>
      </c>
      <c r="F56" s="30">
        <v>-311.76300000000003</v>
      </c>
      <c r="G56" s="30">
        <v>171.18690999999995</v>
      </c>
      <c r="H56" s="30"/>
    </row>
    <row r="57" spans="2:8" x14ac:dyDescent="0.35">
      <c r="B57" s="24" t="s">
        <v>61</v>
      </c>
      <c r="C57" s="24"/>
      <c r="D57" s="31">
        <f>SUBTOTAL(9,D51:D56)</f>
        <v>890.47579999999994</v>
      </c>
      <c r="E57" s="31">
        <f>SUBTOTAL(9,E51:E56)</f>
        <v>1735.2214899999999</v>
      </c>
      <c r="F57" s="31">
        <f>SUBTOTAL(9,F51:F56)</f>
        <v>-1406.4136899999999</v>
      </c>
      <c r="G57" s="31">
        <f>SUBTOTAL(9,G51:G56)</f>
        <v>1219.2836</v>
      </c>
    </row>
    <row r="58" spans="2:8" s="24" customFormat="1" ht="3.5" customHeight="1" x14ac:dyDescent="0.35">
      <c r="D58" s="31"/>
      <c r="E58" s="31"/>
      <c r="F58" s="31"/>
      <c r="G58" s="31"/>
      <c r="H58" s="31"/>
    </row>
    <row r="59" spans="2:8" s="24" customFormat="1" x14ac:dyDescent="0.35">
      <c r="B59" s="24" t="s">
        <v>26</v>
      </c>
      <c r="D59" s="31"/>
      <c r="E59" s="31"/>
      <c r="F59" s="31"/>
      <c r="G59" s="31"/>
      <c r="H59" s="31"/>
    </row>
    <row r="60" spans="2:8" x14ac:dyDescent="0.35">
      <c r="B60" s="48" t="s">
        <v>191</v>
      </c>
      <c r="D60" s="30">
        <v>541.93344999999999</v>
      </c>
      <c r="E60" s="30">
        <v>9.5888399999999994</v>
      </c>
      <c r="F60" s="30">
        <v>-551.52229</v>
      </c>
      <c r="G60" s="30">
        <f>SUM(D60:F60)</f>
        <v>0</v>
      </c>
      <c r="H60" s="30"/>
    </row>
    <row r="61" spans="2:8" x14ac:dyDescent="0.35">
      <c r="B61" s="48" t="s">
        <v>192</v>
      </c>
      <c r="D61" s="30">
        <v>72.516170000000002</v>
      </c>
      <c r="E61" s="30">
        <v>120.90442999999999</v>
      </c>
      <c r="F61" s="30">
        <v>-193.42060000000001</v>
      </c>
      <c r="G61" s="30">
        <f>SUM(D61:F61)</f>
        <v>0</v>
      </c>
      <c r="H61" s="30"/>
    </row>
    <row r="62" spans="2:8" x14ac:dyDescent="0.35">
      <c r="B62" s="48" t="s">
        <v>146</v>
      </c>
      <c r="D62" s="30">
        <v>0</v>
      </c>
      <c r="E62" s="30">
        <v>11.41442</v>
      </c>
      <c r="F62" s="30">
        <v>0</v>
      </c>
      <c r="G62" s="30">
        <f>SUM(D62:F62)</f>
        <v>11.41442</v>
      </c>
      <c r="H62" s="30"/>
    </row>
    <row r="63" spans="2:8" x14ac:dyDescent="0.35">
      <c r="B63" s="48" t="s">
        <v>62</v>
      </c>
      <c r="D63" s="30">
        <v>-85.627710000000008</v>
      </c>
      <c r="E63" s="30">
        <v>111.48521</v>
      </c>
      <c r="F63" s="30">
        <v>-25.857499999999987</v>
      </c>
      <c r="G63" s="30">
        <v>0</v>
      </c>
      <c r="H63" s="30"/>
    </row>
    <row r="64" spans="2:8" x14ac:dyDescent="0.35">
      <c r="B64" s="24" t="s">
        <v>61</v>
      </c>
      <c r="C64" s="24"/>
      <c r="D64" s="31">
        <f>SUBTOTAL(9,D60:D63)</f>
        <v>528.82191</v>
      </c>
      <c r="E64" s="31">
        <f>SUBTOTAL(9,E60:E63)</f>
        <v>253.3929</v>
      </c>
      <c r="F64" s="31">
        <f>SUBTOTAL(9,F60:F63)</f>
        <v>-770.80038999999999</v>
      </c>
      <c r="G64" s="31">
        <f>SUBTOTAL(9,G60:G63)</f>
        <v>11.41442</v>
      </c>
      <c r="H64" s="30"/>
    </row>
    <row r="65" spans="2:8" s="24" customFormat="1" ht="3.5" customHeight="1" x14ac:dyDescent="0.35">
      <c r="D65" s="31"/>
      <c r="E65" s="31"/>
      <c r="F65" s="31"/>
      <c r="G65" s="31"/>
      <c r="H65" s="31"/>
    </row>
    <row r="66" spans="2:8" s="24" customFormat="1" x14ac:dyDescent="0.35">
      <c r="B66" s="24" t="s">
        <v>27</v>
      </c>
      <c r="D66" s="31"/>
      <c r="E66" s="31"/>
      <c r="F66" s="31"/>
      <c r="G66" s="31"/>
      <c r="H66" s="31"/>
    </row>
    <row r="67" spans="2:8" x14ac:dyDescent="0.35">
      <c r="B67" s="48" t="s">
        <v>173</v>
      </c>
      <c r="D67" s="30">
        <v>704.13707999999997</v>
      </c>
      <c r="E67" s="30">
        <v>947.09681</v>
      </c>
      <c r="F67" s="30">
        <v>-942.91110000000003</v>
      </c>
      <c r="G67" s="30">
        <f>SUM(D67:F67)</f>
        <v>708.32278999999994</v>
      </c>
      <c r="H67" s="30"/>
    </row>
    <row r="68" spans="2:8" x14ac:dyDescent="0.35">
      <c r="B68" s="48" t="s">
        <v>162</v>
      </c>
      <c r="D68" s="30">
        <v>24.724599999999999</v>
      </c>
      <c r="E68" s="30">
        <v>0.62424000000000002</v>
      </c>
      <c r="F68" s="30">
        <v>0</v>
      </c>
      <c r="G68" s="30">
        <f>SUM(D68:F68)</f>
        <v>25.348839999999999</v>
      </c>
      <c r="H68" s="30"/>
    </row>
    <row r="69" spans="2:8" x14ac:dyDescent="0.35">
      <c r="B69" s="48" t="s">
        <v>62</v>
      </c>
      <c r="D69" s="30">
        <v>0</v>
      </c>
      <c r="E69" s="30">
        <v>48.43526</v>
      </c>
      <c r="F69" s="30">
        <v>-48.43526</v>
      </c>
      <c r="G69" s="30">
        <v>0</v>
      </c>
      <c r="H69" s="30"/>
    </row>
    <row r="70" spans="2:8" s="24" customFormat="1" x14ac:dyDescent="0.35">
      <c r="B70" s="24" t="s">
        <v>61</v>
      </c>
      <c r="D70" s="31">
        <f>SUBTOTAL(9,D67:D69)</f>
        <v>728.86167999999998</v>
      </c>
      <c r="E70" s="31">
        <f>SUBTOTAL(9,E67:E69)</f>
        <v>996.15630999999996</v>
      </c>
      <c r="F70" s="31">
        <f>SUBTOTAL(9,F67:F69)</f>
        <v>-991.34636</v>
      </c>
      <c r="G70" s="31">
        <f>SUBTOTAL(9,G67:G69)</f>
        <v>733.67162999999994</v>
      </c>
      <c r="H70" s="30"/>
    </row>
    <row r="71" spans="2:8" s="24" customFormat="1" ht="3.5" customHeight="1" x14ac:dyDescent="0.35">
      <c r="D71" s="31"/>
      <c r="E71" s="31"/>
      <c r="F71" s="31"/>
      <c r="G71" s="31"/>
      <c r="H71" s="31"/>
    </row>
    <row r="72" spans="2:8" s="24" customFormat="1" x14ac:dyDescent="0.35">
      <c r="B72" s="24" t="s">
        <v>58</v>
      </c>
      <c r="D72" s="31"/>
      <c r="E72" s="31"/>
      <c r="F72" s="31"/>
      <c r="G72" s="31"/>
      <c r="H72" s="31"/>
    </row>
    <row r="73" spans="2:8" x14ac:dyDescent="0.35">
      <c r="B73" s="48" t="s">
        <v>193</v>
      </c>
      <c r="D73" s="30">
        <v>0</v>
      </c>
      <c r="E73" s="30">
        <v>292.83492000000001</v>
      </c>
      <c r="F73" s="30">
        <v>-292.83492000000001</v>
      </c>
      <c r="G73" s="30">
        <f>SUM(D73:F73)</f>
        <v>0</v>
      </c>
      <c r="H73" s="30"/>
    </row>
    <row r="74" spans="2:8" x14ac:dyDescent="0.35">
      <c r="B74" s="48" t="s">
        <v>163</v>
      </c>
      <c r="D74" s="30">
        <v>100.1138</v>
      </c>
      <c r="E74" s="30">
        <v>18.75348</v>
      </c>
      <c r="F74" s="30">
        <v>-118.86727999999999</v>
      </c>
      <c r="G74" s="30">
        <f>SUM(D74:F74)</f>
        <v>0</v>
      </c>
      <c r="H74" s="30"/>
    </row>
    <row r="75" spans="2:8" x14ac:dyDescent="0.35">
      <c r="B75" s="48" t="s">
        <v>62</v>
      </c>
      <c r="D75" s="30">
        <v>98.953019999999995</v>
      </c>
      <c r="E75" s="30">
        <v>404.50690999999989</v>
      </c>
      <c r="F75" s="30">
        <v>-502.79628999999994</v>
      </c>
      <c r="G75" s="30">
        <v>0.66364000000000001</v>
      </c>
      <c r="H75" s="30"/>
    </row>
    <row r="76" spans="2:8" s="24" customFormat="1" x14ac:dyDescent="0.35">
      <c r="B76" s="24" t="s">
        <v>61</v>
      </c>
      <c r="D76" s="31">
        <f>SUBTOTAL(9,D73:D75)</f>
        <v>199.06682000000001</v>
      </c>
      <c r="E76" s="31">
        <f>SUBTOTAL(9,E73:E75)</f>
        <v>716.09530999999993</v>
      </c>
      <c r="F76" s="31">
        <f>SUBTOTAL(9,F73:F75)</f>
        <v>-914.49848999999995</v>
      </c>
      <c r="G76" s="31">
        <f>SUBTOTAL(9,G73:G75)</f>
        <v>0.66364000000000001</v>
      </c>
      <c r="H76" s="31"/>
    </row>
    <row r="77" spans="2:8" s="24" customFormat="1" ht="9.5" customHeight="1" x14ac:dyDescent="0.35">
      <c r="D77" s="31"/>
      <c r="E77" s="31"/>
      <c r="F77" s="31"/>
      <c r="G77" s="31"/>
      <c r="H77" s="31"/>
    </row>
    <row r="78" spans="2:8" s="24" customFormat="1" x14ac:dyDescent="0.35">
      <c r="B78" s="24" t="s">
        <v>93</v>
      </c>
      <c r="D78" s="31"/>
      <c r="E78" s="31"/>
      <c r="F78" s="31"/>
      <c r="G78" s="31"/>
      <c r="H78" s="31"/>
    </row>
    <row r="79" spans="2:8" x14ac:dyDescent="0.35">
      <c r="B79" s="48" t="s">
        <v>167</v>
      </c>
      <c r="D79" s="30">
        <v>280.05655000000002</v>
      </c>
      <c r="E79" s="30">
        <v>45.941600000000001</v>
      </c>
      <c r="F79" s="30">
        <v>-325.99815000000001</v>
      </c>
      <c r="G79" s="30">
        <f>SUM(D79:F79)</f>
        <v>0</v>
      </c>
      <c r="H79" s="30"/>
    </row>
    <row r="80" spans="2:8" x14ac:dyDescent="0.35">
      <c r="B80" s="48" t="s">
        <v>168</v>
      </c>
      <c r="D80" s="30">
        <v>370.16401000000002</v>
      </c>
      <c r="E80" s="30">
        <v>454.79165</v>
      </c>
      <c r="F80" s="30">
        <v>0</v>
      </c>
      <c r="G80" s="30">
        <f>SUM(D80:F80)</f>
        <v>824.95566000000008</v>
      </c>
      <c r="H80" s="30"/>
    </row>
    <row r="81" spans="2:8" x14ac:dyDescent="0.35">
      <c r="B81" s="48" t="s">
        <v>169</v>
      </c>
      <c r="D81" s="30">
        <v>173.63879</v>
      </c>
      <c r="E81" s="30">
        <v>80.850539999999995</v>
      </c>
      <c r="F81" s="30">
        <v>-254.48933</v>
      </c>
      <c r="G81" s="30">
        <f>SUM(D81:F81)</f>
        <v>0</v>
      </c>
      <c r="H81" s="30"/>
    </row>
    <row r="82" spans="2:8" x14ac:dyDescent="0.35">
      <c r="B82" s="48" t="s">
        <v>62</v>
      </c>
      <c r="D82" s="30">
        <v>129.49002999999999</v>
      </c>
      <c r="E82" s="30">
        <v>153.20488000000003</v>
      </c>
      <c r="F82" s="30">
        <v>-262.76943</v>
      </c>
      <c r="G82" s="30">
        <v>19.925480000000004</v>
      </c>
      <c r="H82" s="30"/>
    </row>
    <row r="83" spans="2:8" x14ac:dyDescent="0.35">
      <c r="B83" s="24" t="s">
        <v>61</v>
      </c>
      <c r="C83" s="24"/>
      <c r="D83" s="31">
        <f>SUBTOTAL(9,D79:D82)</f>
        <v>953.34937999999988</v>
      </c>
      <c r="E83" s="31">
        <f>SUBTOTAL(9,E79:E82)</f>
        <v>734.78867000000002</v>
      </c>
      <c r="F83" s="31">
        <f>SUBTOTAL(9,F79:F82)</f>
        <v>-843.25691000000006</v>
      </c>
      <c r="G83" s="31">
        <f>SUBTOTAL(9,G79:G82)</f>
        <v>844.88114000000007</v>
      </c>
      <c r="H83" s="30"/>
    </row>
    <row r="84" spans="2:8" ht="6" customHeight="1" x14ac:dyDescent="0.35">
      <c r="D84" s="30"/>
      <c r="E84" s="30"/>
      <c r="F84" s="30"/>
      <c r="G84" s="30"/>
      <c r="H84" s="30"/>
    </row>
    <row r="85" spans="2:8" x14ac:dyDescent="0.35">
      <c r="B85" s="24" t="s">
        <v>92</v>
      </c>
      <c r="C85" s="24"/>
      <c r="D85" s="30"/>
      <c r="E85" s="30"/>
      <c r="F85" s="30"/>
      <c r="G85" s="30"/>
      <c r="H85" s="30"/>
    </row>
    <row r="86" spans="2:8" x14ac:dyDescent="0.35">
      <c r="B86" s="48" t="s">
        <v>62</v>
      </c>
      <c r="D86" s="30">
        <v>41.146460000000005</v>
      </c>
      <c r="E86" s="30">
        <v>57.627929999999999</v>
      </c>
      <c r="F86" s="30">
        <v>-98.774390000000011</v>
      </c>
      <c r="G86" s="30">
        <v>0</v>
      </c>
      <c r="H86" s="30"/>
    </row>
    <row r="87" spans="2:8" x14ac:dyDescent="0.35">
      <c r="B87" s="24" t="s">
        <v>61</v>
      </c>
      <c r="C87" s="24"/>
      <c r="D87" s="31">
        <f>SUBTOTAL(9,D86:D86)</f>
        <v>41.146460000000005</v>
      </c>
      <c r="E87" s="31">
        <f>SUBTOTAL(9,E86:E86)</f>
        <v>57.627929999999999</v>
      </c>
      <c r="F87" s="31">
        <f>SUBTOTAL(9,F86:F86)</f>
        <v>-98.774390000000011</v>
      </c>
      <c r="G87" s="31">
        <f>SUBTOTAL(9,G86:G86)</f>
        <v>0</v>
      </c>
      <c r="H87" s="30"/>
    </row>
    <row r="88" spans="2:8" ht="10" customHeight="1" x14ac:dyDescent="0.35">
      <c r="B88" s="24"/>
      <c r="C88" s="24"/>
      <c r="D88" s="31"/>
      <c r="E88" s="31"/>
      <c r="F88" s="31"/>
      <c r="G88" s="31"/>
      <c r="H88" s="30"/>
    </row>
    <row r="89" spans="2:8" ht="15" thickBot="1" x14ac:dyDescent="0.4">
      <c r="B89" s="33" t="s">
        <v>60</v>
      </c>
      <c r="C89" s="33"/>
      <c r="D89" s="34">
        <f>SUBTOTAL(9,D9:D87)</f>
        <v>55353.362330000004</v>
      </c>
      <c r="E89" s="34">
        <f>SUBTOTAL(9,E9:E87)</f>
        <v>34131.670099999996</v>
      </c>
      <c r="F89" s="34">
        <f>SUBTOTAL(9,F9:F87)</f>
        <v>-53777.76232999999</v>
      </c>
      <c r="G89" s="34">
        <f>SUBTOTAL(9,G9:G87)</f>
        <v>35707.270099999987</v>
      </c>
    </row>
    <row r="90" spans="2:8" ht="8.5" customHeight="1" thickTop="1" x14ac:dyDescent="0.35">
      <c r="D90" s="30"/>
      <c r="E90" s="30"/>
      <c r="F90" s="30"/>
      <c r="G90" s="30"/>
    </row>
    <row r="91" spans="2:8" x14ac:dyDescent="0.35">
      <c r="B91" s="24" t="s">
        <v>89</v>
      </c>
      <c r="D91" s="30"/>
      <c r="E91" s="30"/>
      <c r="F91" s="30"/>
      <c r="G91" s="30"/>
    </row>
    <row r="92" spans="2:8" x14ac:dyDescent="0.35">
      <c r="B92" s="48" t="s">
        <v>174</v>
      </c>
      <c r="D92" s="30">
        <v>-12379.44635</v>
      </c>
      <c r="E92" s="30">
        <v>-8684.8351600000005</v>
      </c>
      <c r="F92" s="30">
        <v>21064.281510000001</v>
      </c>
      <c r="G92" s="30">
        <f>SUM(D92:F92)</f>
        <v>0</v>
      </c>
      <c r="H92" s="30"/>
    </row>
    <row r="93" spans="2:8" x14ac:dyDescent="0.35">
      <c r="B93" s="48" t="s">
        <v>161</v>
      </c>
      <c r="D93" s="30">
        <v>-316.22440999999998</v>
      </c>
      <c r="E93" s="30">
        <v>-581.32456999999999</v>
      </c>
      <c r="F93" s="30">
        <v>0</v>
      </c>
      <c r="G93" s="30">
        <f>SUM(D93:F93)</f>
        <v>-897.54898000000003</v>
      </c>
      <c r="H93" s="30"/>
    </row>
    <row r="94" spans="2:8" x14ac:dyDescent="0.35">
      <c r="B94" s="24" t="s">
        <v>61</v>
      </c>
      <c r="D94" s="30">
        <f>SUBTOTAL(9,D92:D93)</f>
        <v>-12695.670760000001</v>
      </c>
      <c r="E94" s="30">
        <f>SUBTOTAL(9,E92:E93)</f>
        <v>-9266.1597300000012</v>
      </c>
      <c r="F94" s="30">
        <f>SUBTOTAL(9,F92:F93)</f>
        <v>21064.281510000001</v>
      </c>
      <c r="G94" s="30">
        <f>SUBTOTAL(9,G92:G93)</f>
        <v>-897.54898000000003</v>
      </c>
      <c r="H94" s="30"/>
    </row>
    <row r="95" spans="2:8" ht="5.5" customHeight="1" x14ac:dyDescent="0.35">
      <c r="B95" s="24"/>
      <c r="D95" s="30"/>
      <c r="E95" s="30"/>
      <c r="F95" s="30"/>
      <c r="G95" s="30"/>
      <c r="H95" s="30"/>
    </row>
    <row r="96" spans="2:8" x14ac:dyDescent="0.35">
      <c r="B96" s="24" t="s">
        <v>91</v>
      </c>
      <c r="D96" s="30"/>
      <c r="E96" s="30"/>
      <c r="F96" s="30"/>
      <c r="G96" s="30"/>
      <c r="H96" s="30"/>
    </row>
    <row r="97" spans="1:8" x14ac:dyDescent="0.35">
      <c r="B97" s="48" t="s">
        <v>195</v>
      </c>
      <c r="D97" s="30">
        <v>-72.516170000000002</v>
      </c>
      <c r="E97" s="30">
        <v>-120.68372000000001</v>
      </c>
      <c r="F97" s="30">
        <v>193.19989000000001</v>
      </c>
      <c r="G97" s="30">
        <f>SUM(D97:F97)</f>
        <v>0</v>
      </c>
      <c r="H97" s="30"/>
    </row>
    <row r="98" spans="1:8" x14ac:dyDescent="0.35">
      <c r="B98" s="48" t="s">
        <v>175</v>
      </c>
      <c r="D98" s="30">
        <v>-592.65356000000008</v>
      </c>
      <c r="E98" s="30">
        <v>-741.62837000000002</v>
      </c>
      <c r="F98" s="30">
        <v>846.05845999999997</v>
      </c>
      <c r="G98" s="30">
        <f>SUM(D98:F98)</f>
        <v>-488.22347000000013</v>
      </c>
      <c r="H98" s="30"/>
    </row>
    <row r="99" spans="1:8" x14ac:dyDescent="0.35">
      <c r="B99" s="24" t="s">
        <v>61</v>
      </c>
      <c r="D99" s="30">
        <f>SUBTOTAL(9,D97:D98)</f>
        <v>-665.16973000000007</v>
      </c>
      <c r="E99" s="30">
        <f>SUBTOTAL(9,E97:E98)</f>
        <v>-862.31209000000001</v>
      </c>
      <c r="F99" s="30">
        <f>SUBTOTAL(9,F97:F98)</f>
        <v>1039.2583500000001</v>
      </c>
      <c r="G99" s="30">
        <f>SUBTOTAL(9,G97:G98)</f>
        <v>-488.22347000000013</v>
      </c>
      <c r="H99" s="30"/>
    </row>
    <row r="100" spans="1:8" ht="3" customHeight="1" x14ac:dyDescent="0.35">
      <c r="B100" s="24"/>
      <c r="D100" s="30"/>
      <c r="E100" s="30"/>
      <c r="F100" s="30"/>
      <c r="G100" s="30"/>
      <c r="H100" s="30"/>
    </row>
    <row r="101" spans="1:8" x14ac:dyDescent="0.35">
      <c r="B101" s="24" t="s">
        <v>94</v>
      </c>
      <c r="D101" s="43"/>
      <c r="E101" s="43"/>
      <c r="F101" s="43"/>
      <c r="G101" s="43"/>
      <c r="H101" s="30"/>
    </row>
    <row r="102" spans="1:8" x14ac:dyDescent="0.35">
      <c r="B102" s="48" t="s">
        <v>196</v>
      </c>
      <c r="D102" s="30">
        <v>-854.24748999999997</v>
      </c>
      <c r="E102" s="30">
        <v>-249.82382999999999</v>
      </c>
      <c r="F102" s="30">
        <v>0</v>
      </c>
      <c r="G102" s="30">
        <f>SUM(D102:F102)</f>
        <v>-1104.07132</v>
      </c>
      <c r="H102" s="30"/>
    </row>
    <row r="103" spans="1:8" s="24" customFormat="1" x14ac:dyDescent="0.35">
      <c r="A103" s="46" t="s">
        <v>73</v>
      </c>
      <c r="B103" s="48" t="s">
        <v>197</v>
      </c>
      <c r="C103"/>
      <c r="D103" s="30">
        <v>-50.476179999999999</v>
      </c>
      <c r="E103" s="30">
        <v>-1337.36817</v>
      </c>
      <c r="F103" s="30">
        <v>0</v>
      </c>
      <c r="G103" s="30">
        <f>SUM(D103:F103)</f>
        <v>-1387.8443499999998</v>
      </c>
      <c r="H103" s="30"/>
    </row>
    <row r="104" spans="1:8" s="24" customFormat="1" x14ac:dyDescent="0.35">
      <c r="A104" s="46"/>
      <c r="B104" s="48" t="s">
        <v>198</v>
      </c>
      <c r="C104"/>
      <c r="D104" s="30">
        <v>0</v>
      </c>
      <c r="E104" s="30">
        <v>-63.540210000000002</v>
      </c>
      <c r="F104" s="30">
        <v>0</v>
      </c>
      <c r="G104" s="30">
        <f>SUM(D104:F104)</f>
        <v>-63.540210000000002</v>
      </c>
      <c r="H104" s="30"/>
    </row>
    <row r="105" spans="1:8" x14ac:dyDescent="0.35">
      <c r="B105" s="24" t="s">
        <v>61</v>
      </c>
      <c r="D105" s="30">
        <f>SUBTOTAL(9,D102:D104)</f>
        <v>-904.72366999999997</v>
      </c>
      <c r="E105" s="30">
        <f>SUBTOTAL(9,E102:E104)</f>
        <v>-1650.7322100000001</v>
      </c>
      <c r="F105" s="30">
        <f>SUBTOTAL(9,F102:F104)</f>
        <v>0</v>
      </c>
      <c r="G105" s="30">
        <f>SUBTOTAL(9,G102:G104)</f>
        <v>-2555.45588</v>
      </c>
      <c r="H105" s="30"/>
    </row>
    <row r="106" spans="1:8" ht="7.5" customHeight="1" x14ac:dyDescent="0.35">
      <c r="B106" s="24"/>
      <c r="D106" s="30"/>
      <c r="E106" s="30"/>
      <c r="F106" s="30"/>
      <c r="G106" s="30"/>
      <c r="H106" s="30"/>
    </row>
    <row r="107" spans="1:8" ht="15" thickBot="1" x14ac:dyDescent="0.4">
      <c r="B107" s="33" t="s">
        <v>60</v>
      </c>
      <c r="C107" s="33"/>
      <c r="D107" s="34">
        <f>SUBTOTAL(9,D92:D105)</f>
        <v>-14265.564160000002</v>
      </c>
      <c r="E107" s="34">
        <f>SUBTOTAL(9,E92:E105)</f>
        <v>-11779.204030000001</v>
      </c>
      <c r="F107" s="34">
        <f>SUBTOTAL(9,F92:F105)</f>
        <v>22103.539860000001</v>
      </c>
      <c r="G107" s="34">
        <f>SUBTOTAL(9,G92:G105)</f>
        <v>-3941.2283300000004</v>
      </c>
    </row>
    <row r="108" spans="1:8" ht="11.5" customHeight="1" thickTop="1" x14ac:dyDescent="0.35">
      <c r="B108" s="24"/>
      <c r="C108" s="24"/>
      <c r="D108" s="45"/>
      <c r="E108" s="45"/>
      <c r="F108" s="45"/>
      <c r="G108" s="45"/>
    </row>
    <row r="109" spans="1:8" x14ac:dyDescent="0.35">
      <c r="B109" s="39" t="s">
        <v>95</v>
      </c>
      <c r="D109" s="30">
        <f>D26</f>
        <v>22947.760969999996</v>
      </c>
      <c r="E109" s="30">
        <f>E26</f>
        <v>23088.035230000001</v>
      </c>
      <c r="F109" s="30">
        <f>F26</f>
        <v>-44192.439350000001</v>
      </c>
      <c r="G109" s="30">
        <f>G26</f>
        <v>1843.3568499999999</v>
      </c>
    </row>
    <row r="110" spans="1:8" ht="3" customHeight="1" x14ac:dyDescent="0.35">
      <c r="B110" s="39"/>
      <c r="D110" s="30"/>
      <c r="E110" s="30"/>
      <c r="F110" s="30"/>
      <c r="G110" s="30"/>
    </row>
    <row r="111" spans="1:8" x14ac:dyDescent="0.35">
      <c r="B111" s="39" t="s">
        <v>90</v>
      </c>
      <c r="D111" s="30"/>
      <c r="E111" s="30"/>
      <c r="F111" s="30"/>
      <c r="G111" s="30"/>
    </row>
    <row r="112" spans="1:8" x14ac:dyDescent="0.35">
      <c r="B112" s="50" t="s">
        <v>12</v>
      </c>
      <c r="D112" s="30">
        <f>D57</f>
        <v>890.47579999999994</v>
      </c>
      <c r="E112" s="30">
        <f>E57</f>
        <v>1735.2214899999999</v>
      </c>
      <c r="F112" s="30">
        <f>F57</f>
        <v>-1406.4136899999999</v>
      </c>
      <c r="G112" s="30">
        <f>G57</f>
        <v>1219.2836</v>
      </c>
    </row>
    <row r="113" spans="2:7" x14ac:dyDescent="0.35">
      <c r="B113" s="50" t="s">
        <v>10</v>
      </c>
      <c r="D113" s="30">
        <f>D64</f>
        <v>528.82191</v>
      </c>
      <c r="E113" s="30">
        <f>E64</f>
        <v>253.3929</v>
      </c>
      <c r="F113" s="30">
        <f>F64</f>
        <v>-770.80038999999999</v>
      </c>
      <c r="G113" s="30">
        <f>G64</f>
        <v>11.41442</v>
      </c>
    </row>
    <row r="114" spans="2:7" x14ac:dyDescent="0.35">
      <c r="B114" s="50" t="s">
        <v>11</v>
      </c>
      <c r="D114" s="30">
        <f>D70</f>
        <v>728.86167999999998</v>
      </c>
      <c r="E114" s="30">
        <f>E70</f>
        <v>996.15630999999996</v>
      </c>
      <c r="F114" s="30">
        <f>F70</f>
        <v>-991.34636</v>
      </c>
      <c r="G114" s="30">
        <f>G70</f>
        <v>733.67162999999994</v>
      </c>
    </row>
    <row r="115" spans="2:7" x14ac:dyDescent="0.35">
      <c r="B115" s="50" t="s">
        <v>13</v>
      </c>
      <c r="D115" s="30">
        <f>D76</f>
        <v>199.06682000000001</v>
      </c>
      <c r="E115" s="30">
        <f>E76</f>
        <v>716.09530999999993</v>
      </c>
      <c r="F115" s="30">
        <f>F76</f>
        <v>-914.49848999999995</v>
      </c>
      <c r="G115" s="30">
        <f>G76</f>
        <v>0.66364000000000001</v>
      </c>
    </row>
    <row r="116" spans="2:7" ht="3" customHeight="1" x14ac:dyDescent="0.35">
      <c r="D116" s="30"/>
      <c r="E116" s="30"/>
      <c r="F116" s="30"/>
      <c r="G116" s="30"/>
    </row>
    <row r="117" spans="2:7" x14ac:dyDescent="0.35">
      <c r="B117" s="39" t="s">
        <v>98</v>
      </c>
      <c r="D117" s="30">
        <v>0</v>
      </c>
      <c r="E117" s="30">
        <v>0</v>
      </c>
      <c r="F117" s="30">
        <v>0</v>
      </c>
      <c r="G117" s="30">
        <v>0</v>
      </c>
    </row>
    <row r="118" spans="2:7" ht="3" customHeight="1" x14ac:dyDescent="0.35">
      <c r="B118" s="39"/>
      <c r="D118" s="30"/>
      <c r="E118" s="30"/>
      <c r="F118" s="30"/>
      <c r="G118" s="30"/>
    </row>
    <row r="119" spans="2:7" x14ac:dyDescent="0.35">
      <c r="B119" s="39" t="s">
        <v>44</v>
      </c>
      <c r="D119" s="30">
        <v>0</v>
      </c>
      <c r="E119" s="30">
        <v>0</v>
      </c>
      <c r="F119" s="30">
        <v>0</v>
      </c>
      <c r="G119" s="30">
        <v>0</v>
      </c>
    </row>
    <row r="120" spans="2:7" ht="3" customHeight="1" x14ac:dyDescent="0.35">
      <c r="B120" s="39"/>
      <c r="D120" s="30"/>
      <c r="E120" s="30"/>
      <c r="F120" s="30"/>
      <c r="G120" s="30"/>
    </row>
    <row r="121" spans="2:7" x14ac:dyDescent="0.35">
      <c r="B121" s="39" t="s">
        <v>101</v>
      </c>
      <c r="D121" s="30">
        <f>SUM(D109:D119)</f>
        <v>25294.987179999996</v>
      </c>
      <c r="E121" s="30">
        <f>SUM(E109:E119)</f>
        <v>26788.901239999999</v>
      </c>
      <c r="F121" s="30">
        <f>SUM(F109:F119)</f>
        <v>-48275.49828</v>
      </c>
      <c r="G121" s="30">
        <f>SUM(G109:G119)</f>
        <v>3808.39014</v>
      </c>
    </row>
    <row r="122" spans="2:7" ht="5.5" customHeight="1" x14ac:dyDescent="0.35">
      <c r="B122" s="39"/>
      <c r="D122" s="30"/>
      <c r="E122" s="30"/>
      <c r="F122" s="30"/>
      <c r="G122" s="30"/>
    </row>
    <row r="123" spans="2:7" x14ac:dyDescent="0.35">
      <c r="B123" s="24" t="s">
        <v>96</v>
      </c>
      <c r="D123" s="30">
        <f>D40+D83</f>
        <v>22917.927069999998</v>
      </c>
      <c r="E123" s="30">
        <f>E40+E83</f>
        <v>6189.0720499999989</v>
      </c>
      <c r="F123" s="30">
        <f>F40+F83</f>
        <v>-853.63634000000002</v>
      </c>
      <c r="G123" s="30">
        <f>G40+G83</f>
        <v>28253.362780000003</v>
      </c>
    </row>
    <row r="124" spans="2:7" ht="4" customHeight="1" x14ac:dyDescent="0.35">
      <c r="D124" s="30"/>
      <c r="E124" s="30"/>
      <c r="F124" s="30"/>
      <c r="G124" s="30"/>
    </row>
    <row r="125" spans="2:7" x14ac:dyDescent="0.35">
      <c r="B125" s="39" t="s">
        <v>97</v>
      </c>
      <c r="D125" s="30">
        <f>D46+D87</f>
        <v>7140.4480800000001</v>
      </c>
      <c r="E125" s="30">
        <f>E46+E87</f>
        <v>1153.6968100000001</v>
      </c>
      <c r="F125" s="30">
        <f>F46+F87</f>
        <v>-4648.6277099999998</v>
      </c>
      <c r="G125" s="30">
        <f>G46+G87</f>
        <v>3645.5171799999998</v>
      </c>
    </row>
    <row r="126" spans="2:7" ht="7" customHeight="1" x14ac:dyDescent="0.35">
      <c r="D126" s="30"/>
      <c r="E126" s="30"/>
      <c r="F126" s="30"/>
      <c r="G126" s="30"/>
    </row>
    <row r="127" spans="2:7" x14ac:dyDescent="0.35">
      <c r="B127" s="39" t="s">
        <v>102</v>
      </c>
      <c r="D127" s="30"/>
      <c r="E127" s="30"/>
      <c r="F127" s="30"/>
      <c r="G127" s="30"/>
    </row>
    <row r="128" spans="2:7" x14ac:dyDescent="0.35">
      <c r="B128" s="49" t="s">
        <v>99</v>
      </c>
      <c r="D128" s="30">
        <f>SUM(D94,D99)</f>
        <v>-13360.840490000001</v>
      </c>
      <c r="E128" s="30">
        <f>SUM(E94,E99)</f>
        <v>-10128.471820000001</v>
      </c>
      <c r="F128" s="30">
        <f>SUM(F94,F99)</f>
        <v>22103.539860000001</v>
      </c>
      <c r="G128" s="30">
        <f>SUM(G94,G99)</f>
        <v>-1385.7724500000002</v>
      </c>
    </row>
    <row r="129" spans="2:8" x14ac:dyDescent="0.35">
      <c r="B129" s="49" t="s">
        <v>100</v>
      </c>
      <c r="D129" s="30">
        <f>D105</f>
        <v>-904.72366999999997</v>
      </c>
      <c r="E129" s="30">
        <f>E105</f>
        <v>-1650.7322100000001</v>
      </c>
      <c r="F129" s="30">
        <f>F105</f>
        <v>0</v>
      </c>
      <c r="G129" s="30">
        <f>G105</f>
        <v>-2555.45588</v>
      </c>
    </row>
    <row r="130" spans="2:8" ht="4" customHeight="1" x14ac:dyDescent="0.35">
      <c r="D130" s="30"/>
      <c r="E130" s="30"/>
      <c r="F130" s="30"/>
      <c r="G130" s="30"/>
    </row>
    <row r="131" spans="2:8" s="24" customFormat="1" x14ac:dyDescent="0.35">
      <c r="B131" s="24" t="s">
        <v>55</v>
      </c>
      <c r="D131" s="30"/>
      <c r="E131" s="30"/>
      <c r="F131" s="30"/>
      <c r="G131" s="30"/>
      <c r="H131" s="30"/>
    </row>
    <row r="132" spans="2:8" x14ac:dyDescent="0.35">
      <c r="B132" s="48" t="s">
        <v>55</v>
      </c>
      <c r="D132" s="43">
        <v>4441.0421999999999</v>
      </c>
      <c r="E132" s="43">
        <v>3841.8377599999999</v>
      </c>
      <c r="F132" s="43">
        <v>-1393.2667099999999</v>
      </c>
      <c r="G132" s="43">
        <v>6075.5940300000002</v>
      </c>
      <c r="H132" s="30"/>
    </row>
    <row r="133" spans="2:8" x14ac:dyDescent="0.35">
      <c r="B133" s="48" t="s">
        <v>199</v>
      </c>
      <c r="D133" s="43">
        <f>G133-E133</f>
        <v>-2974.0510099999997</v>
      </c>
      <c r="E133" s="43">
        <v>-2925.34067</v>
      </c>
      <c r="F133" s="43">
        <v>0</v>
      </c>
      <c r="G133" s="43">
        <v>-5899.3916799999997</v>
      </c>
      <c r="H133" s="30"/>
    </row>
    <row r="134" spans="2:8" x14ac:dyDescent="0.35">
      <c r="B134" s="39" t="s">
        <v>64</v>
      </c>
      <c r="C134" s="24"/>
      <c r="D134" s="47">
        <f>SUBTOTAL(9,D132:D133)</f>
        <v>1466.9911900000002</v>
      </c>
      <c r="E134" s="47">
        <f>SUBTOTAL(9,E132:E133)</f>
        <v>916.49708999999984</v>
      </c>
      <c r="F134" s="47">
        <f>SUBTOTAL(9,F132:F133)</f>
        <v>-1393.2667099999999</v>
      </c>
      <c r="G134" s="47">
        <f>SUBTOTAL(9,G132:G133)</f>
        <v>176.20235000000048</v>
      </c>
      <c r="H134" s="30"/>
    </row>
    <row r="135" spans="2:8" ht="8" customHeight="1" x14ac:dyDescent="0.35"/>
    <row r="136" spans="2:8" x14ac:dyDescent="0.35">
      <c r="B136" t="s">
        <v>42</v>
      </c>
      <c r="C136" s="24"/>
      <c r="D136" s="45"/>
      <c r="E136" s="45"/>
      <c r="F136" s="45"/>
      <c r="G136" s="45"/>
    </row>
    <row r="137" spans="2:8" x14ac:dyDescent="0.35">
      <c r="B137" t="s">
        <v>75</v>
      </c>
      <c r="C137" s="24"/>
      <c r="D137" s="45"/>
      <c r="E137" s="45"/>
      <c r="F137" s="45"/>
      <c r="G137" s="45"/>
    </row>
    <row r="138" spans="2:8" x14ac:dyDescent="0.35">
      <c r="B138" t="s">
        <v>74</v>
      </c>
      <c r="D138" s="30"/>
      <c r="E138" s="30"/>
      <c r="F138" s="30"/>
      <c r="G138" s="30"/>
    </row>
    <row r="165" spans="4:8" x14ac:dyDescent="0.35">
      <c r="D165" s="30"/>
      <c r="E165" s="30"/>
      <c r="F165" s="30"/>
      <c r="G165" s="30"/>
      <c r="H165" s="30"/>
    </row>
    <row r="166" spans="4:8" x14ac:dyDescent="0.35">
      <c r="D166" s="30"/>
      <c r="E166" s="30"/>
      <c r="F166" s="30"/>
      <c r="G166" s="30"/>
      <c r="H166" s="30"/>
    </row>
    <row r="167" spans="4:8" x14ac:dyDescent="0.35">
      <c r="D167" s="30"/>
      <c r="E167" s="30"/>
      <c r="F167" s="30"/>
      <c r="G167" s="30"/>
      <c r="H167" s="30"/>
    </row>
    <row r="168" spans="4:8" x14ac:dyDescent="0.35">
      <c r="D168" s="30"/>
      <c r="E168" s="30"/>
      <c r="F168" s="30"/>
      <c r="G168" s="30"/>
      <c r="H168" s="30"/>
    </row>
    <row r="169" spans="4:8" x14ac:dyDescent="0.35">
      <c r="D169" s="30"/>
      <c r="E169" s="30"/>
      <c r="F169" s="30"/>
      <c r="G169" s="30"/>
      <c r="H169" s="30"/>
    </row>
    <row r="170" spans="4:8" x14ac:dyDescent="0.35">
      <c r="D170" s="30"/>
      <c r="E170" s="30"/>
      <c r="F170" s="30"/>
      <c r="G170" s="30"/>
      <c r="H170" s="30"/>
    </row>
    <row r="171" spans="4:8" x14ac:dyDescent="0.35">
      <c r="D171" s="29"/>
      <c r="E171" s="29"/>
      <c r="F171" s="29"/>
      <c r="G171" s="29"/>
      <c r="H171" s="29"/>
    </row>
    <row r="172" spans="4:8" x14ac:dyDescent="0.35">
      <c r="D172" s="29"/>
      <c r="E172" s="29"/>
      <c r="F172" s="29"/>
      <c r="G172" s="29"/>
      <c r="H172" s="29"/>
    </row>
    <row r="173" spans="4:8" x14ac:dyDescent="0.35">
      <c r="D173" s="29"/>
      <c r="E173" s="29"/>
      <c r="F173" s="29"/>
      <c r="G173" s="29"/>
      <c r="H173" s="29"/>
    </row>
    <row r="174" spans="4:8" x14ac:dyDescent="0.35">
      <c r="D174" s="29"/>
      <c r="E174" s="29"/>
      <c r="F174" s="29"/>
      <c r="G174" s="29"/>
      <c r="H174" s="29"/>
    </row>
    <row r="175" spans="4:8" x14ac:dyDescent="0.35">
      <c r="D175" s="29"/>
      <c r="E175" s="29"/>
      <c r="F175" s="29"/>
      <c r="G175" s="29"/>
      <c r="H175" s="29"/>
    </row>
    <row r="176" spans="4:8" x14ac:dyDescent="0.35">
      <c r="D176" s="29"/>
      <c r="E176" s="29"/>
      <c r="F176" s="29"/>
      <c r="G176" s="29"/>
      <c r="H176" s="29"/>
    </row>
    <row r="177" spans="4:8" x14ac:dyDescent="0.35">
      <c r="D177" s="29"/>
      <c r="E177" s="29"/>
      <c r="F177" s="29"/>
      <c r="G177" s="29"/>
      <c r="H177" s="29"/>
    </row>
    <row r="178" spans="4:8" x14ac:dyDescent="0.35">
      <c r="D178" s="29"/>
      <c r="E178" s="29"/>
      <c r="F178" s="29"/>
      <c r="G178" s="29"/>
      <c r="H178" s="29"/>
    </row>
    <row r="179" spans="4:8" x14ac:dyDescent="0.35">
      <c r="D179" s="29"/>
      <c r="E179" s="29"/>
      <c r="F179" s="29"/>
      <c r="G179" s="29"/>
      <c r="H179" s="29"/>
    </row>
    <row r="180" spans="4:8" x14ac:dyDescent="0.35">
      <c r="D180" s="29"/>
      <c r="E180" s="29"/>
      <c r="F180" s="29"/>
      <c r="G180" s="29"/>
      <c r="H180" s="29"/>
    </row>
    <row r="181" spans="4:8" x14ac:dyDescent="0.35">
      <c r="D181" s="29"/>
      <c r="E181" s="29"/>
      <c r="F181" s="29"/>
      <c r="G181" s="29"/>
      <c r="H181" s="29"/>
    </row>
    <row r="182" spans="4:8" x14ac:dyDescent="0.35">
      <c r="D182" s="29"/>
      <c r="E182" s="29"/>
      <c r="F182" s="29"/>
      <c r="G182" s="29"/>
      <c r="H182" s="29"/>
    </row>
    <row r="183" spans="4:8" x14ac:dyDescent="0.35">
      <c r="D183" s="29"/>
      <c r="E183" s="29"/>
      <c r="F183" s="29"/>
      <c r="G183" s="29"/>
      <c r="H183" s="29"/>
    </row>
    <row r="184" spans="4:8" x14ac:dyDescent="0.35">
      <c r="D184" s="29"/>
      <c r="E184" s="29"/>
      <c r="F184" s="29"/>
      <c r="G184" s="29"/>
      <c r="H184" s="29"/>
    </row>
    <row r="185" spans="4:8" x14ac:dyDescent="0.35">
      <c r="D185" s="29"/>
      <c r="E185" s="29"/>
      <c r="F185" s="29"/>
      <c r="G185" s="29"/>
      <c r="H185" s="29"/>
    </row>
    <row r="186" spans="4:8" x14ac:dyDescent="0.35">
      <c r="D186" s="29"/>
      <c r="E186" s="29"/>
      <c r="F186" s="29"/>
      <c r="G186" s="29"/>
      <c r="H186" s="29"/>
    </row>
    <row r="187" spans="4:8" x14ac:dyDescent="0.35">
      <c r="D187" s="29"/>
      <c r="E187" s="29"/>
      <c r="F187" s="29"/>
      <c r="G187" s="29"/>
      <c r="H187" s="29"/>
    </row>
    <row r="188" spans="4:8" x14ac:dyDescent="0.35">
      <c r="D188" s="29"/>
      <c r="E188" s="29"/>
      <c r="F188" s="29"/>
      <c r="G188" s="29"/>
      <c r="H188" s="29"/>
    </row>
    <row r="189" spans="4:8" x14ac:dyDescent="0.35">
      <c r="D189" s="29"/>
      <c r="E189" s="29"/>
      <c r="F189" s="29"/>
      <c r="G189" s="29"/>
      <c r="H189" s="29"/>
    </row>
    <row r="190" spans="4:8" x14ac:dyDescent="0.35">
      <c r="D190" s="29"/>
      <c r="E190" s="29"/>
      <c r="F190" s="29"/>
      <c r="G190" s="29"/>
      <c r="H190" s="29"/>
    </row>
    <row r="191" spans="4:8" x14ac:dyDescent="0.35">
      <c r="D191" s="29"/>
      <c r="E191" s="29"/>
      <c r="F191" s="29"/>
      <c r="G191" s="29"/>
      <c r="H191" s="29"/>
    </row>
    <row r="192" spans="4:8" x14ac:dyDescent="0.35">
      <c r="D192" s="29"/>
      <c r="E192" s="29"/>
      <c r="F192" s="29"/>
      <c r="G192" s="29"/>
      <c r="H192" s="29"/>
    </row>
    <row r="193" spans="4:8" x14ac:dyDescent="0.35">
      <c r="D193" s="29"/>
      <c r="E193" s="29"/>
      <c r="F193" s="29"/>
      <c r="G193" s="29"/>
      <c r="H193" s="29"/>
    </row>
    <row r="194" spans="4:8" x14ac:dyDescent="0.35">
      <c r="D194" s="29"/>
      <c r="E194" s="29"/>
      <c r="F194" s="29"/>
      <c r="G194" s="29"/>
      <c r="H194" s="29"/>
    </row>
    <row r="195" spans="4:8" x14ac:dyDescent="0.35">
      <c r="D195" s="29"/>
      <c r="E195" s="29"/>
      <c r="F195" s="29"/>
      <c r="G195" s="29"/>
      <c r="H195" s="29"/>
    </row>
    <row r="196" spans="4:8" x14ac:dyDescent="0.35">
      <c r="D196" s="29"/>
      <c r="E196" s="29"/>
      <c r="F196" s="29"/>
      <c r="G196" s="29"/>
      <c r="H196" s="29"/>
    </row>
    <row r="197" spans="4:8" x14ac:dyDescent="0.35">
      <c r="D197" s="29"/>
      <c r="E197" s="29"/>
      <c r="F197" s="29"/>
      <c r="G197" s="29"/>
      <c r="H197" s="29"/>
    </row>
    <row r="198" spans="4:8" x14ac:dyDescent="0.35">
      <c r="D198" s="29"/>
      <c r="E198" s="29"/>
      <c r="F198" s="29"/>
      <c r="G198" s="29"/>
      <c r="H198" s="29"/>
    </row>
    <row r="199" spans="4:8" x14ac:dyDescent="0.35">
      <c r="D199" s="29"/>
      <c r="E199" s="29"/>
      <c r="F199" s="29"/>
      <c r="G199" s="29"/>
      <c r="H199" s="29"/>
    </row>
    <row r="200" spans="4:8" x14ac:dyDescent="0.35">
      <c r="D200" s="29"/>
      <c r="E200" s="29"/>
      <c r="F200" s="29"/>
      <c r="G200" s="29"/>
      <c r="H200" s="29"/>
    </row>
    <row r="201" spans="4:8" x14ac:dyDescent="0.35">
      <c r="D201" s="29"/>
      <c r="E201" s="29"/>
      <c r="F201" s="29"/>
      <c r="G201" s="29"/>
      <c r="H201" s="29"/>
    </row>
    <row r="202" spans="4:8" x14ac:dyDescent="0.35">
      <c r="D202" s="29"/>
      <c r="E202" s="29"/>
      <c r="F202" s="29"/>
      <c r="G202" s="29"/>
      <c r="H202" s="29"/>
    </row>
    <row r="203" spans="4:8" x14ac:dyDescent="0.35">
      <c r="D203" s="29"/>
      <c r="E203" s="29"/>
      <c r="F203" s="29"/>
      <c r="G203" s="29"/>
      <c r="H203" s="29"/>
    </row>
    <row r="204" spans="4:8" x14ac:dyDescent="0.35">
      <c r="D204" s="29"/>
      <c r="E204" s="29"/>
      <c r="F204" s="29"/>
      <c r="G204" s="29"/>
      <c r="H204" s="29"/>
    </row>
    <row r="205" spans="4:8" x14ac:dyDescent="0.35">
      <c r="D205" s="29"/>
      <c r="E205" s="29"/>
      <c r="F205" s="29"/>
      <c r="G205" s="29"/>
      <c r="H205" s="29"/>
    </row>
    <row r="206" spans="4:8" x14ac:dyDescent="0.35">
      <c r="D206" s="29"/>
      <c r="E206" s="29"/>
      <c r="F206" s="29"/>
      <c r="G206" s="29"/>
      <c r="H206" s="29"/>
    </row>
    <row r="207" spans="4:8" x14ac:dyDescent="0.35">
      <c r="D207" s="29"/>
      <c r="E207" s="29"/>
      <c r="F207" s="29"/>
      <c r="G207" s="29"/>
      <c r="H207" s="29"/>
    </row>
    <row r="208" spans="4:8" x14ac:dyDescent="0.35">
      <c r="D208" s="29"/>
      <c r="E208" s="29"/>
      <c r="F208" s="29"/>
      <c r="G208" s="29"/>
      <c r="H208" s="29"/>
    </row>
    <row r="209" spans="4:8" x14ac:dyDescent="0.35">
      <c r="D209" s="29"/>
      <c r="E209" s="29"/>
      <c r="F209" s="29"/>
      <c r="G209" s="29"/>
      <c r="H209" s="29"/>
    </row>
    <row r="210" spans="4:8" x14ac:dyDescent="0.35">
      <c r="D210" s="29"/>
      <c r="E210" s="29"/>
      <c r="F210" s="29"/>
      <c r="G210" s="29"/>
      <c r="H210" s="29"/>
    </row>
    <row r="211" spans="4:8" x14ac:dyDescent="0.35">
      <c r="D211" s="29"/>
      <c r="E211" s="29"/>
      <c r="F211" s="29"/>
      <c r="G211" s="29"/>
      <c r="H211" s="29"/>
    </row>
    <row r="212" spans="4:8" x14ac:dyDescent="0.35">
      <c r="D212" s="29"/>
      <c r="E212" s="29"/>
      <c r="F212" s="29"/>
      <c r="G212" s="29"/>
      <c r="H212" s="29"/>
    </row>
    <row r="213" spans="4:8" x14ac:dyDescent="0.35">
      <c r="D213" s="29"/>
      <c r="E213" s="29"/>
      <c r="F213" s="29"/>
      <c r="G213" s="29"/>
      <c r="H213" s="29"/>
    </row>
    <row r="214" spans="4:8" x14ac:dyDescent="0.35">
      <c r="D214" s="29"/>
      <c r="E214" s="29"/>
      <c r="F214" s="29"/>
      <c r="G214" s="29"/>
      <c r="H214" s="29"/>
    </row>
    <row r="215" spans="4:8" x14ac:dyDescent="0.35">
      <c r="D215" s="29"/>
      <c r="E215" s="29"/>
      <c r="F215" s="29"/>
      <c r="G215" s="29"/>
      <c r="H215" s="29"/>
    </row>
    <row r="216" spans="4:8" x14ac:dyDescent="0.35">
      <c r="D216" s="29"/>
      <c r="E216" s="29"/>
      <c r="F216" s="29"/>
      <c r="G216" s="29"/>
      <c r="H216" s="29"/>
    </row>
    <row r="217" spans="4:8" x14ac:dyDescent="0.35">
      <c r="D217" s="29"/>
      <c r="E217" s="29"/>
      <c r="F217" s="29"/>
      <c r="G217" s="29"/>
      <c r="H217" s="29"/>
    </row>
    <row r="218" spans="4:8" x14ac:dyDescent="0.35">
      <c r="D218" s="29"/>
      <c r="E218" s="29"/>
      <c r="F218" s="29"/>
      <c r="G218" s="29"/>
      <c r="H218" s="29"/>
    </row>
    <row r="219" spans="4:8" x14ac:dyDescent="0.35">
      <c r="D219" s="29"/>
      <c r="E219" s="29"/>
      <c r="F219" s="29"/>
      <c r="G219" s="29"/>
      <c r="H219" s="29"/>
    </row>
    <row r="220" spans="4:8" x14ac:dyDescent="0.35">
      <c r="D220" s="29"/>
      <c r="E220" s="29"/>
      <c r="F220" s="29"/>
      <c r="G220" s="29"/>
      <c r="H220" s="29"/>
    </row>
    <row r="221" spans="4:8" x14ac:dyDescent="0.35">
      <c r="D221" s="29"/>
      <c r="E221" s="29"/>
      <c r="F221" s="29"/>
      <c r="G221" s="29"/>
      <c r="H221" s="29"/>
    </row>
    <row r="222" spans="4:8" x14ac:dyDescent="0.35">
      <c r="D222" s="29"/>
      <c r="E222" s="29"/>
      <c r="F222" s="29"/>
      <c r="G222" s="29"/>
      <c r="H222" s="29"/>
    </row>
    <row r="223" spans="4:8" x14ac:dyDescent="0.35">
      <c r="D223" s="29"/>
      <c r="E223" s="29"/>
      <c r="F223" s="29"/>
      <c r="G223" s="29"/>
      <c r="H223" s="29"/>
    </row>
    <row r="224" spans="4:8" x14ac:dyDescent="0.35">
      <c r="D224" s="29"/>
      <c r="E224" s="29"/>
      <c r="F224" s="29"/>
      <c r="G224" s="29"/>
      <c r="H224" s="29"/>
    </row>
    <row r="225" spans="4:8" x14ac:dyDescent="0.35">
      <c r="D225" s="29"/>
      <c r="E225" s="29"/>
      <c r="F225" s="29"/>
      <c r="G225" s="29"/>
      <c r="H225" s="29"/>
    </row>
  </sheetData>
  <sortState xmlns:xlrd2="http://schemas.microsoft.com/office/spreadsheetml/2017/richdata2" ref="B80:N82">
    <sortCondition descending="1" ref="I80:I82"/>
  </sortState>
  <mergeCells count="1">
    <mergeCell ref="B3:G3"/>
  </mergeCells>
  <pageMargins left="0.70866141732283472" right="0.70866141732283472" top="0.74803149606299213" bottom="0.74803149606299213" header="0.31496062992125984" footer="0.31496062992125984"/>
  <pageSetup scale="67" fitToHeight="2" orientation="portrait" r:id="rId1"/>
  <rowBreaks count="1" manualBreakCount="1">
    <brk id="7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3"/>
  <sheetViews>
    <sheetView showGridLines="0" view="pageBreakPreview" zoomScaleNormal="100" zoomScaleSheetLayoutView="100" workbookViewId="0">
      <pane ySplit="5" topLeftCell="A6" activePane="bottomLeft" state="frozen"/>
      <selection activeCell="A19" sqref="A19"/>
      <selection pane="bottomLeft" activeCell="B10" sqref="B10"/>
    </sheetView>
  </sheetViews>
  <sheetFormatPr defaultRowHeight="14.5" x14ac:dyDescent="0.35"/>
  <cols>
    <col min="2" max="2" width="44.26953125" customWidth="1"/>
    <col min="3" max="3" width="3.26953125" customWidth="1"/>
    <col min="4" max="5" width="13.90625" customWidth="1"/>
    <col min="6" max="6" width="15" bestFit="1" customWidth="1"/>
    <col min="7" max="7" width="13.90625" customWidth="1"/>
    <col min="8" max="8" width="5.1796875" customWidth="1"/>
  </cols>
  <sheetData>
    <row r="1" spans="1:8" x14ac:dyDescent="0.35">
      <c r="B1" s="24" t="str">
        <f>'5.2b - 2021'!$B$1</f>
        <v>YEC 2023/24 GRA COMPLIANCE FILING</v>
      </c>
      <c r="C1" s="35"/>
      <c r="D1" s="35"/>
      <c r="E1" s="35"/>
      <c r="F1" s="35"/>
      <c r="G1" s="36" t="s">
        <v>35</v>
      </c>
    </row>
    <row r="2" spans="1:8" x14ac:dyDescent="0.35">
      <c r="B2" s="24" t="s">
        <v>68</v>
      </c>
      <c r="C2" s="24"/>
      <c r="D2" s="24"/>
      <c r="E2" s="24"/>
      <c r="F2" s="37"/>
      <c r="G2" s="38" t="str">
        <f>'5.1'!$G$2</f>
        <v>August 5, 2024</v>
      </c>
    </row>
    <row r="3" spans="1:8" x14ac:dyDescent="0.35">
      <c r="B3" s="56" t="s">
        <v>15</v>
      </c>
      <c r="C3" s="56"/>
      <c r="D3" s="56"/>
      <c r="E3" s="56"/>
      <c r="F3" s="56"/>
      <c r="G3" s="56"/>
    </row>
    <row r="4" spans="1:8" x14ac:dyDescent="0.35">
      <c r="B4" s="24"/>
      <c r="C4" s="24"/>
    </row>
    <row r="5" spans="1:8" s="24" customFormat="1" ht="29" x14ac:dyDescent="0.35">
      <c r="B5" s="25" t="s">
        <v>48</v>
      </c>
      <c r="C5" s="25"/>
      <c r="D5" s="26" t="s">
        <v>49</v>
      </c>
      <c r="E5" s="26" t="s">
        <v>50</v>
      </c>
      <c r="F5" s="26" t="s">
        <v>51</v>
      </c>
      <c r="G5" s="26" t="s">
        <v>52</v>
      </c>
      <c r="H5" s="27"/>
    </row>
    <row r="6" spans="1:8" s="24" customFormat="1" x14ac:dyDescent="0.35">
      <c r="D6" s="27"/>
      <c r="E6" s="27"/>
      <c r="F6" s="27"/>
      <c r="G6" s="27"/>
      <c r="H6" s="27"/>
    </row>
    <row r="7" spans="1:8" s="24" customFormat="1" x14ac:dyDescent="0.35">
      <c r="B7" s="24" t="s">
        <v>86</v>
      </c>
      <c r="D7" s="28"/>
      <c r="E7" s="28"/>
      <c r="F7" s="28"/>
      <c r="G7" s="28"/>
      <c r="H7" s="28"/>
    </row>
    <row r="8" spans="1:8" s="24" customFormat="1" x14ac:dyDescent="0.35">
      <c r="B8" s="24" t="s">
        <v>29</v>
      </c>
      <c r="D8" s="28"/>
      <c r="E8" s="28"/>
      <c r="F8" s="28"/>
      <c r="G8" s="28"/>
      <c r="H8" s="28"/>
    </row>
    <row r="9" spans="1:8" x14ac:dyDescent="0.35">
      <c r="A9" s="46" t="s">
        <v>72</v>
      </c>
      <c r="B9" s="48" t="s">
        <v>170</v>
      </c>
      <c r="D9" s="30">
        <f>'5.2b - 2021'!G30</f>
        <v>1823.2453600000001</v>
      </c>
      <c r="E9" s="30">
        <v>4624.2087099999999</v>
      </c>
      <c r="F9" s="30">
        <v>-150.14229</v>
      </c>
      <c r="G9" s="30">
        <f t="shared" ref="G9:G19" si="0">SUM(D9:F9)</f>
        <v>6297.31178</v>
      </c>
      <c r="H9" s="30"/>
    </row>
    <row r="10" spans="1:8" x14ac:dyDescent="0.35">
      <c r="B10" s="48" t="s">
        <v>179</v>
      </c>
      <c r="D10" s="30">
        <f>'5.2b - 2021'!G9</f>
        <v>13.256920000000001</v>
      </c>
      <c r="E10" s="30">
        <v>921.09960999999998</v>
      </c>
      <c r="F10" s="30">
        <v>0</v>
      </c>
      <c r="G10" s="30">
        <f t="shared" si="0"/>
        <v>934.35653000000002</v>
      </c>
      <c r="H10" s="30"/>
    </row>
    <row r="11" spans="1:8" x14ac:dyDescent="0.35">
      <c r="B11" s="48" t="s">
        <v>143</v>
      </c>
      <c r="D11" s="30">
        <v>0</v>
      </c>
      <c r="E11" s="30">
        <v>18.914680000000001</v>
      </c>
      <c r="F11" s="30">
        <v>-18.914680000000001</v>
      </c>
      <c r="G11" s="30">
        <f t="shared" si="0"/>
        <v>0</v>
      </c>
      <c r="H11" s="30"/>
    </row>
    <row r="12" spans="1:8" x14ac:dyDescent="0.35">
      <c r="B12" s="48" t="s">
        <v>180</v>
      </c>
      <c r="D12" s="30">
        <v>0</v>
      </c>
      <c r="E12" s="30">
        <v>456.61538999999999</v>
      </c>
      <c r="F12" s="30">
        <v>-456.61538999999999</v>
      </c>
      <c r="G12" s="30">
        <f t="shared" si="0"/>
        <v>0</v>
      </c>
      <c r="H12" s="30"/>
    </row>
    <row r="13" spans="1:8" x14ac:dyDescent="0.35">
      <c r="B13" s="48" t="s">
        <v>200</v>
      </c>
      <c r="D13" s="30">
        <v>0</v>
      </c>
      <c r="E13" s="30">
        <v>581.24602000000004</v>
      </c>
      <c r="F13" s="30">
        <v>0</v>
      </c>
      <c r="G13" s="30">
        <f t="shared" si="0"/>
        <v>581.24602000000004</v>
      </c>
      <c r="H13" s="30"/>
    </row>
    <row r="14" spans="1:8" x14ac:dyDescent="0.35">
      <c r="B14" s="48" t="s">
        <v>181</v>
      </c>
      <c r="D14" s="30">
        <v>0</v>
      </c>
      <c r="E14" s="30">
        <v>446.88083</v>
      </c>
      <c r="F14" s="30">
        <v>-446.88083</v>
      </c>
      <c r="G14" s="30">
        <f t="shared" si="0"/>
        <v>0</v>
      </c>
      <c r="H14" s="30"/>
    </row>
    <row r="15" spans="1:8" x14ac:dyDescent="0.35">
      <c r="B15" s="48" t="s">
        <v>131</v>
      </c>
      <c r="D15" s="30">
        <f>'5.2b - 2021'!G15</f>
        <v>11.25712</v>
      </c>
      <c r="E15" s="30">
        <v>2192.5296600000001</v>
      </c>
      <c r="F15" s="30">
        <v>-2203.7867799999999</v>
      </c>
      <c r="G15" s="30">
        <f t="shared" si="0"/>
        <v>0</v>
      </c>
      <c r="H15" s="30"/>
    </row>
    <row r="16" spans="1:8" x14ac:dyDescent="0.35">
      <c r="B16" s="48" t="s">
        <v>103</v>
      </c>
      <c r="D16" s="30">
        <f>'5.2b - 2021'!G16</f>
        <v>0.44885000000000003</v>
      </c>
      <c r="E16" s="30">
        <v>72.087570000000014</v>
      </c>
      <c r="F16" s="30">
        <v>0</v>
      </c>
      <c r="G16" s="30">
        <f t="shared" si="0"/>
        <v>72.536420000000007</v>
      </c>
      <c r="H16" s="30"/>
    </row>
    <row r="17" spans="1:8" x14ac:dyDescent="0.35">
      <c r="B17" s="48" t="s">
        <v>104</v>
      </c>
      <c r="D17" s="30">
        <f>'5.2b - 2021'!G17</f>
        <v>1152.4210499999999</v>
      </c>
      <c r="E17" s="30">
        <v>8848.2765600000002</v>
      </c>
      <c r="F17" s="30">
        <v>0</v>
      </c>
      <c r="G17" s="30">
        <f t="shared" si="0"/>
        <v>10000.697609999999</v>
      </c>
      <c r="H17" s="30"/>
    </row>
    <row r="18" spans="1:8" x14ac:dyDescent="0.35">
      <c r="B18" s="48" t="s">
        <v>105</v>
      </c>
      <c r="D18" s="30">
        <v>0</v>
      </c>
      <c r="E18" s="30">
        <v>324.48448999999999</v>
      </c>
      <c r="F18" s="30">
        <v>0</v>
      </c>
      <c r="G18" s="30">
        <f t="shared" si="0"/>
        <v>324.48448999999999</v>
      </c>
      <c r="H18" s="30"/>
    </row>
    <row r="19" spans="1:8" x14ac:dyDescent="0.35">
      <c r="B19" s="48" t="s">
        <v>106</v>
      </c>
      <c r="D19" s="30">
        <v>0</v>
      </c>
      <c r="E19" s="30">
        <v>64.343230000000005</v>
      </c>
      <c r="F19" s="30">
        <v>0</v>
      </c>
      <c r="G19" s="30">
        <f t="shared" si="0"/>
        <v>64.343230000000005</v>
      </c>
      <c r="H19" s="30"/>
    </row>
    <row r="20" spans="1:8" x14ac:dyDescent="0.35">
      <c r="B20" s="24" t="s">
        <v>26</v>
      </c>
      <c r="D20" s="30"/>
      <c r="E20" s="30"/>
      <c r="F20" s="30"/>
      <c r="G20" s="30"/>
      <c r="H20" s="30"/>
    </row>
    <row r="21" spans="1:8" x14ac:dyDescent="0.35">
      <c r="B21" s="48" t="s">
        <v>155</v>
      </c>
      <c r="D21" s="30">
        <f>'5.2b - 2021'!G19</f>
        <v>507.96957000000003</v>
      </c>
      <c r="E21" s="30">
        <v>7895.8814400000001</v>
      </c>
      <c r="F21" s="30">
        <v>0</v>
      </c>
      <c r="G21" s="30">
        <f>SUM(D21:F21)</f>
        <v>8403.8510100000003</v>
      </c>
      <c r="H21" s="30"/>
    </row>
    <row r="22" spans="1:8" x14ac:dyDescent="0.35">
      <c r="B22" s="48" t="s">
        <v>182</v>
      </c>
      <c r="D22" s="30">
        <v>0</v>
      </c>
      <c r="E22" s="30">
        <v>4772.3890999999994</v>
      </c>
      <c r="F22" s="30">
        <v>-4772.3890999999994</v>
      </c>
      <c r="G22" s="30">
        <f>SUM(D22:F22)</f>
        <v>0</v>
      </c>
      <c r="H22" s="30"/>
    </row>
    <row r="23" spans="1:8" x14ac:dyDescent="0.35">
      <c r="B23" s="48" t="s">
        <v>183</v>
      </c>
      <c r="D23" s="30">
        <v>0</v>
      </c>
      <c r="E23" s="30">
        <v>897.82958999999994</v>
      </c>
      <c r="F23" s="30">
        <v>-897.82958999999994</v>
      </c>
      <c r="G23" s="30">
        <f>SUM(D23:F23)</f>
        <v>0</v>
      </c>
      <c r="H23" s="30"/>
    </row>
    <row r="24" spans="1:8" x14ac:dyDescent="0.35">
      <c r="B24" s="48" t="s">
        <v>201</v>
      </c>
      <c r="D24" s="30">
        <v>0</v>
      </c>
      <c r="E24" s="30">
        <v>388.10894999999999</v>
      </c>
      <c r="F24" s="30">
        <v>0</v>
      </c>
      <c r="G24" s="30">
        <f>SUM(D24:F24)</f>
        <v>388.10894999999999</v>
      </c>
      <c r="H24" s="30"/>
    </row>
    <row r="25" spans="1:8" x14ac:dyDescent="0.35">
      <c r="B25" s="24" t="s">
        <v>27</v>
      </c>
      <c r="D25" s="30"/>
      <c r="E25" s="30"/>
      <c r="F25" s="30"/>
      <c r="G25" s="30"/>
      <c r="H25" s="30"/>
    </row>
    <row r="26" spans="1:8" x14ac:dyDescent="0.35">
      <c r="B26" s="48" t="s">
        <v>150</v>
      </c>
      <c r="D26" s="30">
        <f>'5.2b - 2021'!G23</f>
        <v>69.996979999999994</v>
      </c>
      <c r="E26" s="30">
        <v>1.7691600000000001</v>
      </c>
      <c r="F26" s="30">
        <v>0</v>
      </c>
      <c r="G26" s="30">
        <f>SUM(D26:F26)</f>
        <v>71.766139999999993</v>
      </c>
      <c r="H26" s="30"/>
    </row>
    <row r="27" spans="1:8" s="24" customFormat="1" x14ac:dyDescent="0.35">
      <c r="A27" s="46" t="s">
        <v>72</v>
      </c>
      <c r="B27" s="48" t="s">
        <v>185</v>
      </c>
      <c r="C27"/>
      <c r="D27" s="30">
        <f>'5.2b - 2021'!G31</f>
        <v>1423.7150399999998</v>
      </c>
      <c r="E27" s="30">
        <v>2281.6144900000004</v>
      </c>
      <c r="F27" s="30">
        <v>0</v>
      </c>
      <c r="G27" s="30">
        <f>SUM(D27:F27)</f>
        <v>3705.32953</v>
      </c>
      <c r="H27" s="30"/>
    </row>
    <row r="28" spans="1:8" x14ac:dyDescent="0.35">
      <c r="B28" s="24" t="s">
        <v>58</v>
      </c>
      <c r="D28" s="30"/>
      <c r="E28" s="30"/>
      <c r="F28" s="30"/>
      <c r="G28" s="30"/>
      <c r="H28" s="30"/>
    </row>
    <row r="29" spans="1:8" x14ac:dyDescent="0.35">
      <c r="B29" s="48" t="s">
        <v>184</v>
      </c>
      <c r="D29" s="30">
        <f>'5.2b - 2021'!G25</f>
        <v>88.006360000000001</v>
      </c>
      <c r="E29" s="30">
        <v>234.76167999999998</v>
      </c>
      <c r="F29" s="30">
        <v>0</v>
      </c>
      <c r="G29" s="30">
        <f>SUM(D29:F29)</f>
        <v>322.76803999999998</v>
      </c>
      <c r="H29" s="30"/>
    </row>
    <row r="30" spans="1:8" x14ac:dyDescent="0.35">
      <c r="B30" s="24" t="s">
        <v>59</v>
      </c>
      <c r="D30" s="30"/>
      <c r="E30" s="30"/>
      <c r="F30" s="30"/>
      <c r="G30" s="30"/>
      <c r="H30" s="30"/>
    </row>
    <row r="31" spans="1:8" x14ac:dyDescent="0.35">
      <c r="B31" s="48" t="s">
        <v>202</v>
      </c>
      <c r="D31" s="30">
        <v>0</v>
      </c>
      <c r="E31" s="30">
        <v>30.966840000000001</v>
      </c>
      <c r="F31" s="30">
        <v>0</v>
      </c>
      <c r="G31" s="30">
        <f>SUM(D31:F31)</f>
        <v>30.966840000000001</v>
      </c>
      <c r="H31" s="30"/>
    </row>
    <row r="32" spans="1:8" x14ac:dyDescent="0.35">
      <c r="B32" s="48" t="s">
        <v>203</v>
      </c>
      <c r="D32" s="30">
        <v>0</v>
      </c>
      <c r="E32" s="30">
        <v>2340.8530799999999</v>
      </c>
      <c r="F32" s="30">
        <v>-2340.8530799999999</v>
      </c>
      <c r="G32" s="30">
        <f>SUM(D32:F32)</f>
        <v>0</v>
      </c>
      <c r="H32" s="30"/>
    </row>
    <row r="33" spans="1:8" ht="9" customHeight="1" x14ac:dyDescent="0.35">
      <c r="B33" s="48"/>
      <c r="D33" s="30"/>
      <c r="E33" s="30"/>
      <c r="F33" s="30"/>
      <c r="G33" s="30"/>
      <c r="H33" s="30"/>
    </row>
    <row r="34" spans="1:8" x14ac:dyDescent="0.35">
      <c r="B34" s="24" t="s">
        <v>61</v>
      </c>
      <c r="C34" s="24"/>
      <c r="D34" s="31">
        <f>SUBTOTAL(9,D9:D32)</f>
        <v>5090.3172500000001</v>
      </c>
      <c r="E34" s="31">
        <f>SUBTOTAL(9,E9:E32)</f>
        <v>37394.86108000001</v>
      </c>
      <c r="F34" s="31">
        <f>SUBTOTAL(9,F9:F32)</f>
        <v>-11287.41174</v>
      </c>
      <c r="G34" s="31">
        <f>SUBTOTAL(9,G9:G32)</f>
        <v>31197.766589999999</v>
      </c>
      <c r="H34" s="30"/>
    </row>
    <row r="35" spans="1:8" x14ac:dyDescent="0.35">
      <c r="D35" s="30"/>
      <c r="E35" s="30"/>
      <c r="F35" s="30"/>
      <c r="G35" s="30"/>
      <c r="H35" s="30"/>
    </row>
    <row r="36" spans="1:8" s="24" customFormat="1" x14ac:dyDescent="0.35">
      <c r="B36" s="24" t="s">
        <v>87</v>
      </c>
      <c r="D36" s="31"/>
      <c r="E36" s="31"/>
      <c r="F36" s="31"/>
      <c r="G36" s="31"/>
      <c r="H36" s="31"/>
    </row>
    <row r="37" spans="1:8" s="24" customFormat="1" x14ac:dyDescent="0.35">
      <c r="B37" s="24" t="s">
        <v>56</v>
      </c>
      <c r="D37" s="31"/>
      <c r="E37" s="31"/>
      <c r="F37" s="31"/>
      <c r="G37" s="31"/>
      <c r="H37" s="31"/>
    </row>
    <row r="38" spans="1:8" x14ac:dyDescent="0.35">
      <c r="B38" s="48" t="s">
        <v>171</v>
      </c>
      <c r="D38" s="30">
        <f>'5.2b - 2021'!G32</f>
        <v>8500.02736</v>
      </c>
      <c r="E38" s="30">
        <v>284.14360999999997</v>
      </c>
      <c r="F38" s="30">
        <v>-8784.170970000001</v>
      </c>
      <c r="G38" s="30">
        <f>SUM(D38:F38)</f>
        <v>0</v>
      </c>
      <c r="H38" s="30"/>
    </row>
    <row r="39" spans="1:8" s="24" customFormat="1" x14ac:dyDescent="0.35">
      <c r="B39" s="24" t="s">
        <v>57</v>
      </c>
      <c r="D39" s="31"/>
      <c r="E39" s="31"/>
      <c r="F39" s="31"/>
      <c r="G39" s="31"/>
      <c r="H39" s="31"/>
    </row>
    <row r="40" spans="1:8" x14ac:dyDescent="0.35">
      <c r="A40" s="46"/>
      <c r="B40" s="48" t="s">
        <v>121</v>
      </c>
      <c r="D40" s="30">
        <f>'5.2b - 2021'!G34</f>
        <v>4403.0426500000003</v>
      </c>
      <c r="E40" s="43">
        <v>138.39968999999999</v>
      </c>
      <c r="F40" s="43">
        <v>0</v>
      </c>
      <c r="G40" s="30">
        <f>SUM(D40:F40)</f>
        <v>4541.4423400000005</v>
      </c>
      <c r="H40" s="30"/>
    </row>
    <row r="41" spans="1:8" x14ac:dyDescent="0.35">
      <c r="A41" s="46" t="s">
        <v>73</v>
      </c>
      <c r="B41" s="48" t="s">
        <v>122</v>
      </c>
      <c r="D41" s="30">
        <f>'5.2b - 2021'!G35</f>
        <v>8900.3363000000008</v>
      </c>
      <c r="E41" s="43">
        <v>-4421.5496299999995</v>
      </c>
      <c r="F41" s="30">
        <v>-3903.4295200000001</v>
      </c>
      <c r="G41" s="30">
        <f>SUM(D41:F41)</f>
        <v>575.35715000000118</v>
      </c>
      <c r="H41" s="30"/>
    </row>
    <row r="42" spans="1:8" x14ac:dyDescent="0.35">
      <c r="A42" s="46" t="s">
        <v>73</v>
      </c>
      <c r="B42" s="48" t="s">
        <v>123</v>
      </c>
      <c r="D42" s="30">
        <v>0</v>
      </c>
      <c r="E42" s="43">
        <v>5734.9066399999992</v>
      </c>
      <c r="F42" s="43">
        <v>0</v>
      </c>
      <c r="G42" s="30">
        <f>SUM(D42:F42)</f>
        <v>5734.9066399999992</v>
      </c>
      <c r="H42" s="30"/>
    </row>
    <row r="43" spans="1:8" x14ac:dyDescent="0.35">
      <c r="A43" s="46"/>
      <c r="B43" s="48" t="s">
        <v>124</v>
      </c>
      <c r="D43" s="30">
        <f>'5.2b - 2021'!G36</f>
        <v>121.98983</v>
      </c>
      <c r="E43" s="43">
        <v>1998.00073</v>
      </c>
      <c r="F43" s="43">
        <v>0</v>
      </c>
      <c r="G43" s="30">
        <f>SUM(D43:F43)</f>
        <v>2119.9905600000002</v>
      </c>
      <c r="H43" s="30"/>
    </row>
    <row r="44" spans="1:8" x14ac:dyDescent="0.35">
      <c r="A44" s="46"/>
      <c r="B44" s="48" t="s">
        <v>125</v>
      </c>
      <c r="D44" s="30">
        <v>0</v>
      </c>
      <c r="E44" s="43">
        <v>94.233260000000001</v>
      </c>
      <c r="F44" s="43">
        <v>0</v>
      </c>
      <c r="G44" s="30">
        <f>SUM(D44:F44)</f>
        <v>94.233260000000001</v>
      </c>
      <c r="H44" s="30"/>
    </row>
    <row r="45" spans="1:8" x14ac:dyDescent="0.35">
      <c r="A45" s="46"/>
      <c r="B45" s="24" t="s">
        <v>45</v>
      </c>
      <c r="D45" s="30"/>
      <c r="E45" s="43"/>
      <c r="F45" s="30"/>
      <c r="G45" s="30"/>
      <c r="H45" s="30"/>
    </row>
    <row r="46" spans="1:8" x14ac:dyDescent="0.35">
      <c r="A46" s="46"/>
      <c r="B46" s="48" t="s">
        <v>126</v>
      </c>
      <c r="D46" s="30">
        <f>'5.2b - 2021'!G38</f>
        <v>986.59312999999997</v>
      </c>
      <c r="E46" s="43">
        <v>487.5625</v>
      </c>
      <c r="F46" s="43">
        <v>0</v>
      </c>
      <c r="G46" s="30">
        <f>SUM(D46:F46)</f>
        <v>1474.15563</v>
      </c>
      <c r="H46" s="30"/>
    </row>
    <row r="47" spans="1:8" x14ac:dyDescent="0.35">
      <c r="B47" s="48" t="s">
        <v>127</v>
      </c>
      <c r="D47" s="30">
        <v>0</v>
      </c>
      <c r="E47" s="30">
        <v>64.222470000000001</v>
      </c>
      <c r="F47" s="30">
        <v>-64.222470000000001</v>
      </c>
      <c r="G47" s="30">
        <f>SUM(D47:F47)</f>
        <v>0</v>
      </c>
      <c r="H47" s="30"/>
    </row>
    <row r="48" spans="1:8" x14ac:dyDescent="0.35">
      <c r="B48" s="48" t="s">
        <v>172</v>
      </c>
      <c r="D48" s="30">
        <f>'5.2b - 2021'!G39</f>
        <v>1249.53197</v>
      </c>
      <c r="E48" s="30">
        <v>181.29055</v>
      </c>
      <c r="F48" s="30">
        <v>-1430.8225199999999</v>
      </c>
      <c r="G48" s="30">
        <f>SUM(D48:F48)</f>
        <v>0</v>
      </c>
      <c r="H48" s="30"/>
    </row>
    <row r="49" spans="2:8" x14ac:dyDescent="0.35">
      <c r="B49" s="24" t="s">
        <v>61</v>
      </c>
      <c r="C49" s="24"/>
      <c r="D49" s="31">
        <f>SUBTOTAL(9,D38:D48)</f>
        <v>24161.521239999998</v>
      </c>
      <c r="E49" s="31">
        <f>SUBTOTAL(9,E38:E48)</f>
        <v>4561.2098199999991</v>
      </c>
      <c r="F49" s="31">
        <f>SUBTOTAL(9,F38:F48)</f>
        <v>-14182.645480000001</v>
      </c>
      <c r="G49" s="31">
        <f>SUBTOTAL(9,G38:G48)</f>
        <v>14540.085580000001</v>
      </c>
      <c r="H49" s="30"/>
    </row>
    <row r="50" spans="2:8" x14ac:dyDescent="0.35">
      <c r="D50" s="30"/>
      <c r="E50" s="30"/>
      <c r="F50" s="30"/>
      <c r="G50" s="30"/>
      <c r="H50" s="30"/>
    </row>
    <row r="51" spans="2:8" s="24" customFormat="1" x14ac:dyDescent="0.35">
      <c r="B51" s="24" t="s">
        <v>88</v>
      </c>
      <c r="D51" s="31"/>
      <c r="E51" s="31"/>
      <c r="F51" s="31"/>
      <c r="G51" s="31"/>
      <c r="H51" s="31"/>
    </row>
    <row r="52" spans="2:8" x14ac:dyDescent="0.35">
      <c r="B52" s="48" t="s">
        <v>69</v>
      </c>
      <c r="D52" s="30">
        <f>'5.2b - 2021'!G43</f>
        <v>3620.5421799999999</v>
      </c>
      <c r="E52" s="30">
        <v>834.63924999999995</v>
      </c>
      <c r="F52" s="30">
        <v>0</v>
      </c>
      <c r="G52" s="30">
        <f>SUM(D52:F52)</f>
        <v>4455.1814299999996</v>
      </c>
      <c r="H52" s="30"/>
    </row>
    <row r="53" spans="2:8" x14ac:dyDescent="0.35">
      <c r="B53" s="48" t="s">
        <v>129</v>
      </c>
      <c r="D53" s="30">
        <f>'5.2b - 2021'!G45</f>
        <v>24.975000000000001</v>
      </c>
      <c r="E53" s="30">
        <v>74.837320000000005</v>
      </c>
      <c r="F53" s="30">
        <v>0</v>
      </c>
      <c r="G53" s="30">
        <f>SUM(D53:F53)</f>
        <v>99.81232</v>
      </c>
      <c r="H53" s="30"/>
    </row>
    <row r="54" spans="2:8" x14ac:dyDescent="0.35">
      <c r="B54" s="24" t="s">
        <v>61</v>
      </c>
      <c r="C54" s="24"/>
      <c r="D54" s="31">
        <f>SUBTOTAL(9,D52:D53)</f>
        <v>3645.5171799999998</v>
      </c>
      <c r="E54" s="31">
        <f>SUBTOTAL(9,E52:E53)</f>
        <v>909.47656999999992</v>
      </c>
      <c r="F54" s="31">
        <f>SUBTOTAL(9,F52:F53)</f>
        <v>0</v>
      </c>
      <c r="G54" s="31">
        <f>SUBTOTAL(9,G52:G53)</f>
        <v>4554.9937499999996</v>
      </c>
      <c r="H54" s="30"/>
    </row>
    <row r="55" spans="2:8" x14ac:dyDescent="0.35">
      <c r="D55" s="30"/>
      <c r="E55" s="30"/>
      <c r="F55" s="30"/>
      <c r="G55" s="30"/>
      <c r="H55" s="30"/>
    </row>
    <row r="56" spans="2:8" x14ac:dyDescent="0.35">
      <c r="D56" s="30"/>
      <c r="E56" s="30"/>
      <c r="F56" s="30"/>
      <c r="G56" s="30"/>
      <c r="H56" s="30"/>
    </row>
    <row r="57" spans="2:8" s="24" customFormat="1" x14ac:dyDescent="0.35">
      <c r="B57" s="24" t="s">
        <v>90</v>
      </c>
      <c r="D57" s="31"/>
      <c r="E57" s="31"/>
      <c r="F57" s="31"/>
      <c r="G57" s="31"/>
      <c r="H57" s="31"/>
    </row>
    <row r="58" spans="2:8" s="24" customFormat="1" ht="5.5" customHeight="1" x14ac:dyDescent="0.35">
      <c r="D58" s="31"/>
      <c r="E58" s="31"/>
      <c r="F58" s="31"/>
      <c r="G58" s="31"/>
      <c r="H58" s="31"/>
    </row>
    <row r="59" spans="2:8" s="24" customFormat="1" x14ac:dyDescent="0.35">
      <c r="B59" s="24" t="s">
        <v>29</v>
      </c>
      <c r="D59" s="31"/>
      <c r="E59" s="31"/>
      <c r="F59" s="31"/>
      <c r="G59" s="31"/>
      <c r="H59" s="31"/>
    </row>
    <row r="60" spans="2:8" x14ac:dyDescent="0.35">
      <c r="B60" s="48" t="s">
        <v>186</v>
      </c>
      <c r="D60" s="30">
        <v>840.55914000000007</v>
      </c>
      <c r="E60" s="30">
        <v>150.19862000000001</v>
      </c>
      <c r="F60" s="30">
        <v>-990.75775999999996</v>
      </c>
      <c r="G60" s="30">
        <f>SUM(D60:F60)</f>
        <v>0</v>
      </c>
      <c r="H60" s="30"/>
    </row>
    <row r="61" spans="2:8" x14ac:dyDescent="0.35">
      <c r="B61" s="48" t="s">
        <v>188</v>
      </c>
      <c r="D61" s="30">
        <v>207.53754999999998</v>
      </c>
      <c r="E61" s="30">
        <v>41.393879999999996</v>
      </c>
      <c r="F61" s="30">
        <v>-248.93143000000001</v>
      </c>
      <c r="G61" s="30">
        <f>SUM(D61:F61)</f>
        <v>0</v>
      </c>
      <c r="H61" s="30"/>
    </row>
    <row r="62" spans="2:8" x14ac:dyDescent="0.35">
      <c r="B62" s="48" t="s">
        <v>204</v>
      </c>
      <c r="D62" s="30">
        <v>0</v>
      </c>
      <c r="E62" s="30">
        <v>149.24179999999998</v>
      </c>
      <c r="F62" s="30">
        <v>0</v>
      </c>
      <c r="G62" s="30">
        <f>SUM(D62:F62)</f>
        <v>149.24179999999998</v>
      </c>
      <c r="H62" s="30"/>
    </row>
    <row r="63" spans="2:8" x14ac:dyDescent="0.35">
      <c r="B63" s="48" t="s">
        <v>205</v>
      </c>
      <c r="D63" s="30">
        <v>0</v>
      </c>
      <c r="E63" s="30">
        <v>10.69355</v>
      </c>
      <c r="F63" s="30">
        <v>0</v>
      </c>
      <c r="G63" s="30">
        <f>SUM(D63:F63)</f>
        <v>10.69355</v>
      </c>
      <c r="H63" s="30"/>
    </row>
    <row r="64" spans="2:8" x14ac:dyDescent="0.35">
      <c r="B64" s="48" t="s">
        <v>62</v>
      </c>
      <c r="D64" s="30">
        <v>171.18690999999998</v>
      </c>
      <c r="E64" s="30">
        <v>213.86590999999993</v>
      </c>
      <c r="F64" s="30">
        <v>-306.93600000000009</v>
      </c>
      <c r="G64" s="30">
        <v>78.116820000000004</v>
      </c>
      <c r="H64" s="30"/>
    </row>
    <row r="65" spans="2:8" s="24" customFormat="1" x14ac:dyDescent="0.35">
      <c r="B65" s="24" t="s">
        <v>61</v>
      </c>
      <c r="D65" s="31">
        <f>SUBTOTAL(9,D60:D64)</f>
        <v>1219.2836</v>
      </c>
      <c r="E65" s="31">
        <f>SUBTOTAL(9,E60:E64)</f>
        <v>565.39375999999993</v>
      </c>
      <c r="F65" s="31">
        <f>SUBTOTAL(9,F60:F64)</f>
        <v>-1546.6251900000002</v>
      </c>
      <c r="G65" s="31">
        <f>SUBTOTAL(9,G60:G64)</f>
        <v>238.05216999999999</v>
      </c>
      <c r="H65" s="30"/>
    </row>
    <row r="66" spans="2:8" s="24" customFormat="1" ht="5.5" customHeight="1" x14ac:dyDescent="0.35">
      <c r="D66" s="31"/>
      <c r="E66" s="31"/>
      <c r="F66" s="31"/>
      <c r="G66" s="31"/>
      <c r="H66" s="31"/>
    </row>
    <row r="67" spans="2:8" s="24" customFormat="1" x14ac:dyDescent="0.35">
      <c r="B67" s="24" t="s">
        <v>26</v>
      </c>
      <c r="D67" s="31"/>
      <c r="E67" s="31"/>
      <c r="F67" s="31"/>
      <c r="G67" s="31"/>
      <c r="H67" s="31"/>
    </row>
    <row r="68" spans="2:8" x14ac:dyDescent="0.35">
      <c r="B68" s="48" t="s">
        <v>146</v>
      </c>
      <c r="D68" s="30">
        <v>11.41442</v>
      </c>
      <c r="E68" s="30">
        <v>304.94872999999995</v>
      </c>
      <c r="F68" s="30">
        <v>-11.66112</v>
      </c>
      <c r="G68" s="30">
        <f>SUM(D68:F68)</f>
        <v>304.70202999999998</v>
      </c>
      <c r="H68" s="30"/>
    </row>
    <row r="69" spans="2:8" x14ac:dyDescent="0.35">
      <c r="B69" s="48" t="s">
        <v>62</v>
      </c>
      <c r="D69" s="30">
        <v>0</v>
      </c>
      <c r="E69" s="30">
        <v>146.86816999999999</v>
      </c>
      <c r="F69" s="30">
        <v>-132.44166000000001</v>
      </c>
      <c r="G69" s="30">
        <v>14.426509999999993</v>
      </c>
      <c r="H69" s="30"/>
    </row>
    <row r="70" spans="2:8" x14ac:dyDescent="0.35">
      <c r="B70" s="24" t="s">
        <v>61</v>
      </c>
      <c r="C70" s="24"/>
      <c r="D70" s="31">
        <f>SUBTOTAL(9,D68:D69)</f>
        <v>11.41442</v>
      </c>
      <c r="E70" s="31">
        <f>SUBTOTAL(9,E68:E69)</f>
        <v>451.81689999999992</v>
      </c>
      <c r="F70" s="31">
        <f>SUBTOTAL(9,F68:F69)</f>
        <v>-144.10278000000002</v>
      </c>
      <c r="G70" s="31">
        <f>SUBTOTAL(9,G68:G69)</f>
        <v>319.12853999999999</v>
      </c>
      <c r="H70" s="30"/>
    </row>
    <row r="71" spans="2:8" s="24" customFormat="1" ht="5.5" customHeight="1" x14ac:dyDescent="0.35">
      <c r="D71" s="31"/>
      <c r="E71" s="31"/>
      <c r="F71" s="31"/>
      <c r="G71" s="31"/>
      <c r="H71" s="31"/>
    </row>
    <row r="72" spans="2:8" s="24" customFormat="1" x14ac:dyDescent="0.35">
      <c r="B72" s="24" t="s">
        <v>27</v>
      </c>
      <c r="D72" s="31"/>
      <c r="E72" s="31"/>
      <c r="F72" s="31"/>
      <c r="G72" s="31"/>
      <c r="H72" s="31"/>
    </row>
    <row r="73" spans="2:8" x14ac:dyDescent="0.35">
      <c r="B73" s="48" t="s">
        <v>173</v>
      </c>
      <c r="D73" s="30">
        <v>708.32279000000005</v>
      </c>
      <c r="E73" s="30">
        <v>619.58406000000002</v>
      </c>
      <c r="F73" s="30">
        <v>-200.8546</v>
      </c>
      <c r="G73" s="30">
        <f>SUM(D73:F73)</f>
        <v>1127.0522500000002</v>
      </c>
      <c r="H73" s="30"/>
    </row>
    <row r="74" spans="2:8" x14ac:dyDescent="0.35">
      <c r="B74" s="48" t="s">
        <v>162</v>
      </c>
      <c r="D74" s="30">
        <v>25.348839999999999</v>
      </c>
      <c r="E74" s="30">
        <v>390.91123999999996</v>
      </c>
      <c r="F74" s="30">
        <v>0</v>
      </c>
      <c r="G74" s="30">
        <f>SUM(D74:F74)</f>
        <v>416.26007999999996</v>
      </c>
      <c r="H74" s="30"/>
    </row>
    <row r="75" spans="2:8" x14ac:dyDescent="0.35">
      <c r="B75" s="48" t="s">
        <v>62</v>
      </c>
      <c r="D75" s="30">
        <v>0</v>
      </c>
      <c r="E75" s="30">
        <v>97.921970000000002</v>
      </c>
      <c r="F75" s="30">
        <v>-97.921970000000002</v>
      </c>
      <c r="G75" s="30">
        <v>0</v>
      </c>
      <c r="H75" s="30"/>
    </row>
    <row r="76" spans="2:8" s="24" customFormat="1" x14ac:dyDescent="0.35">
      <c r="B76" s="24" t="s">
        <v>61</v>
      </c>
      <c r="D76" s="31">
        <f>SUBTOTAL(9,D73:D75)</f>
        <v>733.67163000000005</v>
      </c>
      <c r="E76" s="31">
        <f>SUBTOTAL(9,E73:E75)</f>
        <v>1108.4172700000001</v>
      </c>
      <c r="F76" s="31">
        <f>SUBTOTAL(9,F73:F75)</f>
        <v>-298.77656999999999</v>
      </c>
      <c r="G76" s="31">
        <f>SUBTOTAL(9,G73:G75)</f>
        <v>1543.3123300000002</v>
      </c>
      <c r="H76" s="30"/>
    </row>
    <row r="77" spans="2:8" s="24" customFormat="1" ht="5.5" customHeight="1" x14ac:dyDescent="0.35">
      <c r="D77" s="31"/>
      <c r="E77" s="31"/>
      <c r="F77" s="31"/>
      <c r="G77" s="31"/>
      <c r="H77" s="31"/>
    </row>
    <row r="78" spans="2:8" s="24" customFormat="1" x14ac:dyDescent="0.35">
      <c r="B78" s="24" t="s">
        <v>58</v>
      </c>
      <c r="D78" s="31"/>
      <c r="E78" s="31"/>
      <c r="F78" s="31"/>
      <c r="G78" s="31"/>
      <c r="H78" s="31"/>
    </row>
    <row r="79" spans="2:8" x14ac:dyDescent="0.35">
      <c r="B79" s="48" t="s">
        <v>149</v>
      </c>
      <c r="D79" s="30">
        <v>0.22663999999999998</v>
      </c>
      <c r="E79" s="30">
        <v>463.81128000000001</v>
      </c>
      <c r="F79" s="30">
        <v>-464.03791999999999</v>
      </c>
      <c r="G79" s="30">
        <f>SUM(D79:F79)</f>
        <v>0</v>
      </c>
      <c r="H79" s="30"/>
    </row>
    <row r="80" spans="2:8" s="24" customFormat="1" x14ac:dyDescent="0.35">
      <c r="B80" s="48" t="s">
        <v>206</v>
      </c>
      <c r="C80"/>
      <c r="D80" s="30">
        <v>0</v>
      </c>
      <c r="E80" s="30">
        <v>185.23467000000002</v>
      </c>
      <c r="F80" s="30">
        <v>0</v>
      </c>
      <c r="G80" s="30">
        <f>SUM(D80:F80)</f>
        <v>185.23467000000002</v>
      </c>
      <c r="H80" s="30"/>
    </row>
    <row r="81" spans="2:8" x14ac:dyDescent="0.35">
      <c r="B81" s="48" t="s">
        <v>207</v>
      </c>
      <c r="D81" s="30">
        <v>0</v>
      </c>
      <c r="E81" s="30">
        <v>109.25357000000001</v>
      </c>
      <c r="F81" s="30">
        <v>-109.25357000000001</v>
      </c>
      <c r="G81" s="30">
        <f>SUM(D81:F81)</f>
        <v>0</v>
      </c>
      <c r="H81" s="30"/>
    </row>
    <row r="82" spans="2:8" x14ac:dyDescent="0.35">
      <c r="B82" s="48" t="s">
        <v>62</v>
      </c>
      <c r="D82" s="30">
        <v>0.437</v>
      </c>
      <c r="E82" s="30">
        <v>729.24454000000003</v>
      </c>
      <c r="F82" s="30">
        <v>-575.34207000000015</v>
      </c>
      <c r="G82" s="30">
        <v>154.33947000000001</v>
      </c>
      <c r="H82" s="30"/>
    </row>
    <row r="83" spans="2:8" x14ac:dyDescent="0.35">
      <c r="B83" s="24" t="s">
        <v>61</v>
      </c>
      <c r="C83" s="24"/>
      <c r="D83" s="31">
        <f>SUBTOTAL(9,D79:D82)</f>
        <v>0.66364000000000001</v>
      </c>
      <c r="E83" s="31">
        <f>SUBTOTAL(9,E79:E82)</f>
        <v>1487.5440600000002</v>
      </c>
      <c r="F83" s="31">
        <f>SUBTOTAL(9,F79:F82)</f>
        <v>-1148.6335600000002</v>
      </c>
      <c r="G83" s="31">
        <f>SUBTOTAL(9,G79:G82)</f>
        <v>339.57414000000006</v>
      </c>
    </row>
    <row r="84" spans="2:8" s="24" customFormat="1" ht="7" customHeight="1" x14ac:dyDescent="0.35">
      <c r="D84" s="31"/>
      <c r="E84" s="31"/>
      <c r="F84" s="31"/>
      <c r="G84" s="31"/>
      <c r="H84" s="31"/>
    </row>
    <row r="85" spans="2:8" x14ac:dyDescent="0.35">
      <c r="B85" s="3" t="s">
        <v>54</v>
      </c>
      <c r="D85" s="30"/>
      <c r="E85" s="30"/>
      <c r="F85" s="30"/>
      <c r="G85" s="30"/>
      <c r="H85" s="30"/>
    </row>
    <row r="86" spans="2:8" x14ac:dyDescent="0.35">
      <c r="B86" s="48" t="s">
        <v>85</v>
      </c>
      <c r="D86" s="43">
        <v>0</v>
      </c>
      <c r="E86" s="43">
        <v>1003.751</v>
      </c>
      <c r="F86" s="43">
        <v>-1003.751</v>
      </c>
      <c r="G86" s="43">
        <f>SUM(D86:F86)</f>
        <v>0</v>
      </c>
      <c r="H86" s="30"/>
    </row>
    <row r="87" spans="2:8" x14ac:dyDescent="0.35">
      <c r="B87" s="48" t="s">
        <v>209</v>
      </c>
      <c r="D87" s="43">
        <v>0</v>
      </c>
      <c r="E87" s="43">
        <v>177.10499999999999</v>
      </c>
      <c r="F87" s="43">
        <v>-177.10499999999999</v>
      </c>
      <c r="G87" s="43">
        <f>SUM(D87:F87)</f>
        <v>0</v>
      </c>
      <c r="H87" s="30"/>
    </row>
    <row r="88" spans="2:8" x14ac:dyDescent="0.35">
      <c r="B88" s="24" t="s">
        <v>61</v>
      </c>
      <c r="C88" s="24"/>
      <c r="D88" s="31">
        <f>SUBTOTAL(9,D86:D87)</f>
        <v>0</v>
      </c>
      <c r="E88" s="31">
        <f>SUBTOTAL(9,E86:E87)</f>
        <v>1180.856</v>
      </c>
      <c r="F88" s="31">
        <f>SUBTOTAL(9,F86:F87)</f>
        <v>-1180.856</v>
      </c>
      <c r="G88" s="31">
        <f>SUBTOTAL(9,G86:G87)</f>
        <v>0</v>
      </c>
      <c r="H88" s="30"/>
    </row>
    <row r="89" spans="2:8" x14ac:dyDescent="0.35">
      <c r="D89" s="30"/>
      <c r="E89" s="30"/>
      <c r="F89" s="30"/>
      <c r="G89" s="30"/>
      <c r="H89" s="30"/>
    </row>
    <row r="90" spans="2:8" s="24" customFormat="1" x14ac:dyDescent="0.35">
      <c r="B90" s="24" t="s">
        <v>93</v>
      </c>
      <c r="D90" s="31"/>
      <c r="E90" s="31"/>
      <c r="F90" s="31"/>
      <c r="G90" s="31"/>
      <c r="H90" s="31"/>
    </row>
    <row r="91" spans="2:8" x14ac:dyDescent="0.35">
      <c r="B91" s="48" t="s">
        <v>210</v>
      </c>
      <c r="D91" s="30">
        <v>0</v>
      </c>
      <c r="E91" s="30">
        <v>168.41776000000002</v>
      </c>
      <c r="F91" s="30">
        <v>0</v>
      </c>
      <c r="G91" s="30">
        <f t="shared" ref="G91:G96" si="1">SUM(D91:F91)</f>
        <v>168.41776000000002</v>
      </c>
      <c r="H91" s="30"/>
    </row>
    <row r="92" spans="2:8" x14ac:dyDescent="0.35">
      <c r="B92" s="48" t="s">
        <v>211</v>
      </c>
      <c r="D92" s="30">
        <v>0</v>
      </c>
      <c r="E92" s="30">
        <v>147.67159000000001</v>
      </c>
      <c r="F92" s="30">
        <v>0</v>
      </c>
      <c r="G92" s="30">
        <f t="shared" si="1"/>
        <v>147.67159000000001</v>
      </c>
      <c r="H92" s="30"/>
    </row>
    <row r="93" spans="2:8" x14ac:dyDescent="0.35">
      <c r="B93" s="48" t="s">
        <v>212</v>
      </c>
      <c r="D93" s="30">
        <v>0</v>
      </c>
      <c r="E93" s="30">
        <v>115.23152999999999</v>
      </c>
      <c r="F93" s="30">
        <v>-115.23152999999999</v>
      </c>
      <c r="G93" s="30">
        <f t="shared" si="1"/>
        <v>0</v>
      </c>
      <c r="H93" s="30"/>
    </row>
    <row r="94" spans="2:8" x14ac:dyDescent="0.35">
      <c r="B94" s="48" t="s">
        <v>167</v>
      </c>
      <c r="D94" s="30">
        <v>0</v>
      </c>
      <c r="E94" s="30">
        <v>70.308399999999992</v>
      </c>
      <c r="F94" s="30">
        <v>0</v>
      </c>
      <c r="G94" s="30">
        <f t="shared" si="1"/>
        <v>70.308399999999992</v>
      </c>
      <c r="H94" s="30"/>
    </row>
    <row r="95" spans="2:8" x14ac:dyDescent="0.35">
      <c r="B95" s="48" t="s">
        <v>168</v>
      </c>
      <c r="D95" s="30">
        <v>824.95566000000008</v>
      </c>
      <c r="E95" s="30">
        <v>-801.80716000000007</v>
      </c>
      <c r="F95" s="30">
        <v>0</v>
      </c>
      <c r="G95" s="30">
        <f t="shared" si="1"/>
        <v>23.148500000000013</v>
      </c>
      <c r="H95" s="30"/>
    </row>
    <row r="96" spans="2:8" s="24" customFormat="1" x14ac:dyDescent="0.35">
      <c r="B96" s="48" t="s">
        <v>213</v>
      </c>
      <c r="C96"/>
      <c r="D96" s="30">
        <v>0</v>
      </c>
      <c r="E96" s="30">
        <v>253.92098000000001</v>
      </c>
      <c r="F96" s="30">
        <v>0</v>
      </c>
      <c r="G96" s="30">
        <f t="shared" si="1"/>
        <v>253.92098000000001</v>
      </c>
      <c r="H96" s="30"/>
    </row>
    <row r="97" spans="1:8" x14ac:dyDescent="0.35">
      <c r="B97" s="48" t="s">
        <v>62</v>
      </c>
      <c r="D97" s="30">
        <v>19.92548</v>
      </c>
      <c r="E97" s="30">
        <v>152.69801999999999</v>
      </c>
      <c r="F97" s="30">
        <v>-172.62349999999998</v>
      </c>
      <c r="G97" s="30">
        <v>0</v>
      </c>
      <c r="H97" s="30"/>
    </row>
    <row r="98" spans="1:8" x14ac:dyDescent="0.35">
      <c r="B98" s="24" t="s">
        <v>61</v>
      </c>
      <c r="C98" s="24"/>
      <c r="D98" s="31">
        <f>SUBTOTAL(9,D91:D97)</f>
        <v>844.88114000000007</v>
      </c>
      <c r="E98" s="31">
        <f>SUBTOTAL(9,E91:E97)</f>
        <v>106.44111999999993</v>
      </c>
      <c r="F98" s="31">
        <f>SUBTOTAL(9,F91:F97)</f>
        <v>-287.85502999999994</v>
      </c>
      <c r="G98" s="31">
        <f>SUBTOTAL(9,G91:G97)</f>
        <v>663.46723000000009</v>
      </c>
      <c r="H98" s="30"/>
    </row>
    <row r="99" spans="1:8" x14ac:dyDescent="0.35">
      <c r="D99" s="30"/>
      <c r="E99" s="30"/>
      <c r="F99" s="30"/>
      <c r="G99" s="30"/>
      <c r="H99" s="30"/>
    </row>
    <row r="100" spans="1:8" x14ac:dyDescent="0.35">
      <c r="B100" s="24" t="s">
        <v>92</v>
      </c>
      <c r="C100" s="24"/>
      <c r="D100" s="30"/>
      <c r="E100" s="30"/>
      <c r="F100" s="30"/>
      <c r="G100" s="30"/>
      <c r="H100" s="30"/>
    </row>
    <row r="101" spans="1:8" x14ac:dyDescent="0.35">
      <c r="B101" s="48" t="s">
        <v>214</v>
      </c>
      <c r="D101" s="30">
        <v>0</v>
      </c>
      <c r="E101" s="30">
        <v>147.33741000000001</v>
      </c>
      <c r="F101" s="30">
        <v>-147.33741000000001</v>
      </c>
      <c r="G101" s="30">
        <f>SUM(D101:F101)</f>
        <v>0</v>
      </c>
      <c r="H101" s="30"/>
    </row>
    <row r="102" spans="1:8" x14ac:dyDescent="0.35">
      <c r="B102" s="48" t="s">
        <v>215</v>
      </c>
      <c r="D102" s="30">
        <v>0</v>
      </c>
      <c r="E102" s="30">
        <v>3.3209299999999997</v>
      </c>
      <c r="F102" s="30">
        <v>0</v>
      </c>
      <c r="G102" s="30">
        <f>SUM(D102:F102)</f>
        <v>3.3209299999999997</v>
      </c>
      <c r="H102" s="30"/>
    </row>
    <row r="103" spans="1:8" x14ac:dyDescent="0.35">
      <c r="B103" s="48" t="s">
        <v>62</v>
      </c>
      <c r="D103" s="30">
        <v>0</v>
      </c>
      <c r="E103" s="30">
        <v>133.77880999999999</v>
      </c>
      <c r="F103" s="30">
        <v>-130.99198999999999</v>
      </c>
      <c r="G103" s="30">
        <v>2.7868200000000001</v>
      </c>
      <c r="H103" s="30"/>
    </row>
    <row r="104" spans="1:8" x14ac:dyDescent="0.35">
      <c r="B104" s="24" t="s">
        <v>61</v>
      </c>
      <c r="C104" s="24"/>
      <c r="D104" s="31">
        <f>SUBTOTAL(9,D101:D103)</f>
        <v>0</v>
      </c>
      <c r="E104" s="31">
        <f>SUBTOTAL(9,E101:E103)</f>
        <v>284.43714999999997</v>
      </c>
      <c r="F104" s="31">
        <f>SUBTOTAL(9,F101:F103)</f>
        <v>-278.32939999999996</v>
      </c>
      <c r="G104" s="31">
        <f>SUBTOTAL(9,G101:G103)</f>
        <v>6.1077499999999993</v>
      </c>
      <c r="H104" s="30"/>
    </row>
    <row r="105" spans="1:8" x14ac:dyDescent="0.35">
      <c r="D105" s="30"/>
      <c r="E105" s="30"/>
      <c r="F105" s="30"/>
      <c r="G105" s="30"/>
      <c r="H105" s="30"/>
    </row>
    <row r="106" spans="1:8" ht="15" thickBot="1" x14ac:dyDescent="0.4">
      <c r="B106" s="33" t="s">
        <v>60</v>
      </c>
      <c r="C106" s="33"/>
      <c r="D106" s="34">
        <f>SUBTOTAL(9,D9:D104)</f>
        <v>35707.270099999987</v>
      </c>
      <c r="E106" s="34">
        <f>SUBTOTAL(9,E9:E104)</f>
        <v>48050.45373000003</v>
      </c>
      <c r="F106" s="34">
        <f>SUBTOTAL(9,F9:F104)</f>
        <v>-30355.235750000007</v>
      </c>
      <c r="G106" s="34">
        <f>SUBTOTAL(9,G9:G104)</f>
        <v>53402.48808000001</v>
      </c>
    </row>
    <row r="107" spans="1:8" ht="15" thickTop="1" x14ac:dyDescent="0.35">
      <c r="D107" s="30"/>
      <c r="E107" s="30"/>
      <c r="F107" s="30"/>
      <c r="G107" s="30"/>
    </row>
    <row r="108" spans="1:8" x14ac:dyDescent="0.35">
      <c r="B108" s="24" t="s">
        <v>89</v>
      </c>
      <c r="D108" s="30"/>
      <c r="E108" s="30"/>
      <c r="F108" s="30"/>
      <c r="G108" s="30"/>
    </row>
    <row r="109" spans="1:8" x14ac:dyDescent="0.35">
      <c r="B109" s="48" t="s">
        <v>174</v>
      </c>
      <c r="D109" s="30">
        <f>'5.2b - 2021'!G92</f>
        <v>0</v>
      </c>
      <c r="E109" s="30">
        <v>-650.67290000000003</v>
      </c>
      <c r="F109" s="30">
        <v>650.67290000000003</v>
      </c>
      <c r="G109" s="30">
        <f>SUM(D109:F109)</f>
        <v>0</v>
      </c>
      <c r="H109" s="30"/>
    </row>
    <row r="110" spans="1:8" x14ac:dyDescent="0.35">
      <c r="B110" s="48" t="s">
        <v>161</v>
      </c>
      <c r="D110" s="30">
        <f>'5.2b - 2021'!G93</f>
        <v>-897.54898000000003</v>
      </c>
      <c r="E110" s="30">
        <v>-6128.5774800000008</v>
      </c>
      <c r="F110" s="30">
        <v>0</v>
      </c>
      <c r="G110" s="30">
        <f>SUM(D110:F110)</f>
        <v>-7026.1264600000013</v>
      </c>
      <c r="H110" s="30"/>
    </row>
    <row r="111" spans="1:8" s="24" customFormat="1" x14ac:dyDescent="0.35">
      <c r="A111" s="46" t="s">
        <v>72</v>
      </c>
      <c r="B111" s="48" t="s">
        <v>197</v>
      </c>
      <c r="C111"/>
      <c r="D111" s="30">
        <f>'5.2b - 2021'!G103</f>
        <v>-1387.8443499999998</v>
      </c>
      <c r="E111" s="30">
        <v>-3513.0757799999997</v>
      </c>
      <c r="F111" s="30">
        <v>0</v>
      </c>
      <c r="G111" s="30">
        <f>SUM(D111:F111)</f>
        <v>-4900.9201299999995</v>
      </c>
      <c r="H111" s="30"/>
    </row>
    <row r="112" spans="1:8" x14ac:dyDescent="0.35">
      <c r="B112" s="24" t="s">
        <v>61</v>
      </c>
      <c r="D112" s="30">
        <f>SUBTOTAL(9,D109:D111)</f>
        <v>-2285.3933299999999</v>
      </c>
      <c r="E112" s="30">
        <f>SUBTOTAL(9,E109:E111)</f>
        <v>-10292.326160000001</v>
      </c>
      <c r="F112" s="30">
        <f>SUBTOTAL(9,F109:F111)</f>
        <v>650.67290000000003</v>
      </c>
      <c r="G112" s="30">
        <f>SUBTOTAL(9,G109:G111)</f>
        <v>-11927.046590000002</v>
      </c>
      <c r="H112" s="30"/>
    </row>
    <row r="113" spans="2:8" x14ac:dyDescent="0.35">
      <c r="B113" s="24"/>
      <c r="D113" s="30"/>
      <c r="E113" s="30"/>
      <c r="F113" s="30"/>
      <c r="G113" s="30"/>
      <c r="H113" s="30"/>
    </row>
    <row r="114" spans="2:8" x14ac:dyDescent="0.35">
      <c r="B114" s="24" t="s">
        <v>91</v>
      </c>
      <c r="D114" s="30"/>
      <c r="E114" s="30"/>
      <c r="F114" s="30"/>
      <c r="G114" s="30"/>
      <c r="H114" s="30"/>
    </row>
    <row r="115" spans="2:8" x14ac:dyDescent="0.35">
      <c r="B115" s="48" t="s">
        <v>175</v>
      </c>
      <c r="D115" s="30">
        <f>'5.2b - 2021'!G98</f>
        <v>-488.22347000000013</v>
      </c>
      <c r="E115" s="30">
        <v>-495.44202000000001</v>
      </c>
      <c r="F115" s="30">
        <v>122.98919000000001</v>
      </c>
      <c r="G115" s="30">
        <f>SUM(D115:F115)</f>
        <v>-860.67630000000008</v>
      </c>
      <c r="H115" s="30"/>
    </row>
    <row r="116" spans="2:8" x14ac:dyDescent="0.35">
      <c r="B116" s="24" t="s">
        <v>61</v>
      </c>
      <c r="D116" s="30">
        <f>SUBTOTAL(9,D115:D115)</f>
        <v>-488.22347000000013</v>
      </c>
      <c r="E116" s="30">
        <f>SUBTOTAL(9,E115:E115)</f>
        <v>-495.44202000000001</v>
      </c>
      <c r="F116" s="30">
        <f>SUBTOTAL(9,F115:F115)</f>
        <v>122.98919000000001</v>
      </c>
      <c r="G116" s="30">
        <f>SUBTOTAL(9,G115:G115)</f>
        <v>-860.67630000000008</v>
      </c>
      <c r="H116" s="30"/>
    </row>
    <row r="117" spans="2:8" x14ac:dyDescent="0.35">
      <c r="B117" s="24"/>
      <c r="D117" s="30"/>
      <c r="E117" s="30"/>
      <c r="F117" s="30"/>
      <c r="G117" s="30"/>
      <c r="H117" s="30"/>
    </row>
    <row r="118" spans="2:8" x14ac:dyDescent="0.35">
      <c r="B118" s="24" t="s">
        <v>94</v>
      </c>
      <c r="D118" s="30"/>
      <c r="E118" s="30"/>
      <c r="F118" s="30"/>
      <c r="G118" s="30"/>
      <c r="H118" s="30"/>
    </row>
    <row r="119" spans="2:8" x14ac:dyDescent="0.35">
      <c r="B119" s="48" t="s">
        <v>196</v>
      </c>
      <c r="D119" s="30">
        <f>'5.2b - 2021'!G102</f>
        <v>-1104.07132</v>
      </c>
      <c r="E119" s="30">
        <v>-37.571629999999999</v>
      </c>
      <c r="F119" s="30">
        <v>1141.6429499999999</v>
      </c>
      <c r="G119" s="30">
        <f>SUM(D119:F119)</f>
        <v>0</v>
      </c>
      <c r="H119" s="30"/>
    </row>
    <row r="120" spans="2:8" x14ac:dyDescent="0.35">
      <c r="B120" s="48" t="s">
        <v>198</v>
      </c>
      <c r="D120" s="30">
        <f>'5.2b - 2021'!G104</f>
        <v>-63.540210000000002</v>
      </c>
      <c r="E120" s="30">
        <v>-225</v>
      </c>
      <c r="F120" s="30">
        <v>0</v>
      </c>
      <c r="G120" s="30">
        <f>SUM(D120:F120)</f>
        <v>-288.54021</v>
      </c>
      <c r="H120" s="30"/>
    </row>
    <row r="121" spans="2:8" x14ac:dyDescent="0.35">
      <c r="B121" s="24" t="s">
        <v>61</v>
      </c>
      <c r="D121" s="30">
        <f>SUBTOTAL(9,D119:D120)</f>
        <v>-1167.6115300000001</v>
      </c>
      <c r="E121" s="30">
        <f>SUBTOTAL(9,E119:E120)</f>
        <v>-262.57163000000003</v>
      </c>
      <c r="F121" s="30">
        <f>SUBTOTAL(9,F119:F120)</f>
        <v>1141.6429499999999</v>
      </c>
      <c r="G121" s="30">
        <f>SUBTOTAL(9,G119:G120)</f>
        <v>-288.54021</v>
      </c>
      <c r="H121" s="30"/>
    </row>
    <row r="122" spans="2:8" x14ac:dyDescent="0.35">
      <c r="D122" s="30"/>
      <c r="E122" s="30"/>
      <c r="F122" s="30"/>
      <c r="G122" s="30"/>
    </row>
    <row r="123" spans="2:8" ht="15" thickBot="1" x14ac:dyDescent="0.4">
      <c r="B123" s="33" t="s">
        <v>60</v>
      </c>
      <c r="C123" s="33"/>
      <c r="D123" s="34">
        <f>SUBTOTAL(9,D108:D121)</f>
        <v>-3941.2283299999999</v>
      </c>
      <c r="E123" s="34">
        <f>SUBTOTAL(9,E108:E121)</f>
        <v>-11050.339810000001</v>
      </c>
      <c r="F123" s="34">
        <f>SUBTOTAL(9,F108:F121)</f>
        <v>1915.30504</v>
      </c>
      <c r="G123" s="34">
        <f>SUBTOTAL(9,G108:G121)</f>
        <v>-13076.2631</v>
      </c>
    </row>
    <row r="124" spans="2:8" ht="15" thickTop="1" x14ac:dyDescent="0.35">
      <c r="D124" s="30"/>
      <c r="E124" s="30"/>
      <c r="F124" s="30"/>
      <c r="G124" s="30"/>
    </row>
    <row r="125" spans="2:8" x14ac:dyDescent="0.35">
      <c r="B125" s="39" t="s">
        <v>95</v>
      </c>
      <c r="D125" s="30">
        <f>D34</f>
        <v>5090.3172500000001</v>
      </c>
      <c r="E125" s="30">
        <f>E34</f>
        <v>37394.86108000001</v>
      </c>
      <c r="F125" s="30">
        <f>F34</f>
        <v>-11287.41174</v>
      </c>
      <c r="G125" s="30">
        <f>G34</f>
        <v>31197.766589999999</v>
      </c>
    </row>
    <row r="126" spans="2:8" ht="3.5" customHeight="1" x14ac:dyDescent="0.35">
      <c r="B126" s="39"/>
      <c r="D126" s="30"/>
      <c r="E126" s="30"/>
      <c r="F126" s="30"/>
      <c r="G126" s="30"/>
    </row>
    <row r="127" spans="2:8" x14ac:dyDescent="0.35">
      <c r="B127" s="39" t="s">
        <v>90</v>
      </c>
      <c r="D127" s="30"/>
      <c r="E127" s="30"/>
      <c r="F127" s="30"/>
      <c r="G127" s="30"/>
    </row>
    <row r="128" spans="2:8" x14ac:dyDescent="0.35">
      <c r="B128" s="50" t="s">
        <v>12</v>
      </c>
      <c r="D128" s="30">
        <f>D65</f>
        <v>1219.2836</v>
      </c>
      <c r="E128" s="30">
        <f>E65</f>
        <v>565.39375999999993</v>
      </c>
      <c r="F128" s="30">
        <f>F65</f>
        <v>-1546.6251900000002</v>
      </c>
      <c r="G128" s="30">
        <f>G65</f>
        <v>238.05216999999999</v>
      </c>
    </row>
    <row r="129" spans="2:7" x14ac:dyDescent="0.35">
      <c r="B129" s="50" t="s">
        <v>10</v>
      </c>
      <c r="D129" s="30">
        <f>D70</f>
        <v>11.41442</v>
      </c>
      <c r="E129" s="30">
        <f>E70</f>
        <v>451.81689999999992</v>
      </c>
      <c r="F129" s="30">
        <f>F70</f>
        <v>-144.10278000000002</v>
      </c>
      <c r="G129" s="30">
        <f>G70</f>
        <v>319.12853999999999</v>
      </c>
    </row>
    <row r="130" spans="2:7" x14ac:dyDescent="0.35">
      <c r="B130" s="50" t="s">
        <v>11</v>
      </c>
      <c r="D130" s="30">
        <f>D76</f>
        <v>733.67163000000005</v>
      </c>
      <c r="E130" s="30">
        <f>E76</f>
        <v>1108.4172700000001</v>
      </c>
      <c r="F130" s="30">
        <f>F76</f>
        <v>-298.77656999999999</v>
      </c>
      <c r="G130" s="30">
        <f>G76</f>
        <v>1543.3123300000002</v>
      </c>
    </row>
    <row r="131" spans="2:7" x14ac:dyDescent="0.35">
      <c r="B131" s="50" t="s">
        <v>13</v>
      </c>
      <c r="D131" s="30">
        <f>D83</f>
        <v>0.66364000000000001</v>
      </c>
      <c r="E131" s="30">
        <f>E83</f>
        <v>1487.5440600000002</v>
      </c>
      <c r="F131" s="30">
        <f>F83</f>
        <v>-1148.6335600000002</v>
      </c>
      <c r="G131" s="30">
        <f>G83</f>
        <v>339.57414000000006</v>
      </c>
    </row>
    <row r="132" spans="2:7" ht="3.5" customHeight="1" x14ac:dyDescent="0.35">
      <c r="B132" s="40"/>
      <c r="D132" s="30"/>
      <c r="E132" s="30"/>
      <c r="F132" s="30"/>
      <c r="G132" s="30"/>
    </row>
    <row r="133" spans="2:7" x14ac:dyDescent="0.35">
      <c r="B133" s="3" t="s">
        <v>54</v>
      </c>
      <c r="D133" s="30">
        <f>D88</f>
        <v>0</v>
      </c>
      <c r="E133" s="30">
        <f>E88</f>
        <v>1180.856</v>
      </c>
      <c r="F133" s="30">
        <f>F88</f>
        <v>-1180.856</v>
      </c>
      <c r="G133" s="30">
        <f>G88</f>
        <v>0</v>
      </c>
    </row>
    <row r="134" spans="2:7" ht="3.5" customHeight="1" x14ac:dyDescent="0.35">
      <c r="D134" s="30"/>
      <c r="E134" s="30"/>
      <c r="F134" s="30"/>
      <c r="G134" s="30"/>
    </row>
    <row r="135" spans="2:7" x14ac:dyDescent="0.35">
      <c r="B135" s="39" t="s">
        <v>44</v>
      </c>
      <c r="D135" s="30">
        <v>0</v>
      </c>
      <c r="E135" s="30">
        <v>0</v>
      </c>
      <c r="F135" s="30">
        <v>0</v>
      </c>
      <c r="G135" s="30">
        <f>G90</f>
        <v>0</v>
      </c>
    </row>
    <row r="136" spans="2:7" ht="3.5" customHeight="1" x14ac:dyDescent="0.35">
      <c r="B136" s="40"/>
      <c r="D136" s="30"/>
      <c r="E136" s="30"/>
      <c r="F136" s="30"/>
      <c r="G136" s="30"/>
    </row>
    <row r="137" spans="2:7" x14ac:dyDescent="0.35">
      <c r="B137" s="39" t="s">
        <v>101</v>
      </c>
      <c r="D137" s="30">
        <f>SUM(D125:D135)</f>
        <v>7055.3505399999995</v>
      </c>
      <c r="E137" s="30">
        <f>SUM(E125:E135)</f>
        <v>42188.889070000005</v>
      </c>
      <c r="F137" s="30">
        <f>SUM(F125:F135)</f>
        <v>-15606.405839999999</v>
      </c>
      <c r="G137" s="30">
        <f>SUM(G125:G135)</f>
        <v>33637.833769999997</v>
      </c>
    </row>
    <row r="138" spans="2:7" ht="6.5" customHeight="1" x14ac:dyDescent="0.35">
      <c r="B138" s="40"/>
      <c r="D138" s="30"/>
      <c r="E138" s="30"/>
      <c r="F138" s="30"/>
      <c r="G138" s="30"/>
    </row>
    <row r="139" spans="2:7" x14ac:dyDescent="0.35">
      <c r="B139" s="39" t="s">
        <v>96</v>
      </c>
      <c r="D139" s="30">
        <f>SUM(D49,D98)</f>
        <v>25006.40238</v>
      </c>
      <c r="E139" s="30">
        <f>SUM(E49,E98)</f>
        <v>4667.6509399999986</v>
      </c>
      <c r="F139" s="30">
        <f>SUM(F49,F98)</f>
        <v>-14470.500510000002</v>
      </c>
      <c r="G139" s="30">
        <f>SUM(G49,G98)</f>
        <v>15203.552810000001</v>
      </c>
    </row>
    <row r="140" spans="2:7" ht="6.5" customHeight="1" x14ac:dyDescent="0.35">
      <c r="B140" s="40"/>
      <c r="D140" s="30"/>
      <c r="E140" s="30"/>
      <c r="F140" s="30"/>
      <c r="G140" s="30"/>
    </row>
    <row r="141" spans="2:7" x14ac:dyDescent="0.35">
      <c r="B141" s="39" t="s">
        <v>97</v>
      </c>
      <c r="D141" s="30">
        <f>SUM(D54,D104)</f>
        <v>3645.5171799999998</v>
      </c>
      <c r="E141" s="30">
        <f>SUM(E54,E104)</f>
        <v>1193.91372</v>
      </c>
      <c r="F141" s="30">
        <f>SUM(F54,F104)</f>
        <v>-278.32939999999996</v>
      </c>
      <c r="G141" s="30">
        <f>SUM(G54,G104)</f>
        <v>4561.1014999999998</v>
      </c>
    </row>
    <row r="142" spans="2:7" x14ac:dyDescent="0.35">
      <c r="B142" s="40"/>
      <c r="D142" s="30"/>
      <c r="E142" s="30"/>
      <c r="F142" s="30"/>
      <c r="G142" s="30"/>
    </row>
    <row r="143" spans="2:7" x14ac:dyDescent="0.35">
      <c r="B143" s="39" t="s">
        <v>102</v>
      </c>
      <c r="D143" s="30"/>
      <c r="E143" s="30"/>
      <c r="F143" s="30"/>
      <c r="G143" s="30"/>
    </row>
    <row r="144" spans="2:7" x14ac:dyDescent="0.35">
      <c r="B144" s="49" t="s">
        <v>99</v>
      </c>
      <c r="D144" s="30">
        <f>SUM(D116,D112)</f>
        <v>-2773.6167999999998</v>
      </c>
      <c r="E144" s="30">
        <f>SUM(E116,E112)</f>
        <v>-10787.768180000001</v>
      </c>
      <c r="F144" s="30">
        <f>SUM(F116,F112)</f>
        <v>773.66209000000003</v>
      </c>
      <c r="G144" s="30">
        <f>SUM(G116,G112)</f>
        <v>-12787.722890000001</v>
      </c>
    </row>
    <row r="145" spans="2:8" x14ac:dyDescent="0.35">
      <c r="B145" s="49" t="s">
        <v>100</v>
      </c>
      <c r="D145" s="30">
        <f>D121</f>
        <v>-1167.6115300000001</v>
      </c>
      <c r="E145" s="30">
        <f>E121</f>
        <v>-262.57163000000003</v>
      </c>
      <c r="F145" s="30">
        <f>F121</f>
        <v>1141.6429499999999</v>
      </c>
      <c r="G145" s="30">
        <f>G121</f>
        <v>-288.54021</v>
      </c>
    </row>
    <row r="146" spans="2:8" x14ac:dyDescent="0.35">
      <c r="B146" s="39"/>
      <c r="D146" s="30"/>
      <c r="E146" s="30"/>
      <c r="F146" s="30"/>
      <c r="G146" s="30"/>
    </row>
    <row r="147" spans="2:8" s="24" customFormat="1" x14ac:dyDescent="0.35">
      <c r="B147" s="24" t="s">
        <v>55</v>
      </c>
      <c r="D147" s="30"/>
      <c r="E147" s="30"/>
      <c r="F147" s="30"/>
      <c r="G147" s="30"/>
      <c r="H147" s="30"/>
    </row>
    <row r="148" spans="2:8" x14ac:dyDescent="0.35">
      <c r="B148" s="48" t="s">
        <v>55</v>
      </c>
      <c r="D148" s="30">
        <f>'5.2b - 2021'!G132</f>
        <v>6075.5940300000002</v>
      </c>
      <c r="E148" s="30">
        <v>2085.8006700000001</v>
      </c>
      <c r="F148" s="30">
        <v>-7815.4767899999997</v>
      </c>
      <c r="G148" s="30">
        <f>SUM(D148:F148)</f>
        <v>345.91791000000103</v>
      </c>
      <c r="H148" s="30"/>
    </row>
    <row r="149" spans="2:8" x14ac:dyDescent="0.35">
      <c r="B149" s="48" t="s">
        <v>199</v>
      </c>
      <c r="D149" s="30">
        <f>'5.2b - 2021'!G133</f>
        <v>-5899.3916799999997</v>
      </c>
      <c r="E149" s="30">
        <v>0</v>
      </c>
      <c r="F149" s="30">
        <v>5899.3916799999997</v>
      </c>
      <c r="G149" s="30">
        <f>SUM(D149:F149)</f>
        <v>0</v>
      </c>
      <c r="H149" s="30"/>
    </row>
    <row r="150" spans="2:8" x14ac:dyDescent="0.35">
      <c r="B150" s="39" t="s">
        <v>64</v>
      </c>
      <c r="C150" s="24"/>
      <c r="D150" s="31">
        <f>SUBTOTAL(9,D148:D149)</f>
        <v>176.20235000000048</v>
      </c>
      <c r="E150" s="31">
        <f>SUBTOTAL(9,E148:E149)</f>
        <v>2085.8006700000001</v>
      </c>
      <c r="F150" s="31">
        <f>SUBTOTAL(9,F148:F149)</f>
        <v>-1916.08511</v>
      </c>
      <c r="G150" s="31">
        <f>SUBTOTAL(9,G148:G149)</f>
        <v>345.91791000000103</v>
      </c>
      <c r="H150" s="30"/>
    </row>
    <row r="151" spans="2:8" x14ac:dyDescent="0.35">
      <c r="D151" s="30"/>
      <c r="E151" s="30"/>
      <c r="F151" s="30"/>
      <c r="G151" s="30"/>
      <c r="H151" s="30"/>
    </row>
    <row r="152" spans="2:8" x14ac:dyDescent="0.35">
      <c r="B152" s="24" t="s">
        <v>76</v>
      </c>
      <c r="D152" s="30"/>
      <c r="E152" s="30"/>
      <c r="F152" s="30"/>
      <c r="G152" s="30"/>
      <c r="H152" s="30"/>
    </row>
    <row r="153" spans="2:8" x14ac:dyDescent="0.35">
      <c r="B153" s="48" t="s">
        <v>216</v>
      </c>
      <c r="D153" s="30">
        <v>0</v>
      </c>
      <c r="E153" s="30">
        <v>40.0929</v>
      </c>
      <c r="F153" s="30">
        <v>0</v>
      </c>
      <c r="G153" s="30">
        <f>SUM(D153:F153)</f>
        <v>40.0929</v>
      </c>
      <c r="H153" s="30"/>
    </row>
    <row r="154" spans="2:8" x14ac:dyDescent="0.35">
      <c r="B154" s="39" t="s">
        <v>77</v>
      </c>
      <c r="C154" s="24"/>
      <c r="D154" s="31">
        <f>SUBTOTAL(9,D153)</f>
        <v>0</v>
      </c>
      <c r="E154" s="31">
        <f>SUBTOTAL(9,E153)</f>
        <v>40.0929</v>
      </c>
      <c r="F154" s="31">
        <f>SUBTOTAL(9,F153)</f>
        <v>0</v>
      </c>
      <c r="G154" s="31">
        <f>SUBTOTAL(9,G153)</f>
        <v>40.0929</v>
      </c>
      <c r="H154" s="30"/>
    </row>
    <row r="155" spans="2:8" x14ac:dyDescent="0.35">
      <c r="B155" s="39"/>
      <c r="C155" s="24"/>
      <c r="D155" s="31"/>
      <c r="E155" s="31"/>
      <c r="F155" s="31"/>
      <c r="G155" s="31"/>
      <c r="H155" s="30"/>
    </row>
    <row r="156" spans="2:8" x14ac:dyDescent="0.35">
      <c r="D156" s="30"/>
      <c r="E156" s="30"/>
      <c r="F156" s="30"/>
      <c r="G156" s="30"/>
      <c r="H156" s="30"/>
    </row>
    <row r="157" spans="2:8" x14ac:dyDescent="0.35">
      <c r="B157" s="57" t="s">
        <v>42</v>
      </c>
      <c r="C157" s="57"/>
      <c r="D157" s="57"/>
      <c r="E157" s="57"/>
      <c r="F157" s="57"/>
      <c r="G157" s="57"/>
    </row>
    <row r="158" spans="2:8" ht="31.5" customHeight="1" x14ac:dyDescent="0.35">
      <c r="B158" s="57" t="s">
        <v>79</v>
      </c>
      <c r="C158" s="57"/>
      <c r="D158" s="57"/>
      <c r="E158" s="57"/>
      <c r="F158" s="57"/>
      <c r="G158" s="57"/>
    </row>
    <row r="159" spans="2:8" x14ac:dyDescent="0.35">
      <c r="B159" s="57" t="s">
        <v>80</v>
      </c>
      <c r="C159" s="57"/>
      <c r="D159" s="57"/>
      <c r="E159" s="57"/>
      <c r="F159" s="57"/>
      <c r="G159" s="57"/>
    </row>
    <row r="187" spans="4:8" x14ac:dyDescent="0.35">
      <c r="D187" s="30"/>
      <c r="E187" s="30"/>
      <c r="F187" s="30"/>
      <c r="G187" s="30"/>
      <c r="H187" s="30"/>
    </row>
    <row r="188" spans="4:8" x14ac:dyDescent="0.35">
      <c r="D188" s="30"/>
      <c r="E188" s="30"/>
      <c r="F188" s="30"/>
      <c r="G188" s="30"/>
      <c r="H188" s="30"/>
    </row>
    <row r="189" spans="4:8" x14ac:dyDescent="0.35">
      <c r="D189" s="30"/>
      <c r="E189" s="30"/>
      <c r="F189" s="30"/>
      <c r="G189" s="30"/>
      <c r="H189" s="30"/>
    </row>
    <row r="190" spans="4:8" x14ac:dyDescent="0.35">
      <c r="D190" s="30"/>
      <c r="E190" s="30"/>
      <c r="F190" s="30"/>
      <c r="G190" s="30"/>
      <c r="H190" s="30"/>
    </row>
    <row r="191" spans="4:8" x14ac:dyDescent="0.35">
      <c r="D191" s="30"/>
      <c r="E191" s="30"/>
      <c r="F191" s="30"/>
      <c r="G191" s="30"/>
      <c r="H191" s="30"/>
    </row>
    <row r="192" spans="4:8" x14ac:dyDescent="0.35">
      <c r="D192" s="30"/>
      <c r="E192" s="30"/>
      <c r="F192" s="30"/>
      <c r="G192" s="30"/>
      <c r="H192" s="30"/>
    </row>
    <row r="193" spans="4:8" x14ac:dyDescent="0.35">
      <c r="D193" s="30"/>
      <c r="E193" s="30"/>
      <c r="F193" s="30"/>
      <c r="G193" s="30"/>
      <c r="H193" s="30"/>
    </row>
    <row r="194" spans="4:8" x14ac:dyDescent="0.35">
      <c r="D194" s="30"/>
      <c r="E194" s="30"/>
      <c r="F194" s="30"/>
      <c r="G194" s="30"/>
      <c r="H194" s="30"/>
    </row>
    <row r="195" spans="4:8" x14ac:dyDescent="0.35">
      <c r="D195" s="30"/>
      <c r="E195" s="30"/>
      <c r="F195" s="30"/>
      <c r="G195" s="30"/>
      <c r="H195" s="30"/>
    </row>
    <row r="196" spans="4:8" x14ac:dyDescent="0.35">
      <c r="D196" s="30"/>
      <c r="E196" s="30"/>
      <c r="F196" s="30"/>
      <c r="G196" s="30"/>
      <c r="H196" s="30"/>
    </row>
    <row r="197" spans="4:8" x14ac:dyDescent="0.35">
      <c r="D197" s="30"/>
      <c r="E197" s="30"/>
      <c r="F197" s="30"/>
      <c r="G197" s="30"/>
      <c r="H197" s="30"/>
    </row>
    <row r="198" spans="4:8" x14ac:dyDescent="0.35">
      <c r="D198" s="30"/>
      <c r="E198" s="30"/>
      <c r="F198" s="30"/>
      <c r="G198" s="30"/>
      <c r="H198" s="30"/>
    </row>
    <row r="199" spans="4:8" x14ac:dyDescent="0.35">
      <c r="D199" s="29"/>
      <c r="E199" s="29"/>
      <c r="F199" s="29"/>
      <c r="G199" s="29"/>
      <c r="H199" s="29"/>
    </row>
    <row r="200" spans="4:8" x14ac:dyDescent="0.35">
      <c r="D200" s="29"/>
      <c r="E200" s="29"/>
      <c r="F200" s="29"/>
      <c r="G200" s="29"/>
      <c r="H200" s="29"/>
    </row>
    <row r="201" spans="4:8" x14ac:dyDescent="0.35">
      <c r="D201" s="29"/>
      <c r="E201" s="29"/>
      <c r="F201" s="29"/>
      <c r="G201" s="29"/>
      <c r="H201" s="29"/>
    </row>
    <row r="202" spans="4:8" x14ac:dyDescent="0.35">
      <c r="D202" s="29"/>
      <c r="E202" s="29"/>
      <c r="F202" s="29"/>
      <c r="G202" s="29"/>
      <c r="H202" s="29"/>
    </row>
    <row r="203" spans="4:8" x14ac:dyDescent="0.35">
      <c r="D203" s="29"/>
      <c r="E203" s="29"/>
      <c r="F203" s="29"/>
      <c r="G203" s="29"/>
      <c r="H203" s="29"/>
    </row>
    <row r="204" spans="4:8" x14ac:dyDescent="0.35">
      <c r="D204" s="29"/>
      <c r="E204" s="29"/>
      <c r="F204" s="29"/>
      <c r="G204" s="29"/>
      <c r="H204" s="29"/>
    </row>
    <row r="205" spans="4:8" x14ac:dyDescent="0.35">
      <c r="D205" s="29"/>
      <c r="E205" s="29"/>
      <c r="F205" s="29"/>
      <c r="G205" s="29"/>
      <c r="H205" s="29"/>
    </row>
    <row r="206" spans="4:8" x14ac:dyDescent="0.35">
      <c r="D206" s="29"/>
      <c r="E206" s="29"/>
      <c r="F206" s="29"/>
      <c r="G206" s="29"/>
      <c r="H206" s="29"/>
    </row>
    <row r="207" spans="4:8" x14ac:dyDescent="0.35">
      <c r="D207" s="29"/>
      <c r="E207" s="29"/>
      <c r="F207" s="29"/>
      <c r="G207" s="29"/>
      <c r="H207" s="29"/>
    </row>
    <row r="208" spans="4:8" x14ac:dyDescent="0.35">
      <c r="D208" s="29"/>
      <c r="E208" s="29"/>
      <c r="F208" s="29"/>
      <c r="G208" s="29"/>
      <c r="H208" s="29"/>
    </row>
    <row r="209" spans="4:8" x14ac:dyDescent="0.35">
      <c r="D209" s="29"/>
      <c r="E209" s="29"/>
      <c r="F209" s="29"/>
      <c r="G209" s="29"/>
      <c r="H209" s="29"/>
    </row>
    <row r="210" spans="4:8" x14ac:dyDescent="0.35">
      <c r="D210" s="29"/>
      <c r="E210" s="29"/>
      <c r="F210" s="29"/>
      <c r="G210" s="29"/>
      <c r="H210" s="29"/>
    </row>
    <row r="211" spans="4:8" x14ac:dyDescent="0.35">
      <c r="D211" s="29"/>
      <c r="E211" s="29"/>
      <c r="F211" s="29"/>
      <c r="G211" s="29"/>
      <c r="H211" s="29"/>
    </row>
    <row r="212" spans="4:8" x14ac:dyDescent="0.35">
      <c r="D212" s="29"/>
      <c r="E212" s="29"/>
      <c r="F212" s="29"/>
      <c r="G212" s="29"/>
      <c r="H212" s="29"/>
    </row>
    <row r="213" spans="4:8" x14ac:dyDescent="0.35">
      <c r="D213" s="29"/>
      <c r="E213" s="29"/>
      <c r="F213" s="29"/>
      <c r="G213" s="29"/>
      <c r="H213" s="29"/>
    </row>
    <row r="214" spans="4:8" x14ac:dyDescent="0.35">
      <c r="D214" s="29"/>
      <c r="E214" s="29"/>
      <c r="F214" s="29"/>
      <c r="G214" s="29"/>
      <c r="H214" s="29"/>
    </row>
    <row r="215" spans="4:8" x14ac:dyDescent="0.35">
      <c r="D215" s="29"/>
      <c r="E215" s="29"/>
      <c r="F215" s="29"/>
      <c r="G215" s="29"/>
      <c r="H215" s="29"/>
    </row>
    <row r="216" spans="4:8" x14ac:dyDescent="0.35">
      <c r="D216" s="29"/>
      <c r="E216" s="29"/>
      <c r="F216" s="29"/>
      <c r="G216" s="29"/>
      <c r="H216" s="29"/>
    </row>
    <row r="217" spans="4:8" x14ac:dyDescent="0.35">
      <c r="D217" s="29"/>
      <c r="E217" s="29"/>
      <c r="F217" s="29"/>
      <c r="G217" s="29"/>
      <c r="H217" s="29"/>
    </row>
    <row r="218" spans="4:8" x14ac:dyDescent="0.35">
      <c r="D218" s="29"/>
      <c r="E218" s="29"/>
      <c r="F218" s="29"/>
      <c r="G218" s="29"/>
      <c r="H218" s="29"/>
    </row>
    <row r="219" spans="4:8" x14ac:dyDescent="0.35">
      <c r="D219" s="29"/>
      <c r="E219" s="29"/>
      <c r="F219" s="29"/>
      <c r="G219" s="29"/>
      <c r="H219" s="29"/>
    </row>
    <row r="220" spans="4:8" x14ac:dyDescent="0.35">
      <c r="D220" s="29"/>
      <c r="E220" s="29"/>
      <c r="F220" s="29"/>
      <c r="G220" s="29"/>
      <c r="H220" s="29"/>
    </row>
    <row r="221" spans="4:8" x14ac:dyDescent="0.35">
      <c r="D221" s="29"/>
      <c r="E221" s="29"/>
      <c r="F221" s="29"/>
      <c r="G221" s="29"/>
      <c r="H221" s="29"/>
    </row>
    <row r="222" spans="4:8" x14ac:dyDescent="0.35">
      <c r="D222" s="29"/>
      <c r="E222" s="29"/>
      <c r="F222" s="29"/>
      <c r="G222" s="29"/>
      <c r="H222" s="29"/>
    </row>
    <row r="223" spans="4:8" x14ac:dyDescent="0.35">
      <c r="D223" s="29"/>
      <c r="E223" s="29"/>
      <c r="F223" s="29"/>
      <c r="G223" s="29"/>
      <c r="H223" s="29"/>
    </row>
    <row r="224" spans="4:8" x14ac:dyDescent="0.35">
      <c r="D224" s="29"/>
      <c r="E224" s="29"/>
      <c r="F224" s="29"/>
      <c r="G224" s="29"/>
      <c r="H224" s="29"/>
    </row>
    <row r="225" spans="4:8" x14ac:dyDescent="0.35">
      <c r="D225" s="29"/>
      <c r="E225" s="29"/>
      <c r="F225" s="29"/>
      <c r="G225" s="29"/>
      <c r="H225" s="29"/>
    </row>
    <row r="226" spans="4:8" x14ac:dyDescent="0.35">
      <c r="D226" s="29"/>
      <c r="E226" s="29"/>
      <c r="F226" s="29"/>
      <c r="G226" s="29"/>
      <c r="H226" s="29"/>
    </row>
    <row r="227" spans="4:8" x14ac:dyDescent="0.35">
      <c r="D227" s="29"/>
      <c r="E227" s="29"/>
      <c r="F227" s="29"/>
      <c r="G227" s="29"/>
      <c r="H227" s="29"/>
    </row>
    <row r="228" spans="4:8" x14ac:dyDescent="0.35">
      <c r="D228" s="29"/>
      <c r="E228" s="29"/>
      <c r="F228" s="29"/>
      <c r="G228" s="29"/>
      <c r="H228" s="29"/>
    </row>
    <row r="229" spans="4:8" x14ac:dyDescent="0.35">
      <c r="D229" s="29"/>
      <c r="E229" s="29"/>
      <c r="F229" s="29"/>
      <c r="G229" s="29"/>
      <c r="H229" s="29"/>
    </row>
    <row r="230" spans="4:8" x14ac:dyDescent="0.35">
      <c r="D230" s="29"/>
      <c r="E230" s="29"/>
      <c r="F230" s="29"/>
      <c r="G230" s="29"/>
      <c r="H230" s="29"/>
    </row>
    <row r="231" spans="4:8" x14ac:dyDescent="0.35">
      <c r="D231" s="29"/>
      <c r="E231" s="29"/>
      <c r="F231" s="29"/>
      <c r="G231" s="29"/>
      <c r="H231" s="29"/>
    </row>
    <row r="232" spans="4:8" x14ac:dyDescent="0.35">
      <c r="D232" s="29"/>
      <c r="E232" s="29"/>
      <c r="F232" s="29"/>
      <c r="G232" s="29"/>
      <c r="H232" s="29"/>
    </row>
    <row r="233" spans="4:8" x14ac:dyDescent="0.35">
      <c r="D233" s="29"/>
      <c r="E233" s="29"/>
      <c r="F233" s="29"/>
      <c r="G233" s="29"/>
      <c r="H233" s="29"/>
    </row>
    <row r="234" spans="4:8" x14ac:dyDescent="0.35">
      <c r="D234" s="29"/>
      <c r="E234" s="29"/>
      <c r="F234" s="29"/>
      <c r="G234" s="29"/>
      <c r="H234" s="29"/>
    </row>
    <row r="235" spans="4:8" x14ac:dyDescent="0.35">
      <c r="D235" s="29"/>
      <c r="E235" s="29"/>
      <c r="F235" s="29"/>
      <c r="G235" s="29"/>
      <c r="H235" s="29"/>
    </row>
    <row r="236" spans="4:8" x14ac:dyDescent="0.35">
      <c r="D236" s="29"/>
      <c r="E236" s="29"/>
      <c r="F236" s="29"/>
      <c r="G236" s="29"/>
      <c r="H236" s="29"/>
    </row>
    <row r="237" spans="4:8" x14ac:dyDescent="0.35">
      <c r="D237" s="29"/>
      <c r="E237" s="29"/>
      <c r="F237" s="29"/>
      <c r="G237" s="29"/>
      <c r="H237" s="29"/>
    </row>
    <row r="238" spans="4:8" x14ac:dyDescent="0.35">
      <c r="D238" s="29"/>
      <c r="E238" s="29"/>
      <c r="F238" s="29"/>
      <c r="G238" s="29"/>
      <c r="H238" s="29"/>
    </row>
    <row r="239" spans="4:8" x14ac:dyDescent="0.35">
      <c r="D239" s="29"/>
      <c r="E239" s="29"/>
      <c r="F239" s="29"/>
      <c r="G239" s="29"/>
      <c r="H239" s="29"/>
    </row>
    <row r="240" spans="4:8" x14ac:dyDescent="0.35">
      <c r="D240" s="29"/>
      <c r="E240" s="29"/>
      <c r="F240" s="29"/>
      <c r="G240" s="29"/>
      <c r="H240" s="29"/>
    </row>
    <row r="241" spans="4:8" x14ac:dyDescent="0.35">
      <c r="D241" s="29"/>
      <c r="E241" s="29"/>
      <c r="F241" s="29"/>
      <c r="G241" s="29"/>
      <c r="H241" s="29"/>
    </row>
    <row r="242" spans="4:8" x14ac:dyDescent="0.35">
      <c r="D242" s="29"/>
      <c r="E242" s="29"/>
      <c r="F242" s="29"/>
      <c r="G242" s="29"/>
      <c r="H242" s="29"/>
    </row>
    <row r="243" spans="4:8" x14ac:dyDescent="0.35">
      <c r="D243" s="29"/>
      <c r="E243" s="29"/>
      <c r="F243" s="29"/>
      <c r="G243" s="29"/>
      <c r="H243" s="29"/>
    </row>
    <row r="244" spans="4:8" x14ac:dyDescent="0.35">
      <c r="D244" s="29"/>
      <c r="E244" s="29"/>
      <c r="F244" s="29"/>
      <c r="G244" s="29"/>
      <c r="H244" s="29"/>
    </row>
    <row r="245" spans="4:8" x14ac:dyDescent="0.35">
      <c r="D245" s="29"/>
      <c r="E245" s="29"/>
      <c r="F245" s="29"/>
      <c r="G245" s="29"/>
      <c r="H245" s="29"/>
    </row>
    <row r="246" spans="4:8" x14ac:dyDescent="0.35">
      <c r="D246" s="29"/>
      <c r="E246" s="29"/>
      <c r="F246" s="29"/>
      <c r="G246" s="29"/>
      <c r="H246" s="29"/>
    </row>
    <row r="247" spans="4:8" x14ac:dyDescent="0.35">
      <c r="D247" s="29"/>
      <c r="E247" s="29"/>
      <c r="F247" s="29"/>
      <c r="G247" s="29"/>
      <c r="H247" s="29"/>
    </row>
    <row r="248" spans="4:8" x14ac:dyDescent="0.35">
      <c r="D248" s="29"/>
      <c r="E248" s="29"/>
      <c r="F248" s="29"/>
      <c r="G248" s="29"/>
      <c r="H248" s="29"/>
    </row>
    <row r="249" spans="4:8" x14ac:dyDescent="0.35">
      <c r="D249" s="29"/>
      <c r="E249" s="29"/>
      <c r="F249" s="29"/>
      <c r="G249" s="29"/>
      <c r="H249" s="29"/>
    </row>
    <row r="250" spans="4:8" x14ac:dyDescent="0.35">
      <c r="D250" s="29"/>
      <c r="E250" s="29"/>
      <c r="F250" s="29"/>
      <c r="G250" s="29"/>
      <c r="H250" s="29"/>
    </row>
    <row r="251" spans="4:8" x14ac:dyDescent="0.35">
      <c r="D251" s="29"/>
      <c r="E251" s="29"/>
      <c r="F251" s="29"/>
      <c r="G251" s="29"/>
      <c r="H251" s="29"/>
    </row>
    <row r="252" spans="4:8" x14ac:dyDescent="0.35">
      <c r="D252" s="29"/>
      <c r="E252" s="29"/>
      <c r="F252" s="29"/>
      <c r="G252" s="29"/>
      <c r="H252" s="29"/>
    </row>
    <row r="253" spans="4:8" x14ac:dyDescent="0.35">
      <c r="D253" s="29"/>
      <c r="E253" s="29"/>
      <c r="F253" s="29"/>
      <c r="G253" s="29"/>
      <c r="H253" s="29"/>
    </row>
  </sheetData>
  <sortState xmlns:xlrd2="http://schemas.microsoft.com/office/spreadsheetml/2017/richdata2" ref="B100:N103">
    <sortCondition descending="1" ref="I100:I103"/>
  </sortState>
  <mergeCells count="4">
    <mergeCell ref="B3:G3"/>
    <mergeCell ref="B157:G157"/>
    <mergeCell ref="B158:G158"/>
    <mergeCell ref="B159:G159"/>
  </mergeCells>
  <pageMargins left="0.70866141732283472" right="0.70866141732283472" top="0.74803149606299213" bottom="0.74803149606299213" header="0.31496062992125984" footer="0.31496062992125984"/>
  <pageSetup scale="78" fitToHeight="3" orientation="portrait" r:id="rId1"/>
  <rowBreaks count="2" manualBreakCount="2">
    <brk id="56" max="6" man="1"/>
    <brk id="11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29"/>
  <sheetViews>
    <sheetView showGridLines="0" view="pageBreakPreview" zoomScale="87" zoomScaleNormal="100" zoomScaleSheetLayoutView="87" workbookViewId="0">
      <pane ySplit="5" topLeftCell="A6" activePane="bottomLeft" state="frozen"/>
      <selection activeCell="A19" sqref="A19"/>
      <selection pane="bottomLeft" activeCell="E8" sqref="E8"/>
    </sheetView>
  </sheetViews>
  <sheetFormatPr defaultRowHeight="14.5" x14ac:dyDescent="0.35"/>
  <cols>
    <col min="2" max="2" width="44.26953125" customWidth="1"/>
    <col min="3" max="3" width="3.26953125" customWidth="1"/>
    <col min="4" max="5" width="13.90625" customWidth="1"/>
    <col min="6" max="6" width="15" bestFit="1" customWidth="1"/>
    <col min="7" max="7" width="13.90625" customWidth="1"/>
    <col min="8" max="8" width="5.1796875" customWidth="1"/>
  </cols>
  <sheetData>
    <row r="1" spans="2:8" x14ac:dyDescent="0.35">
      <c r="B1" s="24" t="str">
        <f>'5.2b - 2021'!$B$1</f>
        <v>YEC 2023/24 GRA COMPLIANCE FILING</v>
      </c>
      <c r="C1" s="35"/>
      <c r="D1" s="35"/>
      <c r="E1" s="35"/>
      <c r="F1" s="35"/>
      <c r="G1" s="36" t="s">
        <v>38</v>
      </c>
    </row>
    <row r="2" spans="2:8" x14ac:dyDescent="0.35">
      <c r="B2" s="24" t="s">
        <v>67</v>
      </c>
      <c r="C2" s="24"/>
      <c r="D2" s="24"/>
      <c r="E2" s="24"/>
      <c r="F2" s="37"/>
      <c r="G2" s="38" t="str">
        <f>'5.1'!$G$2</f>
        <v>August 5, 2024</v>
      </c>
    </row>
    <row r="3" spans="2:8" x14ac:dyDescent="0.35">
      <c r="B3" s="56" t="s">
        <v>15</v>
      </c>
      <c r="C3" s="56"/>
      <c r="D3" s="56"/>
      <c r="E3" s="56"/>
      <c r="F3" s="56"/>
      <c r="G3" s="56"/>
    </row>
    <row r="4" spans="2:8" x14ac:dyDescent="0.35">
      <c r="B4" s="24"/>
      <c r="C4" s="24"/>
    </row>
    <row r="5" spans="2:8" s="24" customFormat="1" ht="29" x14ac:dyDescent="0.35">
      <c r="B5" s="25" t="s">
        <v>48</v>
      </c>
      <c r="C5" s="25"/>
      <c r="D5" s="26" t="s">
        <v>49</v>
      </c>
      <c r="E5" s="26" t="s">
        <v>50</v>
      </c>
      <c r="F5" s="26" t="s">
        <v>51</v>
      </c>
      <c r="G5" s="26" t="s">
        <v>52</v>
      </c>
      <c r="H5" s="27"/>
    </row>
    <row r="6" spans="2:8" s="24" customFormat="1" x14ac:dyDescent="0.35">
      <c r="D6" s="27"/>
      <c r="E6" s="27"/>
      <c r="F6" s="27"/>
      <c r="G6" s="27"/>
      <c r="H6" s="27"/>
    </row>
    <row r="7" spans="2:8" s="24" customFormat="1" x14ac:dyDescent="0.35">
      <c r="B7" s="24" t="s">
        <v>86</v>
      </c>
      <c r="D7" s="28"/>
      <c r="E7" s="28"/>
      <c r="F7" s="28"/>
      <c r="G7" s="28"/>
      <c r="H7" s="28"/>
    </row>
    <row r="8" spans="2:8" s="24" customFormat="1" x14ac:dyDescent="0.35">
      <c r="B8" s="24" t="s">
        <v>29</v>
      </c>
      <c r="D8" s="28"/>
      <c r="E8" s="28"/>
      <c r="F8" s="28"/>
      <c r="G8" s="28"/>
      <c r="H8" s="28"/>
    </row>
    <row r="9" spans="2:8" x14ac:dyDescent="0.35">
      <c r="B9" s="48" t="s">
        <v>170</v>
      </c>
      <c r="D9" s="30">
        <f>'5.3 - 2022'!G9</f>
        <v>6297.31178</v>
      </c>
      <c r="E9" s="30">
        <v>28650</v>
      </c>
      <c r="F9" s="30">
        <v>0</v>
      </c>
      <c r="G9" s="30">
        <f t="shared" ref="G9:G19" si="0">SUM(D9:F9)</f>
        <v>34947.311780000004</v>
      </c>
      <c r="H9" s="30"/>
    </row>
    <row r="10" spans="2:8" x14ac:dyDescent="0.35">
      <c r="B10" s="48" t="s">
        <v>179</v>
      </c>
      <c r="D10" s="30">
        <f>'5.3 - 2022'!G10</f>
        <v>934.35653000000002</v>
      </c>
      <c r="E10" s="30">
        <v>828.14143000000001</v>
      </c>
      <c r="F10" s="30">
        <v>0</v>
      </c>
      <c r="G10" s="30">
        <f t="shared" si="0"/>
        <v>1762.4979600000001</v>
      </c>
      <c r="H10" s="30"/>
    </row>
    <row r="11" spans="2:8" x14ac:dyDescent="0.35">
      <c r="B11" s="48" t="s">
        <v>200</v>
      </c>
      <c r="D11" s="30">
        <f>'5.3 - 2022'!G13</f>
        <v>581.24602000000004</v>
      </c>
      <c r="E11" s="30">
        <v>515.505</v>
      </c>
      <c r="F11" s="30">
        <v>0</v>
      </c>
      <c r="G11" s="30">
        <f t="shared" si="0"/>
        <v>1096.7510200000002</v>
      </c>
      <c r="H11" s="30"/>
    </row>
    <row r="12" spans="2:8" x14ac:dyDescent="0.35">
      <c r="B12" s="48" t="s">
        <v>181</v>
      </c>
      <c r="D12" s="30">
        <f>'5.3 - 2022'!G14</f>
        <v>0</v>
      </c>
      <c r="E12" s="30">
        <v>500</v>
      </c>
      <c r="F12" s="30">
        <v>-500</v>
      </c>
      <c r="G12" s="30">
        <f t="shared" si="0"/>
        <v>0</v>
      </c>
      <c r="H12" s="30"/>
    </row>
    <row r="13" spans="2:8" x14ac:dyDescent="0.35">
      <c r="B13" s="48" t="s">
        <v>81</v>
      </c>
      <c r="D13" s="30">
        <v>0</v>
      </c>
      <c r="E13" s="30">
        <v>5289.6765300000006</v>
      </c>
      <c r="F13" s="30">
        <v>-5289.6765300000006</v>
      </c>
      <c r="G13" s="30">
        <f t="shared" si="0"/>
        <v>0</v>
      </c>
      <c r="H13" s="30"/>
    </row>
    <row r="14" spans="2:8" x14ac:dyDescent="0.35">
      <c r="B14" s="48" t="s">
        <v>103</v>
      </c>
      <c r="D14" s="30">
        <f>'5.3 - 2022'!G16</f>
        <v>72.536420000000007</v>
      </c>
      <c r="E14" s="30">
        <v>2</v>
      </c>
      <c r="F14" s="30">
        <v>0</v>
      </c>
      <c r="G14" s="30">
        <f t="shared" si="0"/>
        <v>74.536420000000007</v>
      </c>
      <c r="H14" s="30"/>
    </row>
    <row r="15" spans="2:8" x14ac:dyDescent="0.35">
      <c r="B15" s="48" t="s">
        <v>104</v>
      </c>
      <c r="D15" s="30">
        <f>'5.3 - 2022'!G17</f>
        <v>10000.697609999999</v>
      </c>
      <c r="E15" s="30">
        <v>5781.8440000000001</v>
      </c>
      <c r="F15" s="30">
        <v>0</v>
      </c>
      <c r="G15" s="30">
        <f t="shared" si="0"/>
        <v>15782.54161</v>
      </c>
      <c r="H15" s="30"/>
    </row>
    <row r="16" spans="2:8" x14ac:dyDescent="0.35">
      <c r="B16" s="48" t="s">
        <v>105</v>
      </c>
      <c r="D16" s="30">
        <f>'5.3 - 2022'!G18</f>
        <v>324.48448999999999</v>
      </c>
      <c r="E16" s="30">
        <v>1000</v>
      </c>
      <c r="F16" s="30">
        <v>0</v>
      </c>
      <c r="G16" s="30">
        <f t="shared" si="0"/>
        <v>1324.4844900000001</v>
      </c>
      <c r="H16" s="30"/>
    </row>
    <row r="17" spans="2:8" x14ac:dyDescent="0.35">
      <c r="B17" s="48" t="s">
        <v>106</v>
      </c>
      <c r="D17" s="30">
        <f>'5.3 - 2022'!G19</f>
        <v>64.343230000000005</v>
      </c>
      <c r="E17" s="30">
        <v>450</v>
      </c>
      <c r="F17" s="30">
        <v>0</v>
      </c>
      <c r="G17" s="30">
        <f t="shared" si="0"/>
        <v>514.34322999999995</v>
      </c>
      <c r="H17" s="30"/>
    </row>
    <row r="18" spans="2:8" x14ac:dyDescent="0.35">
      <c r="B18" s="48" t="s">
        <v>107</v>
      </c>
      <c r="D18" s="30">
        <v>0</v>
      </c>
      <c r="E18" s="30">
        <v>2500</v>
      </c>
      <c r="F18" s="30">
        <v>0</v>
      </c>
      <c r="G18" s="30">
        <f t="shared" si="0"/>
        <v>2500</v>
      </c>
      <c r="H18" s="30"/>
    </row>
    <row r="19" spans="2:8" x14ac:dyDescent="0.35">
      <c r="B19" s="48" t="s">
        <v>108</v>
      </c>
      <c r="D19" s="30">
        <v>0</v>
      </c>
      <c r="E19" s="30">
        <v>200</v>
      </c>
      <c r="F19" s="30">
        <v>0</v>
      </c>
      <c r="G19" s="30">
        <f t="shared" si="0"/>
        <v>200</v>
      </c>
      <c r="H19" s="30"/>
    </row>
    <row r="20" spans="2:8" x14ac:dyDescent="0.35">
      <c r="B20" s="24" t="s">
        <v>26</v>
      </c>
      <c r="D20" s="30"/>
      <c r="E20" s="30"/>
      <c r="F20" s="30"/>
      <c r="G20" s="30"/>
      <c r="H20" s="30"/>
    </row>
    <row r="21" spans="2:8" x14ac:dyDescent="0.35">
      <c r="B21" s="48" t="s">
        <v>155</v>
      </c>
      <c r="D21" s="30">
        <f>'5.3 - 2022'!G21</f>
        <v>8403.8510100000003</v>
      </c>
      <c r="E21" s="30">
        <v>2295</v>
      </c>
      <c r="F21" s="30">
        <v>0</v>
      </c>
      <c r="G21" s="30">
        <f>SUM(D21:F21)</f>
        <v>10698.85101</v>
      </c>
      <c r="H21" s="30"/>
    </row>
    <row r="22" spans="2:8" x14ac:dyDescent="0.35">
      <c r="B22" s="48" t="s">
        <v>182</v>
      </c>
      <c r="D22" s="30">
        <f>'5.3 - 2022'!G22</f>
        <v>0</v>
      </c>
      <c r="E22" s="30">
        <v>1000</v>
      </c>
      <c r="F22" s="30">
        <v>-1000</v>
      </c>
      <c r="G22" s="30">
        <f>SUM(D22:F22)</f>
        <v>0</v>
      </c>
      <c r="H22" s="30"/>
    </row>
    <row r="23" spans="2:8" x14ac:dyDescent="0.35">
      <c r="B23" s="48" t="s">
        <v>201</v>
      </c>
      <c r="D23" s="30">
        <f>'5.3 - 2022'!G24</f>
        <v>388.10894999999999</v>
      </c>
      <c r="E23" s="30">
        <v>1736.82</v>
      </c>
      <c r="F23" s="30">
        <v>0</v>
      </c>
      <c r="G23" s="30">
        <f>SUM(D23:F23)</f>
        <v>2124.92895</v>
      </c>
      <c r="H23" s="30"/>
    </row>
    <row r="24" spans="2:8" x14ac:dyDescent="0.35">
      <c r="B24" s="24" t="s">
        <v>27</v>
      </c>
      <c r="D24" s="30"/>
      <c r="E24" s="30"/>
      <c r="F24" s="30"/>
      <c r="G24" s="30"/>
      <c r="H24" s="30"/>
    </row>
    <row r="25" spans="2:8" x14ac:dyDescent="0.35">
      <c r="B25" s="48" t="s">
        <v>150</v>
      </c>
      <c r="D25" s="30">
        <f>'5.3 - 2022'!G26</f>
        <v>71.766139999999993</v>
      </c>
      <c r="E25" s="30">
        <v>600</v>
      </c>
      <c r="F25" s="30">
        <v>0</v>
      </c>
      <c r="G25" s="30">
        <f>SUM(D25:F25)</f>
        <v>671.76613999999995</v>
      </c>
      <c r="H25" s="30"/>
    </row>
    <row r="26" spans="2:8" s="24" customFormat="1" x14ac:dyDescent="0.35">
      <c r="B26" s="48" t="s">
        <v>185</v>
      </c>
      <c r="C26"/>
      <c r="D26" s="30">
        <f>'5.3 - 2022'!G27</f>
        <v>3705.32953</v>
      </c>
      <c r="E26" s="30">
        <v>2453.9391499999997</v>
      </c>
      <c r="F26" s="30">
        <v>-176.01400000000001</v>
      </c>
      <c r="G26" s="30">
        <f>SUM(D26:F26)</f>
        <v>5983.2546799999991</v>
      </c>
      <c r="H26" s="30"/>
    </row>
    <row r="27" spans="2:8" x14ac:dyDescent="0.35">
      <c r="B27" s="24" t="s">
        <v>58</v>
      </c>
      <c r="D27" s="30"/>
      <c r="E27" s="30"/>
      <c r="F27" s="30"/>
      <c r="G27" s="30"/>
      <c r="H27" s="30"/>
    </row>
    <row r="28" spans="2:8" x14ac:dyDescent="0.35">
      <c r="B28" s="48" t="s">
        <v>184</v>
      </c>
      <c r="D28" s="30">
        <f>'5.3 - 2022'!G29</f>
        <v>322.76803999999998</v>
      </c>
      <c r="E28" s="30">
        <v>2145.1559099999999</v>
      </c>
      <c r="F28" s="30">
        <v>0</v>
      </c>
      <c r="G28" s="30">
        <f>SUM(D28:F28)</f>
        <v>2467.9239499999999</v>
      </c>
      <c r="H28" s="30"/>
    </row>
    <row r="29" spans="2:8" x14ac:dyDescent="0.35">
      <c r="B29" s="24" t="s">
        <v>59</v>
      </c>
      <c r="D29" s="30"/>
      <c r="E29" s="30"/>
      <c r="F29" s="30"/>
      <c r="G29" s="30"/>
      <c r="H29" s="30"/>
    </row>
    <row r="30" spans="2:8" x14ac:dyDescent="0.35">
      <c r="B30" s="48" t="s">
        <v>202</v>
      </c>
      <c r="D30" s="30">
        <f>'5.3 - 2022'!G31</f>
        <v>30.966840000000001</v>
      </c>
      <c r="E30" s="30">
        <v>2430</v>
      </c>
      <c r="F30" s="30">
        <v>-2460.96684</v>
      </c>
      <c r="G30" s="30">
        <f>SUM(D30:F30)</f>
        <v>0</v>
      </c>
      <c r="H30" s="30"/>
    </row>
    <row r="31" spans="2:8" x14ac:dyDescent="0.35">
      <c r="B31" s="48" t="s">
        <v>217</v>
      </c>
      <c r="D31" s="30">
        <v>0</v>
      </c>
      <c r="E31" s="30">
        <v>400</v>
      </c>
      <c r="F31" s="30">
        <v>-400</v>
      </c>
      <c r="G31" s="30">
        <f>SUM(D31:F31)</f>
        <v>0</v>
      </c>
      <c r="H31" s="30"/>
    </row>
    <row r="32" spans="2:8" x14ac:dyDescent="0.35">
      <c r="B32" s="48" t="s">
        <v>218</v>
      </c>
      <c r="D32" s="30">
        <v>0</v>
      </c>
      <c r="E32" s="30">
        <v>400</v>
      </c>
      <c r="F32" s="30">
        <v>-400</v>
      </c>
      <c r="G32" s="30">
        <f>SUM(D32:F32)</f>
        <v>0</v>
      </c>
      <c r="H32" s="30"/>
    </row>
    <row r="33" spans="2:8" ht="10" customHeight="1" x14ac:dyDescent="0.35">
      <c r="B33" s="48"/>
      <c r="D33" s="30"/>
      <c r="E33" s="30"/>
      <c r="F33" s="30"/>
      <c r="G33" s="30"/>
      <c r="H33" s="30"/>
    </row>
    <row r="34" spans="2:8" x14ac:dyDescent="0.35">
      <c r="B34" s="24" t="s">
        <v>61</v>
      </c>
      <c r="C34" s="24"/>
      <c r="D34" s="31">
        <f>SUBTOTAL(9,D9:D32)</f>
        <v>31197.766589999999</v>
      </c>
      <c r="E34" s="31">
        <f>SUBTOTAL(9,E9:E32)</f>
        <v>59178.082020000002</v>
      </c>
      <c r="F34" s="31">
        <f>SUBTOTAL(9,F9:F32)</f>
        <v>-10226.657370000001</v>
      </c>
      <c r="G34" s="31">
        <f>SUBTOTAL(9,G9:G32)</f>
        <v>80149.191240000015</v>
      </c>
      <c r="H34" s="30"/>
    </row>
    <row r="35" spans="2:8" x14ac:dyDescent="0.35">
      <c r="D35" s="30"/>
      <c r="E35" s="30"/>
      <c r="F35" s="30"/>
      <c r="G35" s="30"/>
      <c r="H35" s="30"/>
    </row>
    <row r="36" spans="2:8" s="24" customFormat="1" x14ac:dyDescent="0.35">
      <c r="B36" s="24" t="s">
        <v>87</v>
      </c>
      <c r="D36" s="31"/>
      <c r="E36" s="31"/>
      <c r="F36" s="31"/>
      <c r="G36" s="31"/>
      <c r="H36" s="31"/>
    </row>
    <row r="37" spans="2:8" s="24" customFormat="1" x14ac:dyDescent="0.35">
      <c r="B37" s="24" t="s">
        <v>57</v>
      </c>
      <c r="D37" s="31"/>
      <c r="E37" s="31"/>
      <c r="F37" s="31"/>
      <c r="G37" s="31"/>
      <c r="H37" s="31"/>
    </row>
    <row r="38" spans="2:8" s="24" customFormat="1" x14ac:dyDescent="0.35">
      <c r="B38" s="48" t="s">
        <v>121</v>
      </c>
      <c r="D38" s="30">
        <f>'5.3 - 2022'!G40</f>
        <v>4541.4423400000005</v>
      </c>
      <c r="E38" s="30">
        <v>110</v>
      </c>
      <c r="F38" s="30">
        <v>0</v>
      </c>
      <c r="G38" s="30">
        <f>SUM(D38:F38)</f>
        <v>4651.4423400000005</v>
      </c>
      <c r="H38" s="31"/>
    </row>
    <row r="39" spans="2:8" x14ac:dyDescent="0.35">
      <c r="B39" s="48" t="s">
        <v>122</v>
      </c>
      <c r="D39" s="30">
        <f>'5.3 - 2022'!G41</f>
        <v>575.35715000000118</v>
      </c>
      <c r="E39" s="30">
        <v>40.04</v>
      </c>
      <c r="F39" s="30">
        <v>0</v>
      </c>
      <c r="G39" s="30">
        <f>SUM(D39:F39)</f>
        <v>615.39715000000115</v>
      </c>
      <c r="H39" s="30"/>
    </row>
    <row r="40" spans="2:8" x14ac:dyDescent="0.35">
      <c r="B40" s="48" t="s">
        <v>123</v>
      </c>
      <c r="D40" s="30">
        <f>'5.3 - 2022'!G42</f>
        <v>5734.9066399999992</v>
      </c>
      <c r="E40" s="30">
        <v>811.20500000000004</v>
      </c>
      <c r="F40" s="30">
        <v>0</v>
      </c>
      <c r="G40" s="30">
        <f>SUM(D40:F40)</f>
        <v>6546.1116399999992</v>
      </c>
      <c r="H40" s="30"/>
    </row>
    <row r="41" spans="2:8" x14ac:dyDescent="0.35">
      <c r="B41" s="48" t="s">
        <v>124</v>
      </c>
      <c r="D41" s="30">
        <f>'5.3 - 2022'!G43</f>
        <v>2119.9905600000002</v>
      </c>
      <c r="E41" s="30">
        <v>5817.85</v>
      </c>
      <c r="F41" s="30">
        <v>0</v>
      </c>
      <c r="G41" s="30">
        <f>SUM(D41:F41)</f>
        <v>7937.8405600000006</v>
      </c>
      <c r="H41" s="30"/>
    </row>
    <row r="42" spans="2:8" x14ac:dyDescent="0.35">
      <c r="B42" s="48" t="s">
        <v>125</v>
      </c>
      <c r="D42" s="30">
        <f>'5.3 - 2022'!G44</f>
        <v>94.233260000000001</v>
      </c>
      <c r="E42" s="30">
        <v>3500</v>
      </c>
      <c r="F42" s="30">
        <v>0</v>
      </c>
      <c r="G42" s="30">
        <f>SUM(D42:F42)</f>
        <v>3594.23326</v>
      </c>
      <c r="H42" s="30"/>
    </row>
    <row r="43" spans="2:8" x14ac:dyDescent="0.35">
      <c r="B43" s="24" t="s">
        <v>45</v>
      </c>
      <c r="D43" s="30"/>
      <c r="E43" s="30"/>
      <c r="F43" s="30"/>
      <c r="G43" s="30"/>
      <c r="H43" s="30"/>
    </row>
    <row r="44" spans="2:8" x14ac:dyDescent="0.35">
      <c r="B44" s="48" t="s">
        <v>126</v>
      </c>
      <c r="D44" s="30">
        <f>'5.3 - 2022'!G46</f>
        <v>1474.15563</v>
      </c>
      <c r="E44" s="30">
        <v>134.49600000000001</v>
      </c>
      <c r="F44" s="30">
        <v>0</v>
      </c>
      <c r="G44" s="30">
        <f>SUM(D44:F44)</f>
        <v>1608.6516300000001</v>
      </c>
      <c r="H44" s="30"/>
    </row>
    <row r="45" spans="2:8" x14ac:dyDescent="0.35">
      <c r="B45" s="48" t="s">
        <v>127</v>
      </c>
      <c r="D45" s="30">
        <f>'5.3 - 2022'!G47</f>
        <v>0</v>
      </c>
      <c r="E45" s="30">
        <v>1271.64067</v>
      </c>
      <c r="F45" s="30">
        <v>-1271.64067</v>
      </c>
      <c r="G45" s="30">
        <f>SUM(D45:F45)</f>
        <v>0</v>
      </c>
      <c r="H45" s="30"/>
    </row>
    <row r="46" spans="2:8" x14ac:dyDescent="0.35">
      <c r="B46" s="48" t="s">
        <v>128</v>
      </c>
      <c r="D46" s="30">
        <v>0</v>
      </c>
      <c r="E46" s="30">
        <v>400</v>
      </c>
      <c r="F46" s="30">
        <v>0</v>
      </c>
      <c r="G46" s="30">
        <f>SUM(D46:F46)</f>
        <v>400</v>
      </c>
      <c r="H46" s="30"/>
    </row>
    <row r="47" spans="2:8" x14ac:dyDescent="0.35">
      <c r="B47" s="24" t="s">
        <v>61</v>
      </c>
      <c r="C47" s="24"/>
      <c r="D47" s="31">
        <f>SUBTOTAL(9,D38:D46)</f>
        <v>14540.085580000001</v>
      </c>
      <c r="E47" s="31">
        <f>SUBTOTAL(9,E38:E46)</f>
        <v>12085.231670000001</v>
      </c>
      <c r="F47" s="31">
        <f>SUBTOTAL(9,F38:F46)</f>
        <v>-1271.64067</v>
      </c>
      <c r="G47" s="31">
        <f>SUBTOTAL(9,G38:G46)</f>
        <v>25353.676580000003</v>
      </c>
      <c r="H47" s="30"/>
    </row>
    <row r="48" spans="2:8" x14ac:dyDescent="0.35">
      <c r="D48" s="30"/>
      <c r="E48" s="30"/>
      <c r="F48" s="30"/>
      <c r="G48" s="30"/>
      <c r="H48" s="30"/>
    </row>
    <row r="49" spans="2:16" s="24" customFormat="1" x14ac:dyDescent="0.35">
      <c r="B49" s="24" t="s">
        <v>88</v>
      </c>
      <c r="D49" s="31"/>
      <c r="E49" s="31"/>
      <c r="F49" s="31"/>
      <c r="G49" s="31"/>
      <c r="H49" s="31"/>
    </row>
    <row r="50" spans="2:16" x14ac:dyDescent="0.35">
      <c r="B50" s="48" t="s">
        <v>69</v>
      </c>
      <c r="D50" s="30">
        <f>'5.3 - 2022'!G52</f>
        <v>4455.1814299999996</v>
      </c>
      <c r="E50" s="30">
        <v>1011</v>
      </c>
      <c r="F50" s="30">
        <v>-5466.1814299999996</v>
      </c>
      <c r="G50" s="30">
        <f>SUM(D50:F50)</f>
        <v>0</v>
      </c>
      <c r="H50" s="30"/>
    </row>
    <row r="51" spans="2:16" x14ac:dyDescent="0.35">
      <c r="B51" s="48" t="s">
        <v>129</v>
      </c>
      <c r="D51" s="30">
        <f>'5.3 - 2022'!G53</f>
        <v>99.81232</v>
      </c>
      <c r="E51" s="30">
        <v>75</v>
      </c>
      <c r="F51" s="30">
        <v>0</v>
      </c>
      <c r="G51" s="30">
        <f>SUM(D51:F51)</f>
        <v>174.81232</v>
      </c>
      <c r="H51" s="30"/>
    </row>
    <row r="52" spans="2:16" x14ac:dyDescent="0.35">
      <c r="B52" s="24" t="s">
        <v>61</v>
      </c>
      <c r="C52" s="24"/>
      <c r="D52" s="31">
        <f>SUBTOTAL(9,D50:D51)</f>
        <v>4554.9937499999996</v>
      </c>
      <c r="E52" s="31">
        <f>SUBTOTAL(9,E50:E51)</f>
        <v>1086</v>
      </c>
      <c r="F52" s="31">
        <f>SUBTOTAL(9,F50:F51)</f>
        <v>-5466.1814299999996</v>
      </c>
      <c r="G52" s="31">
        <f>SUBTOTAL(9,G50:G51)</f>
        <v>174.81232</v>
      </c>
      <c r="H52" s="30"/>
    </row>
    <row r="53" spans="2:16" x14ac:dyDescent="0.35">
      <c r="D53" s="30"/>
      <c r="E53" s="30"/>
      <c r="F53" s="30"/>
      <c r="G53" s="30"/>
      <c r="H53" s="30"/>
    </row>
    <row r="54" spans="2:16" s="24" customFormat="1" x14ac:dyDescent="0.35">
      <c r="B54" s="24" t="s">
        <v>53</v>
      </c>
      <c r="D54" s="31"/>
      <c r="E54" s="31"/>
      <c r="F54" s="31"/>
      <c r="G54" s="31"/>
      <c r="H54" s="31"/>
    </row>
    <row r="55" spans="2:16" s="24" customFormat="1" ht="4.5" customHeight="1" x14ac:dyDescent="0.35">
      <c r="D55" s="31"/>
      <c r="E55" s="31"/>
      <c r="F55" s="31"/>
      <c r="G55" s="31"/>
      <c r="H55" s="31"/>
    </row>
    <row r="56" spans="2:16" s="24" customFormat="1" x14ac:dyDescent="0.35">
      <c r="B56" s="24" t="s">
        <v>29</v>
      </c>
      <c r="D56" s="31"/>
      <c r="E56" s="31"/>
      <c r="F56" s="31"/>
      <c r="G56" s="31"/>
      <c r="H56" s="31"/>
    </row>
    <row r="57" spans="2:16" x14ac:dyDescent="0.35">
      <c r="B57" s="48" t="s">
        <v>205</v>
      </c>
      <c r="D57" s="30">
        <f>'5.3 - 2022'!G63</f>
        <v>10.69355</v>
      </c>
      <c r="E57" s="30">
        <v>275</v>
      </c>
      <c r="F57" s="30">
        <v>-285.69355000000002</v>
      </c>
      <c r="G57" s="30">
        <f>SUM(D57:F57)</f>
        <v>0</v>
      </c>
      <c r="H57" s="30"/>
    </row>
    <row r="58" spans="2:16" x14ac:dyDescent="0.35">
      <c r="B58" s="48" t="s">
        <v>204</v>
      </c>
      <c r="D58" s="30">
        <f>'5.3 - 2022'!G62</f>
        <v>149.24179999999998</v>
      </c>
      <c r="E58" s="30">
        <v>0</v>
      </c>
      <c r="F58" s="30">
        <v>0</v>
      </c>
      <c r="G58" s="30">
        <f>SUM(D58:F58)</f>
        <v>149.24179999999998</v>
      </c>
      <c r="H58" s="30"/>
    </row>
    <row r="59" spans="2:16" x14ac:dyDescent="0.35">
      <c r="B59" s="48" t="s">
        <v>62</v>
      </c>
      <c r="D59" s="30">
        <v>78.116820000000004</v>
      </c>
      <c r="E59" s="30">
        <v>245</v>
      </c>
      <c r="F59" s="30">
        <v>-255.67598999999998</v>
      </c>
      <c r="G59" s="30">
        <v>67.440830000000005</v>
      </c>
      <c r="H59" s="30"/>
    </row>
    <row r="60" spans="2:16" s="24" customFormat="1" x14ac:dyDescent="0.35">
      <c r="B60" s="24" t="s">
        <v>61</v>
      </c>
      <c r="D60" s="31">
        <f>SUBTOTAL(9,D57:D59)</f>
        <v>238.05216999999999</v>
      </c>
      <c r="E60" s="31">
        <f>SUBTOTAL(9,E57:E59)</f>
        <v>520</v>
      </c>
      <c r="F60" s="31">
        <f>SUBTOTAL(9,F57:F59)</f>
        <v>-541.36954000000003</v>
      </c>
      <c r="G60" s="31">
        <f>SUBTOTAL(9,G57:G59)</f>
        <v>216.68262999999999</v>
      </c>
      <c r="H60" s="30"/>
    </row>
    <row r="61" spans="2:16" s="24" customFormat="1" ht="4.5" customHeight="1" x14ac:dyDescent="0.35">
      <c r="D61" s="31"/>
      <c r="E61" s="31"/>
      <c r="F61" s="31"/>
      <c r="G61" s="31"/>
      <c r="H61" s="31"/>
    </row>
    <row r="62" spans="2:16" s="24" customFormat="1" x14ac:dyDescent="0.35">
      <c r="B62" s="24" t="s">
        <v>26</v>
      </c>
      <c r="D62" s="31"/>
      <c r="E62" s="31"/>
      <c r="F62" s="31"/>
      <c r="G62" s="31"/>
      <c r="H62" s="31"/>
    </row>
    <row r="63" spans="2:16" x14ac:dyDescent="0.35">
      <c r="B63" s="48" t="s">
        <v>219</v>
      </c>
      <c r="D63" s="30">
        <v>0</v>
      </c>
      <c r="E63" s="30">
        <v>405</v>
      </c>
      <c r="F63" s="30">
        <v>0</v>
      </c>
      <c r="G63" s="30">
        <f>SUM(D63:F63)</f>
        <v>405</v>
      </c>
      <c r="H63" s="30"/>
    </row>
    <row r="64" spans="2:16" x14ac:dyDescent="0.35">
      <c r="B64" s="48" t="s">
        <v>146</v>
      </c>
      <c r="D64" s="30">
        <v>304.70203000000004</v>
      </c>
      <c r="E64" s="30">
        <v>433.57489000000004</v>
      </c>
      <c r="F64" s="30">
        <v>-738.27692000000002</v>
      </c>
      <c r="G64" s="30">
        <f>SUM(D64:F64)</f>
        <v>0</v>
      </c>
      <c r="H64" s="30"/>
      <c r="O64" s="24"/>
      <c r="P64" s="24"/>
    </row>
    <row r="65" spans="2:8" x14ac:dyDescent="0.35">
      <c r="B65" s="48" t="s">
        <v>220</v>
      </c>
      <c r="D65" s="30">
        <v>0</v>
      </c>
      <c r="E65" s="30">
        <v>175</v>
      </c>
      <c r="F65" s="30">
        <v>-175</v>
      </c>
      <c r="G65" s="30">
        <f>SUM(D65:F65)</f>
        <v>0</v>
      </c>
      <c r="H65" s="30"/>
    </row>
    <row r="66" spans="2:8" x14ac:dyDescent="0.35">
      <c r="B66" s="48" t="s">
        <v>62</v>
      </c>
      <c r="D66" s="30">
        <v>14.42651</v>
      </c>
      <c r="E66" s="30">
        <v>90</v>
      </c>
      <c r="F66" s="30">
        <v>-104.42651000000001</v>
      </c>
      <c r="G66" s="30">
        <v>0</v>
      </c>
      <c r="H66" s="30"/>
    </row>
    <row r="67" spans="2:8" x14ac:dyDescent="0.35">
      <c r="B67" s="24" t="s">
        <v>61</v>
      </c>
      <c r="C67" s="24"/>
      <c r="D67" s="31">
        <f>SUBTOTAL(9,D63:D66)</f>
        <v>319.12854000000004</v>
      </c>
      <c r="E67" s="31">
        <f>SUBTOTAL(9,E63:E66)</f>
        <v>1103.5748900000001</v>
      </c>
      <c r="F67" s="31">
        <f>SUBTOTAL(9,F63:F66)</f>
        <v>-1017.70343</v>
      </c>
      <c r="G67" s="31">
        <f>SUBTOTAL(9,G63:G66)</f>
        <v>405</v>
      </c>
      <c r="H67" s="30"/>
    </row>
    <row r="68" spans="2:8" s="24" customFormat="1" ht="4.5" customHeight="1" x14ac:dyDescent="0.35">
      <c r="D68" s="31"/>
      <c r="E68" s="31"/>
      <c r="F68" s="31"/>
      <c r="G68" s="31"/>
      <c r="H68" s="31"/>
    </row>
    <row r="69" spans="2:8" s="24" customFormat="1" x14ac:dyDescent="0.35">
      <c r="B69" s="24" t="s">
        <v>27</v>
      </c>
      <c r="D69" s="31"/>
      <c r="E69" s="31"/>
      <c r="F69" s="31"/>
      <c r="G69" s="31"/>
      <c r="H69" s="31"/>
    </row>
    <row r="70" spans="2:8" x14ac:dyDescent="0.35">
      <c r="B70" s="48" t="s">
        <v>173</v>
      </c>
      <c r="D70" s="30">
        <v>1127.05225</v>
      </c>
      <c r="E70" s="30">
        <v>600</v>
      </c>
      <c r="F70" s="30">
        <v>-1727.05225</v>
      </c>
      <c r="G70" s="30">
        <f>SUM(D70:F70)</f>
        <v>0</v>
      </c>
      <c r="H70" s="30"/>
    </row>
    <row r="71" spans="2:8" x14ac:dyDescent="0.35">
      <c r="B71" s="48" t="s">
        <v>162</v>
      </c>
      <c r="D71" s="30">
        <v>416.26008000000002</v>
      </c>
      <c r="E71" s="30">
        <v>200</v>
      </c>
      <c r="F71" s="30">
        <v>-616.2600799999999</v>
      </c>
      <c r="G71" s="30">
        <f>SUM(D71:F71)</f>
        <v>0</v>
      </c>
      <c r="H71" s="30"/>
    </row>
    <row r="72" spans="2:8" x14ac:dyDescent="0.35">
      <c r="B72" s="48" t="s">
        <v>221</v>
      </c>
      <c r="D72" s="30">
        <v>0</v>
      </c>
      <c r="E72" s="30">
        <v>350</v>
      </c>
      <c r="F72" s="30">
        <v>-350</v>
      </c>
      <c r="G72" s="30">
        <f>SUM(D72:F72)</f>
        <v>0</v>
      </c>
      <c r="H72" s="30"/>
    </row>
    <row r="73" spans="2:8" x14ac:dyDescent="0.35">
      <c r="B73" s="48" t="s">
        <v>62</v>
      </c>
      <c r="D73" s="30">
        <v>0</v>
      </c>
      <c r="E73" s="30">
        <v>150</v>
      </c>
      <c r="F73" s="30">
        <v>-150</v>
      </c>
      <c r="G73" s="30">
        <v>0</v>
      </c>
      <c r="H73" s="30"/>
    </row>
    <row r="74" spans="2:8" s="24" customFormat="1" x14ac:dyDescent="0.35">
      <c r="B74" s="24" t="s">
        <v>61</v>
      </c>
      <c r="D74" s="31">
        <f>SUBTOTAL(9,D70:D73)</f>
        <v>1543.31233</v>
      </c>
      <c r="E74" s="31">
        <f>SUBTOTAL(9,E70:E73)</f>
        <v>1300</v>
      </c>
      <c r="F74" s="31">
        <f>SUBTOTAL(9,F70:F73)</f>
        <v>-2843.3123299999997</v>
      </c>
      <c r="G74" s="31">
        <f>SUBTOTAL(9,G70:G73)</f>
        <v>0</v>
      </c>
      <c r="H74" s="30"/>
    </row>
    <row r="75" spans="2:8" s="24" customFormat="1" ht="4.5" customHeight="1" x14ac:dyDescent="0.35">
      <c r="D75" s="31"/>
      <c r="E75" s="31"/>
      <c r="F75" s="31"/>
      <c r="G75" s="31"/>
      <c r="H75" s="31"/>
    </row>
    <row r="76" spans="2:8" s="24" customFormat="1" x14ac:dyDescent="0.35">
      <c r="B76" s="24" t="s">
        <v>58</v>
      </c>
      <c r="D76" s="31"/>
      <c r="E76" s="31"/>
      <c r="F76" s="31"/>
      <c r="G76" s="31"/>
      <c r="H76" s="31"/>
    </row>
    <row r="77" spans="2:8" x14ac:dyDescent="0.35">
      <c r="B77" s="48" t="s">
        <v>206</v>
      </c>
      <c r="D77" s="30">
        <v>185.23467000000002</v>
      </c>
      <c r="E77" s="30">
        <v>625</v>
      </c>
      <c r="F77" s="30">
        <v>-810.23467000000005</v>
      </c>
      <c r="G77" s="30">
        <f t="shared" ref="G77:G84" si="1">SUM(D77:F77)</f>
        <v>0</v>
      </c>
      <c r="H77" s="30"/>
    </row>
    <row r="78" spans="2:8" x14ac:dyDescent="0.35">
      <c r="B78" s="48" t="s">
        <v>149</v>
      </c>
      <c r="D78" s="30">
        <v>0</v>
      </c>
      <c r="E78" s="30">
        <v>623.78399999999999</v>
      </c>
      <c r="F78" s="30">
        <v>-623.78399999999999</v>
      </c>
      <c r="G78" s="30">
        <f t="shared" si="1"/>
        <v>0</v>
      </c>
      <c r="H78" s="30"/>
    </row>
    <row r="79" spans="2:8" x14ac:dyDescent="0.35">
      <c r="B79" s="48" t="s">
        <v>194</v>
      </c>
      <c r="D79" s="30">
        <v>0.44816</v>
      </c>
      <c r="E79" s="30">
        <v>200</v>
      </c>
      <c r="F79" s="30">
        <v>-200.44816</v>
      </c>
      <c r="G79" s="30">
        <f t="shared" si="1"/>
        <v>0</v>
      </c>
      <c r="H79" s="30"/>
    </row>
    <row r="80" spans="2:8" x14ac:dyDescent="0.35">
      <c r="B80" s="48" t="s">
        <v>222</v>
      </c>
      <c r="D80" s="30">
        <v>0</v>
      </c>
      <c r="E80" s="30">
        <v>189.02699999999999</v>
      </c>
      <c r="F80" s="30">
        <v>-189.02699999999999</v>
      </c>
      <c r="G80" s="30">
        <f t="shared" si="1"/>
        <v>0</v>
      </c>
      <c r="H80" s="30"/>
    </row>
    <row r="81" spans="2:8" x14ac:dyDescent="0.35">
      <c r="B81" s="48" t="s">
        <v>208</v>
      </c>
      <c r="D81" s="30">
        <v>89.626649999999998</v>
      </c>
      <c r="E81" s="30">
        <v>45</v>
      </c>
      <c r="F81" s="30">
        <v>-134.62664999999998</v>
      </c>
      <c r="G81" s="30">
        <f t="shared" si="1"/>
        <v>0</v>
      </c>
      <c r="H81" s="30"/>
    </row>
    <row r="82" spans="2:8" x14ac:dyDescent="0.35">
      <c r="B82" s="48" t="s">
        <v>223</v>
      </c>
      <c r="D82" s="30">
        <v>0</v>
      </c>
      <c r="E82" s="30">
        <v>110</v>
      </c>
      <c r="F82" s="30">
        <v>-110</v>
      </c>
      <c r="G82" s="30">
        <f t="shared" si="1"/>
        <v>0</v>
      </c>
      <c r="H82" s="30"/>
    </row>
    <row r="83" spans="2:8" x14ac:dyDescent="0.35">
      <c r="B83" s="48" t="s">
        <v>224</v>
      </c>
      <c r="D83" s="30">
        <v>0</v>
      </c>
      <c r="E83" s="30">
        <v>20</v>
      </c>
      <c r="F83" s="30">
        <v>0</v>
      </c>
      <c r="G83" s="30">
        <f t="shared" si="1"/>
        <v>20</v>
      </c>
      <c r="H83" s="30"/>
    </row>
    <row r="84" spans="2:8" x14ac:dyDescent="0.35">
      <c r="B84" s="48" t="s">
        <v>225</v>
      </c>
      <c r="D84" s="30">
        <v>0</v>
      </c>
      <c r="E84" s="30">
        <v>120</v>
      </c>
      <c r="F84" s="30">
        <v>0</v>
      </c>
      <c r="G84" s="30">
        <f t="shared" si="1"/>
        <v>120</v>
      </c>
      <c r="H84" s="30"/>
    </row>
    <row r="85" spans="2:8" x14ac:dyDescent="0.35">
      <c r="B85" s="48" t="s">
        <v>62</v>
      </c>
      <c r="D85" s="30">
        <v>64.264659999999992</v>
      </c>
      <c r="E85" s="30">
        <v>663.25</v>
      </c>
      <c r="F85" s="30">
        <v>-727.51466000000005</v>
      </c>
      <c r="G85" s="30">
        <v>0</v>
      </c>
      <c r="H85" s="30"/>
    </row>
    <row r="86" spans="2:8" x14ac:dyDescent="0.35">
      <c r="B86" s="24" t="s">
        <v>61</v>
      </c>
      <c r="C86" s="24"/>
      <c r="D86" s="31">
        <f>SUBTOTAL(9,D77:D85)</f>
        <v>339.57414</v>
      </c>
      <c r="E86" s="31">
        <f>SUBTOTAL(9,E77:E85)</f>
        <v>2596.0610000000001</v>
      </c>
      <c r="F86" s="31">
        <f>SUBTOTAL(9,F77:F85)</f>
        <v>-2795.6351399999994</v>
      </c>
      <c r="G86" s="31">
        <f>SUBTOTAL(9,G77:G85)</f>
        <v>140</v>
      </c>
      <c r="H86" s="30"/>
    </row>
    <row r="87" spans="2:8" ht="4.5" customHeight="1" x14ac:dyDescent="0.35">
      <c r="D87" s="30"/>
      <c r="E87" s="30"/>
      <c r="F87" s="30"/>
      <c r="G87" s="30"/>
      <c r="H87" s="30"/>
    </row>
    <row r="88" spans="2:8" x14ac:dyDescent="0.35">
      <c r="B88" s="3" t="s">
        <v>54</v>
      </c>
      <c r="D88" s="30"/>
      <c r="E88" s="30"/>
      <c r="F88" s="30"/>
      <c r="G88" s="30"/>
      <c r="H88" s="30"/>
    </row>
    <row r="89" spans="2:8" x14ac:dyDescent="0.35">
      <c r="B89" s="48" t="s">
        <v>226</v>
      </c>
      <c r="D89" s="30">
        <f>'5.3 - 2022'!G88</f>
        <v>0</v>
      </c>
      <c r="E89" s="30">
        <v>750.13410999999996</v>
      </c>
      <c r="F89" s="30">
        <v>-750.13410999999996</v>
      </c>
      <c r="G89" s="30">
        <f>SUM(D89:F89)</f>
        <v>0</v>
      </c>
      <c r="H89" s="30"/>
    </row>
    <row r="90" spans="2:8" x14ac:dyDescent="0.35">
      <c r="B90" s="24" t="s">
        <v>61</v>
      </c>
      <c r="C90" s="24"/>
      <c r="D90" s="31">
        <f>SUBTOTAL(9,D89:D89)</f>
        <v>0</v>
      </c>
      <c r="E90" s="31">
        <f>SUBTOTAL(9,E89:E89)</f>
        <v>750.13410999999996</v>
      </c>
      <c r="F90" s="31">
        <f>SUBTOTAL(9,F89:F89)</f>
        <v>-750.13410999999996</v>
      </c>
      <c r="G90" s="31">
        <f>SUBTOTAL(9,G89:G89)</f>
        <v>0</v>
      </c>
      <c r="H90" s="30"/>
    </row>
    <row r="91" spans="2:8" x14ac:dyDescent="0.35">
      <c r="D91" s="30"/>
      <c r="E91" s="30"/>
      <c r="F91" s="30"/>
      <c r="G91" s="30"/>
      <c r="H91" s="30"/>
    </row>
    <row r="92" spans="2:8" s="24" customFormat="1" x14ac:dyDescent="0.35">
      <c r="B92" s="24" t="s">
        <v>93</v>
      </c>
      <c r="D92" s="31"/>
      <c r="E92" s="31"/>
      <c r="F92" s="31"/>
      <c r="G92" s="31"/>
      <c r="H92" s="31"/>
    </row>
    <row r="93" spans="2:8" x14ac:dyDescent="0.35">
      <c r="B93" s="48" t="s">
        <v>210</v>
      </c>
      <c r="D93" s="30">
        <f>'5.3 - 2022'!G91</f>
        <v>168.41776000000002</v>
      </c>
      <c r="E93" s="30">
        <v>0</v>
      </c>
      <c r="F93" s="30">
        <v>-168.41776000000002</v>
      </c>
      <c r="G93" s="30">
        <f t="shared" ref="G93:G101" si="2">SUM(D93:F93)</f>
        <v>0</v>
      </c>
      <c r="H93" s="30"/>
    </row>
    <row r="94" spans="2:8" x14ac:dyDescent="0.35">
      <c r="B94" s="48" t="s">
        <v>211</v>
      </c>
      <c r="D94" s="30">
        <f>'5.3 - 2022'!G92</f>
        <v>147.67159000000001</v>
      </c>
      <c r="E94" s="30">
        <v>50</v>
      </c>
      <c r="F94" s="30">
        <v>-197.67159000000001</v>
      </c>
      <c r="G94" s="30">
        <f t="shared" si="2"/>
        <v>0</v>
      </c>
      <c r="H94" s="30"/>
    </row>
    <row r="95" spans="2:8" x14ac:dyDescent="0.35">
      <c r="B95" s="48" t="s">
        <v>167</v>
      </c>
      <c r="D95" s="30">
        <f>'5.3 - 2022'!G94</f>
        <v>70.308399999999992</v>
      </c>
      <c r="E95" s="30">
        <v>0</v>
      </c>
      <c r="F95" s="30">
        <v>-70.308399999999992</v>
      </c>
      <c r="G95" s="30">
        <f t="shared" si="2"/>
        <v>0</v>
      </c>
      <c r="H95" s="30"/>
    </row>
    <row r="96" spans="2:8" x14ac:dyDescent="0.35">
      <c r="B96" s="48" t="s">
        <v>227</v>
      </c>
      <c r="D96" s="30">
        <v>0</v>
      </c>
      <c r="E96" s="30">
        <v>200</v>
      </c>
      <c r="F96" s="30">
        <v>-200</v>
      </c>
      <c r="G96" s="30">
        <f t="shared" si="2"/>
        <v>0</v>
      </c>
      <c r="H96" s="30"/>
    </row>
    <row r="97" spans="2:8" x14ac:dyDescent="0.35">
      <c r="B97" s="48" t="s">
        <v>135</v>
      </c>
      <c r="D97" s="30">
        <v>0</v>
      </c>
      <c r="E97" s="30">
        <v>25</v>
      </c>
      <c r="F97" s="30">
        <v>0</v>
      </c>
      <c r="G97" s="30">
        <f t="shared" si="2"/>
        <v>25</v>
      </c>
      <c r="H97" s="30"/>
    </row>
    <row r="98" spans="2:8" x14ac:dyDescent="0.35">
      <c r="B98" s="48" t="s">
        <v>136</v>
      </c>
      <c r="D98" s="30">
        <v>0</v>
      </c>
      <c r="E98" s="30">
        <v>100</v>
      </c>
      <c r="F98" s="30">
        <v>0</v>
      </c>
      <c r="G98" s="30">
        <f t="shared" si="2"/>
        <v>100</v>
      </c>
      <c r="H98" s="30"/>
    </row>
    <row r="99" spans="2:8" x14ac:dyDescent="0.35">
      <c r="B99" s="48" t="s">
        <v>228</v>
      </c>
      <c r="D99" s="30">
        <v>0</v>
      </c>
      <c r="E99" s="30">
        <v>413</v>
      </c>
      <c r="F99" s="30">
        <v>0</v>
      </c>
      <c r="G99" s="30">
        <f t="shared" si="2"/>
        <v>413</v>
      </c>
      <c r="H99" s="30"/>
    </row>
    <row r="100" spans="2:8" x14ac:dyDescent="0.35">
      <c r="B100" s="48" t="s">
        <v>213</v>
      </c>
      <c r="D100" s="30">
        <f>'5.3 - 2022'!G96</f>
        <v>253.92098000000001</v>
      </c>
      <c r="E100" s="30">
        <v>131.71679</v>
      </c>
      <c r="F100" s="30">
        <v>-385.63777000000005</v>
      </c>
      <c r="G100" s="30">
        <f t="shared" si="2"/>
        <v>0</v>
      </c>
      <c r="H100" s="30"/>
    </row>
    <row r="101" spans="2:8" x14ac:dyDescent="0.35">
      <c r="B101" s="48" t="s">
        <v>229</v>
      </c>
      <c r="D101" s="30">
        <v>0</v>
      </c>
      <c r="E101" s="30">
        <v>250</v>
      </c>
      <c r="F101" s="30">
        <v>0</v>
      </c>
      <c r="G101" s="30">
        <f t="shared" si="2"/>
        <v>250</v>
      </c>
      <c r="H101" s="30"/>
    </row>
    <row r="102" spans="2:8" x14ac:dyDescent="0.35">
      <c r="B102" s="48" t="s">
        <v>62</v>
      </c>
      <c r="D102" s="30">
        <v>23.148499999999999</v>
      </c>
      <c r="E102" s="30">
        <v>344.03999999999996</v>
      </c>
      <c r="F102" s="30">
        <v>-342.18849999999998</v>
      </c>
      <c r="G102" s="30">
        <v>25</v>
      </c>
      <c r="H102" s="30"/>
    </row>
    <row r="103" spans="2:8" x14ac:dyDescent="0.35">
      <c r="B103" s="24" t="s">
        <v>61</v>
      </c>
      <c r="C103" s="24"/>
      <c r="D103" s="31">
        <f>SUBTOTAL(9,D93:D102)</f>
        <v>663.46723000000009</v>
      </c>
      <c r="E103" s="31">
        <f>SUBTOTAL(9,E93:E102)</f>
        <v>1513.7567899999999</v>
      </c>
      <c r="F103" s="31">
        <f>SUBTOTAL(9,F93:F102)</f>
        <v>-1364.2240200000001</v>
      </c>
      <c r="G103" s="31">
        <f>SUBTOTAL(9,G93:G102)</f>
        <v>813</v>
      </c>
      <c r="H103" s="30"/>
    </row>
    <row r="104" spans="2:8" x14ac:dyDescent="0.35">
      <c r="D104" s="30"/>
      <c r="E104" s="30"/>
      <c r="F104" s="30"/>
      <c r="G104" s="30"/>
      <c r="H104" s="30"/>
    </row>
    <row r="105" spans="2:8" x14ac:dyDescent="0.35">
      <c r="B105" s="24" t="s">
        <v>92</v>
      </c>
      <c r="C105" s="24"/>
      <c r="D105" s="30"/>
      <c r="E105" s="30"/>
      <c r="F105" s="30"/>
      <c r="G105" s="30"/>
      <c r="H105" s="30"/>
    </row>
    <row r="106" spans="2:8" x14ac:dyDescent="0.35">
      <c r="B106" s="48" t="s">
        <v>230</v>
      </c>
      <c r="D106" s="30">
        <v>0</v>
      </c>
      <c r="E106" s="30">
        <v>250</v>
      </c>
      <c r="F106" s="30">
        <v>-250</v>
      </c>
      <c r="G106" s="30">
        <f>SUM(D106:F106)</f>
        <v>0</v>
      </c>
      <c r="H106" s="30"/>
    </row>
    <row r="107" spans="2:8" x14ac:dyDescent="0.35">
      <c r="B107" s="48" t="s">
        <v>215</v>
      </c>
      <c r="D107" s="30">
        <v>3.3209299999999997</v>
      </c>
      <c r="E107" s="30">
        <v>115</v>
      </c>
      <c r="F107" s="30">
        <v>-118.32092999999999</v>
      </c>
      <c r="G107" s="30">
        <f>SUM(D107:F107)</f>
        <v>0</v>
      </c>
      <c r="H107" s="30"/>
    </row>
    <row r="108" spans="2:8" x14ac:dyDescent="0.35">
      <c r="B108" s="48" t="s">
        <v>62</v>
      </c>
      <c r="D108" s="30">
        <v>2.7868200000000001</v>
      </c>
      <c r="E108" s="30">
        <v>70</v>
      </c>
      <c r="F108" s="30">
        <v>-72.786820000000006</v>
      </c>
      <c r="G108" s="30">
        <v>0</v>
      </c>
      <c r="H108" s="30"/>
    </row>
    <row r="109" spans="2:8" x14ac:dyDescent="0.35">
      <c r="B109" s="24" t="s">
        <v>61</v>
      </c>
      <c r="C109" s="24"/>
      <c r="D109" s="31">
        <f>SUBTOTAL(9,D106:D108)</f>
        <v>6.1077499999999993</v>
      </c>
      <c r="E109" s="31">
        <f>SUBTOTAL(9,E106:E108)</f>
        <v>435</v>
      </c>
      <c r="F109" s="31">
        <f>SUBTOTAL(9,F106:F108)</f>
        <v>-441.10775000000001</v>
      </c>
      <c r="G109" s="31">
        <f>SUBTOTAL(9,G106:G108)</f>
        <v>0</v>
      </c>
      <c r="H109" s="30"/>
    </row>
    <row r="110" spans="2:8" ht="8" customHeight="1" x14ac:dyDescent="0.35">
      <c r="D110" s="30"/>
      <c r="E110" s="30"/>
      <c r="F110" s="30"/>
      <c r="G110" s="30"/>
      <c r="H110" s="30"/>
    </row>
    <row r="111" spans="2:8" ht="15" thickBot="1" x14ac:dyDescent="0.4">
      <c r="B111" s="33" t="s">
        <v>60</v>
      </c>
      <c r="C111" s="33"/>
      <c r="D111" s="34">
        <f>SUBTOTAL(9,D9:D109)</f>
        <v>53402.48808000001</v>
      </c>
      <c r="E111" s="34">
        <f>SUBTOTAL(9,E9:E109)</f>
        <v>80567.840479999999</v>
      </c>
      <c r="F111" s="34">
        <f>SUBTOTAL(9,F9:F109)</f>
        <v>-26717.965790000009</v>
      </c>
      <c r="G111" s="34">
        <f>SUBTOTAL(9,G9:G109)</f>
        <v>107252.36277000001</v>
      </c>
      <c r="H111" s="30"/>
    </row>
    <row r="112" spans="2:8" ht="15" thickTop="1" x14ac:dyDescent="0.35">
      <c r="D112" s="30"/>
      <c r="E112" s="30"/>
      <c r="F112" s="30"/>
      <c r="G112" s="30"/>
      <c r="H112" s="30"/>
    </row>
    <row r="113" spans="2:8" x14ac:dyDescent="0.35">
      <c r="B113" s="24" t="s">
        <v>89</v>
      </c>
      <c r="D113" s="30"/>
      <c r="E113" s="30"/>
      <c r="F113" s="30"/>
      <c r="G113" s="30"/>
      <c r="H113" s="30"/>
    </row>
    <row r="114" spans="2:8" x14ac:dyDescent="0.35">
      <c r="B114" s="48" t="s">
        <v>161</v>
      </c>
      <c r="D114" s="30">
        <f>'5.3 - 2022'!G110</f>
        <v>-7026.1264600000013</v>
      </c>
      <c r="E114" s="30">
        <v>-3847.9119999999998</v>
      </c>
      <c r="F114" s="30">
        <v>0</v>
      </c>
      <c r="G114" s="30">
        <f>SUM(D114:F114)</f>
        <v>-10874.038460000002</v>
      </c>
      <c r="H114" s="30"/>
    </row>
    <row r="115" spans="2:8" s="24" customFormat="1" x14ac:dyDescent="0.35">
      <c r="B115" s="48" t="s">
        <v>197</v>
      </c>
      <c r="C115"/>
      <c r="D115" s="30">
        <f>'5.3 - 2022'!G111</f>
        <v>-4900.9201299999995</v>
      </c>
      <c r="E115" s="30">
        <v>-1497.99371</v>
      </c>
      <c r="F115" s="30">
        <v>176.01400000000001</v>
      </c>
      <c r="G115" s="30">
        <f>SUM(D115:F115)</f>
        <v>-6222.8998399999991</v>
      </c>
      <c r="H115" s="30"/>
    </row>
    <row r="116" spans="2:8" s="24" customFormat="1" x14ac:dyDescent="0.35">
      <c r="B116" s="48" t="s">
        <v>231</v>
      </c>
      <c r="C116"/>
      <c r="D116" s="30">
        <v>0</v>
      </c>
      <c r="E116" s="30">
        <v>-4407.4610000000002</v>
      </c>
      <c r="F116" s="30">
        <v>0</v>
      </c>
      <c r="G116" s="30">
        <f>SUM(D116:F116)</f>
        <v>-4407.4610000000002</v>
      </c>
      <c r="H116" s="30"/>
    </row>
    <row r="117" spans="2:8" x14ac:dyDescent="0.35">
      <c r="B117" s="24" t="s">
        <v>61</v>
      </c>
      <c r="D117" s="30">
        <f>SUBTOTAL(9,D114:D116)</f>
        <v>-11927.046590000002</v>
      </c>
      <c r="E117" s="30">
        <f>SUBTOTAL(9,E114:E116)</f>
        <v>-9753.3667100000002</v>
      </c>
      <c r="F117" s="30">
        <f>SUBTOTAL(9,F114:F116)</f>
        <v>176.01400000000001</v>
      </c>
      <c r="G117" s="30">
        <f>SUBTOTAL(9,G114:G116)</f>
        <v>-21504.399300000001</v>
      </c>
      <c r="H117" s="30"/>
    </row>
    <row r="118" spans="2:8" x14ac:dyDescent="0.35">
      <c r="B118" s="24"/>
      <c r="D118" s="30"/>
      <c r="E118" s="30"/>
      <c r="F118" s="30"/>
      <c r="G118" s="30"/>
      <c r="H118" s="30"/>
    </row>
    <row r="119" spans="2:8" x14ac:dyDescent="0.35">
      <c r="B119" s="24" t="s">
        <v>91</v>
      </c>
      <c r="D119" s="30"/>
      <c r="E119" s="30"/>
      <c r="F119" s="30"/>
      <c r="G119" s="30"/>
      <c r="H119" s="30"/>
    </row>
    <row r="120" spans="2:8" x14ac:dyDescent="0.35">
      <c r="B120" s="48" t="s">
        <v>175</v>
      </c>
      <c r="D120" s="30">
        <f>'5.3 - 2022'!G115</f>
        <v>-860.67630000000008</v>
      </c>
      <c r="E120" s="30">
        <v>-400</v>
      </c>
      <c r="F120" s="30">
        <v>1260.6763000000001</v>
      </c>
      <c r="G120" s="30">
        <f>SUM(D120:F120)</f>
        <v>0</v>
      </c>
      <c r="H120" s="30"/>
    </row>
    <row r="121" spans="2:8" s="24" customFormat="1" x14ac:dyDescent="0.35">
      <c r="B121" s="48" t="s">
        <v>232</v>
      </c>
      <c r="C121"/>
      <c r="D121" s="30">
        <v>0</v>
      </c>
      <c r="E121" s="30">
        <v>-433.57489000000004</v>
      </c>
      <c r="F121" s="30">
        <v>433.57489000000004</v>
      </c>
      <c r="G121" s="30">
        <f>SUM(D121:F121)</f>
        <v>0</v>
      </c>
      <c r="H121" s="30"/>
    </row>
    <row r="122" spans="2:8" x14ac:dyDescent="0.35">
      <c r="B122" s="24" t="s">
        <v>61</v>
      </c>
      <c r="D122" s="30">
        <f>SUBTOTAL(9,D120:D121)</f>
        <v>-860.67630000000008</v>
      </c>
      <c r="E122" s="30">
        <f>SUBTOTAL(9,E120:E121)</f>
        <v>-833.5748900000001</v>
      </c>
      <c r="F122" s="30">
        <f>SUBTOTAL(9,F120:F121)</f>
        <v>1694.2511900000002</v>
      </c>
      <c r="G122" s="30">
        <f>SUBTOTAL(9,G120:G121)</f>
        <v>0</v>
      </c>
      <c r="H122" s="30"/>
    </row>
    <row r="123" spans="2:8" x14ac:dyDescent="0.35">
      <c r="B123" s="24"/>
      <c r="D123" s="30"/>
      <c r="E123" s="30"/>
      <c r="F123" s="30"/>
      <c r="G123" s="30"/>
      <c r="H123" s="30"/>
    </row>
    <row r="124" spans="2:8" x14ac:dyDescent="0.35">
      <c r="B124" s="24" t="s">
        <v>94</v>
      </c>
      <c r="D124" s="30"/>
      <c r="E124" s="30"/>
      <c r="F124" s="30"/>
      <c r="G124" s="30"/>
      <c r="H124" s="30"/>
    </row>
    <row r="125" spans="2:8" x14ac:dyDescent="0.35">
      <c r="B125" s="48" t="s">
        <v>196</v>
      </c>
      <c r="D125" s="30">
        <f>'5.3 - 2022'!G119</f>
        <v>0</v>
      </c>
      <c r="E125" s="30">
        <v>-21.640669999999997</v>
      </c>
      <c r="F125" s="30">
        <v>21.640669999999997</v>
      </c>
      <c r="G125" s="30">
        <f>SUM(D125:F125)</f>
        <v>0</v>
      </c>
      <c r="H125" s="30"/>
    </row>
    <row r="126" spans="2:8" x14ac:dyDescent="0.35">
      <c r="B126" s="48" t="s">
        <v>198</v>
      </c>
      <c r="D126" s="30">
        <f>'5.3 - 2022'!G120</f>
        <v>-288.54021</v>
      </c>
      <c r="E126" s="30">
        <v>-67.245999999999995</v>
      </c>
      <c r="F126" s="30">
        <v>0</v>
      </c>
      <c r="G126" s="30">
        <f>SUM(D126:F126)</f>
        <v>-355.78620999999998</v>
      </c>
      <c r="H126" s="30"/>
    </row>
    <row r="127" spans="2:8" x14ac:dyDescent="0.35">
      <c r="B127" s="24" t="s">
        <v>61</v>
      </c>
      <c r="D127" s="30">
        <f>SUBTOTAL(9,D125:D126)</f>
        <v>-288.54021</v>
      </c>
      <c r="E127" s="30">
        <f>SUBTOTAL(9,E125:E126)</f>
        <v>-88.886669999999995</v>
      </c>
      <c r="F127" s="30">
        <f>SUBTOTAL(9,F125:F126)</f>
        <v>21.640669999999997</v>
      </c>
      <c r="G127" s="30">
        <f>SUBTOTAL(9,G125:G126)</f>
        <v>-355.78620999999998</v>
      </c>
      <c r="H127" s="30"/>
    </row>
    <row r="128" spans="2:8" x14ac:dyDescent="0.35">
      <c r="D128" s="30"/>
      <c r="E128" s="30"/>
      <c r="F128" s="30"/>
      <c r="G128" s="30"/>
      <c r="H128" s="30"/>
    </row>
    <row r="129" spans="2:8" ht="15" thickBot="1" x14ac:dyDescent="0.4">
      <c r="B129" s="33" t="s">
        <v>60</v>
      </c>
      <c r="C129" s="33"/>
      <c r="D129" s="34">
        <f>SUBTOTAL(9,D114:D127)</f>
        <v>-13076.2631</v>
      </c>
      <c r="E129" s="34">
        <f>SUBTOTAL(9,E114:E127)</f>
        <v>-10675.82827</v>
      </c>
      <c r="F129" s="34">
        <f>SUBTOTAL(9,F114:F127)</f>
        <v>1891.9058600000003</v>
      </c>
      <c r="G129" s="34">
        <f>SUBTOTAL(9,G114:G127)</f>
        <v>-21860.185509999999</v>
      </c>
      <c r="H129" s="30"/>
    </row>
    <row r="130" spans="2:8" ht="15" thickTop="1" x14ac:dyDescent="0.35">
      <c r="D130" s="30"/>
      <c r="E130" s="30"/>
      <c r="F130" s="30"/>
      <c r="G130" s="30"/>
      <c r="H130" s="30"/>
    </row>
    <row r="131" spans="2:8" x14ac:dyDescent="0.35">
      <c r="B131" s="2" t="s">
        <v>30</v>
      </c>
      <c r="D131" s="30">
        <f>D34</f>
        <v>31197.766589999999</v>
      </c>
      <c r="E131" s="30">
        <f>E34</f>
        <v>59178.082020000002</v>
      </c>
      <c r="F131" s="30">
        <f>F34</f>
        <v>-10226.657370000001</v>
      </c>
      <c r="G131" s="30">
        <f>G34</f>
        <v>80149.191240000015</v>
      </c>
    </row>
    <row r="132" spans="2:8" ht="2" customHeight="1" x14ac:dyDescent="0.35">
      <c r="B132" s="2"/>
      <c r="D132" s="30"/>
      <c r="E132" s="30"/>
      <c r="F132" s="30"/>
      <c r="G132" s="30"/>
    </row>
    <row r="133" spans="2:8" x14ac:dyDescent="0.35">
      <c r="B133" s="39" t="s">
        <v>90</v>
      </c>
      <c r="D133" s="30"/>
      <c r="E133" s="30"/>
      <c r="F133" s="30"/>
      <c r="G133" s="30"/>
    </row>
    <row r="134" spans="2:8" x14ac:dyDescent="0.35">
      <c r="B134" s="52" t="s">
        <v>12</v>
      </c>
      <c r="D134" s="30">
        <f>D60</f>
        <v>238.05216999999999</v>
      </c>
      <c r="E134" s="30">
        <f>E60</f>
        <v>520</v>
      </c>
      <c r="F134" s="30">
        <f>F60</f>
        <v>-541.36954000000003</v>
      </c>
      <c r="G134" s="30">
        <f>G60</f>
        <v>216.68262999999999</v>
      </c>
    </row>
    <row r="135" spans="2:8" x14ac:dyDescent="0.35">
      <c r="B135" s="52" t="s">
        <v>10</v>
      </c>
      <c r="D135" s="30">
        <f>D67</f>
        <v>319.12854000000004</v>
      </c>
      <c r="E135" s="30">
        <f>E67</f>
        <v>1103.5748900000001</v>
      </c>
      <c r="F135" s="30">
        <f>F67</f>
        <v>-1017.70343</v>
      </c>
      <c r="G135" s="30">
        <f>G67</f>
        <v>405</v>
      </c>
    </row>
    <row r="136" spans="2:8" x14ac:dyDescent="0.35">
      <c r="B136" s="52" t="s">
        <v>11</v>
      </c>
      <c r="D136" s="30">
        <f>D74</f>
        <v>1543.31233</v>
      </c>
      <c r="E136" s="30">
        <f>E74</f>
        <v>1300</v>
      </c>
      <c r="F136" s="30">
        <f>F74</f>
        <v>-2843.3123299999997</v>
      </c>
      <c r="G136" s="30">
        <f>G74</f>
        <v>0</v>
      </c>
    </row>
    <row r="137" spans="2:8" x14ac:dyDescent="0.35">
      <c r="B137" s="52" t="s">
        <v>13</v>
      </c>
      <c r="D137" s="30">
        <f>D86</f>
        <v>339.57414</v>
      </c>
      <c r="E137" s="30">
        <f>E86</f>
        <v>2596.0610000000001</v>
      </c>
      <c r="F137" s="30">
        <f>F86</f>
        <v>-2795.6351399999994</v>
      </c>
      <c r="G137" s="30">
        <f>G86</f>
        <v>140</v>
      </c>
    </row>
    <row r="138" spans="2:8" ht="2" customHeight="1" x14ac:dyDescent="0.35">
      <c r="B138" s="2"/>
      <c r="D138" s="30"/>
      <c r="E138" s="30"/>
      <c r="F138" s="30"/>
      <c r="G138" s="30"/>
    </row>
    <row r="139" spans="2:8" x14ac:dyDescent="0.35">
      <c r="B139" s="3" t="s">
        <v>54</v>
      </c>
      <c r="D139" s="30">
        <f>D90</f>
        <v>0</v>
      </c>
      <c r="E139" s="30">
        <f>E90</f>
        <v>750.13410999999996</v>
      </c>
      <c r="F139" s="30">
        <f>F90</f>
        <v>-750.13410999999996</v>
      </c>
      <c r="G139" s="30">
        <f>G90</f>
        <v>0</v>
      </c>
    </row>
    <row r="140" spans="2:8" ht="2" customHeight="1" x14ac:dyDescent="0.35">
      <c r="D140" s="30"/>
      <c r="E140" s="30"/>
      <c r="F140" s="30"/>
      <c r="G140" s="30"/>
    </row>
    <row r="141" spans="2:8" x14ac:dyDescent="0.35">
      <c r="B141" s="2" t="s">
        <v>44</v>
      </c>
      <c r="D141" s="30">
        <v>0</v>
      </c>
      <c r="E141" s="30">
        <v>0</v>
      </c>
      <c r="F141" s="30">
        <v>0</v>
      </c>
      <c r="G141" s="30">
        <v>0</v>
      </c>
    </row>
    <row r="142" spans="2:8" ht="2" customHeight="1" x14ac:dyDescent="0.35">
      <c r="B142" s="2"/>
      <c r="D142" s="30"/>
      <c r="E142" s="30"/>
      <c r="F142" s="30"/>
      <c r="G142" s="30"/>
    </row>
    <row r="143" spans="2:8" x14ac:dyDescent="0.35">
      <c r="B143" s="39" t="s">
        <v>101</v>
      </c>
      <c r="D143" s="30">
        <f>SUM(D131:D141)</f>
        <v>33637.833769999997</v>
      </c>
      <c r="E143" s="30">
        <f>SUM(E131:E141)</f>
        <v>65447.852020000006</v>
      </c>
      <c r="F143" s="30">
        <f>SUM(F131:F141)</f>
        <v>-18174.811919999996</v>
      </c>
      <c r="G143" s="30">
        <f>SUM(G131:G141)</f>
        <v>80910.87387000001</v>
      </c>
    </row>
    <row r="144" spans="2:8" x14ac:dyDescent="0.35">
      <c r="B144" s="39"/>
      <c r="D144" s="30"/>
      <c r="E144" s="30"/>
      <c r="F144" s="30"/>
      <c r="G144" s="30"/>
    </row>
    <row r="145" spans="2:8" x14ac:dyDescent="0.35">
      <c r="B145" s="39" t="s">
        <v>96</v>
      </c>
      <c r="D145" s="30">
        <f>SUM(D47,D103)</f>
        <v>15203.552810000001</v>
      </c>
      <c r="E145" s="30">
        <f>SUM(E47,E103)</f>
        <v>13598.98846</v>
      </c>
      <c r="F145" s="30">
        <f>SUM(F47,F103)</f>
        <v>-2635.8646900000003</v>
      </c>
      <c r="G145" s="30">
        <f>SUM(G47,G103)</f>
        <v>26166.676580000003</v>
      </c>
    </row>
    <row r="146" spans="2:8" ht="5.5" customHeight="1" x14ac:dyDescent="0.35">
      <c r="B146" s="40"/>
      <c r="D146" s="30"/>
      <c r="E146" s="30"/>
      <c r="F146" s="30"/>
      <c r="G146" s="30"/>
    </row>
    <row r="147" spans="2:8" x14ac:dyDescent="0.35">
      <c r="B147" s="39" t="s">
        <v>97</v>
      </c>
      <c r="D147" s="30">
        <f>SUM(D52,D109)</f>
        <v>4561.1014999999998</v>
      </c>
      <c r="E147" s="30">
        <f>SUM(E52,E109)</f>
        <v>1521</v>
      </c>
      <c r="F147" s="30">
        <f>SUM(F52,F109)</f>
        <v>-5907.2891799999998</v>
      </c>
      <c r="G147" s="30">
        <f>SUM(G52,G109)</f>
        <v>174.81232</v>
      </c>
    </row>
    <row r="148" spans="2:8" x14ac:dyDescent="0.35">
      <c r="B148" s="2"/>
      <c r="D148" s="30"/>
      <c r="E148" s="30"/>
      <c r="F148" s="30"/>
      <c r="G148" s="30"/>
    </row>
    <row r="149" spans="2:8" x14ac:dyDescent="0.35">
      <c r="B149" s="39" t="s">
        <v>102</v>
      </c>
      <c r="D149" s="30"/>
      <c r="E149" s="30"/>
      <c r="F149" s="30"/>
      <c r="G149" s="30"/>
    </row>
    <row r="150" spans="2:8" x14ac:dyDescent="0.35">
      <c r="B150" s="49" t="s">
        <v>99</v>
      </c>
      <c r="D150" s="30">
        <f>SUM(D122,D117)</f>
        <v>-12787.722890000001</v>
      </c>
      <c r="E150" s="30">
        <f>SUM(E122,E117)</f>
        <v>-10586.9416</v>
      </c>
      <c r="F150" s="30">
        <f>SUM(F122,F117)</f>
        <v>1870.2651900000001</v>
      </c>
      <c r="G150" s="30">
        <f>SUM(G122,G117)</f>
        <v>-21504.399300000001</v>
      </c>
    </row>
    <row r="151" spans="2:8" x14ac:dyDescent="0.35">
      <c r="B151" s="49" t="s">
        <v>100</v>
      </c>
      <c r="D151" s="30">
        <f>SUM(D127)</f>
        <v>-288.54021</v>
      </c>
      <c r="E151" s="30">
        <f>SUM(E127)</f>
        <v>-88.886669999999995</v>
      </c>
      <c r="F151" s="30">
        <f>SUM(F127)</f>
        <v>21.640669999999997</v>
      </c>
      <c r="G151" s="30">
        <f>SUM(G127)</f>
        <v>-355.78620999999998</v>
      </c>
    </row>
    <row r="152" spans="2:8" x14ac:dyDescent="0.35">
      <c r="D152" s="30"/>
      <c r="E152" s="30"/>
      <c r="F152" s="30"/>
      <c r="G152" s="30"/>
    </row>
    <row r="153" spans="2:8" s="24" customFormat="1" x14ac:dyDescent="0.35">
      <c r="B153" s="24" t="s">
        <v>55</v>
      </c>
      <c r="D153" s="30"/>
      <c r="E153" s="30"/>
      <c r="F153" s="30"/>
      <c r="G153" s="30"/>
      <c r="H153" s="30"/>
    </row>
    <row r="154" spans="2:8" x14ac:dyDescent="0.35">
      <c r="B154" s="48" t="s">
        <v>55</v>
      </c>
      <c r="D154" s="30">
        <v>345.91790999999995</v>
      </c>
      <c r="E154" s="30">
        <v>554</v>
      </c>
      <c r="F154" s="30">
        <v>-899.91791000000001</v>
      </c>
      <c r="G154" s="30">
        <f>SUM(D154:F154)</f>
        <v>0</v>
      </c>
      <c r="H154" s="30"/>
    </row>
    <row r="155" spans="2:8" x14ac:dyDescent="0.35">
      <c r="B155" s="2" t="s">
        <v>64</v>
      </c>
      <c r="C155" s="24"/>
      <c r="D155" s="31">
        <f>SUBTOTAL(9,D154:D154)</f>
        <v>345.91790999999995</v>
      </c>
      <c r="E155" s="31">
        <f>SUBTOTAL(9,E154:E154)</f>
        <v>554</v>
      </c>
      <c r="F155" s="31">
        <f>SUBTOTAL(9,F154:F154)</f>
        <v>-899.91791000000001</v>
      </c>
      <c r="G155" s="31">
        <f>SUBTOTAL(9,G154:G154)</f>
        <v>0</v>
      </c>
      <c r="H155" s="30"/>
    </row>
    <row r="156" spans="2:8" x14ac:dyDescent="0.35">
      <c r="D156" s="30"/>
      <c r="E156" s="30"/>
      <c r="F156" s="30"/>
      <c r="G156" s="30"/>
      <c r="H156" s="30"/>
    </row>
    <row r="157" spans="2:8" x14ac:dyDescent="0.35">
      <c r="B157" s="24" t="s">
        <v>76</v>
      </c>
      <c r="D157" s="30"/>
      <c r="E157" s="30"/>
      <c r="F157" s="30"/>
      <c r="G157" s="30"/>
      <c r="H157" s="30"/>
    </row>
    <row r="158" spans="2:8" x14ac:dyDescent="0.35">
      <c r="B158" s="48" t="s">
        <v>216</v>
      </c>
      <c r="D158" s="30">
        <v>40.0929</v>
      </c>
      <c r="E158" s="30">
        <v>723</v>
      </c>
      <c r="F158" s="30">
        <v>-763.09289999999999</v>
      </c>
      <c r="G158" s="30">
        <f>SUM(D158:F158)</f>
        <v>0</v>
      </c>
      <c r="H158" s="30"/>
    </row>
    <row r="159" spans="2:8" x14ac:dyDescent="0.35">
      <c r="B159" s="39" t="s">
        <v>77</v>
      </c>
      <c r="C159" s="24"/>
      <c r="D159" s="31">
        <f>SUBTOTAL(9,D158:D158)</f>
        <v>40.0929</v>
      </c>
      <c r="E159" s="31">
        <f>SUBTOTAL(9,E158:E158)</f>
        <v>723</v>
      </c>
      <c r="F159" s="31">
        <f>SUBTOTAL(9,F158:F158)</f>
        <v>-763.09289999999999</v>
      </c>
      <c r="G159" s="31">
        <f>SUBTOTAL(9,G158:G158)</f>
        <v>0</v>
      </c>
      <c r="H159" s="30"/>
    </row>
    <row r="160" spans="2:8" x14ac:dyDescent="0.35">
      <c r="D160" s="30"/>
      <c r="E160" s="30"/>
      <c r="F160" s="30"/>
      <c r="G160" s="30"/>
    </row>
    <row r="178" spans="4:8" x14ac:dyDescent="0.35">
      <c r="D178" s="29"/>
      <c r="E178" s="29"/>
      <c r="F178" s="29"/>
      <c r="G178" s="29"/>
      <c r="H178" s="29"/>
    </row>
    <row r="179" spans="4:8" x14ac:dyDescent="0.35">
      <c r="D179" s="29"/>
      <c r="E179" s="29"/>
      <c r="F179" s="29"/>
      <c r="G179" s="29"/>
      <c r="H179" s="29"/>
    </row>
    <row r="180" spans="4:8" x14ac:dyDescent="0.35">
      <c r="D180" s="29"/>
      <c r="E180" s="29"/>
      <c r="F180" s="29"/>
      <c r="G180" s="29"/>
      <c r="H180" s="29"/>
    </row>
    <row r="181" spans="4:8" x14ac:dyDescent="0.35">
      <c r="D181" s="29"/>
      <c r="E181" s="29"/>
      <c r="F181" s="29"/>
      <c r="G181" s="29"/>
      <c r="H181" s="29"/>
    </row>
    <row r="182" spans="4:8" x14ac:dyDescent="0.35">
      <c r="D182" s="29"/>
      <c r="E182" s="29"/>
      <c r="F182" s="29"/>
      <c r="G182" s="29"/>
      <c r="H182" s="29"/>
    </row>
    <row r="183" spans="4:8" x14ac:dyDescent="0.35">
      <c r="D183" s="29"/>
      <c r="E183" s="29"/>
      <c r="F183" s="29"/>
      <c r="G183" s="29"/>
      <c r="H183" s="29"/>
    </row>
    <row r="184" spans="4:8" x14ac:dyDescent="0.35">
      <c r="D184" s="29"/>
      <c r="E184" s="29"/>
      <c r="F184" s="29"/>
      <c r="G184" s="29"/>
      <c r="H184" s="29"/>
    </row>
    <row r="185" spans="4:8" x14ac:dyDescent="0.35">
      <c r="D185" s="29"/>
      <c r="E185" s="29"/>
      <c r="F185" s="29"/>
      <c r="G185" s="29"/>
      <c r="H185" s="29"/>
    </row>
    <row r="186" spans="4:8" x14ac:dyDescent="0.35">
      <c r="D186" s="29"/>
      <c r="E186" s="29"/>
      <c r="F186" s="29"/>
      <c r="G186" s="29"/>
      <c r="H186" s="29"/>
    </row>
    <row r="187" spans="4:8" x14ac:dyDescent="0.35">
      <c r="D187" s="29"/>
      <c r="E187" s="29"/>
      <c r="F187" s="29"/>
      <c r="G187" s="29"/>
      <c r="H187" s="29"/>
    </row>
    <row r="188" spans="4:8" x14ac:dyDescent="0.35">
      <c r="D188" s="29"/>
      <c r="E188" s="29"/>
      <c r="F188" s="29"/>
      <c r="G188" s="29"/>
      <c r="H188" s="29"/>
    </row>
    <row r="189" spans="4:8" x14ac:dyDescent="0.35">
      <c r="D189" s="29"/>
      <c r="E189" s="29"/>
      <c r="F189" s="29"/>
      <c r="G189" s="29"/>
      <c r="H189" s="29"/>
    </row>
    <row r="190" spans="4:8" x14ac:dyDescent="0.35">
      <c r="D190" s="29"/>
      <c r="E190" s="29"/>
      <c r="F190" s="29"/>
      <c r="G190" s="29"/>
      <c r="H190" s="29"/>
    </row>
    <row r="191" spans="4:8" x14ac:dyDescent="0.35">
      <c r="D191" s="29"/>
      <c r="E191" s="29"/>
      <c r="F191" s="29"/>
      <c r="G191" s="29"/>
      <c r="H191" s="29"/>
    </row>
    <row r="192" spans="4:8" x14ac:dyDescent="0.35">
      <c r="D192" s="29"/>
      <c r="E192" s="29"/>
      <c r="F192" s="29"/>
      <c r="G192" s="29"/>
      <c r="H192" s="29"/>
    </row>
    <row r="193" spans="4:8" x14ac:dyDescent="0.35">
      <c r="D193" s="29"/>
      <c r="E193" s="29"/>
      <c r="F193" s="29"/>
      <c r="G193" s="29"/>
      <c r="H193" s="29"/>
    </row>
    <row r="194" spans="4:8" x14ac:dyDescent="0.35">
      <c r="D194" s="29"/>
      <c r="E194" s="29"/>
      <c r="F194" s="29"/>
      <c r="G194" s="29"/>
      <c r="H194" s="29"/>
    </row>
    <row r="195" spans="4:8" x14ac:dyDescent="0.35">
      <c r="D195" s="29"/>
      <c r="E195" s="29"/>
      <c r="F195" s="29"/>
      <c r="G195" s="29"/>
      <c r="H195" s="29"/>
    </row>
    <row r="196" spans="4:8" x14ac:dyDescent="0.35">
      <c r="D196" s="29"/>
      <c r="E196" s="29"/>
      <c r="F196" s="29"/>
      <c r="G196" s="29"/>
      <c r="H196" s="29"/>
    </row>
    <row r="197" spans="4:8" x14ac:dyDescent="0.35">
      <c r="D197" s="29"/>
      <c r="E197" s="29"/>
      <c r="F197" s="29"/>
      <c r="G197" s="29"/>
      <c r="H197" s="29"/>
    </row>
    <row r="198" spans="4:8" x14ac:dyDescent="0.35">
      <c r="D198" s="29"/>
      <c r="E198" s="29"/>
      <c r="F198" s="29"/>
      <c r="G198" s="29"/>
      <c r="H198" s="29"/>
    </row>
    <row r="199" spans="4:8" x14ac:dyDescent="0.35">
      <c r="D199" s="29"/>
      <c r="E199" s="29"/>
      <c r="F199" s="29"/>
      <c r="G199" s="29"/>
      <c r="H199" s="29"/>
    </row>
    <row r="200" spans="4:8" x14ac:dyDescent="0.35">
      <c r="D200" s="29"/>
      <c r="E200" s="29"/>
      <c r="F200" s="29"/>
      <c r="G200" s="29"/>
      <c r="H200" s="29"/>
    </row>
    <row r="201" spans="4:8" x14ac:dyDescent="0.35">
      <c r="D201" s="29"/>
      <c r="E201" s="29"/>
      <c r="F201" s="29"/>
      <c r="G201" s="29"/>
      <c r="H201" s="29"/>
    </row>
    <row r="202" spans="4:8" x14ac:dyDescent="0.35">
      <c r="D202" s="29"/>
      <c r="E202" s="29"/>
      <c r="F202" s="29"/>
      <c r="G202" s="29"/>
      <c r="H202" s="29"/>
    </row>
    <row r="203" spans="4:8" x14ac:dyDescent="0.35">
      <c r="D203" s="29"/>
      <c r="E203" s="29"/>
      <c r="F203" s="29"/>
      <c r="G203" s="29"/>
      <c r="H203" s="29"/>
    </row>
    <row r="204" spans="4:8" x14ac:dyDescent="0.35">
      <c r="D204" s="29"/>
      <c r="E204" s="29"/>
      <c r="F204" s="29"/>
      <c r="G204" s="29"/>
      <c r="H204" s="29"/>
    </row>
    <row r="205" spans="4:8" x14ac:dyDescent="0.35">
      <c r="D205" s="29"/>
      <c r="E205" s="29"/>
      <c r="F205" s="29"/>
      <c r="G205" s="29"/>
      <c r="H205" s="29"/>
    </row>
    <row r="206" spans="4:8" x14ac:dyDescent="0.35">
      <c r="D206" s="29"/>
      <c r="E206" s="29"/>
      <c r="F206" s="29"/>
      <c r="G206" s="29"/>
      <c r="H206" s="29"/>
    </row>
    <row r="207" spans="4:8" x14ac:dyDescent="0.35">
      <c r="D207" s="29"/>
      <c r="E207" s="29"/>
      <c r="F207" s="29"/>
      <c r="G207" s="29"/>
      <c r="H207" s="29"/>
    </row>
    <row r="208" spans="4:8" x14ac:dyDescent="0.35">
      <c r="D208" s="29"/>
      <c r="E208" s="29"/>
      <c r="F208" s="29"/>
      <c r="G208" s="29"/>
      <c r="H208" s="29"/>
    </row>
    <row r="209" spans="4:8" x14ac:dyDescent="0.35">
      <c r="D209" s="29"/>
      <c r="E209" s="29"/>
      <c r="F209" s="29"/>
      <c r="G209" s="29"/>
      <c r="H209" s="29"/>
    </row>
    <row r="210" spans="4:8" x14ac:dyDescent="0.35">
      <c r="D210" s="29"/>
      <c r="E210" s="29"/>
      <c r="F210" s="29"/>
      <c r="G210" s="29"/>
      <c r="H210" s="29"/>
    </row>
    <row r="211" spans="4:8" x14ac:dyDescent="0.35">
      <c r="D211" s="29"/>
      <c r="E211" s="29"/>
      <c r="F211" s="29"/>
      <c r="G211" s="29"/>
      <c r="H211" s="29"/>
    </row>
    <row r="212" spans="4:8" x14ac:dyDescent="0.35">
      <c r="D212" s="29"/>
      <c r="E212" s="29"/>
      <c r="F212" s="29"/>
      <c r="G212" s="29"/>
      <c r="H212" s="29"/>
    </row>
    <row r="213" spans="4:8" x14ac:dyDescent="0.35">
      <c r="D213" s="29"/>
      <c r="E213" s="29"/>
      <c r="F213" s="29"/>
      <c r="G213" s="29"/>
      <c r="H213" s="29"/>
    </row>
    <row r="214" spans="4:8" x14ac:dyDescent="0.35">
      <c r="D214" s="29"/>
      <c r="E214" s="29"/>
      <c r="F214" s="29"/>
      <c r="G214" s="29"/>
      <c r="H214" s="29"/>
    </row>
    <row r="215" spans="4:8" x14ac:dyDescent="0.35">
      <c r="D215" s="29"/>
      <c r="E215" s="29"/>
      <c r="F215" s="29"/>
      <c r="G215" s="29"/>
      <c r="H215" s="29"/>
    </row>
    <row r="216" spans="4:8" x14ac:dyDescent="0.35">
      <c r="D216" s="29"/>
      <c r="E216" s="29"/>
      <c r="F216" s="29"/>
      <c r="G216" s="29"/>
      <c r="H216" s="29"/>
    </row>
    <row r="217" spans="4:8" x14ac:dyDescent="0.35">
      <c r="D217" s="29"/>
      <c r="E217" s="29"/>
      <c r="F217" s="29"/>
      <c r="G217" s="29"/>
      <c r="H217" s="29"/>
    </row>
    <row r="218" spans="4:8" x14ac:dyDescent="0.35">
      <c r="D218" s="29"/>
      <c r="E218" s="29"/>
      <c r="F218" s="29"/>
      <c r="G218" s="29"/>
      <c r="H218" s="29"/>
    </row>
    <row r="219" spans="4:8" x14ac:dyDescent="0.35">
      <c r="D219" s="29"/>
      <c r="E219" s="29"/>
      <c r="F219" s="29"/>
      <c r="G219" s="29"/>
      <c r="H219" s="29"/>
    </row>
    <row r="220" spans="4:8" x14ac:dyDescent="0.35">
      <c r="D220" s="29"/>
      <c r="E220" s="29"/>
      <c r="F220" s="29"/>
      <c r="G220" s="29"/>
      <c r="H220" s="29"/>
    </row>
    <row r="221" spans="4:8" x14ac:dyDescent="0.35">
      <c r="D221" s="29"/>
      <c r="E221" s="29"/>
      <c r="F221" s="29"/>
      <c r="G221" s="29"/>
      <c r="H221" s="29"/>
    </row>
    <row r="222" spans="4:8" x14ac:dyDescent="0.35">
      <c r="D222" s="29"/>
      <c r="E222" s="29"/>
      <c r="F222" s="29"/>
      <c r="G222" s="29"/>
      <c r="H222" s="29"/>
    </row>
    <row r="223" spans="4:8" x14ac:dyDescent="0.35">
      <c r="D223" s="29"/>
      <c r="E223" s="29"/>
      <c r="F223" s="29"/>
      <c r="G223" s="29"/>
      <c r="H223" s="29"/>
    </row>
    <row r="224" spans="4:8" x14ac:dyDescent="0.35">
      <c r="D224" s="29"/>
      <c r="E224" s="29"/>
      <c r="F224" s="29"/>
      <c r="G224" s="29"/>
      <c r="H224" s="29"/>
    </row>
    <row r="225" spans="4:8" x14ac:dyDescent="0.35">
      <c r="D225" s="29"/>
      <c r="E225" s="29"/>
      <c r="F225" s="29"/>
      <c r="G225" s="29"/>
      <c r="H225" s="29"/>
    </row>
    <row r="226" spans="4:8" x14ac:dyDescent="0.35">
      <c r="D226" s="29"/>
      <c r="E226" s="29"/>
      <c r="F226" s="29"/>
      <c r="G226" s="29"/>
      <c r="H226" s="29"/>
    </row>
    <row r="227" spans="4:8" x14ac:dyDescent="0.35">
      <c r="D227" s="29"/>
      <c r="E227" s="29"/>
      <c r="F227" s="29"/>
      <c r="G227" s="29"/>
      <c r="H227" s="29"/>
    </row>
    <row r="228" spans="4:8" x14ac:dyDescent="0.35">
      <c r="D228" s="29"/>
      <c r="E228" s="29"/>
      <c r="F228" s="29"/>
      <c r="G228" s="29"/>
      <c r="H228" s="29"/>
    </row>
    <row r="229" spans="4:8" x14ac:dyDescent="0.35">
      <c r="D229" s="29"/>
      <c r="E229" s="29"/>
      <c r="F229" s="29"/>
      <c r="G229" s="29"/>
      <c r="H229" s="29"/>
    </row>
  </sheetData>
  <sortState xmlns:xlrd2="http://schemas.microsoft.com/office/spreadsheetml/2017/richdata2" ref="B92:N102">
    <sortCondition descending="1" ref="I92:I102"/>
  </sortState>
  <mergeCells count="1">
    <mergeCell ref="B3:G3"/>
  </mergeCells>
  <pageMargins left="0.70866141732283472" right="0.70866141732283472" top="0.74803149606299213" bottom="0.74803149606299213" header="0.31496062992125984" footer="0.31496062992125984"/>
  <pageSetup scale="70" fitToHeight="3" orientation="portrait" r:id="rId1"/>
  <rowBreaks count="1" manualBreakCount="1">
    <brk id="6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213"/>
  <sheetViews>
    <sheetView showGridLines="0" view="pageBreakPreview" zoomScale="85" zoomScaleNormal="100" zoomScaleSheetLayoutView="85" workbookViewId="0">
      <pane ySplit="5" topLeftCell="A6" activePane="bottomLeft" state="frozen"/>
      <selection activeCell="A19" sqref="A19"/>
      <selection pane="bottomLeft" activeCell="A19" sqref="A19"/>
    </sheetView>
  </sheetViews>
  <sheetFormatPr defaultRowHeight="14.5" x14ac:dyDescent="0.35"/>
  <cols>
    <col min="2" max="2" width="44.26953125" customWidth="1"/>
    <col min="3" max="3" width="3.26953125" customWidth="1"/>
    <col min="4" max="5" width="13.90625" customWidth="1"/>
    <col min="6" max="6" width="15" bestFit="1" customWidth="1"/>
    <col min="7" max="7" width="13.90625" customWidth="1"/>
    <col min="8" max="8" width="5.1796875" customWidth="1"/>
  </cols>
  <sheetData>
    <row r="1" spans="2:8" x14ac:dyDescent="0.35">
      <c r="B1" s="24" t="str">
        <f>'5.2b - 2021'!$B$1</f>
        <v>YEC 2023/24 GRA COMPLIANCE FILING</v>
      </c>
      <c r="C1" s="35"/>
      <c r="D1" s="35"/>
      <c r="E1" s="35"/>
      <c r="F1" s="35"/>
      <c r="G1" s="36" t="s">
        <v>39</v>
      </c>
    </row>
    <row r="2" spans="2:8" x14ac:dyDescent="0.35">
      <c r="B2" s="24" t="s">
        <v>66</v>
      </c>
      <c r="C2" s="24"/>
      <c r="D2" s="24"/>
      <c r="E2" s="24"/>
      <c r="F2" s="37"/>
      <c r="G2" s="38" t="str">
        <f>'5.1'!$G$2</f>
        <v>August 5, 2024</v>
      </c>
    </row>
    <row r="3" spans="2:8" x14ac:dyDescent="0.35">
      <c r="B3" s="56" t="s">
        <v>15</v>
      </c>
      <c r="C3" s="56"/>
      <c r="D3" s="56"/>
      <c r="E3" s="56"/>
      <c r="F3" s="56"/>
      <c r="G3" s="56"/>
    </row>
    <row r="4" spans="2:8" x14ac:dyDescent="0.35">
      <c r="B4" s="24"/>
      <c r="C4" s="24"/>
    </row>
    <row r="5" spans="2:8" s="24" customFormat="1" ht="29" x14ac:dyDescent="0.35">
      <c r="B5" s="25" t="s">
        <v>48</v>
      </c>
      <c r="C5" s="25"/>
      <c r="D5" s="26" t="s">
        <v>49</v>
      </c>
      <c r="E5" s="26" t="s">
        <v>50</v>
      </c>
      <c r="F5" s="26" t="s">
        <v>51</v>
      </c>
      <c r="G5" s="26" t="s">
        <v>52</v>
      </c>
      <c r="H5" s="27"/>
    </row>
    <row r="6" spans="2:8" s="24" customFormat="1" x14ac:dyDescent="0.35">
      <c r="D6" s="27"/>
      <c r="E6" s="27"/>
      <c r="F6" s="27"/>
      <c r="G6" s="27"/>
      <c r="H6" s="27"/>
    </row>
    <row r="7" spans="2:8" s="24" customFormat="1" x14ac:dyDescent="0.35">
      <c r="B7" s="24" t="s">
        <v>86</v>
      </c>
      <c r="D7" s="28"/>
      <c r="E7" s="28"/>
      <c r="F7" s="28"/>
      <c r="G7" s="28"/>
      <c r="H7" s="28"/>
    </row>
    <row r="8" spans="2:8" s="24" customFormat="1" x14ac:dyDescent="0.35">
      <c r="B8" s="24" t="s">
        <v>29</v>
      </c>
      <c r="D8" s="28"/>
      <c r="E8" s="28"/>
      <c r="F8" s="28"/>
      <c r="G8" s="28"/>
      <c r="H8" s="28"/>
    </row>
    <row r="9" spans="2:8" x14ac:dyDescent="0.35">
      <c r="B9" s="48" t="s">
        <v>170</v>
      </c>
      <c r="D9" s="30">
        <f>'5.4 - 2023'!G9</f>
        <v>34947.311780000004</v>
      </c>
      <c r="E9" s="30">
        <v>22556.68822</v>
      </c>
      <c r="F9" s="30">
        <v>-18175.455000000002</v>
      </c>
      <c r="G9" s="43">
        <f t="shared" ref="G9:G27" si="0">SUM(D9:F9)</f>
        <v>39328.544999999998</v>
      </c>
      <c r="H9" s="30"/>
    </row>
    <row r="10" spans="2:8" x14ac:dyDescent="0.35">
      <c r="B10" s="48" t="s">
        <v>179</v>
      </c>
      <c r="D10" s="30">
        <f>'5.4 - 2023'!G10</f>
        <v>1762.4979600000001</v>
      </c>
      <c r="E10" s="30">
        <v>111.85857</v>
      </c>
      <c r="F10" s="30">
        <v>-1874.35653</v>
      </c>
      <c r="G10" s="30">
        <f t="shared" si="0"/>
        <v>0</v>
      </c>
      <c r="H10" s="30"/>
    </row>
    <row r="11" spans="2:8" x14ac:dyDescent="0.35">
      <c r="B11" s="48" t="s">
        <v>200</v>
      </c>
      <c r="D11" s="30">
        <f>'5.4 - 2023'!G11</f>
        <v>1096.7510200000002</v>
      </c>
      <c r="E11" s="30">
        <v>0</v>
      </c>
      <c r="F11" s="30">
        <v>-1096.7510199999999</v>
      </c>
      <c r="G11" s="30">
        <f t="shared" si="0"/>
        <v>0</v>
      </c>
      <c r="H11" s="30"/>
    </row>
    <row r="12" spans="2:8" x14ac:dyDescent="0.35">
      <c r="B12" s="48" t="s">
        <v>81</v>
      </c>
      <c r="D12" s="30">
        <f>'5.4 - 2023'!G13</f>
        <v>0</v>
      </c>
      <c r="E12" s="30">
        <v>410.32346999999999</v>
      </c>
      <c r="F12" s="30">
        <v>-410.32346999999999</v>
      </c>
      <c r="G12" s="30">
        <f t="shared" si="0"/>
        <v>0</v>
      </c>
      <c r="H12" s="30"/>
    </row>
    <row r="13" spans="2:8" x14ac:dyDescent="0.35">
      <c r="B13" s="48" t="s">
        <v>233</v>
      </c>
      <c r="D13" s="30">
        <v>0</v>
      </c>
      <c r="E13" s="30">
        <v>1000</v>
      </c>
      <c r="F13" s="30">
        <v>-1000</v>
      </c>
      <c r="G13" s="30">
        <f t="shared" si="0"/>
        <v>0</v>
      </c>
      <c r="H13" s="30"/>
    </row>
    <row r="14" spans="2:8" x14ac:dyDescent="0.35">
      <c r="B14" s="48" t="s">
        <v>103</v>
      </c>
      <c r="D14" s="30">
        <f>'5.4 - 2023'!G14</f>
        <v>74.536420000000007</v>
      </c>
      <c r="E14" s="30">
        <v>250</v>
      </c>
      <c r="F14" s="30">
        <v>0</v>
      </c>
      <c r="G14" s="30">
        <f t="shared" si="0"/>
        <v>324.53642000000002</v>
      </c>
      <c r="H14" s="30"/>
    </row>
    <row r="15" spans="2:8" x14ac:dyDescent="0.35">
      <c r="B15" s="48" t="s">
        <v>104</v>
      </c>
      <c r="D15" s="30">
        <f>'5.4 - 2023'!G15</f>
        <v>15782.54161</v>
      </c>
      <c r="E15" s="30">
        <v>15168.15654</v>
      </c>
      <c r="F15" s="30">
        <v>0</v>
      </c>
      <c r="G15" s="30">
        <f t="shared" si="0"/>
        <v>30950.69815</v>
      </c>
      <c r="H15" s="30"/>
    </row>
    <row r="16" spans="2:8" x14ac:dyDescent="0.35">
      <c r="B16" s="48" t="s">
        <v>105</v>
      </c>
      <c r="D16" s="30">
        <f>'5.4 - 2023'!G16</f>
        <v>1324.4844900000001</v>
      </c>
      <c r="E16" s="30">
        <v>3000</v>
      </c>
      <c r="F16" s="30">
        <v>0</v>
      </c>
      <c r="G16" s="30">
        <f t="shared" si="0"/>
        <v>4324.4844899999998</v>
      </c>
      <c r="H16" s="30"/>
    </row>
    <row r="17" spans="2:8" x14ac:dyDescent="0.35">
      <c r="B17" s="48" t="s">
        <v>106</v>
      </c>
      <c r="D17" s="30">
        <f>'5.4 - 2023'!G17</f>
        <v>514.34322999999995</v>
      </c>
      <c r="E17" s="30">
        <v>15000</v>
      </c>
      <c r="F17" s="30">
        <v>0</v>
      </c>
      <c r="G17" s="30">
        <f t="shared" si="0"/>
        <v>15514.34323</v>
      </c>
      <c r="H17" s="30"/>
    </row>
    <row r="18" spans="2:8" x14ac:dyDescent="0.35">
      <c r="B18" s="48" t="s">
        <v>107</v>
      </c>
      <c r="D18" s="30">
        <f>'5.4 - 2023'!G18</f>
        <v>2500</v>
      </c>
      <c r="E18" s="30">
        <v>9500</v>
      </c>
      <c r="F18" s="30">
        <v>0</v>
      </c>
      <c r="G18" s="30">
        <f t="shared" si="0"/>
        <v>12000</v>
      </c>
      <c r="H18" s="30"/>
    </row>
    <row r="19" spans="2:8" x14ac:dyDescent="0.35">
      <c r="B19" s="48" t="s">
        <v>108</v>
      </c>
      <c r="D19" s="30">
        <f>'5.4 - 2023'!G19</f>
        <v>200</v>
      </c>
      <c r="E19" s="30">
        <v>2000</v>
      </c>
      <c r="F19" s="30">
        <v>0</v>
      </c>
      <c r="G19" s="30">
        <f t="shared" si="0"/>
        <v>2200</v>
      </c>
      <c r="H19" s="30"/>
    </row>
    <row r="20" spans="2:8" x14ac:dyDescent="0.35">
      <c r="B20" s="48" t="s">
        <v>109</v>
      </c>
      <c r="D20" s="30">
        <v>0</v>
      </c>
      <c r="E20" s="30">
        <v>200</v>
      </c>
      <c r="F20" s="30">
        <v>0</v>
      </c>
      <c r="G20" s="30">
        <f t="shared" si="0"/>
        <v>200</v>
      </c>
      <c r="H20" s="30"/>
    </row>
    <row r="21" spans="2:8" x14ac:dyDescent="0.35">
      <c r="B21" s="48" t="s">
        <v>110</v>
      </c>
      <c r="D21" s="30">
        <v>0</v>
      </c>
      <c r="E21" s="30">
        <v>200</v>
      </c>
      <c r="F21" s="30">
        <v>0</v>
      </c>
      <c r="G21" s="30">
        <f t="shared" si="0"/>
        <v>200</v>
      </c>
      <c r="H21" s="30"/>
    </row>
    <row r="22" spans="2:8" x14ac:dyDescent="0.35">
      <c r="B22" s="48" t="s">
        <v>111</v>
      </c>
      <c r="D22" s="30">
        <v>0</v>
      </c>
      <c r="E22" s="30">
        <v>200</v>
      </c>
      <c r="F22" s="30">
        <v>0</v>
      </c>
      <c r="G22" s="30">
        <f t="shared" si="0"/>
        <v>200</v>
      </c>
      <c r="H22" s="30"/>
    </row>
    <row r="23" spans="2:8" x14ac:dyDescent="0.35">
      <c r="B23" s="48" t="s">
        <v>112</v>
      </c>
      <c r="D23" s="30">
        <v>0</v>
      </c>
      <c r="E23" s="30">
        <v>200</v>
      </c>
      <c r="F23" s="30">
        <v>0</v>
      </c>
      <c r="G23" s="30">
        <f t="shared" si="0"/>
        <v>200</v>
      </c>
      <c r="H23" s="30"/>
    </row>
    <row r="24" spans="2:8" x14ac:dyDescent="0.35">
      <c r="B24" s="48" t="s">
        <v>113</v>
      </c>
      <c r="D24" s="30">
        <v>0</v>
      </c>
      <c r="E24" s="30">
        <v>250</v>
      </c>
      <c r="F24" s="30">
        <v>0</v>
      </c>
      <c r="G24" s="30">
        <f t="shared" si="0"/>
        <v>250</v>
      </c>
      <c r="H24" s="30"/>
    </row>
    <row r="25" spans="2:8" x14ac:dyDescent="0.35">
      <c r="B25" s="48" t="s">
        <v>115</v>
      </c>
      <c r="D25" s="30">
        <v>0</v>
      </c>
      <c r="E25" s="30">
        <v>50</v>
      </c>
      <c r="F25" s="30">
        <v>0</v>
      </c>
      <c r="G25" s="30">
        <f t="shared" si="0"/>
        <v>50</v>
      </c>
      <c r="H25" s="30"/>
    </row>
    <row r="26" spans="2:8" x14ac:dyDescent="0.35">
      <c r="B26" s="48" t="s">
        <v>116</v>
      </c>
      <c r="D26" s="30">
        <v>0</v>
      </c>
      <c r="E26" s="30">
        <v>750</v>
      </c>
      <c r="F26" s="30">
        <v>0</v>
      </c>
      <c r="G26" s="30">
        <f t="shared" si="0"/>
        <v>750</v>
      </c>
      <c r="H26" s="30"/>
    </row>
    <row r="27" spans="2:8" x14ac:dyDescent="0.35">
      <c r="B27" s="48" t="s">
        <v>117</v>
      </c>
      <c r="D27" s="30">
        <v>0</v>
      </c>
      <c r="E27" s="30">
        <v>1200</v>
      </c>
      <c r="F27" s="30">
        <v>0</v>
      </c>
      <c r="G27" s="30">
        <f t="shared" si="0"/>
        <v>1200</v>
      </c>
      <c r="H27" s="30"/>
    </row>
    <row r="28" spans="2:8" x14ac:dyDescent="0.35">
      <c r="B28" s="24" t="s">
        <v>26</v>
      </c>
      <c r="D28" s="30"/>
      <c r="E28" s="30"/>
      <c r="F28" s="30"/>
      <c r="G28" s="30"/>
      <c r="H28" s="30"/>
    </row>
    <row r="29" spans="2:8" x14ac:dyDescent="0.35">
      <c r="B29" s="48" t="s">
        <v>155</v>
      </c>
      <c r="D29" s="30">
        <f>'5.4 - 2023'!G21</f>
        <v>10698.85101</v>
      </c>
      <c r="E29" s="30">
        <v>500</v>
      </c>
      <c r="F29" s="30">
        <v>-11198.85101</v>
      </c>
      <c r="G29" s="30">
        <f t="shared" ref="G29:G34" si="1">SUM(D29:F29)</f>
        <v>0</v>
      </c>
      <c r="H29" s="30"/>
    </row>
    <row r="30" spans="2:8" x14ac:dyDescent="0.35">
      <c r="B30" s="48" t="s">
        <v>182</v>
      </c>
      <c r="D30" s="30">
        <f>'5.4 - 2023'!G22</f>
        <v>0</v>
      </c>
      <c r="E30" s="30">
        <v>5000</v>
      </c>
      <c r="F30" s="30">
        <v>-5000</v>
      </c>
      <c r="G30" s="30">
        <f t="shared" si="1"/>
        <v>0</v>
      </c>
      <c r="H30" s="30"/>
    </row>
    <row r="31" spans="2:8" x14ac:dyDescent="0.35">
      <c r="B31" s="48" t="s">
        <v>201</v>
      </c>
      <c r="D31" s="30">
        <f>'5.4 - 2023'!G23</f>
        <v>2124.92895</v>
      </c>
      <c r="E31" s="30">
        <v>0</v>
      </c>
      <c r="F31" s="30">
        <v>-2124.92895</v>
      </c>
      <c r="G31" s="30">
        <f t="shared" si="1"/>
        <v>0</v>
      </c>
      <c r="H31" s="30"/>
    </row>
    <row r="32" spans="2:8" x14ac:dyDescent="0.35">
      <c r="B32" s="48" t="s">
        <v>118</v>
      </c>
      <c r="D32" s="30">
        <v>0</v>
      </c>
      <c r="E32" s="30">
        <v>690</v>
      </c>
      <c r="F32" s="30">
        <v>0</v>
      </c>
      <c r="G32" s="30">
        <f t="shared" si="1"/>
        <v>690</v>
      </c>
      <c r="H32" s="30"/>
    </row>
    <row r="33" spans="2:8" x14ac:dyDescent="0.35">
      <c r="B33" s="48" t="s">
        <v>119</v>
      </c>
      <c r="D33" s="30">
        <v>0</v>
      </c>
      <c r="E33" s="30">
        <v>600</v>
      </c>
      <c r="F33" s="30">
        <v>0</v>
      </c>
      <c r="G33" s="30">
        <f t="shared" si="1"/>
        <v>600</v>
      </c>
      <c r="H33" s="30"/>
    </row>
    <row r="34" spans="2:8" x14ac:dyDescent="0.35">
      <c r="B34" s="48" t="s">
        <v>114</v>
      </c>
      <c r="D34" s="30">
        <v>0</v>
      </c>
      <c r="E34" s="30">
        <v>400</v>
      </c>
      <c r="F34" s="30">
        <v>0</v>
      </c>
      <c r="G34" s="30">
        <f t="shared" si="1"/>
        <v>400</v>
      </c>
      <c r="H34" s="30"/>
    </row>
    <row r="35" spans="2:8" x14ac:dyDescent="0.35">
      <c r="B35" s="24" t="s">
        <v>27</v>
      </c>
      <c r="D35" s="30"/>
      <c r="E35" s="30"/>
      <c r="F35" s="30"/>
      <c r="G35" s="30"/>
      <c r="H35" s="30"/>
    </row>
    <row r="36" spans="2:8" x14ac:dyDescent="0.35">
      <c r="B36" s="48" t="s">
        <v>150</v>
      </c>
      <c r="D36" s="30">
        <f>'5.4 - 2023'!G25</f>
        <v>671.76613999999995</v>
      </c>
      <c r="E36" s="30">
        <v>1200</v>
      </c>
      <c r="F36" s="30">
        <v>-1871.76614</v>
      </c>
      <c r="G36" s="30">
        <f>SUM(D36:F36)</f>
        <v>0</v>
      </c>
      <c r="H36" s="30"/>
    </row>
    <row r="37" spans="2:8" x14ac:dyDescent="0.35">
      <c r="B37" s="48" t="s">
        <v>185</v>
      </c>
      <c r="D37" s="30">
        <f>'5.4 - 2023'!G26</f>
        <v>5983.2546799999991</v>
      </c>
      <c r="E37" s="30">
        <v>547.44535999999994</v>
      </c>
      <c r="F37" s="30">
        <v>-1035.5640000000001</v>
      </c>
      <c r="G37" s="30">
        <f>SUM(D37:F37)</f>
        <v>5495.1360399999985</v>
      </c>
      <c r="H37" s="30"/>
    </row>
    <row r="38" spans="2:8" x14ac:dyDescent="0.35">
      <c r="B38" s="24" t="s">
        <v>58</v>
      </c>
      <c r="D38" s="30"/>
      <c r="E38" s="30"/>
      <c r="F38" s="30"/>
      <c r="G38" s="30"/>
      <c r="H38" s="30"/>
    </row>
    <row r="39" spans="2:8" x14ac:dyDescent="0.35">
      <c r="B39" s="48" t="s">
        <v>184</v>
      </c>
      <c r="D39" s="30">
        <f>'5.4 - 2023'!G28</f>
        <v>2467.9239499999999</v>
      </c>
      <c r="E39" s="30">
        <v>1778.7530900000002</v>
      </c>
      <c r="F39" s="30">
        <v>-4246.6770400000005</v>
      </c>
      <c r="G39" s="30">
        <f>SUM(D39:F39)</f>
        <v>0</v>
      </c>
      <c r="H39" s="30"/>
    </row>
    <row r="40" spans="2:8" x14ac:dyDescent="0.35">
      <c r="B40" s="48" t="s">
        <v>120</v>
      </c>
      <c r="D40" s="30">
        <v>0</v>
      </c>
      <c r="E40" s="30">
        <v>500</v>
      </c>
      <c r="F40" s="30">
        <v>0</v>
      </c>
      <c r="G40" s="30">
        <f>SUM(D40:F40)</f>
        <v>500</v>
      </c>
      <c r="H40" s="30"/>
    </row>
    <row r="41" spans="2:8" x14ac:dyDescent="0.35">
      <c r="B41" s="24" t="s">
        <v>59</v>
      </c>
      <c r="D41" s="30"/>
      <c r="E41" s="30"/>
      <c r="F41" s="30"/>
      <c r="G41" s="30"/>
      <c r="H41" s="30"/>
    </row>
    <row r="42" spans="2:8" x14ac:dyDescent="0.35">
      <c r="B42" s="48" t="s">
        <v>234</v>
      </c>
      <c r="D42" s="30">
        <v>0</v>
      </c>
      <c r="E42" s="30">
        <v>2200</v>
      </c>
      <c r="F42" s="30">
        <v>-2200</v>
      </c>
      <c r="G42" s="30">
        <f>SUM(D42:F42)</f>
        <v>0</v>
      </c>
      <c r="H42" s="30"/>
    </row>
    <row r="43" spans="2:8" x14ac:dyDescent="0.35">
      <c r="B43" s="48"/>
      <c r="D43" s="30"/>
      <c r="E43" s="30"/>
      <c r="F43" s="30"/>
      <c r="G43" s="30"/>
      <c r="H43" s="30"/>
    </row>
    <row r="44" spans="2:8" x14ac:dyDescent="0.35">
      <c r="B44" s="24" t="s">
        <v>61</v>
      </c>
      <c r="C44" s="24"/>
      <c r="D44" s="31">
        <f>SUBTOTAL(9,D9:D42)</f>
        <v>80149.191240000015</v>
      </c>
      <c r="E44" s="31">
        <f>SUBTOTAL(9,E9:E42)</f>
        <v>85463.225249999989</v>
      </c>
      <c r="F44" s="31">
        <f>SUBTOTAL(9,F9:F42)</f>
        <v>-50234.673160000006</v>
      </c>
      <c r="G44" s="31">
        <f>SUBTOTAL(9,G9:G42)</f>
        <v>115377.74333</v>
      </c>
      <c r="H44" s="30"/>
    </row>
    <row r="45" spans="2:8" x14ac:dyDescent="0.35">
      <c r="D45" s="30"/>
      <c r="E45" s="30"/>
      <c r="F45" s="30"/>
      <c r="G45" s="30"/>
      <c r="H45" s="30"/>
    </row>
    <row r="46" spans="2:8" s="24" customFormat="1" x14ac:dyDescent="0.35">
      <c r="B46" s="24" t="s">
        <v>87</v>
      </c>
      <c r="D46" s="31"/>
      <c r="E46" s="31"/>
      <c r="F46" s="31"/>
      <c r="G46" s="31"/>
      <c r="H46" s="31"/>
    </row>
    <row r="47" spans="2:8" s="24" customFormat="1" x14ac:dyDescent="0.35">
      <c r="B47" s="24" t="s">
        <v>57</v>
      </c>
      <c r="D47" s="31"/>
      <c r="E47" s="31"/>
      <c r="F47" s="31"/>
      <c r="G47" s="31"/>
      <c r="H47" s="31"/>
    </row>
    <row r="48" spans="2:8" s="24" customFormat="1" x14ac:dyDescent="0.35">
      <c r="B48" s="48" t="s">
        <v>121</v>
      </c>
      <c r="D48" s="51">
        <f>'5.4 - 2023'!G38</f>
        <v>4651.4423400000005</v>
      </c>
      <c r="E48" s="30">
        <v>110</v>
      </c>
      <c r="F48" s="30">
        <v>0</v>
      </c>
      <c r="G48" s="30">
        <f>SUM(D48:F48)</f>
        <v>4761.4423400000005</v>
      </c>
      <c r="H48" s="31"/>
    </row>
    <row r="49" spans="2:8" x14ac:dyDescent="0.35">
      <c r="B49" s="48" t="s">
        <v>122</v>
      </c>
      <c r="D49" s="51">
        <f>'5.4 - 2023'!G39</f>
        <v>615.39715000000115</v>
      </c>
      <c r="E49" s="30">
        <v>189</v>
      </c>
      <c r="F49" s="30">
        <v>-804.39715000000001</v>
      </c>
      <c r="G49" s="30">
        <f>SUM(D49:F49)</f>
        <v>1.1368683772161603E-12</v>
      </c>
      <c r="H49" s="30"/>
    </row>
    <row r="50" spans="2:8" x14ac:dyDescent="0.35">
      <c r="B50" s="48" t="s">
        <v>123</v>
      </c>
      <c r="D50" s="51">
        <f>'5.4 - 2023'!G40</f>
        <v>6546.1116399999992</v>
      </c>
      <c r="E50" s="30">
        <v>1427.7950000000001</v>
      </c>
      <c r="F50" s="30">
        <v>0</v>
      </c>
      <c r="G50" s="30">
        <f>SUM(D50:F50)</f>
        <v>7973.9066399999992</v>
      </c>
      <c r="H50" s="30"/>
    </row>
    <row r="51" spans="2:8" x14ac:dyDescent="0.35">
      <c r="B51" s="48" t="s">
        <v>124</v>
      </c>
      <c r="D51" s="51">
        <f>'5.4 - 2023'!G41</f>
        <v>7937.8405600000006</v>
      </c>
      <c r="E51" s="30">
        <v>2500</v>
      </c>
      <c r="F51" s="30">
        <v>0</v>
      </c>
      <c r="G51" s="30">
        <f>SUM(D51:F51)</f>
        <v>10437.840560000001</v>
      </c>
      <c r="H51" s="30"/>
    </row>
    <row r="52" spans="2:8" x14ac:dyDescent="0.35">
      <c r="B52" s="48" t="s">
        <v>125</v>
      </c>
      <c r="D52" s="51">
        <f>'5.4 - 2023'!G42</f>
        <v>3594.23326</v>
      </c>
      <c r="E52" s="30">
        <v>3100</v>
      </c>
      <c r="F52" s="30">
        <v>0</v>
      </c>
      <c r="G52" s="30">
        <f>SUM(D52:F52)</f>
        <v>6694.23326</v>
      </c>
      <c r="H52" s="30"/>
    </row>
    <row r="53" spans="2:8" x14ac:dyDescent="0.35">
      <c r="B53" s="24" t="s">
        <v>45</v>
      </c>
      <c r="D53" s="30"/>
      <c r="E53" s="30"/>
      <c r="F53" s="30"/>
      <c r="G53" s="30"/>
      <c r="H53" s="30"/>
    </row>
    <row r="54" spans="2:8" x14ac:dyDescent="0.35">
      <c r="B54" s="48" t="s">
        <v>126</v>
      </c>
      <c r="D54" s="30">
        <f>'5.4 - 2023'!G44</f>
        <v>1608.6516300000001</v>
      </c>
      <c r="E54" s="30">
        <v>0</v>
      </c>
      <c r="F54" s="30">
        <v>0</v>
      </c>
      <c r="G54" s="30">
        <f>SUM(D54:F54)</f>
        <v>1608.6516300000001</v>
      </c>
      <c r="H54" s="30"/>
    </row>
    <row r="55" spans="2:8" x14ac:dyDescent="0.35">
      <c r="B55" s="48" t="s">
        <v>127</v>
      </c>
      <c r="D55" s="30">
        <f>'5.4 - 2023'!G45</f>
        <v>0</v>
      </c>
      <c r="E55" s="30">
        <v>1160</v>
      </c>
      <c r="F55" s="30">
        <v>-1160</v>
      </c>
      <c r="G55" s="30">
        <f>SUM(D55:F55)</f>
        <v>0</v>
      </c>
      <c r="H55" s="30"/>
    </row>
    <row r="56" spans="2:8" x14ac:dyDescent="0.35">
      <c r="B56" s="48" t="s">
        <v>128</v>
      </c>
      <c r="D56" s="30">
        <f>'5.4 - 2023'!G46</f>
        <v>400</v>
      </c>
      <c r="E56" s="30">
        <v>1600</v>
      </c>
      <c r="F56" s="30">
        <v>0</v>
      </c>
      <c r="G56" s="30">
        <f>SUM(D56:F56)</f>
        <v>2000</v>
      </c>
      <c r="H56" s="30"/>
    </row>
    <row r="57" spans="2:8" x14ac:dyDescent="0.35">
      <c r="B57" s="24" t="s">
        <v>61</v>
      </c>
      <c r="C57" s="24"/>
      <c r="D57" s="31">
        <f>SUBTOTAL(9,D48:D56)</f>
        <v>25353.676580000003</v>
      </c>
      <c r="E57" s="31">
        <f>SUBTOTAL(9,E48:E56)</f>
        <v>10086.795</v>
      </c>
      <c r="F57" s="31">
        <f>SUBTOTAL(9,F48:F56)</f>
        <v>-1964.39715</v>
      </c>
      <c r="G57" s="31">
        <f>SUBTOTAL(9,G48:G56)</f>
        <v>33476.074430000001</v>
      </c>
      <c r="H57" s="30"/>
    </row>
    <row r="58" spans="2:8" x14ac:dyDescent="0.35">
      <c r="D58" s="30"/>
      <c r="E58" s="30"/>
      <c r="F58" s="30"/>
      <c r="G58" s="30"/>
      <c r="H58" s="30"/>
    </row>
    <row r="59" spans="2:8" s="24" customFormat="1" x14ac:dyDescent="0.35">
      <c r="B59" s="24" t="s">
        <v>88</v>
      </c>
      <c r="D59" s="31"/>
      <c r="E59" s="31"/>
      <c r="F59" s="31"/>
      <c r="G59" s="31"/>
      <c r="H59" s="31"/>
    </row>
    <row r="60" spans="2:8" s="24" customFormat="1" x14ac:dyDescent="0.35">
      <c r="B60" t="s">
        <v>129</v>
      </c>
      <c r="C60"/>
      <c r="D60" s="51">
        <f>'5.4 - 2023'!G51</f>
        <v>174.81232</v>
      </c>
      <c r="E60" s="51">
        <v>4200</v>
      </c>
      <c r="F60" s="51">
        <v>0</v>
      </c>
      <c r="G60" s="30">
        <f>SUM(D60:F60)</f>
        <v>4374.81232</v>
      </c>
      <c r="H60" s="31"/>
    </row>
    <row r="61" spans="2:8" s="24" customFormat="1" x14ac:dyDescent="0.35">
      <c r="B61" s="24" t="s">
        <v>61</v>
      </c>
      <c r="D61" s="31">
        <f>SUBTOTAL(9,D60)</f>
        <v>174.81232</v>
      </c>
      <c r="E61" s="31">
        <f>SUBTOTAL(9,E60)</f>
        <v>4200</v>
      </c>
      <c r="F61" s="31">
        <f>SUBTOTAL(9,F60)</f>
        <v>0</v>
      </c>
      <c r="G61" s="31">
        <f>SUBTOTAL(9,G60)</f>
        <v>4374.81232</v>
      </c>
      <c r="H61" s="31"/>
    </row>
    <row r="62" spans="2:8" x14ac:dyDescent="0.35">
      <c r="D62" s="30"/>
      <c r="E62" s="30"/>
      <c r="F62" s="30"/>
      <c r="G62" s="30"/>
      <c r="H62" s="30"/>
    </row>
    <row r="63" spans="2:8" s="24" customFormat="1" x14ac:dyDescent="0.35">
      <c r="B63" s="24" t="s">
        <v>53</v>
      </c>
      <c r="D63" s="31"/>
      <c r="E63" s="31"/>
      <c r="F63" s="31"/>
      <c r="G63" s="31"/>
      <c r="H63" s="31"/>
    </row>
    <row r="64" spans="2:8" s="24" customFormat="1" ht="5" customHeight="1" x14ac:dyDescent="0.35">
      <c r="D64" s="31"/>
      <c r="E64" s="31"/>
      <c r="F64" s="31"/>
      <c r="G64" s="31"/>
      <c r="H64" s="31"/>
    </row>
    <row r="65" spans="2:8" s="24" customFormat="1" x14ac:dyDescent="0.35">
      <c r="B65" s="24" t="s">
        <v>29</v>
      </c>
      <c r="D65" s="31"/>
      <c r="E65" s="31"/>
      <c r="F65" s="31"/>
      <c r="G65" s="31"/>
      <c r="H65" s="31"/>
    </row>
    <row r="66" spans="2:8" x14ac:dyDescent="0.35">
      <c r="B66" s="48" t="s">
        <v>204</v>
      </c>
      <c r="D66" s="51">
        <f>'5.4 - 2023'!G58</f>
        <v>149.24179999999998</v>
      </c>
      <c r="E66" s="51">
        <v>200</v>
      </c>
      <c r="F66" s="51">
        <v>0</v>
      </c>
      <c r="G66" s="30">
        <f>SUM(D66:F66)</f>
        <v>349.24180000000001</v>
      </c>
      <c r="H66" s="51"/>
    </row>
    <row r="67" spans="2:8" x14ac:dyDescent="0.35">
      <c r="B67" s="48" t="s">
        <v>235</v>
      </c>
      <c r="D67" s="30">
        <v>0</v>
      </c>
      <c r="E67" s="30">
        <v>200</v>
      </c>
      <c r="F67" s="30">
        <v>-200</v>
      </c>
      <c r="G67" s="30">
        <f>SUM(D67:F67)</f>
        <v>0</v>
      </c>
      <c r="H67" s="30"/>
    </row>
    <row r="68" spans="2:8" x14ac:dyDescent="0.35">
      <c r="B68" s="48" t="s">
        <v>236</v>
      </c>
      <c r="D68" s="30">
        <v>0</v>
      </c>
      <c r="E68" s="30">
        <v>500</v>
      </c>
      <c r="F68" s="30">
        <v>-500</v>
      </c>
      <c r="G68" s="30">
        <f>SUM(D68:F68)</f>
        <v>0</v>
      </c>
      <c r="H68" s="30"/>
    </row>
    <row r="69" spans="2:8" x14ac:dyDescent="0.35">
      <c r="B69" s="48" t="s">
        <v>237</v>
      </c>
      <c r="D69" s="30">
        <v>0</v>
      </c>
      <c r="E69" s="30">
        <v>300</v>
      </c>
      <c r="F69" s="30">
        <v>-300</v>
      </c>
      <c r="G69" s="30">
        <f>SUM(D69:F69)</f>
        <v>0</v>
      </c>
      <c r="H69" s="30"/>
    </row>
    <row r="70" spans="2:8" x14ac:dyDescent="0.35">
      <c r="B70" s="48" t="s">
        <v>130</v>
      </c>
      <c r="D70" s="30">
        <v>0</v>
      </c>
      <c r="E70" s="30">
        <v>150</v>
      </c>
      <c r="F70" s="30">
        <v>0</v>
      </c>
      <c r="G70" s="30">
        <f>SUM(D70:F70)</f>
        <v>150</v>
      </c>
      <c r="H70" s="30"/>
    </row>
    <row r="71" spans="2:8" x14ac:dyDescent="0.35">
      <c r="B71" s="48" t="s">
        <v>62</v>
      </c>
      <c r="D71" s="30">
        <v>67.440830000000005</v>
      </c>
      <c r="E71" s="30">
        <v>209.99</v>
      </c>
      <c r="F71" s="30">
        <v>-74.989999999999995</v>
      </c>
      <c r="G71" s="30">
        <v>202.44083000000001</v>
      </c>
      <c r="H71" s="30"/>
    </row>
    <row r="72" spans="2:8" x14ac:dyDescent="0.35">
      <c r="B72" s="24" t="s">
        <v>61</v>
      </c>
      <c r="C72" s="24"/>
      <c r="D72" s="31">
        <f>SUBTOTAL(9,D66:D71)</f>
        <v>216.68262999999999</v>
      </c>
      <c r="E72" s="31">
        <f>SUBTOTAL(9,E66:E71)</f>
        <v>1559.99</v>
      </c>
      <c r="F72" s="31">
        <f>SUBTOTAL(9,F66:F71)</f>
        <v>-1074.99</v>
      </c>
      <c r="G72" s="31">
        <f>SUBTOTAL(9,G66:G71)</f>
        <v>701.68263000000002</v>
      </c>
      <c r="H72" s="30"/>
    </row>
    <row r="73" spans="2:8" s="24" customFormat="1" ht="5" customHeight="1" x14ac:dyDescent="0.35">
      <c r="D73" s="31"/>
      <c r="E73" s="31"/>
      <c r="F73" s="31"/>
      <c r="G73" s="31"/>
      <c r="H73" s="31"/>
    </row>
    <row r="74" spans="2:8" s="24" customFormat="1" x14ac:dyDescent="0.35">
      <c r="B74" s="24" t="s">
        <v>26</v>
      </c>
      <c r="D74" s="31"/>
      <c r="E74" s="31"/>
      <c r="F74" s="31"/>
      <c r="G74" s="31"/>
      <c r="H74" s="31"/>
    </row>
    <row r="75" spans="2:8" x14ac:dyDescent="0.35">
      <c r="B75" s="48" t="s">
        <v>219</v>
      </c>
      <c r="D75" s="30">
        <f>'5.4 - 2023'!G63</f>
        <v>405</v>
      </c>
      <c r="E75" s="30">
        <v>434</v>
      </c>
      <c r="F75" s="30">
        <v>-839</v>
      </c>
      <c r="G75" s="30">
        <f>SUM(D75:F75)</f>
        <v>0</v>
      </c>
      <c r="H75" s="30"/>
    </row>
    <row r="76" spans="2:8" x14ac:dyDescent="0.35">
      <c r="B76" s="48" t="s">
        <v>238</v>
      </c>
      <c r="D76" s="30">
        <v>0</v>
      </c>
      <c r="E76" s="30">
        <v>250</v>
      </c>
      <c r="F76" s="30">
        <v>-250</v>
      </c>
      <c r="G76" s="30">
        <f>SUM(D76:F76)</f>
        <v>0</v>
      </c>
      <c r="H76" s="30"/>
    </row>
    <row r="77" spans="2:8" x14ac:dyDescent="0.35">
      <c r="B77" s="48" t="s">
        <v>239</v>
      </c>
      <c r="D77" s="43">
        <v>0</v>
      </c>
      <c r="E77" s="43">
        <v>250</v>
      </c>
      <c r="F77" s="43">
        <v>-250</v>
      </c>
      <c r="G77" s="43">
        <f>SUM(D77:F77)</f>
        <v>0</v>
      </c>
      <c r="H77" s="30"/>
    </row>
    <row r="78" spans="2:8" x14ac:dyDescent="0.35">
      <c r="B78" s="48" t="s">
        <v>132</v>
      </c>
      <c r="D78" s="43">
        <v>0</v>
      </c>
      <c r="E78" s="43">
        <v>100</v>
      </c>
      <c r="F78" s="43">
        <v>0</v>
      </c>
      <c r="G78" s="43">
        <f>SUM(D78:F78)</f>
        <v>100</v>
      </c>
      <c r="H78" s="30"/>
    </row>
    <row r="79" spans="2:8" x14ac:dyDescent="0.35">
      <c r="B79" s="48" t="s">
        <v>62</v>
      </c>
      <c r="D79" s="30">
        <v>0</v>
      </c>
      <c r="E79" s="30">
        <v>145</v>
      </c>
      <c r="F79" s="30">
        <v>-145</v>
      </c>
      <c r="G79" s="30">
        <v>0</v>
      </c>
      <c r="H79" s="30"/>
    </row>
    <row r="80" spans="2:8" x14ac:dyDescent="0.35">
      <c r="B80" s="24" t="s">
        <v>61</v>
      </c>
      <c r="C80" s="24"/>
      <c r="D80" s="31">
        <f>SUBTOTAL(9,D75:D79)</f>
        <v>405</v>
      </c>
      <c r="E80" s="31">
        <f>SUBTOTAL(9,E75:E79)</f>
        <v>1179</v>
      </c>
      <c r="F80" s="31">
        <f>SUBTOTAL(9,F75:F79)</f>
        <v>-1484</v>
      </c>
      <c r="G80" s="31">
        <f>SUBTOTAL(9,G75:G79)</f>
        <v>100</v>
      </c>
      <c r="H80" s="30"/>
    </row>
    <row r="81" spans="2:8" s="24" customFormat="1" ht="5" customHeight="1" x14ac:dyDescent="0.35">
      <c r="D81" s="31"/>
      <c r="E81" s="31"/>
      <c r="F81" s="31"/>
      <c r="G81" s="31"/>
      <c r="H81" s="31"/>
    </row>
    <row r="82" spans="2:8" s="24" customFormat="1" x14ac:dyDescent="0.35">
      <c r="B82" s="24" t="s">
        <v>27</v>
      </c>
      <c r="D82" s="31"/>
      <c r="E82" s="31"/>
      <c r="F82" s="31"/>
      <c r="G82" s="31"/>
      <c r="H82" s="31"/>
    </row>
    <row r="83" spans="2:8" x14ac:dyDescent="0.35">
      <c r="B83" s="48" t="s">
        <v>173</v>
      </c>
      <c r="D83" s="30">
        <v>0</v>
      </c>
      <c r="E83" s="30">
        <v>600</v>
      </c>
      <c r="F83" s="30">
        <v>-600</v>
      </c>
      <c r="G83" s="30">
        <f>SUM(D83:F83)</f>
        <v>0</v>
      </c>
      <c r="H83" s="30"/>
    </row>
    <row r="84" spans="2:8" x14ac:dyDescent="0.35">
      <c r="B84" s="48" t="s">
        <v>133</v>
      </c>
      <c r="D84" s="30">
        <v>0</v>
      </c>
      <c r="E84" s="30">
        <v>250</v>
      </c>
      <c r="F84" s="30">
        <v>0</v>
      </c>
      <c r="G84" s="30">
        <f>SUM(D84:F84)</f>
        <v>250</v>
      </c>
      <c r="H84" s="30"/>
    </row>
    <row r="85" spans="2:8" x14ac:dyDescent="0.35">
      <c r="B85" s="48" t="s">
        <v>62</v>
      </c>
      <c r="D85" s="30">
        <v>0</v>
      </c>
      <c r="E85" s="30">
        <v>155</v>
      </c>
      <c r="F85" s="30">
        <v>-155</v>
      </c>
      <c r="G85" s="30">
        <v>0</v>
      </c>
      <c r="H85" s="30"/>
    </row>
    <row r="86" spans="2:8" x14ac:dyDescent="0.35">
      <c r="B86" s="24" t="s">
        <v>61</v>
      </c>
      <c r="C86" s="24"/>
      <c r="D86" s="31">
        <f>SUBTOTAL(9,D83:D85)</f>
        <v>0</v>
      </c>
      <c r="E86" s="31">
        <f>SUBTOTAL(9,E83:E85)</f>
        <v>1005</v>
      </c>
      <c r="F86" s="31">
        <f>SUBTOTAL(9,F83:F85)</f>
        <v>-755</v>
      </c>
      <c r="G86" s="31">
        <f>SUBTOTAL(9,G83:G85)</f>
        <v>250</v>
      </c>
      <c r="H86" s="30"/>
    </row>
    <row r="87" spans="2:8" s="24" customFormat="1" ht="5" customHeight="1" x14ac:dyDescent="0.35">
      <c r="D87" s="31"/>
      <c r="E87" s="31"/>
      <c r="F87" s="31"/>
      <c r="G87" s="31"/>
      <c r="H87" s="31"/>
    </row>
    <row r="88" spans="2:8" s="24" customFormat="1" x14ac:dyDescent="0.35">
      <c r="B88" s="24" t="s">
        <v>58</v>
      </c>
      <c r="D88" s="31"/>
      <c r="E88" s="31"/>
      <c r="F88" s="31"/>
      <c r="G88" s="31"/>
      <c r="H88" s="31"/>
    </row>
    <row r="89" spans="2:8" x14ac:dyDescent="0.35">
      <c r="B89" s="48" t="s">
        <v>193</v>
      </c>
      <c r="D89" s="30">
        <v>0</v>
      </c>
      <c r="E89" s="30">
        <v>700</v>
      </c>
      <c r="F89" s="30">
        <v>-700</v>
      </c>
      <c r="G89" s="30">
        <f>SUM(D89:F89)</f>
        <v>0</v>
      </c>
      <c r="H89" s="30"/>
    </row>
    <row r="90" spans="2:8" x14ac:dyDescent="0.35">
      <c r="B90" s="48" t="s">
        <v>149</v>
      </c>
      <c r="D90" s="30">
        <v>0</v>
      </c>
      <c r="E90" s="30">
        <v>567.01</v>
      </c>
      <c r="F90" s="30">
        <v>-567.01</v>
      </c>
      <c r="G90" s="30">
        <f>SUM(D90:F90)</f>
        <v>0</v>
      </c>
      <c r="H90" s="30"/>
    </row>
    <row r="91" spans="2:8" x14ac:dyDescent="0.35">
      <c r="B91" s="48" t="s">
        <v>224</v>
      </c>
      <c r="D91" s="30">
        <f>'5.4 - 2023'!G83</f>
        <v>20</v>
      </c>
      <c r="E91" s="30">
        <v>280</v>
      </c>
      <c r="F91" s="30">
        <v>-300</v>
      </c>
      <c r="G91" s="30">
        <f>SUM(D91:F91)</f>
        <v>0</v>
      </c>
      <c r="H91" s="30"/>
    </row>
    <row r="92" spans="2:8" x14ac:dyDescent="0.35">
      <c r="B92" s="48" t="s">
        <v>225</v>
      </c>
      <c r="D92" s="30">
        <f>'5.4 - 2023'!G84</f>
        <v>120</v>
      </c>
      <c r="E92" s="30">
        <v>125</v>
      </c>
      <c r="F92" s="30">
        <v>-245</v>
      </c>
      <c r="G92" s="30">
        <f>SUM(D92:F92)</f>
        <v>0</v>
      </c>
      <c r="H92" s="30"/>
    </row>
    <row r="93" spans="2:8" x14ac:dyDescent="0.35">
      <c r="B93" s="48" t="s">
        <v>134</v>
      </c>
      <c r="D93" s="30">
        <v>0</v>
      </c>
      <c r="E93" s="30">
        <v>400</v>
      </c>
      <c r="F93" s="30">
        <v>0</v>
      </c>
      <c r="G93" s="30">
        <f>SUM(D93:F93)</f>
        <v>400</v>
      </c>
      <c r="H93" s="30"/>
    </row>
    <row r="94" spans="2:8" x14ac:dyDescent="0.35">
      <c r="B94" s="48" t="s">
        <v>62</v>
      </c>
      <c r="D94" s="30">
        <v>0</v>
      </c>
      <c r="E94" s="30">
        <v>800</v>
      </c>
      <c r="F94" s="30">
        <v>-800</v>
      </c>
      <c r="G94" s="30">
        <v>0</v>
      </c>
      <c r="H94" s="30"/>
    </row>
    <row r="95" spans="2:8" x14ac:dyDescent="0.35">
      <c r="B95" s="24" t="s">
        <v>61</v>
      </c>
      <c r="C95" s="24"/>
      <c r="D95" s="31">
        <f>SUBTOTAL(9,D89:D94)</f>
        <v>140</v>
      </c>
      <c r="E95" s="31">
        <f>SUBTOTAL(9,E89:E94)</f>
        <v>2872.01</v>
      </c>
      <c r="F95" s="31">
        <f>SUBTOTAL(9,F89:F94)</f>
        <v>-2612.0100000000002</v>
      </c>
      <c r="G95" s="31">
        <f>SUBTOTAL(9,G89:G94)</f>
        <v>400</v>
      </c>
      <c r="H95" s="30"/>
    </row>
    <row r="96" spans="2:8" ht="5" customHeight="1" x14ac:dyDescent="0.35">
      <c r="B96" s="24"/>
      <c r="C96" s="24"/>
      <c r="D96" s="31"/>
      <c r="E96" s="31"/>
      <c r="F96" s="31"/>
      <c r="G96" s="31"/>
      <c r="H96" s="30"/>
    </row>
    <row r="97" spans="2:8" s="24" customFormat="1" x14ac:dyDescent="0.35">
      <c r="B97" s="24" t="s">
        <v>59</v>
      </c>
      <c r="D97" s="31"/>
      <c r="E97" s="31"/>
      <c r="F97" s="31"/>
      <c r="G97" s="31"/>
      <c r="H97" s="31"/>
    </row>
    <row r="98" spans="2:8" x14ac:dyDescent="0.35">
      <c r="B98" s="48" t="s">
        <v>240</v>
      </c>
      <c r="D98" s="30">
        <v>0</v>
      </c>
      <c r="E98" s="30">
        <v>400</v>
      </c>
      <c r="F98" s="30">
        <v>-400</v>
      </c>
      <c r="G98" s="30">
        <f>SUM(D98:F98)</f>
        <v>0</v>
      </c>
      <c r="H98" s="30"/>
    </row>
    <row r="99" spans="2:8" ht="7" customHeight="1" x14ac:dyDescent="0.35">
      <c r="D99" s="30"/>
      <c r="E99" s="30"/>
      <c r="F99" s="30"/>
      <c r="G99" s="30"/>
      <c r="H99" s="30"/>
    </row>
    <row r="100" spans="2:8" s="24" customFormat="1" x14ac:dyDescent="0.35">
      <c r="B100" s="24" t="s">
        <v>93</v>
      </c>
      <c r="D100" s="31"/>
      <c r="E100" s="31"/>
      <c r="F100" s="31"/>
      <c r="G100" s="31"/>
      <c r="H100" s="31"/>
    </row>
    <row r="101" spans="2:8" s="24" customFormat="1" x14ac:dyDescent="0.35">
      <c r="B101" s="48" t="s">
        <v>135</v>
      </c>
      <c r="C101"/>
      <c r="D101" s="30">
        <f>'5.4 - 2023'!G97</f>
        <v>25</v>
      </c>
      <c r="E101" s="30">
        <v>200</v>
      </c>
      <c r="F101" s="30">
        <v>0</v>
      </c>
      <c r="G101" s="30">
        <f t="shared" ref="G101:G108" si="2">SUM(D101:F101)</f>
        <v>225</v>
      </c>
      <c r="H101" s="31"/>
    </row>
    <row r="102" spans="2:8" s="24" customFormat="1" x14ac:dyDescent="0.35">
      <c r="B102" s="48" t="s">
        <v>136</v>
      </c>
      <c r="C102"/>
      <c r="D102" s="30">
        <f>'5.4 - 2023'!G98</f>
        <v>100</v>
      </c>
      <c r="E102" s="30">
        <v>50</v>
      </c>
      <c r="F102" s="30">
        <v>0</v>
      </c>
      <c r="G102" s="30">
        <f t="shared" si="2"/>
        <v>150</v>
      </c>
      <c r="H102" s="31"/>
    </row>
    <row r="103" spans="2:8" x14ac:dyDescent="0.35">
      <c r="B103" s="48" t="s">
        <v>241</v>
      </c>
      <c r="D103" s="30">
        <v>0</v>
      </c>
      <c r="E103" s="30">
        <v>250</v>
      </c>
      <c r="F103" s="30">
        <v>-250</v>
      </c>
      <c r="G103" s="30">
        <f t="shared" si="2"/>
        <v>0</v>
      </c>
      <c r="H103" s="30"/>
    </row>
    <row r="104" spans="2:8" x14ac:dyDescent="0.35">
      <c r="B104" s="48" t="s">
        <v>242</v>
      </c>
      <c r="D104" s="30">
        <v>0</v>
      </c>
      <c r="E104" s="30">
        <v>200</v>
      </c>
      <c r="F104" s="30">
        <v>-200</v>
      </c>
      <c r="G104" s="30">
        <f t="shared" si="2"/>
        <v>0</v>
      </c>
      <c r="H104" s="30"/>
    </row>
    <row r="105" spans="2:8" x14ac:dyDescent="0.35">
      <c r="B105" s="48" t="s">
        <v>243</v>
      </c>
      <c r="D105" s="30">
        <v>0</v>
      </c>
      <c r="E105" s="30">
        <v>100</v>
      </c>
      <c r="F105" s="30">
        <v>-100</v>
      </c>
      <c r="G105" s="30">
        <f t="shared" si="2"/>
        <v>0</v>
      </c>
      <c r="H105" s="30"/>
    </row>
    <row r="106" spans="2:8" x14ac:dyDescent="0.35">
      <c r="B106" s="48" t="s">
        <v>244</v>
      </c>
      <c r="D106" s="30">
        <v>0</v>
      </c>
      <c r="E106" s="30">
        <v>300</v>
      </c>
      <c r="F106" s="30">
        <v>0</v>
      </c>
      <c r="G106" s="30">
        <f t="shared" si="2"/>
        <v>300</v>
      </c>
      <c r="H106" s="30"/>
    </row>
    <row r="107" spans="2:8" x14ac:dyDescent="0.35">
      <c r="B107" s="48" t="s">
        <v>228</v>
      </c>
      <c r="D107" s="30">
        <f>'5.4 - 2023'!G99</f>
        <v>413</v>
      </c>
      <c r="E107" s="30">
        <v>0</v>
      </c>
      <c r="F107" s="30">
        <v>-413</v>
      </c>
      <c r="G107" s="30">
        <f t="shared" si="2"/>
        <v>0</v>
      </c>
      <c r="H107" s="30"/>
    </row>
    <row r="108" spans="2:8" x14ac:dyDescent="0.35">
      <c r="B108" s="48" t="s">
        <v>229</v>
      </c>
      <c r="D108" s="30">
        <f>'5.4 - 2023'!G101</f>
        <v>250</v>
      </c>
      <c r="E108" s="30">
        <v>0</v>
      </c>
      <c r="F108" s="30">
        <v>0</v>
      </c>
      <c r="G108" s="30">
        <f t="shared" si="2"/>
        <v>250</v>
      </c>
      <c r="H108" s="30"/>
    </row>
    <row r="109" spans="2:8" x14ac:dyDescent="0.35">
      <c r="B109" s="48" t="s">
        <v>62</v>
      </c>
      <c r="D109" s="30">
        <v>25</v>
      </c>
      <c r="E109" s="30">
        <v>75</v>
      </c>
      <c r="F109" s="30">
        <v>10</v>
      </c>
      <c r="G109" s="30">
        <v>110</v>
      </c>
      <c r="H109" s="30"/>
    </row>
    <row r="110" spans="2:8" x14ac:dyDescent="0.35">
      <c r="B110" s="24" t="s">
        <v>61</v>
      </c>
      <c r="C110" s="24"/>
      <c r="D110" s="31">
        <f>SUBTOTAL(9,D101:D109)</f>
        <v>813</v>
      </c>
      <c r="E110" s="31">
        <f>SUBTOTAL(9,E101:E109)</f>
        <v>1175</v>
      </c>
      <c r="F110" s="31">
        <f>SUBTOTAL(9,F101:F109)</f>
        <v>-953</v>
      </c>
      <c r="G110" s="31">
        <f>SUBTOTAL(9,G101:G109)</f>
        <v>1035</v>
      </c>
      <c r="H110" s="30"/>
    </row>
    <row r="111" spans="2:8" x14ac:dyDescent="0.35">
      <c r="D111" s="30"/>
      <c r="E111" s="30"/>
      <c r="F111" s="30"/>
      <c r="G111" s="30"/>
      <c r="H111" s="30"/>
    </row>
    <row r="112" spans="2:8" x14ac:dyDescent="0.35">
      <c r="B112" s="24" t="s">
        <v>92</v>
      </c>
      <c r="C112" s="24"/>
      <c r="D112" s="30"/>
      <c r="E112" s="30"/>
      <c r="F112" s="30"/>
      <c r="G112" s="30"/>
      <c r="H112" s="30"/>
    </row>
    <row r="113" spans="2:8" x14ac:dyDescent="0.35">
      <c r="B113" s="48" t="s">
        <v>245</v>
      </c>
      <c r="D113" s="30">
        <v>0</v>
      </c>
      <c r="E113" s="30">
        <v>150</v>
      </c>
      <c r="F113" s="30">
        <v>-150</v>
      </c>
      <c r="G113" s="30">
        <f>SUM(D113:F113)</f>
        <v>0</v>
      </c>
      <c r="H113" s="30"/>
    </row>
    <row r="114" spans="2:8" x14ac:dyDescent="0.35">
      <c r="B114" s="48" t="s">
        <v>246</v>
      </c>
      <c r="D114" s="30">
        <v>0</v>
      </c>
      <c r="E114" s="30">
        <v>100</v>
      </c>
      <c r="F114" s="30">
        <v>-100</v>
      </c>
      <c r="G114" s="30">
        <f>SUM(D114:F114)</f>
        <v>0</v>
      </c>
      <c r="H114" s="30"/>
    </row>
    <row r="115" spans="2:8" x14ac:dyDescent="0.35">
      <c r="B115" s="48" t="s">
        <v>247</v>
      </c>
      <c r="D115" s="30">
        <v>0</v>
      </c>
      <c r="E115" s="30">
        <v>150</v>
      </c>
      <c r="F115" s="30">
        <v>0</v>
      </c>
      <c r="G115" s="30">
        <f>SUM(D115:F115)</f>
        <v>150</v>
      </c>
      <c r="H115" s="30"/>
    </row>
    <row r="116" spans="2:8" x14ac:dyDescent="0.35">
      <c r="B116" s="48" t="s">
        <v>62</v>
      </c>
      <c r="D116" s="30">
        <v>0</v>
      </c>
      <c r="E116" s="30">
        <v>230</v>
      </c>
      <c r="F116" s="30">
        <v>-130</v>
      </c>
      <c r="G116" s="30">
        <v>100</v>
      </c>
      <c r="H116" s="30"/>
    </row>
    <row r="117" spans="2:8" x14ac:dyDescent="0.35">
      <c r="B117" s="24" t="s">
        <v>61</v>
      </c>
      <c r="C117" s="24"/>
      <c r="D117" s="31">
        <f>SUBTOTAL(9,D113:D116)</f>
        <v>0</v>
      </c>
      <c r="E117" s="31">
        <f>SUBTOTAL(9,E113:E116)</f>
        <v>630</v>
      </c>
      <c r="F117" s="31">
        <f>SUBTOTAL(9,F113:F116)</f>
        <v>-380</v>
      </c>
      <c r="G117" s="31">
        <f>SUBTOTAL(9,G113:G116)</f>
        <v>250</v>
      </c>
      <c r="H117" s="30"/>
    </row>
    <row r="118" spans="2:8" x14ac:dyDescent="0.35">
      <c r="B118" s="24"/>
      <c r="C118" s="24"/>
      <c r="D118" s="31"/>
      <c r="E118" s="31"/>
      <c r="F118" s="31"/>
      <c r="G118" s="31"/>
      <c r="H118" s="30"/>
    </row>
    <row r="119" spans="2:8" ht="15" thickBot="1" x14ac:dyDescent="0.4">
      <c r="B119" s="33" t="s">
        <v>60</v>
      </c>
      <c r="C119" s="33"/>
      <c r="D119" s="34">
        <f>SUBTOTAL(9,D9:D117)</f>
        <v>107252.36277000001</v>
      </c>
      <c r="E119" s="34">
        <f>SUBTOTAL(9,E9:E117)</f>
        <v>108571.02024999999</v>
      </c>
      <c r="F119" s="34">
        <f>SUBTOTAL(9,F9:F117)</f>
        <v>-59858.070310000003</v>
      </c>
      <c r="G119" s="34">
        <f>SUBTOTAL(9,G9:G117)</f>
        <v>155965.31271</v>
      </c>
      <c r="H119" s="30"/>
    </row>
    <row r="120" spans="2:8" ht="15" thickTop="1" x14ac:dyDescent="0.35">
      <c r="D120" s="30"/>
      <c r="E120" s="30"/>
      <c r="F120" s="30"/>
      <c r="G120" s="30"/>
      <c r="H120" s="30"/>
    </row>
    <row r="121" spans="2:8" x14ac:dyDescent="0.35">
      <c r="B121" s="24" t="s">
        <v>89</v>
      </c>
      <c r="D121" s="30"/>
      <c r="E121" s="30"/>
      <c r="F121" s="30"/>
      <c r="G121" s="30"/>
      <c r="H121" s="30"/>
    </row>
    <row r="122" spans="2:8" x14ac:dyDescent="0.35">
      <c r="B122" s="48" t="s">
        <v>161</v>
      </c>
      <c r="D122" s="30">
        <f>'5.4 - 2023'!G114</f>
        <v>-10874.038460000002</v>
      </c>
      <c r="E122" s="30">
        <v>-5625.9615400000002</v>
      </c>
      <c r="F122" s="30">
        <v>0</v>
      </c>
      <c r="G122" s="30">
        <f>SUM(D122:F122)</f>
        <v>-16500</v>
      </c>
      <c r="H122" s="30"/>
    </row>
    <row r="123" spans="2:8" x14ac:dyDescent="0.35">
      <c r="B123" s="48" t="s">
        <v>197</v>
      </c>
      <c r="D123" s="30">
        <f>'5.4 - 2023'!G115</f>
        <v>-6222.8998399999991</v>
      </c>
      <c r="E123" s="30">
        <v>-307.80020000000002</v>
      </c>
      <c r="F123" s="30">
        <v>1035.5640000000001</v>
      </c>
      <c r="G123" s="30">
        <f>SUM(D123:F123)</f>
        <v>-5495.1360399999985</v>
      </c>
      <c r="H123" s="30"/>
    </row>
    <row r="124" spans="2:8" x14ac:dyDescent="0.35">
      <c r="B124" s="48" t="s">
        <v>231</v>
      </c>
      <c r="D124" s="30">
        <f>'5.4 - 2023'!G116</f>
        <v>-4407.4610000000002</v>
      </c>
      <c r="E124" s="30">
        <v>-113.012</v>
      </c>
      <c r="F124" s="30">
        <v>0</v>
      </c>
      <c r="G124" s="30">
        <f>SUM(D124:F124)</f>
        <v>-4520.473</v>
      </c>
      <c r="H124" s="30"/>
    </row>
    <row r="125" spans="2:8" x14ac:dyDescent="0.35">
      <c r="B125" s="24" t="s">
        <v>61</v>
      </c>
      <c r="D125" s="30">
        <f>SUBTOTAL(9,D122:D124)</f>
        <v>-21504.399300000001</v>
      </c>
      <c r="E125" s="30">
        <f>SUBTOTAL(9,E122:E124)</f>
        <v>-6046.7737399999996</v>
      </c>
      <c r="F125" s="30">
        <f>SUBTOTAL(9,F122:F124)</f>
        <v>1035.5640000000001</v>
      </c>
      <c r="G125" s="30">
        <f>SUBTOTAL(9,G122:G124)</f>
        <v>-26515.609039999996</v>
      </c>
      <c r="H125" s="30"/>
    </row>
    <row r="126" spans="2:8" x14ac:dyDescent="0.35">
      <c r="B126" s="24"/>
      <c r="D126" s="30"/>
      <c r="E126" s="30"/>
      <c r="F126" s="30"/>
      <c r="G126" s="30"/>
      <c r="H126" s="30"/>
    </row>
    <row r="127" spans="2:8" x14ac:dyDescent="0.35">
      <c r="B127" s="24" t="s">
        <v>91</v>
      </c>
      <c r="D127" s="30"/>
      <c r="E127" s="30"/>
      <c r="F127" s="30"/>
      <c r="G127" s="30"/>
      <c r="H127" s="30"/>
    </row>
    <row r="128" spans="2:8" x14ac:dyDescent="0.35">
      <c r="B128" s="48" t="s">
        <v>175</v>
      </c>
      <c r="D128" s="30">
        <v>0</v>
      </c>
      <c r="E128" s="30">
        <v>-400</v>
      </c>
      <c r="F128" s="30">
        <v>400</v>
      </c>
      <c r="G128" s="30">
        <f>SUM(D128:F128)</f>
        <v>0</v>
      </c>
      <c r="H128" s="30"/>
    </row>
    <row r="129" spans="2:8" x14ac:dyDescent="0.35">
      <c r="B129" s="24" t="s">
        <v>61</v>
      </c>
      <c r="D129" s="30">
        <f>SUBTOTAL(9,D127:D128)</f>
        <v>0</v>
      </c>
      <c r="E129" s="30">
        <f>SUBTOTAL(9,E127:E128)</f>
        <v>-400</v>
      </c>
      <c r="F129" s="30">
        <f>SUBTOTAL(9,F127:F128)</f>
        <v>400</v>
      </c>
      <c r="G129" s="30">
        <f>SUBTOTAL(9,G127:G128)</f>
        <v>0</v>
      </c>
      <c r="H129" s="30"/>
    </row>
    <row r="130" spans="2:8" x14ac:dyDescent="0.35">
      <c r="B130" s="48"/>
      <c r="D130" s="30"/>
      <c r="E130" s="30"/>
      <c r="F130" s="30"/>
      <c r="G130" s="30"/>
      <c r="H130" s="30"/>
    </row>
    <row r="131" spans="2:8" x14ac:dyDescent="0.35">
      <c r="B131" s="24" t="s">
        <v>94</v>
      </c>
      <c r="D131" s="30"/>
      <c r="E131" s="30"/>
      <c r="F131" s="30"/>
      <c r="G131" s="30"/>
      <c r="H131" s="30"/>
    </row>
    <row r="132" spans="2:8" x14ac:dyDescent="0.35">
      <c r="B132" s="48" t="s">
        <v>198</v>
      </c>
      <c r="D132" s="30">
        <f>'5.4 - 2023'!G126</f>
        <v>-355.78620999999998</v>
      </c>
      <c r="E132" s="30">
        <v>0</v>
      </c>
      <c r="F132" s="30">
        <v>0</v>
      </c>
      <c r="G132" s="30">
        <f>SUM(D132:F132)</f>
        <v>-355.78620999999998</v>
      </c>
      <c r="H132" s="30"/>
    </row>
    <row r="133" spans="2:8" x14ac:dyDescent="0.35">
      <c r="B133" s="24" t="s">
        <v>61</v>
      </c>
      <c r="D133" s="30">
        <f>SUBTOTAL(9,D132)</f>
        <v>-355.78620999999998</v>
      </c>
      <c r="E133" s="30">
        <f>SUBTOTAL(9,E132)</f>
        <v>0</v>
      </c>
      <c r="F133" s="30">
        <f>SUBTOTAL(9,F132)</f>
        <v>0</v>
      </c>
      <c r="G133" s="30">
        <f>SUBTOTAL(9,G132)</f>
        <v>-355.78620999999998</v>
      </c>
      <c r="H133" s="30"/>
    </row>
    <row r="134" spans="2:8" x14ac:dyDescent="0.35">
      <c r="D134" s="30"/>
      <c r="E134" s="30"/>
      <c r="F134" s="30"/>
      <c r="G134" s="30"/>
      <c r="H134" s="30"/>
    </row>
    <row r="135" spans="2:8" ht="15" thickBot="1" x14ac:dyDescent="0.4">
      <c r="B135" s="33" t="s">
        <v>60</v>
      </c>
      <c r="C135" s="33"/>
      <c r="D135" s="34">
        <f>SUBTOTAL(9,D121:D133)</f>
        <v>-21860.185509999999</v>
      </c>
      <c r="E135" s="34">
        <f>SUBTOTAL(9,E121:E133)</f>
        <v>-6446.7737399999996</v>
      </c>
      <c r="F135" s="34">
        <f>SUBTOTAL(9,F121:F133)</f>
        <v>1435.5640000000001</v>
      </c>
      <c r="G135" s="34">
        <f>SUBTOTAL(9,G121:G133)</f>
        <v>-26871.395249999994</v>
      </c>
      <c r="H135" s="30"/>
    </row>
    <row r="136" spans="2:8" ht="15" thickTop="1" x14ac:dyDescent="0.35">
      <c r="D136" s="30"/>
      <c r="E136" s="30"/>
      <c r="F136" s="30"/>
      <c r="G136" s="30"/>
      <c r="H136" s="30"/>
    </row>
    <row r="137" spans="2:8" x14ac:dyDescent="0.35">
      <c r="B137" s="2" t="s">
        <v>30</v>
      </c>
      <c r="D137" s="30">
        <f>D44</f>
        <v>80149.191240000015</v>
      </c>
      <c r="E137" s="30">
        <f>E44</f>
        <v>85463.225249999989</v>
      </c>
      <c r="F137" s="30">
        <f>F44</f>
        <v>-50234.673160000006</v>
      </c>
      <c r="G137" s="30">
        <f>G44</f>
        <v>115377.74333</v>
      </c>
    </row>
    <row r="138" spans="2:8" ht="4.5" customHeight="1" x14ac:dyDescent="0.35">
      <c r="B138" s="2"/>
      <c r="D138" s="30"/>
      <c r="E138" s="30"/>
      <c r="F138" s="30"/>
      <c r="G138" s="30"/>
    </row>
    <row r="139" spans="2:8" x14ac:dyDescent="0.35">
      <c r="B139" s="39" t="s">
        <v>90</v>
      </c>
      <c r="D139" s="30"/>
      <c r="E139" s="30"/>
      <c r="F139" s="30"/>
      <c r="G139" s="30"/>
    </row>
    <row r="140" spans="2:8" x14ac:dyDescent="0.35">
      <c r="B140" s="52" t="s">
        <v>12</v>
      </c>
      <c r="D140" s="30">
        <f>D72</f>
        <v>216.68262999999999</v>
      </c>
      <c r="E140" s="30">
        <f>E72</f>
        <v>1559.99</v>
      </c>
      <c r="F140" s="30">
        <f>F72</f>
        <v>-1074.99</v>
      </c>
      <c r="G140" s="30">
        <f>G72</f>
        <v>701.68263000000002</v>
      </c>
    </row>
    <row r="141" spans="2:8" x14ac:dyDescent="0.35">
      <c r="B141" s="52" t="s">
        <v>10</v>
      </c>
      <c r="D141" s="30">
        <f>D80</f>
        <v>405</v>
      </c>
      <c r="E141" s="30">
        <f>E80</f>
        <v>1179</v>
      </c>
      <c r="F141" s="30">
        <f>F80</f>
        <v>-1484</v>
      </c>
      <c r="G141" s="30">
        <f>G80</f>
        <v>100</v>
      </c>
    </row>
    <row r="142" spans="2:8" x14ac:dyDescent="0.35">
      <c r="B142" s="52" t="s">
        <v>11</v>
      </c>
      <c r="D142" s="30">
        <f>D86</f>
        <v>0</v>
      </c>
      <c r="E142" s="30">
        <f>E86</f>
        <v>1005</v>
      </c>
      <c r="F142" s="30">
        <f>F86</f>
        <v>-755</v>
      </c>
      <c r="G142" s="30">
        <f>G86</f>
        <v>250</v>
      </c>
    </row>
    <row r="143" spans="2:8" x14ac:dyDescent="0.35">
      <c r="B143" s="52" t="s">
        <v>13</v>
      </c>
      <c r="D143" s="30">
        <f>D95</f>
        <v>140</v>
      </c>
      <c r="E143" s="30">
        <f>E95</f>
        <v>2872.01</v>
      </c>
      <c r="F143" s="30">
        <f>F95</f>
        <v>-2612.0100000000002</v>
      </c>
      <c r="G143" s="30">
        <f>G95</f>
        <v>400</v>
      </c>
    </row>
    <row r="144" spans="2:8" ht="4.5" customHeight="1" x14ac:dyDescent="0.35">
      <c r="D144" s="30"/>
      <c r="E144" s="30"/>
      <c r="F144" s="30"/>
      <c r="G144" s="30"/>
    </row>
    <row r="145" spans="2:8" x14ac:dyDescent="0.35">
      <c r="B145" s="3" t="s">
        <v>54</v>
      </c>
      <c r="D145" s="30">
        <v>0</v>
      </c>
      <c r="E145" s="30">
        <v>0</v>
      </c>
      <c r="F145" s="30">
        <v>0</v>
      </c>
      <c r="G145" s="30">
        <v>0</v>
      </c>
    </row>
    <row r="146" spans="2:8" ht="4.5" customHeight="1" x14ac:dyDescent="0.35">
      <c r="B146" s="2"/>
      <c r="D146" s="30"/>
      <c r="E146" s="30"/>
      <c r="F146" s="30"/>
      <c r="G146" s="30"/>
    </row>
    <row r="147" spans="2:8" x14ac:dyDescent="0.35">
      <c r="B147" s="2" t="s">
        <v>44</v>
      </c>
      <c r="D147" s="30">
        <f>D98</f>
        <v>0</v>
      </c>
      <c r="E147" s="30">
        <f>E98</f>
        <v>400</v>
      </c>
      <c r="F147" s="30">
        <f>F98</f>
        <v>-400</v>
      </c>
      <c r="G147" s="30">
        <f>G98</f>
        <v>0</v>
      </c>
    </row>
    <row r="148" spans="2:8" ht="7" customHeight="1" x14ac:dyDescent="0.35">
      <c r="B148" s="8"/>
      <c r="D148" s="30"/>
      <c r="E148" s="30"/>
      <c r="F148" s="30"/>
      <c r="G148" s="30"/>
    </row>
    <row r="149" spans="2:8" x14ac:dyDescent="0.35">
      <c r="B149" s="39" t="s">
        <v>101</v>
      </c>
      <c r="D149" s="30">
        <f>SUM(D137:D147)</f>
        <v>80910.87387000001</v>
      </c>
      <c r="E149" s="30">
        <f>SUM(E137:E147)</f>
        <v>92479.225249999989</v>
      </c>
      <c r="F149" s="30">
        <f>SUM(F137:F147)</f>
        <v>-56560.673160000006</v>
      </c>
      <c r="G149" s="30">
        <f>SUM(G137:G147)</f>
        <v>116829.42595999999</v>
      </c>
    </row>
    <row r="150" spans="2:8" x14ac:dyDescent="0.35">
      <c r="B150" s="8"/>
      <c r="D150" s="30"/>
      <c r="E150" s="30"/>
      <c r="F150" s="30"/>
      <c r="G150" s="30"/>
    </row>
    <row r="151" spans="2:8" x14ac:dyDescent="0.35">
      <c r="B151" s="39" t="s">
        <v>96</v>
      </c>
      <c r="D151" s="30">
        <f>SUM(D57,D110)</f>
        <v>26166.676580000003</v>
      </c>
      <c r="E151" s="30">
        <f>SUM(E57,E110)</f>
        <v>11261.795</v>
      </c>
      <c r="F151" s="30">
        <f>SUM(F57,F110)</f>
        <v>-2917.3971499999998</v>
      </c>
      <c r="G151" s="30">
        <f>SUM(G57,G110)</f>
        <v>34511.074430000001</v>
      </c>
    </row>
    <row r="152" spans="2:8" ht="5.5" customHeight="1" x14ac:dyDescent="0.35">
      <c r="B152" s="40"/>
      <c r="D152" s="30"/>
      <c r="E152" s="30"/>
      <c r="F152" s="30"/>
      <c r="G152" s="30"/>
    </row>
    <row r="153" spans="2:8" x14ac:dyDescent="0.35">
      <c r="B153" s="39" t="s">
        <v>97</v>
      </c>
      <c r="D153" s="30">
        <f>SUM(D61,D117)</f>
        <v>174.81232</v>
      </c>
      <c r="E153" s="30">
        <f>SUM(E61,E117)</f>
        <v>4830</v>
      </c>
      <c r="F153" s="30">
        <f>SUM(F61,F117)</f>
        <v>-380</v>
      </c>
      <c r="G153" s="30">
        <f>SUM(G61,G117)</f>
        <v>4624.81232</v>
      </c>
    </row>
    <row r="154" spans="2:8" x14ac:dyDescent="0.35">
      <c r="B154" s="2"/>
      <c r="D154" s="30"/>
      <c r="E154" s="30"/>
      <c r="F154" s="30"/>
      <c r="G154" s="30"/>
    </row>
    <row r="155" spans="2:8" x14ac:dyDescent="0.35">
      <c r="B155" s="39" t="s">
        <v>102</v>
      </c>
      <c r="D155" s="30"/>
      <c r="E155" s="30"/>
      <c r="F155" s="30"/>
      <c r="G155" s="30"/>
    </row>
    <row r="156" spans="2:8" x14ac:dyDescent="0.35">
      <c r="B156" s="49" t="s">
        <v>99</v>
      </c>
      <c r="D156" s="30">
        <f>SUM(D129,D125)</f>
        <v>-21504.399300000001</v>
      </c>
      <c r="E156" s="30">
        <f>SUM(E129,E125)</f>
        <v>-6446.7737399999996</v>
      </c>
      <c r="F156" s="30">
        <f>SUM(F129,F125)</f>
        <v>1435.5640000000001</v>
      </c>
      <c r="G156" s="30">
        <f>SUM(G129,G125)</f>
        <v>-26515.609039999996</v>
      </c>
    </row>
    <row r="157" spans="2:8" x14ac:dyDescent="0.35">
      <c r="B157" s="49" t="s">
        <v>100</v>
      </c>
      <c r="D157" s="30">
        <f>D133</f>
        <v>-355.78620999999998</v>
      </c>
      <c r="E157" s="30">
        <f>E133</f>
        <v>0</v>
      </c>
      <c r="F157" s="30">
        <f>F133</f>
        <v>0</v>
      </c>
      <c r="G157" s="30">
        <f>G133</f>
        <v>-355.78620999999998</v>
      </c>
    </row>
    <row r="158" spans="2:8" x14ac:dyDescent="0.35">
      <c r="D158" s="30"/>
      <c r="E158" s="30"/>
      <c r="F158" s="30"/>
      <c r="G158" s="30"/>
    </row>
    <row r="159" spans="2:8" s="24" customFormat="1" x14ac:dyDescent="0.35">
      <c r="B159" s="24" t="s">
        <v>55</v>
      </c>
      <c r="D159" s="30"/>
      <c r="E159" s="30"/>
      <c r="F159" s="30"/>
      <c r="G159" s="30"/>
      <c r="H159" s="30"/>
    </row>
    <row r="160" spans="2:8" x14ac:dyDescent="0.35">
      <c r="B160" t="s">
        <v>55</v>
      </c>
      <c r="D160" s="30">
        <v>0</v>
      </c>
      <c r="E160" s="30">
        <v>681.74099999999999</v>
      </c>
      <c r="F160" s="30">
        <v>-681.74099999999999</v>
      </c>
      <c r="G160" s="30">
        <f>SUM(D160:F160)</f>
        <v>0</v>
      </c>
      <c r="H160" s="30"/>
    </row>
    <row r="161" spans="2:8" x14ac:dyDescent="0.35">
      <c r="B161" s="2" t="s">
        <v>64</v>
      </c>
      <c r="C161" s="24"/>
      <c r="D161" s="31">
        <f>SUBTOTAL(9,D160:D160)</f>
        <v>0</v>
      </c>
      <c r="E161" s="31">
        <f>SUBTOTAL(9,E160:E160)</f>
        <v>681.74099999999999</v>
      </c>
      <c r="F161" s="31">
        <f>SUBTOTAL(9,F160:F160)</f>
        <v>-681.74099999999999</v>
      </c>
      <c r="G161" s="31">
        <f>SUBTOTAL(9,G160:G160)</f>
        <v>0</v>
      </c>
      <c r="H161" s="30"/>
    </row>
    <row r="203" spans="4:8" x14ac:dyDescent="0.35">
      <c r="D203" s="29"/>
      <c r="E203" s="29"/>
      <c r="F203" s="29"/>
      <c r="G203" s="29"/>
      <c r="H203" s="29"/>
    </row>
    <row r="204" spans="4:8" x14ac:dyDescent="0.35">
      <c r="D204" s="29"/>
      <c r="E204" s="29"/>
      <c r="F204" s="29"/>
      <c r="G204" s="29"/>
      <c r="H204" s="29"/>
    </row>
    <row r="205" spans="4:8" x14ac:dyDescent="0.35">
      <c r="D205" s="29"/>
      <c r="E205" s="29"/>
      <c r="F205" s="29"/>
      <c r="G205" s="29"/>
      <c r="H205" s="29"/>
    </row>
    <row r="206" spans="4:8" x14ac:dyDescent="0.35">
      <c r="D206" s="29"/>
      <c r="E206" s="29"/>
      <c r="F206" s="29"/>
      <c r="G206" s="29"/>
      <c r="H206" s="29"/>
    </row>
    <row r="207" spans="4:8" x14ac:dyDescent="0.35">
      <c r="D207" s="29"/>
      <c r="E207" s="29"/>
      <c r="F207" s="29"/>
      <c r="G207" s="29"/>
      <c r="H207" s="29"/>
    </row>
    <row r="208" spans="4:8" x14ac:dyDescent="0.35">
      <c r="D208" s="29"/>
      <c r="E208" s="29"/>
      <c r="F208" s="29"/>
      <c r="G208" s="29"/>
      <c r="H208" s="29"/>
    </row>
    <row r="209" spans="4:8" x14ac:dyDescent="0.35">
      <c r="D209" s="29"/>
      <c r="E209" s="29"/>
      <c r="F209" s="29"/>
      <c r="G209" s="29"/>
      <c r="H209" s="29"/>
    </row>
    <row r="210" spans="4:8" x14ac:dyDescent="0.35">
      <c r="D210" s="29"/>
      <c r="E210" s="29"/>
      <c r="F210" s="29"/>
      <c r="G210" s="29"/>
      <c r="H210" s="29"/>
    </row>
    <row r="211" spans="4:8" x14ac:dyDescent="0.35">
      <c r="D211" s="29"/>
      <c r="E211" s="29"/>
      <c r="F211" s="29"/>
      <c r="G211" s="29"/>
      <c r="H211" s="29"/>
    </row>
    <row r="212" spans="4:8" x14ac:dyDescent="0.35">
      <c r="D212" s="29"/>
      <c r="E212" s="29"/>
      <c r="F212" s="29"/>
      <c r="G212" s="29"/>
      <c r="H212" s="29"/>
    </row>
    <row r="213" spans="4:8" x14ac:dyDescent="0.35">
      <c r="D213" s="29"/>
      <c r="E213" s="29"/>
      <c r="F213" s="29"/>
      <c r="G213" s="29"/>
      <c r="H213" s="29"/>
    </row>
  </sheetData>
  <mergeCells count="1">
    <mergeCell ref="B3:G3"/>
  </mergeCells>
  <pageMargins left="0.70866141732283472" right="0.70866141732283472" top="0.74803149606299213" bottom="0.74803149606299213" header="0.31496062992125984" footer="0.31496062992125984"/>
  <pageSetup scale="79" fitToHeight="3" orientation="portrait" r:id="rId1"/>
  <rowBreaks count="1" manualBreakCount="1">
    <brk id="11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5.1</vt:lpstr>
      <vt:lpstr>5.2a - 2021 approved</vt:lpstr>
      <vt:lpstr>5.2b - 2021</vt:lpstr>
      <vt:lpstr>5.3 - 2022</vt:lpstr>
      <vt:lpstr>5.4 - 2023</vt:lpstr>
      <vt:lpstr>5.5 - 2024</vt:lpstr>
      <vt:lpstr>'5.2a - 2021 approved'!Print_Titles</vt:lpstr>
      <vt:lpstr>'5.2b - 2021'!Print_Titles</vt:lpstr>
      <vt:lpstr>'5.3 - 2022'!Print_Titles</vt:lpstr>
      <vt:lpstr>'5.4 - 2023'!Print_Titles</vt:lpstr>
      <vt:lpstr>'5.5 - 2024'!Print_Titles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2024-08-05T18:31:44Z</dcterms:created>
  <dcterms:modified xsi:type="dcterms:W3CDTF">2024-08-05T19:27:48Z</dcterms:modified>
</cp:coreProperties>
</file>