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codeName="ThisWorkbook" defaultThemeVersion="124226"/>
  <xr:revisionPtr revIDLastSave="0" documentId="13_ncr:1_{62176576-3052-4754-B7CE-B4D2D258C87F}" xr6:coauthVersionLast="45" xr6:coauthVersionMax="45" xr10:uidLastSave="{00000000-0000-0000-0000-000000000000}"/>
  <bookViews>
    <workbookView xWindow="22932" yWindow="-108" windowWidth="23256" windowHeight="12576" xr2:uid="{00000000-000D-0000-FFFF-FFFF00000000}"/>
  </bookViews>
  <sheets>
    <sheet name="5.1" sheetId="17" r:id="rId1"/>
    <sheet name="5.2-1" sheetId="18" r:id="rId2"/>
    <sheet name="5.2-2" sheetId="23" r:id="rId3"/>
    <sheet name="5.3 - 2018" sheetId="9" r:id="rId4"/>
    <sheet name="5.4 - 2019" sheetId="20" r:id="rId5"/>
    <sheet name="5.5 - 2020" sheetId="21" r:id="rId6"/>
    <sheet name="5.6 - 2021" sheetId="22" r:id="rId7"/>
    <sheet name="5.7" sheetId="28" r:id="rId8"/>
  </sheets>
  <externalReferences>
    <externalReference r:id="rId9"/>
    <externalReference r:id="rId10"/>
    <externalReference r:id="rId11"/>
    <externalReference r:id="rId12"/>
    <externalReference r:id="rId13"/>
    <externalReference r:id="rId14"/>
  </externalReferences>
  <definedNames>
    <definedName name="\c">#N/A</definedName>
    <definedName name="___AIF1">#N/A</definedName>
    <definedName name="___AIF2">#N/A</definedName>
    <definedName name="___CTS1">#N/A</definedName>
    <definedName name="___CTS2">#N/A</definedName>
    <definedName name="___CTS4">#N/A</definedName>
    <definedName name="___CTS5">#N/A</definedName>
    <definedName name="___CTS6">#N/A</definedName>
    <definedName name="___ECO1">#N/A</definedName>
    <definedName name="___ECO2">#N/A</definedName>
    <definedName name="___ECO3">#N/A</definedName>
    <definedName name="___ECO4">#N/A</definedName>
    <definedName name="___ECO5">#N/A</definedName>
    <definedName name="___ECO6">#N/A</definedName>
    <definedName name="___FIN1">#N/A</definedName>
    <definedName name="___FIN2">#N/A</definedName>
    <definedName name="___FIN4">#N/A</definedName>
    <definedName name="___FIN5">#N/A</definedName>
    <definedName name="___FIN6">#N/A</definedName>
    <definedName name="___FOT1">#N/A</definedName>
    <definedName name="___FOT2">#N/A</definedName>
    <definedName name="___GIL1">#N/A</definedName>
    <definedName name="___GIL2">#N/A</definedName>
    <definedName name="___HHR1">#N/A</definedName>
    <definedName name="___HHR2">#N/A</definedName>
    <definedName name="___HHR4">#N/A</definedName>
    <definedName name="___HHR5">#N/A</definedName>
    <definedName name="___HHR6">#N/A</definedName>
    <definedName name="___HTL1">#N/A</definedName>
    <definedName name="___HTL2">#N/A</definedName>
    <definedName name="___INDEX_SHEET___ASAP_Utilities" localSheetId="4">#REF!</definedName>
    <definedName name="___INDEX_SHEET___ASAP_Utilities" localSheetId="5">#REF!</definedName>
    <definedName name="___INDEX_SHEET___ASAP_Utilities" localSheetId="6">#REF!</definedName>
    <definedName name="___INDEX_SHEET___ASAP_Utilities">#REF!</definedName>
    <definedName name="___IPT1">#N/A</definedName>
    <definedName name="___IPT2">#N/A</definedName>
    <definedName name="___JUS1">#N/A</definedName>
    <definedName name="___JUS2">#N/A</definedName>
    <definedName name="___JUS4">#N/A</definedName>
    <definedName name="___JUS5">#N/A</definedName>
    <definedName name="___JUS6">#N/A</definedName>
    <definedName name="___PSC1">#N/A</definedName>
    <definedName name="___PSC2">#N/A</definedName>
    <definedName name="___PSC4">#N/A</definedName>
    <definedName name="___PSC5">#N/A</definedName>
    <definedName name="___PSC6">#N/A</definedName>
    <definedName name="___PYA1">#N/A</definedName>
    <definedName name="___PYA2">#N/A</definedName>
    <definedName name="___RD1">#N/A</definedName>
    <definedName name="___RD2">#N/A</definedName>
    <definedName name="___REV1">#REF!</definedName>
    <definedName name="___REV2">#REF!</definedName>
    <definedName name="___RR4">#N/A</definedName>
    <definedName name="___RR5">#N/A</definedName>
    <definedName name="___RR6">#N/A</definedName>
    <definedName name="___SPT1">#N/A</definedName>
    <definedName name="___SPT2">#N/A</definedName>
    <definedName name="___ST1">#N/A</definedName>
    <definedName name="___ST2">#N/A</definedName>
    <definedName name="___TAB1">#N/A</definedName>
    <definedName name="___TAB2">#N/A</definedName>
    <definedName name="___TIP1">#N/A</definedName>
    <definedName name="___TIP2">#N/A</definedName>
    <definedName name="___WD2">#N/A</definedName>
    <definedName name="___WD4">#N/A</definedName>
    <definedName name="___WD5">#N/A</definedName>
    <definedName name="___WD6">#N/A</definedName>
    <definedName name="__AIF1">#N/A</definedName>
    <definedName name="__AIF2">#N/A</definedName>
    <definedName name="__CTS1">#N/A</definedName>
    <definedName name="__CTS2">#N/A</definedName>
    <definedName name="__CTS4">#N/A</definedName>
    <definedName name="__CTS5">#N/A</definedName>
    <definedName name="__CTS6">#N/A</definedName>
    <definedName name="__ECO1">#N/A</definedName>
    <definedName name="__ECO2">#N/A</definedName>
    <definedName name="__ECO3">#N/A</definedName>
    <definedName name="__ECO4">#N/A</definedName>
    <definedName name="__ECO5">#N/A</definedName>
    <definedName name="__ECO6">#N/A</definedName>
    <definedName name="__FIN1">#N/A</definedName>
    <definedName name="__FIN2">#N/A</definedName>
    <definedName name="__FIN4">#N/A</definedName>
    <definedName name="__FIN5">#N/A</definedName>
    <definedName name="__FIN6">#N/A</definedName>
    <definedName name="__FOT1">#N/A</definedName>
    <definedName name="__FOT2">#N/A</definedName>
    <definedName name="__GIL1">#N/A</definedName>
    <definedName name="__GIL2">#N/A</definedName>
    <definedName name="__HHR1">#N/A</definedName>
    <definedName name="__HHR2">#N/A</definedName>
    <definedName name="__HHR4">#N/A</definedName>
    <definedName name="__HHR5">#N/A</definedName>
    <definedName name="__HHR6">#N/A</definedName>
    <definedName name="__HTL1">#N/A</definedName>
    <definedName name="__HTL2">#N/A</definedName>
    <definedName name="__IPT1">#N/A</definedName>
    <definedName name="__IPT2">#N/A</definedName>
    <definedName name="__JUS1">#N/A</definedName>
    <definedName name="__JUS2">#N/A</definedName>
    <definedName name="__JUS4">#N/A</definedName>
    <definedName name="__JUS5">#N/A</definedName>
    <definedName name="__JUS6">#N/A</definedName>
    <definedName name="__PSC1">#N/A</definedName>
    <definedName name="__PSC2">#N/A</definedName>
    <definedName name="__PSC4">#N/A</definedName>
    <definedName name="__PSC5">#N/A</definedName>
    <definedName name="__PSC6">#N/A</definedName>
    <definedName name="__PYA1">#N/A</definedName>
    <definedName name="__PYA2">#N/A</definedName>
    <definedName name="__RD1">#N/A</definedName>
    <definedName name="__RD2">#N/A</definedName>
    <definedName name="__REV1">#REF!</definedName>
    <definedName name="__REV2">#REF!</definedName>
    <definedName name="__RR4">#N/A</definedName>
    <definedName name="__RR5">#N/A</definedName>
    <definedName name="__RR6">#N/A</definedName>
    <definedName name="__SPT1">#N/A</definedName>
    <definedName name="__SPT2">#N/A</definedName>
    <definedName name="__ST1">#N/A</definedName>
    <definedName name="__ST2">#N/A</definedName>
    <definedName name="__TAB1">#N/A</definedName>
    <definedName name="__TAB2">#N/A</definedName>
    <definedName name="__TIP1">#N/A</definedName>
    <definedName name="__TIP2">#N/A</definedName>
    <definedName name="__WD2">#N/A</definedName>
    <definedName name="__WD4">#N/A</definedName>
    <definedName name="__WD5">#N/A</definedName>
    <definedName name="__WD6">#N/A</definedName>
    <definedName name="_AIF1">#N/A</definedName>
    <definedName name="_AIF2">#N/A</definedName>
    <definedName name="_CTS1">#N/A</definedName>
    <definedName name="_CTS2">#N/A</definedName>
    <definedName name="_CTS4">#N/A</definedName>
    <definedName name="_CTS5">#N/A</definedName>
    <definedName name="_CTS6">#N/A</definedName>
    <definedName name="_ECO1">#N/A</definedName>
    <definedName name="_ECO2">#N/A</definedName>
    <definedName name="_ECO3">#N/A</definedName>
    <definedName name="_ECO4">#N/A</definedName>
    <definedName name="_ECO5">#N/A</definedName>
    <definedName name="_ECO6">#N/A</definedName>
    <definedName name="_FIN1">#N/A</definedName>
    <definedName name="_FIN2">#N/A</definedName>
    <definedName name="_FIN4">#N/A</definedName>
    <definedName name="_FIN5">#N/A</definedName>
    <definedName name="_FIN6">#N/A</definedName>
    <definedName name="_FOT1">#N/A</definedName>
    <definedName name="_FOT2">#N/A</definedName>
    <definedName name="_GIL1">#N/A</definedName>
    <definedName name="_GIL2">#N/A</definedName>
    <definedName name="_HHR1">#N/A</definedName>
    <definedName name="_HHR2">#N/A</definedName>
    <definedName name="_HHR4">#N/A</definedName>
    <definedName name="_HHR5">#N/A</definedName>
    <definedName name="_HHR6">#N/A</definedName>
    <definedName name="_HTL1">#N/A</definedName>
    <definedName name="_HTL2">#N/A</definedName>
    <definedName name="_IPT1">#N/A</definedName>
    <definedName name="_IPT2">#N/A</definedName>
    <definedName name="_JUS1">#N/A</definedName>
    <definedName name="_JUS2">#N/A</definedName>
    <definedName name="_JUS4">#N/A</definedName>
    <definedName name="_JUS5">#N/A</definedName>
    <definedName name="_JUS6">#N/A</definedName>
    <definedName name="_Key1" hidden="1">#REF!</definedName>
    <definedName name="_Order1" hidden="1">255</definedName>
    <definedName name="_PSC1">#N/A</definedName>
    <definedName name="_PSC2">#N/A</definedName>
    <definedName name="_PSC4">#N/A</definedName>
    <definedName name="_PSC5">#N/A</definedName>
    <definedName name="_PSC6">#N/A</definedName>
    <definedName name="_PYA1">#N/A</definedName>
    <definedName name="_PYA2">#N/A</definedName>
    <definedName name="_RD1">#N/A</definedName>
    <definedName name="_RD2">#N/A</definedName>
    <definedName name="_REV1">#REF!</definedName>
    <definedName name="_REV2">#REF!</definedName>
    <definedName name="_RR4">#N/A</definedName>
    <definedName name="_RR5">#N/A</definedName>
    <definedName name="_RR6">#N/A</definedName>
    <definedName name="_Sort" hidden="1">#REF!</definedName>
    <definedName name="_SPT1">#N/A</definedName>
    <definedName name="_SPT2">#N/A</definedName>
    <definedName name="_ST1">#N/A</definedName>
    <definedName name="_ST2">#N/A</definedName>
    <definedName name="_TAB1">#N/A</definedName>
    <definedName name="_TAB2">#N/A</definedName>
    <definedName name="_TIP1">#N/A</definedName>
    <definedName name="_TIP2">#N/A</definedName>
    <definedName name="_WD2">#N/A</definedName>
    <definedName name="_WD4">#N/A</definedName>
    <definedName name="_WD5">#N/A</definedName>
    <definedName name="_WD6">#N/A</definedName>
    <definedName name="a" localSheetId="4">#REF!</definedName>
    <definedName name="a" localSheetId="5">#REF!</definedName>
    <definedName name="a" localSheetId="6">#REF!</definedName>
    <definedName name="a">#REF!</definedName>
    <definedName name="AFUDC">'[1]2017 Planning Projects'!$D$1</definedName>
    <definedName name="ALLOT">#N/A</definedName>
    <definedName name="ALTA">#N/A</definedName>
    <definedName name="ALTB">#N/A</definedName>
    <definedName name="ALTC">#N/A</definedName>
    <definedName name="ALTD">#N/A</definedName>
    <definedName name="ALTE1">#N/A</definedName>
    <definedName name="ALTE2">#N/A</definedName>
    <definedName name="AMMORTIZATION">#N/A</definedName>
    <definedName name="asd" localSheetId="4">#REF!</definedName>
    <definedName name="asd" localSheetId="5">#REF!</definedName>
    <definedName name="asd" localSheetId="6">#REF!</definedName>
    <definedName name="asd">#REF!</definedName>
    <definedName name="BP_Query_for_Planning" localSheetId="4">#REF!</definedName>
    <definedName name="BP_Query_for_Planning" localSheetId="5">#REF!</definedName>
    <definedName name="BP_Query_for_Planning" localSheetId="6">#REF!</definedName>
    <definedName name="BP_Query_for_Planning">#REF!</definedName>
    <definedName name="BP_with_Future_Year" localSheetId="4">#REF!</definedName>
    <definedName name="BP_with_Future_Year" localSheetId="5">#REF!</definedName>
    <definedName name="BP_with_Future_Year" localSheetId="6">#REF!</definedName>
    <definedName name="BP_with_Future_Year">#REF!</definedName>
    <definedName name="BP_YEC" localSheetId="4">#REF!</definedName>
    <definedName name="BP_YEC" localSheetId="5">#REF!</definedName>
    <definedName name="BP_YEC" localSheetId="6">#REF!</definedName>
    <definedName name="BP_YEC">#REF!</definedName>
    <definedName name="CAPEXP">#N/A</definedName>
    <definedName name="CAPEXPEND">#N/A</definedName>
    <definedName name="CAPIN">#N/A</definedName>
    <definedName name="CAPITAL">#N/A</definedName>
    <definedName name="CAPITALE">#N/A</definedName>
    <definedName name="CAPITALF">#N/A</definedName>
    <definedName name="CAPOLD">#N/A</definedName>
    <definedName name="CAPOLDC">#N/A</definedName>
    <definedName name="CAPOLDR">#N/A</definedName>
    <definedName name="CAPPER1">#N/A</definedName>
    <definedName name="CAPPERSONS">#N/A</definedName>
    <definedName name="CAPPY">#N/A</definedName>
    <definedName name="CAPPYBREAK">#N/A</definedName>
    <definedName name="CAPREC">#N/A</definedName>
    <definedName name="CAPREC1">#N/A</definedName>
    <definedName name="CAPREC2">#N/A</definedName>
    <definedName name="CAPRECE">#N/A</definedName>
    <definedName name="CAPRECF">#N/A</definedName>
    <definedName name="CAPRECOV">#N/A</definedName>
    <definedName name="CAPRECOVER">#N/A</definedName>
    <definedName name="CAPSPENDING">#N/A</definedName>
    <definedName name="CAPTERMPY">#N/A</definedName>
    <definedName name="CAPTRANSFER">#N/A</definedName>
    <definedName name="CASH1" localSheetId="4">#REF!</definedName>
    <definedName name="CASH1" localSheetId="5">#REF!</definedName>
    <definedName name="CASH1" localSheetId="6">#REF!</definedName>
    <definedName name="CASH1">#REF!</definedName>
    <definedName name="CASH2" localSheetId="4">#REF!</definedName>
    <definedName name="CASH2" localSheetId="5">#REF!</definedName>
    <definedName name="CASH2" localSheetId="6">#REF!</definedName>
    <definedName name="CASH2">#REF!</definedName>
    <definedName name="CHOICE">#N/A</definedName>
    <definedName name="CLOAN">#N/A</definedName>
    <definedName name="COPY1">#N/A</definedName>
    <definedName name="COPY2">#N/A</definedName>
    <definedName name="COTHER">#N/A</definedName>
    <definedName name="CREC1">#N/A</definedName>
    <definedName name="CREC2">#N/A</definedName>
    <definedName name="CTRANSFER">#N/A</definedName>
    <definedName name="CTS2F">#N/A</definedName>
    <definedName name="CTS3O">#N/A</definedName>
    <definedName name="CTS3P">#N/A</definedName>
    <definedName name="CTS3T">#N/A</definedName>
    <definedName name="CTS5I">#N/A</definedName>
    <definedName name="CTS5T">#N/A</definedName>
    <definedName name="CTSCAPFIN">#N/A</definedName>
    <definedName name="CTSCAPIN">#N/A</definedName>
    <definedName name="CTSIND">#N/A</definedName>
    <definedName name="CTSOLDOM">#N/A</definedName>
    <definedName name="CTSOLDOMR">#N/A</definedName>
    <definedName name="CTSPE">#N/A</definedName>
    <definedName name="CTSPF">#N/A</definedName>
    <definedName name="CTSREV1">#N/A</definedName>
    <definedName name="CTSREV2">#N/A</definedName>
    <definedName name="CTSTERM">#N/A</definedName>
    <definedName name="DONE">#N/A</definedName>
    <definedName name="ECO2F">#N/A</definedName>
    <definedName name="ECO3O">#N/A</definedName>
    <definedName name="ECO3P">#N/A</definedName>
    <definedName name="ECO3T">#N/A</definedName>
    <definedName name="ECO5I">#N/A</definedName>
    <definedName name="ECO5T">#N/A</definedName>
    <definedName name="ECON1">#N/A</definedName>
    <definedName name="ECON3O">#N/A</definedName>
    <definedName name="ECON3P">#N/A</definedName>
    <definedName name="ECON3T">#N/A</definedName>
    <definedName name="ECON4">#N/A</definedName>
    <definedName name="ECON5">#N/A</definedName>
    <definedName name="ECON5I">#N/A</definedName>
    <definedName name="ECON5T">#N/A</definedName>
    <definedName name="ECON6">#N/A</definedName>
    <definedName name="ECONCAPFIN">#N/A</definedName>
    <definedName name="ECONCAPIN">#N/A</definedName>
    <definedName name="ECONFR">#N/A</definedName>
    <definedName name="ECONIND">#N/A</definedName>
    <definedName name="ECONOLDCR">#N/A</definedName>
    <definedName name="ECONOLDOM">#N/A</definedName>
    <definedName name="ECONPE">#N/A</definedName>
    <definedName name="ECONPF">#N/A</definedName>
    <definedName name="ECONR">#N/A</definedName>
    <definedName name="ECONTERM">#N/A</definedName>
    <definedName name="ECOOLDOM">#N/A</definedName>
    <definedName name="ECOOLDOMR">#N/A</definedName>
    <definedName name="EDUC1">#N/A</definedName>
    <definedName name="EDUC2">#N/A</definedName>
    <definedName name="EDUC2F">#N/A</definedName>
    <definedName name="EDUC3O">#N/A</definedName>
    <definedName name="EDUC3P">#N/A</definedName>
    <definedName name="EDUC3T">#N/A</definedName>
    <definedName name="EDUC4">#N/A</definedName>
    <definedName name="EDUC5">#N/A</definedName>
    <definedName name="EDUC5I">#N/A</definedName>
    <definedName name="EDUC5T">#N/A</definedName>
    <definedName name="EDUC6">#N/A</definedName>
    <definedName name="EDUCIND">#N/A</definedName>
    <definedName name="EDUCOLDOM">#N/A</definedName>
    <definedName name="EDUCOLDOMR">#N/A</definedName>
    <definedName name="EDUCPE">#N/A</definedName>
    <definedName name="EDUCPF">#N/A</definedName>
    <definedName name="EDUCTERM">#N/A</definedName>
    <definedName name="ENTIRE">#N/A</definedName>
    <definedName name="EQ1_">#N/A</definedName>
    <definedName name="EQ2_">#N/A</definedName>
    <definedName name="EQPT1">#N/A</definedName>
    <definedName name="EQPT2">#N/A</definedName>
    <definedName name="ff">[2]D!#REF!</definedName>
    <definedName name="FIN2F">#N/A</definedName>
    <definedName name="FIN3O">#N/A</definedName>
    <definedName name="FIN3P">#N/A</definedName>
    <definedName name="FIN3T">#N/A</definedName>
    <definedName name="FIN5I">#N/A</definedName>
    <definedName name="FIN5T">#N/A</definedName>
    <definedName name="FINES1">#N/A</definedName>
    <definedName name="FINES2">#N/A</definedName>
    <definedName name="FINOLDOM">#N/A</definedName>
    <definedName name="FINOLDOMR">#N/A</definedName>
    <definedName name="FINSUMMARY">#N/A</definedName>
    <definedName name="FTN_CALCULATION_AND_PMT_AMOUNTS" localSheetId="4">#REF!</definedName>
    <definedName name="FTN_CALCULATION_AND_PMT_AMOUNTS" localSheetId="5">#REF!</definedName>
    <definedName name="FTN_CALCULATION_AND_PMT_AMOUNTS" localSheetId="6">#REF!</definedName>
    <definedName name="FTN_CALCULATION_AND_PMT_AMOUNTS">#REF!</definedName>
    <definedName name="FTN_SALES_ANALYSIS" localSheetId="4">#REF!</definedName>
    <definedName name="FTN_SALES_ANALYSIS" localSheetId="5">#REF!</definedName>
    <definedName name="FTN_SALES_ANALYSIS" localSheetId="6">#REF!</definedName>
    <definedName name="FTN_SALES_ANALYSIS">#REF!</definedName>
    <definedName name="ftnpaymentamounts" localSheetId="4">#REF!</definedName>
    <definedName name="ftnpaymentamounts" localSheetId="5">#REF!</definedName>
    <definedName name="ftnpaymentamounts" localSheetId="6">#REF!</definedName>
    <definedName name="ftnpaymentamounts">#REF!</definedName>
    <definedName name="FTNSales_for_year" localSheetId="4">#REF!</definedName>
    <definedName name="FTNSales_for_year" localSheetId="5">#REF!</definedName>
    <definedName name="FTNSales_for_year" localSheetId="6">#REF!</definedName>
    <definedName name="FTNSales_for_year">#REF!</definedName>
    <definedName name="GOVT1">#N/A</definedName>
    <definedName name="GOVT2">#N/A</definedName>
    <definedName name="GOVT2F">#N/A</definedName>
    <definedName name="GOVT3O">#N/A</definedName>
    <definedName name="GOVT3P">#N/A</definedName>
    <definedName name="GOVT3T">#N/A</definedName>
    <definedName name="GOVT4">#N/A</definedName>
    <definedName name="GOVT5I">#N/A</definedName>
    <definedName name="GOVT5T">#N/A</definedName>
    <definedName name="GOVT6">#N/A</definedName>
    <definedName name="GOVTIND">#N/A</definedName>
    <definedName name="GOVTOLDOM">#N/A</definedName>
    <definedName name="GOVTOLDOMR">#N/A</definedName>
    <definedName name="GOVTPE">#N/A</definedName>
    <definedName name="GOVTPF">#N/A</definedName>
    <definedName name="GOVTTERM">#N/A</definedName>
    <definedName name="GSCAPFIN">#N/A</definedName>
    <definedName name="GSCAPIN">#N/A</definedName>
    <definedName name="hh">'[3]SUMMARY 2'!#REF!</definedName>
    <definedName name="HHR2F">#N/A</definedName>
    <definedName name="HHR3O">#N/A</definedName>
    <definedName name="HHR3P">#N/A</definedName>
    <definedName name="HHR3T">#N/A</definedName>
    <definedName name="HHR5I">#N/A</definedName>
    <definedName name="HHR5T">#N/A</definedName>
    <definedName name="HHRFR">#N/A</definedName>
    <definedName name="HHRIND">#N/A</definedName>
    <definedName name="HHROLDCR">#N/A</definedName>
    <definedName name="HHROLDOM">#N/A</definedName>
    <definedName name="HHROLDOMR">#N/A</definedName>
    <definedName name="HHRPE">#N/A</definedName>
    <definedName name="HHRPF">#N/A</definedName>
    <definedName name="HHRR">#N/A</definedName>
    <definedName name="HHRTERM">#N/A</definedName>
    <definedName name="INDET">#N/A</definedName>
    <definedName name="INDPY1">#N/A</definedName>
    <definedName name="INDPY2">#N/A</definedName>
    <definedName name="INDTERMPY">#N/A</definedName>
    <definedName name="Insurance" localSheetId="4">#REF!</definedName>
    <definedName name="Insurance" localSheetId="5">#REF!</definedName>
    <definedName name="Insurance" localSheetId="6">#REF!</definedName>
    <definedName name="Insurance">#REF!</definedName>
    <definedName name="INTAX1">#N/A</definedName>
    <definedName name="INTAX2">#N/A</definedName>
    <definedName name="INVEST1">#N/A</definedName>
    <definedName name="INVEST2">#N/A</definedName>
    <definedName name="jj">[2]D!#REF!</definedName>
    <definedName name="JUS2F">#N/A</definedName>
    <definedName name="JUS3O">#N/A</definedName>
    <definedName name="JUS3P">#N/A</definedName>
    <definedName name="JUS3T">#N/A</definedName>
    <definedName name="JUS5I">#N/A</definedName>
    <definedName name="JUS5T">#N/A</definedName>
    <definedName name="JUSOLDOM">#N/A</definedName>
    <definedName name="JUSOLDOMR">#N/A</definedName>
    <definedName name="KAPITALPY">#N/A</definedName>
    <definedName name="kk">[2]D!#REF!</definedName>
    <definedName name="LFRP1">#N/A</definedName>
    <definedName name="LFRP2">#N/A</definedName>
    <definedName name="LIQTAX1">#N/A</definedName>
    <definedName name="LIQTAX2">#N/A</definedName>
    <definedName name="LIQUOR1">#N/A</definedName>
    <definedName name="LIQUOR2">#N/A</definedName>
    <definedName name="LOAN">#N/A</definedName>
    <definedName name="LOANCE1">#N/A</definedName>
    <definedName name="LOANCE2">#N/A</definedName>
    <definedName name="LOANCR1">#N/A</definedName>
    <definedName name="LOANCR2">#N/A</definedName>
    <definedName name="LOANIE1">#N/A</definedName>
    <definedName name="LOANIE2">#N/A</definedName>
    <definedName name="LOANIR1">#N/A</definedName>
    <definedName name="LOANIR2">#N/A</definedName>
    <definedName name="LOANP">#N/A</definedName>
    <definedName name="LOANPE1">#N/A</definedName>
    <definedName name="LOANPE2">#N/A</definedName>
    <definedName name="LOANPR1">#N/A</definedName>
    <definedName name="LOANPR2">#N/A</definedName>
    <definedName name="MACRO">#N/A</definedName>
    <definedName name="MENU">#N/A</definedName>
    <definedName name="MENU2">#N/A</definedName>
    <definedName name="MISC">#N/A</definedName>
    <definedName name="MISC1">#N/A</definedName>
    <definedName name="MISC2">#N/A</definedName>
    <definedName name="no">[2]D!#REF!</definedName>
    <definedName name="Number" localSheetId="4">#REF!</definedName>
    <definedName name="Number" localSheetId="5">#REF!</definedName>
    <definedName name="Number" localSheetId="6">#REF!</definedName>
    <definedName name="Number">#REF!</definedName>
    <definedName name="NvsASD">"V1999-06-30"</definedName>
    <definedName name="NvsAutoDrillOk">"VN"</definedName>
    <definedName name="NvsElapsedTime">0.000781365735747386</definedName>
    <definedName name="NvsEndTime">36349.6769064815</definedName>
    <definedName name="NvsInstSpec">"%"</definedName>
    <definedName name="NvsLayoutType">"M3"</definedName>
    <definedName name="NvsPanelEffdt">"V1997-01-01"</definedName>
    <definedName name="NvsPanelSetid">"VYEC"</definedName>
    <definedName name="NvsReqBU">"VYEC"</definedName>
    <definedName name="NvsReqBUOnly">"VY"</definedName>
    <definedName name="NvsTransLed">"VN"</definedName>
    <definedName name="NvsTreeASD">"V1999-06-30"</definedName>
    <definedName name="OLDC">#N/A</definedName>
    <definedName name="OLDOM">#N/A</definedName>
    <definedName name="OLDOMHSG">#N/A</definedName>
    <definedName name="OLDOMR">#N/A</definedName>
    <definedName name="OLDR">#N/A</definedName>
    <definedName name="OMALLOT">#N/A</definedName>
    <definedName name="OMALLOTMENT">#N/A</definedName>
    <definedName name="OMCOMPPY">#N/A</definedName>
    <definedName name="OMEXP">#N/A</definedName>
    <definedName name="OMEXPEND">#N/A</definedName>
    <definedName name="OMEXPENHSG">#N/A</definedName>
    <definedName name="OMEXPENSE">#N/A</definedName>
    <definedName name="OMINDPY1">#N/A</definedName>
    <definedName name="OMINDPY2">#N/A</definedName>
    <definedName name="OMPERSONS">#N/A</definedName>
    <definedName name="OMPY">#N/A</definedName>
    <definedName name="OMPYBREAK">#N/A</definedName>
    <definedName name="OMREC">#N/A</definedName>
    <definedName name="OMRECOVER">#N/A</definedName>
    <definedName name="OMRECOVERY">#N/A</definedName>
    <definedName name="OMSPENDING">#N/A</definedName>
    <definedName name="OMSPLITPY">#N/A</definedName>
    <definedName name="OMTERMPY">#N/A</definedName>
    <definedName name="OMTERMPY1">#N/A</definedName>
    <definedName name="OMTERMPY2">#N/A</definedName>
    <definedName name="OMTRANSFER">#N/A</definedName>
    <definedName name="OREV">#N/A</definedName>
    <definedName name="Other" localSheetId="4">#REF!</definedName>
    <definedName name="Other" localSheetId="5">#REF!</definedName>
    <definedName name="Other" localSheetId="6">#REF!</definedName>
    <definedName name="Other">#REF!</definedName>
    <definedName name="page2" localSheetId="4">#REF!</definedName>
    <definedName name="page2" localSheetId="5">#REF!</definedName>
    <definedName name="page2" localSheetId="6">#REF!</definedName>
    <definedName name="page2">#REF!</definedName>
    <definedName name="page3" localSheetId="4">#REF!</definedName>
    <definedName name="page3" localSheetId="5">#REF!</definedName>
    <definedName name="page3" localSheetId="6">#REF!</definedName>
    <definedName name="page3">#REF!</definedName>
    <definedName name="PAGE6" localSheetId="4">#REF!</definedName>
    <definedName name="PAGE6" localSheetId="5">#REF!</definedName>
    <definedName name="PAGE6" localSheetId="6">#REF!</definedName>
    <definedName name="PAGE6">#REF!</definedName>
    <definedName name="page6_7" localSheetId="4">[4]BS!$A$1:$F$78,[4]BS!#REF!</definedName>
    <definedName name="page6_7" localSheetId="5">[4]BS!$A$1:$F$78,[4]BS!#REF!</definedName>
    <definedName name="page6_7" localSheetId="6">[4]BS!$A$1:$F$78,[4]BS!#REF!</definedName>
    <definedName name="page6_7">[4]BS!$A$1:$F$78,[4]BS!#REF!</definedName>
    <definedName name="PAGE7" localSheetId="4">#REF!</definedName>
    <definedName name="PAGE7" localSheetId="5">#REF!</definedName>
    <definedName name="PAGE7" localSheetId="6">#REF!</definedName>
    <definedName name="PAGE7">#REF!</definedName>
    <definedName name="PAGE9" localSheetId="4">#REF!</definedName>
    <definedName name="PAGE9" localSheetId="5">#REF!</definedName>
    <definedName name="PAGE9" localSheetId="6">#REF!</definedName>
    <definedName name="PAGE9">#REF!</definedName>
    <definedName name="PERSON">#N/A</definedName>
    <definedName name="PHOT1">#N/A</definedName>
    <definedName name="PHOT2">#N/A</definedName>
    <definedName name="PRINT">#N/A</definedName>
    <definedName name="_xlnm.Print_Area" localSheetId="0">'5.1'!$A$1:$F$65</definedName>
    <definedName name="_xlnm.Print_Area" localSheetId="1">'5.2-1'!$A$1:$F$106</definedName>
    <definedName name="_xlnm.Print_Area" localSheetId="2">'5.2-2'!$A$1:$F$26</definedName>
    <definedName name="_xlnm.Print_Area" localSheetId="3">'5.3 - 2018'!$A$1:$K$159</definedName>
    <definedName name="_xlnm.Print_Area" localSheetId="4">'5.4 - 2019'!$A$1:$K$163</definedName>
    <definedName name="_xlnm.Print_Area" localSheetId="5">'5.5 - 2020'!$A$1:$K$168</definedName>
    <definedName name="_xlnm.Print_Area" localSheetId="6">'5.6 - 2021'!$A$1:$K$165</definedName>
    <definedName name="_xlnm.Print_Area" localSheetId="7">'5.7'!$A$1:$F$41</definedName>
    <definedName name="Print_Area_MI">#REF!</definedName>
    <definedName name="_xlnm.Print_Titles" localSheetId="1">'5.2-1'!$1:$7</definedName>
    <definedName name="_xlnm.Print_Titles" localSheetId="2">'5.2-2'!$1:$7</definedName>
    <definedName name="_xlnm.Print_Titles" localSheetId="3">'5.3 - 2018'!$1:$7</definedName>
    <definedName name="_xlnm.Print_Titles" localSheetId="4">'5.4 - 2019'!$1:$7</definedName>
    <definedName name="_xlnm.Print_Titles" localSheetId="5">'5.5 - 2020'!$1:$7</definedName>
    <definedName name="_xlnm.Print_Titles" localSheetId="6">'5.6 - 2021'!$1:$7</definedName>
    <definedName name="PRINTALLOT">#N/A</definedName>
    <definedName name="PRINTCAPPY1">#N/A</definedName>
    <definedName name="PRINTCAPPY2">#N/A</definedName>
    <definedName name="PRINTFINANCIAL">#N/A</definedName>
    <definedName name="PRINTO_M">#N/A</definedName>
    <definedName name="PRINTO_MPY1">#N/A</definedName>
    <definedName name="PRINTO_MPY2">#N/A</definedName>
    <definedName name="PRINTREVENUE">#N/A</definedName>
    <definedName name="PRINTSUMPY">#N/A</definedName>
    <definedName name="PRINTTOTAL">#N/A</definedName>
    <definedName name="PSC2F">#N/A</definedName>
    <definedName name="PSC3O">#N/A</definedName>
    <definedName name="PSC3P">#N/A</definedName>
    <definedName name="PSC3T">#N/A</definedName>
    <definedName name="PSC5I">#N/A</definedName>
    <definedName name="PSC5T">#N/A</definedName>
    <definedName name="PSCOLDOM">#N/A</definedName>
    <definedName name="PSCOLDOMR">#N/A</definedName>
    <definedName name="PUTT1">#N/A</definedName>
    <definedName name="PUTT2">#N/A</definedName>
    <definedName name="PYTOTALS">#N/A</definedName>
    <definedName name="REV">#N/A</definedName>
    <definedName name="REVENUE">#N/A</definedName>
    <definedName name="REVENUES">#N/A</definedName>
    <definedName name="RiderJForecast" localSheetId="4">#REF!</definedName>
    <definedName name="RiderJForecast" localSheetId="5">#REF!</definedName>
    <definedName name="RiderJForecast" localSheetId="6">#REF!</definedName>
    <definedName name="RiderJForecast">#REF!</definedName>
    <definedName name="RNEW1">#N/A</definedName>
    <definedName name="RNEW2">#N/A</definedName>
    <definedName name="RNEW2F">#N/A</definedName>
    <definedName name="RNEWIND">#N/A</definedName>
    <definedName name="RNEWOLDOM">#N/A</definedName>
    <definedName name="RNEWOLDOMR">#N/A</definedName>
    <definedName name="RNEWPE">#N/A</definedName>
    <definedName name="RNEWPF">#N/A</definedName>
    <definedName name="RNEWTERM">#N/A</definedName>
    <definedName name="RR3O">#N/A</definedName>
    <definedName name="RR3P">#N/A</definedName>
    <definedName name="RR3T">#N/A</definedName>
    <definedName name="RR5I">#N/A</definedName>
    <definedName name="RR5T">#N/A</definedName>
    <definedName name="Salesforecastdollars" localSheetId="4">#REF!</definedName>
    <definedName name="Salesforecastdollars" localSheetId="5">#REF!</definedName>
    <definedName name="Salesforecastdollars" localSheetId="6">#REF!</definedName>
    <definedName name="Salesforecastdollars">#REF!</definedName>
    <definedName name="SalesforecastKWh" localSheetId="4">#REF!</definedName>
    <definedName name="SalesforecastKWh" localSheetId="5">#REF!</definedName>
    <definedName name="SalesforecastKWh" localSheetId="6">#REF!</definedName>
    <definedName name="SalesforecastKWh">#REF!</definedName>
    <definedName name="Sch2OMDetail" localSheetId="4">#REF!</definedName>
    <definedName name="Sch2OMDetail" localSheetId="5">#REF!</definedName>
    <definedName name="Sch2OMDetail" localSheetId="6">#REF!</definedName>
    <definedName name="Sch2OMDetail">#REF!</definedName>
    <definedName name="START">#N/A</definedName>
    <definedName name="SUMMARY">#N/A</definedName>
    <definedName name="TABLE">#N/A</definedName>
    <definedName name="taxes" localSheetId="4">#REF!</definedName>
    <definedName name="taxes" localSheetId="5">#REF!</definedName>
    <definedName name="taxes" localSheetId="6">#REF!</definedName>
    <definedName name="taxes">#REF!</definedName>
    <definedName name="TERM">#N/A</definedName>
    <definedName name="TERPY1">#N/A</definedName>
    <definedName name="TERPY2">#N/A</definedName>
    <definedName name="TEST">#N/A</definedName>
    <definedName name="TOTALS">#N/A</definedName>
    <definedName name="TOUR1">#N/A</definedName>
    <definedName name="TOUR2">#N/A</definedName>
    <definedName name="TOUR2F">#N/A</definedName>
    <definedName name="TOUR3O">#N/A</definedName>
    <definedName name="TOUR3P">#N/A</definedName>
    <definedName name="TOUR3T">#N/A</definedName>
    <definedName name="TOUR4">#N/A</definedName>
    <definedName name="TOUR5">#N/A</definedName>
    <definedName name="TOUR5I">#N/A</definedName>
    <definedName name="TOUR5T">#N/A</definedName>
    <definedName name="TOUR6">#N/A</definedName>
    <definedName name="TOURCAPFIN">#N/A</definedName>
    <definedName name="TOURCAPIN">#N/A</definedName>
    <definedName name="TOURIND">#N/A</definedName>
    <definedName name="TOUROLDOM">#N/A</definedName>
    <definedName name="TOUROLDOMR">#N/A</definedName>
    <definedName name="TOURPE">#N/A</definedName>
    <definedName name="TOURPF">#N/A</definedName>
    <definedName name="TOURTERM">#N/A</definedName>
    <definedName name="TRANSFER">#N/A</definedName>
    <definedName name="TREV">#N/A</definedName>
    <definedName name="ttlannualdiesel" localSheetId="4">#REF!</definedName>
    <definedName name="ttlannualdiesel" localSheetId="5">#REF!</definedName>
    <definedName name="ttlannualdiesel" localSheetId="6">#REF!</definedName>
    <definedName name="ttlannualdiesel">#REF!</definedName>
    <definedName name="ttlannualeso" localSheetId="4">#REF!</definedName>
    <definedName name="ttlannualeso" localSheetId="5">#REF!</definedName>
    <definedName name="ttlannualeso" localSheetId="6">#REF!</definedName>
    <definedName name="ttlannualeso">#REF!</definedName>
    <definedName name="ttlannualsales" localSheetId="4">#REF!</definedName>
    <definedName name="ttlannualsales" localSheetId="5">#REF!</definedName>
    <definedName name="ttlannualsales" localSheetId="6">#REF!</definedName>
    <definedName name="ttlannualsales">#REF!</definedName>
    <definedName name="ttlretailsales9899" localSheetId="4">#REF!</definedName>
    <definedName name="ttlretailsales9899" localSheetId="5">#REF!</definedName>
    <definedName name="ttlretailsales9899" localSheetId="6">#REF!</definedName>
    <definedName name="ttlretailsales9899">#REF!</definedName>
    <definedName name="ttlyecdiesel9899" localSheetId="4">#REF!</definedName>
    <definedName name="ttlyecdiesel9899" localSheetId="5">#REF!</definedName>
    <definedName name="ttlyecdiesel9899" localSheetId="6">#REF!</definedName>
    <definedName name="ttlyecdiesel9899">#REF!</definedName>
    <definedName name="ttlyeceso9899" localSheetId="4">#REF!</definedName>
    <definedName name="ttlyeceso9899" localSheetId="5">#REF!</definedName>
    <definedName name="ttlyeceso9899" localSheetId="6">#REF!</definedName>
    <definedName name="ttlyeceso9899">#REF!</definedName>
    <definedName name="ValueDate" localSheetId="4">#REF!</definedName>
    <definedName name="ValueDate" localSheetId="5">#REF!</definedName>
    <definedName name="ValueDate" localSheetId="6">#REF!</definedName>
    <definedName name="ValueDate">#REF!</definedName>
    <definedName name="WD2F">#N/A</definedName>
    <definedName name="WD3O">#N/A</definedName>
    <definedName name="WD3P">#N/A</definedName>
    <definedName name="WD3T">#N/A</definedName>
    <definedName name="WD5I">#N/A</definedName>
    <definedName name="WD5T">#N/A</definedName>
    <definedName name="WDIR1">#N/A</definedName>
    <definedName name="WDIR2">#N/A</definedName>
    <definedName name="WDIR2F">#N/A</definedName>
    <definedName name="WDIROLDOM">#N/A</definedName>
    <definedName name="WDIROLDOMR">#N/A</definedName>
    <definedName name="WIP" localSheetId="4">#REF!</definedName>
    <definedName name="WIP" localSheetId="5">#REF!</definedName>
    <definedName name="WIP" localSheetId="6">#REF!</definedName>
    <definedName name="WIP">#REF!</definedName>
    <definedName name="YDC1">#N/A</definedName>
    <definedName name="YDC2">#N/A</definedName>
    <definedName name="YDC2F">#N/A</definedName>
    <definedName name="YDC3O">#N/A</definedName>
    <definedName name="YDC3P">#N/A</definedName>
    <definedName name="YDC3T">#N/A</definedName>
    <definedName name="YDC4">#N/A</definedName>
    <definedName name="YDC5">#N/A</definedName>
    <definedName name="YDC5I">#N/A</definedName>
    <definedName name="YDC5T">#N/A</definedName>
    <definedName name="YEC_7__Flex_Note" localSheetId="4">#REF!</definedName>
    <definedName name="YEC_7__Flex_Note" localSheetId="5">#REF!</definedName>
    <definedName name="YEC_7__Flex_Note" localSheetId="6">#REF!</definedName>
    <definedName name="YEC_7__Flex_Note">#REF!</definedName>
    <definedName name="yes">[2]D!#REF!</definedName>
    <definedName name="YHC1">#N/A</definedName>
    <definedName name="YHC2">#N/A</definedName>
    <definedName name="YHC2F">#N/A</definedName>
    <definedName name="YHC3O">#N/A</definedName>
    <definedName name="YHC3P">#N/A</definedName>
    <definedName name="YHC3T">#N/A</definedName>
    <definedName name="YHC4">#N/A</definedName>
    <definedName name="YHC5">#N/A</definedName>
    <definedName name="YHC5I">#N/A</definedName>
    <definedName name="YHC5T">#N/A</definedName>
    <definedName name="YHCC">#REF!</definedName>
    <definedName name="YHCFC">#REF!</definedName>
    <definedName name="YHCFR">[5]RECOVERY!#REF!</definedName>
    <definedName name="YHCOLDC">[5]EXPEND!#REF!</definedName>
    <definedName name="YHCOLDCR">[5]RECOVERY!#REF!</definedName>
    <definedName name="YHCOLDOM">#N/A</definedName>
    <definedName name="YHCOLDOMR">#N/A</definedName>
    <definedName name="YHCR">[5]RECOVERY!#REF!</definedName>
    <definedName name="YLA1">#N/A</definedName>
    <definedName name="YLA2">#N/A</definedName>
    <definedName name="YLA2F">#N/A</definedName>
    <definedName name="YLA3O">#N/A</definedName>
    <definedName name="YLA3P">#N/A</definedName>
    <definedName name="YLA3T">#N/A</definedName>
    <definedName name="YLA4">#N/A</definedName>
    <definedName name="YLA5">#N/A</definedName>
    <definedName name="YLA5I">#N/A</definedName>
    <definedName name="YLA5T">#N/A</definedName>
    <definedName name="YLA6">#N/A</definedName>
    <definedName name="YLAOLDOM">#N/A</definedName>
    <definedName name="YLC1">#N/A</definedName>
    <definedName name="YLC2">#N/A</definedName>
    <definedName name="YLC2F">#N/A</definedName>
    <definedName name="YLC3O">#N/A</definedName>
    <definedName name="YLC3P">#N/A</definedName>
    <definedName name="YLC3T">#N/A</definedName>
    <definedName name="YLC4">#N/A</definedName>
    <definedName name="YLC5">#N/A</definedName>
    <definedName name="YLC5I">#N/A</definedName>
    <definedName name="YLC5T">#N/A</definedName>
    <definedName name="Z_2E51B7C0_6CEE_11D3_AD1A_A5A650036065_.wvu.Cols" localSheetId="4" hidden="1">'[6]Core(see pg 18)'!#REF!</definedName>
    <definedName name="Z_2E51B7C0_6CEE_11D3_AD1A_A5A650036065_.wvu.Cols" localSheetId="5" hidden="1">'[6]Core(see pg 18)'!#REF!</definedName>
    <definedName name="Z_2E51B7C0_6CEE_11D3_AD1A_A5A650036065_.wvu.Cols" localSheetId="6" hidden="1">'[6]Core(see pg 18)'!#REF!</definedName>
    <definedName name="Z_2E51B7C0_6CEE_11D3_AD1A_A5A650036065_.wvu.Cols" hidden="1">'[6]Core(see pg 18)'!#REF!</definedName>
    <definedName name="Z_418DF6FE_13EF_11D2_8C37_00A0C92A9A63_.wvu.PrintArea" localSheetId="4" hidden="1">#REF!</definedName>
    <definedName name="Z_418DF6FE_13EF_11D2_8C37_00A0C92A9A63_.wvu.PrintArea" localSheetId="5" hidden="1">#REF!</definedName>
    <definedName name="Z_418DF6FE_13EF_11D2_8C37_00A0C92A9A63_.wvu.PrintArea" localSheetId="6" hidden="1">#REF!</definedName>
    <definedName name="Z_418DF6FE_13EF_11D2_8C37_00A0C92A9A63_.wvu.PrintArea" hidden="1">#REF!</definedName>
    <definedName name="Z_418DF6FE_13EF_11D2_8C37_00A0C92A9A63_.wvu.PrintTitles" localSheetId="4" hidden="1">#REF!</definedName>
    <definedName name="Z_418DF6FE_13EF_11D2_8C37_00A0C92A9A63_.wvu.PrintTitles" localSheetId="5" hidden="1">#REF!</definedName>
    <definedName name="Z_418DF6FE_13EF_11D2_8C37_00A0C92A9A63_.wvu.PrintTitles" localSheetId="6" hidden="1">#REF!</definedName>
    <definedName name="Z_418DF6FE_13EF_11D2_8C37_00A0C92A9A63_.wvu.PrintTitles" hidden="1">#REF!</definedName>
    <definedName name="Z_418DF6FE_13EF_11D2_8C37_00A0C92A9A63_.wvu.Rows" localSheetId="4" hidden="1">#REF!,#REF!,#REF!,#REF!,#REF!,#REF!,#REF!</definedName>
    <definedName name="Z_418DF6FE_13EF_11D2_8C37_00A0C92A9A63_.wvu.Rows" localSheetId="5" hidden="1">#REF!,#REF!,#REF!,#REF!,#REF!,#REF!,#REF!</definedName>
    <definedName name="Z_418DF6FE_13EF_11D2_8C37_00A0C92A9A63_.wvu.Rows" localSheetId="6" hidden="1">#REF!,#REF!,#REF!,#REF!,#REF!,#REF!,#REF!</definedName>
    <definedName name="Z_418DF6FE_13EF_11D2_8C37_00A0C92A9A63_.wvu.Rows" hidden="1">#REF!,#REF!,#REF!,#REF!,#REF!,#REF!,#REF!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8" l="1"/>
  <c r="F22" i="28" l="1"/>
  <c r="E22" i="28"/>
  <c r="D22" i="28"/>
  <c r="C22" i="28"/>
  <c r="C36" i="28" s="1"/>
  <c r="E15" i="28"/>
  <c r="D15" i="28"/>
  <c r="C15" i="28"/>
  <c r="B15" i="28"/>
  <c r="F28" i="17"/>
  <c r="E28" i="17"/>
  <c r="D28" i="17"/>
  <c r="C19" i="28" l="1"/>
  <c r="F36" i="28"/>
  <c r="F15" i="28"/>
  <c r="D36" i="28"/>
  <c r="C35" i="28"/>
  <c r="C38" i="28" s="1"/>
  <c r="D35" i="28" s="1"/>
  <c r="C32" i="28"/>
  <c r="C25" i="28"/>
  <c r="D21" i="28" s="1"/>
  <c r="D25" i="28" s="1"/>
  <c r="E21" i="28" s="1"/>
  <c r="C17" i="23"/>
  <c r="C28" i="17" s="1"/>
  <c r="D38" i="28" l="1"/>
  <c r="D8" i="28"/>
  <c r="D19" i="28" s="1"/>
  <c r="D28" i="28"/>
  <c r="D32" i="28" s="1"/>
  <c r="E8" i="28" l="1"/>
  <c r="E19" i="28" s="1"/>
  <c r="E28" i="28"/>
  <c r="E35" i="28"/>
  <c r="E32" i="28" l="1"/>
  <c r="F28" i="28" s="1"/>
  <c r="F32" i="28" s="1"/>
  <c r="F8" i="28"/>
  <c r="F19" i="28" s="1"/>
  <c r="E36" i="28" l="1"/>
  <c r="E38" i="28" s="1"/>
  <c r="E25" i="28"/>
  <c r="F21" i="28" s="1"/>
  <c r="F25" i="28" s="1"/>
  <c r="F35" i="28" l="1"/>
  <c r="F38" i="28" s="1"/>
  <c r="F20" i="23" l="1"/>
  <c r="E20" i="23"/>
  <c r="D20" i="23"/>
  <c r="C20" i="23"/>
  <c r="F97" i="18"/>
  <c r="E97" i="18"/>
  <c r="D97" i="18"/>
  <c r="C97" i="18"/>
  <c r="F92" i="18"/>
  <c r="E92" i="18"/>
  <c r="D92" i="18"/>
  <c r="C92" i="18"/>
  <c r="F79" i="18" l="1"/>
  <c r="E79" i="18"/>
  <c r="D79" i="18"/>
  <c r="C79" i="18"/>
  <c r="F85" i="18"/>
  <c r="D85" i="18"/>
  <c r="C85" i="18"/>
  <c r="C43" i="18"/>
  <c r="D7" i="23"/>
  <c r="E7" i="23" s="1"/>
  <c r="F7" i="23" s="1"/>
  <c r="F2" i="23"/>
  <c r="F30" i="18"/>
  <c r="F12" i="17" s="1"/>
  <c r="E30" i="18"/>
  <c r="E12" i="17" s="1"/>
  <c r="D30" i="18"/>
  <c r="D12" i="17" s="1"/>
  <c r="C30" i="18" l="1"/>
  <c r="E85" i="18"/>
  <c r="C12" i="17" l="1"/>
  <c r="C56" i="18"/>
  <c r="D65" i="18"/>
  <c r="E65" i="18"/>
  <c r="F65" i="18"/>
  <c r="C65" i="18"/>
  <c r="D56" i="18"/>
  <c r="E56" i="18"/>
  <c r="F56" i="18"/>
  <c r="C99" i="18" l="1"/>
  <c r="D121" i="22"/>
  <c r="C108" i="22" s="1"/>
  <c r="I73" i="22" l="1"/>
  <c r="K73" i="22" s="1"/>
  <c r="I74" i="22"/>
  <c r="K74" i="22" s="1"/>
  <c r="I71" i="22"/>
  <c r="K71" i="22" s="1"/>
  <c r="I54" i="22"/>
  <c r="K54" i="22" s="1"/>
  <c r="I18" i="22"/>
  <c r="K18" i="22" s="1"/>
  <c r="D94" i="22"/>
  <c r="E94" i="22" s="1"/>
  <c r="D93" i="22"/>
  <c r="E93" i="22" s="1"/>
  <c r="D82" i="22"/>
  <c r="E82" i="22" s="1"/>
  <c r="E87" i="22"/>
  <c r="E84" i="22"/>
  <c r="I6" i="22"/>
  <c r="K145" i="22"/>
  <c r="I145" i="22"/>
  <c r="H145" i="22"/>
  <c r="G145" i="22"/>
  <c r="G147" i="22" s="1"/>
  <c r="C145" i="22"/>
  <c r="E142" i="22"/>
  <c r="E141" i="22"/>
  <c r="E140" i="22"/>
  <c r="D137" i="22"/>
  <c r="E135" i="22"/>
  <c r="E134" i="22"/>
  <c r="E133" i="22"/>
  <c r="C125" i="22"/>
  <c r="E123" i="22"/>
  <c r="E109" i="22"/>
  <c r="E105" i="22"/>
  <c r="E102" i="22"/>
  <c r="I116" i="22"/>
  <c r="I115" i="22"/>
  <c r="I114" i="22"/>
  <c r="I113" i="22"/>
  <c r="I112" i="22"/>
  <c r="I111" i="22"/>
  <c r="I110" i="22"/>
  <c r="K110" i="22" s="1"/>
  <c r="I109" i="22"/>
  <c r="K109" i="22" s="1"/>
  <c r="I108" i="22"/>
  <c r="I105" i="22"/>
  <c r="K105" i="22" s="1"/>
  <c r="I104" i="22"/>
  <c r="I103" i="22"/>
  <c r="I102" i="22"/>
  <c r="K102" i="22" s="1"/>
  <c r="C96" i="22"/>
  <c r="D78" i="22"/>
  <c r="X67" i="22"/>
  <c r="X33" i="22"/>
  <c r="X22" i="22"/>
  <c r="X20" i="22"/>
  <c r="K2" i="22"/>
  <c r="C149" i="21"/>
  <c r="C74" i="22" l="1"/>
  <c r="E74" i="22" s="1"/>
  <c r="F2" i="28"/>
  <c r="C18" i="22"/>
  <c r="E18" i="22" s="1"/>
  <c r="C73" i="22"/>
  <c r="E73" i="22" s="1"/>
  <c r="E103" i="22"/>
  <c r="E104" i="22"/>
  <c r="I133" i="22"/>
  <c r="K133" i="22" s="1"/>
  <c r="E112" i="22"/>
  <c r="E114" i="22"/>
  <c r="E115" i="22"/>
  <c r="E111" i="22"/>
  <c r="E113" i="22"/>
  <c r="K108" i="22"/>
  <c r="K135" i="22"/>
  <c r="D118" i="22"/>
  <c r="D145" i="22"/>
  <c r="D147" i="22" s="1"/>
  <c r="C137" i="22"/>
  <c r="E116" i="22"/>
  <c r="E152" i="22"/>
  <c r="K104" i="22"/>
  <c r="K111" i="22"/>
  <c r="K113" i="22"/>
  <c r="K115" i="22"/>
  <c r="H137" i="22"/>
  <c r="H147" i="22" s="1"/>
  <c r="K134" i="22"/>
  <c r="B145" i="22"/>
  <c r="E143" i="22"/>
  <c r="E145" i="22" s="1"/>
  <c r="B118" i="22"/>
  <c r="K116" i="22"/>
  <c r="B137" i="22"/>
  <c r="D153" i="22"/>
  <c r="E151" i="22"/>
  <c r="K103" i="22"/>
  <c r="K106" i="22"/>
  <c r="K112" i="22"/>
  <c r="E110" i="22"/>
  <c r="B125" i="22"/>
  <c r="E107" i="22"/>
  <c r="I107" i="22"/>
  <c r="K107" i="22" s="1"/>
  <c r="K114" i="22"/>
  <c r="E121" i="22"/>
  <c r="E122" i="22"/>
  <c r="I132" i="22"/>
  <c r="I151" i="22"/>
  <c r="E106" i="22"/>
  <c r="E108" i="22"/>
  <c r="H118" i="22"/>
  <c r="H127" i="22" s="1"/>
  <c r="I110" i="21"/>
  <c r="K110" i="21" s="1"/>
  <c r="I109" i="21"/>
  <c r="K109" i="21" s="1"/>
  <c r="I105" i="21"/>
  <c r="K105" i="21" s="1"/>
  <c r="I102" i="21"/>
  <c r="K102" i="21" s="1"/>
  <c r="D123" i="21"/>
  <c r="E123" i="21" s="1"/>
  <c r="E122" i="21"/>
  <c r="I74" i="21"/>
  <c r="K74" i="21" s="1"/>
  <c r="H72" i="22" s="1"/>
  <c r="I68" i="21"/>
  <c r="K68" i="21" s="1"/>
  <c r="H65" i="22" s="1"/>
  <c r="I65" i="21"/>
  <c r="I64" i="21"/>
  <c r="I61" i="21"/>
  <c r="K61" i="21" s="1"/>
  <c r="H59" i="22" s="1"/>
  <c r="I57" i="21"/>
  <c r="K57" i="21" s="1"/>
  <c r="H55" i="22" s="1"/>
  <c r="I55" i="21"/>
  <c r="K55" i="21" s="1"/>
  <c r="H52" i="22" s="1"/>
  <c r="I53" i="21"/>
  <c r="K53" i="21" s="1"/>
  <c r="H50" i="22" s="1"/>
  <c r="I41" i="21"/>
  <c r="K41" i="21" s="1"/>
  <c r="H39" i="22" s="1"/>
  <c r="I18" i="21"/>
  <c r="K18" i="21" s="1"/>
  <c r="H19" i="22" s="1"/>
  <c r="J65" i="21"/>
  <c r="J64" i="21"/>
  <c r="I10" i="21"/>
  <c r="K10" i="21" s="1"/>
  <c r="H10" i="22" s="1"/>
  <c r="D78" i="21"/>
  <c r="D91" i="21"/>
  <c r="E91" i="21" s="1"/>
  <c r="D94" i="21"/>
  <c r="E94" i="21" s="1"/>
  <c r="B92" i="22" s="1"/>
  <c r="E92" i="22" s="1"/>
  <c r="D90" i="21"/>
  <c r="E90" i="21" s="1"/>
  <c r="B90" i="22" s="1"/>
  <c r="D90" i="22" s="1"/>
  <c r="C61" i="22" s="1"/>
  <c r="D81" i="21"/>
  <c r="E81" i="21" s="1"/>
  <c r="B81" i="22" s="1"/>
  <c r="E81" i="22" s="1"/>
  <c r="D87" i="21"/>
  <c r="E87" i="21" s="1"/>
  <c r="B88" i="22" s="1"/>
  <c r="D88" i="22" s="1"/>
  <c r="C54" i="22" s="1"/>
  <c r="E54" i="22" s="1"/>
  <c r="D84" i="21"/>
  <c r="C41" i="21" s="1"/>
  <c r="E41" i="21" s="1"/>
  <c r="B39" i="22" s="1"/>
  <c r="I39" i="22" s="1"/>
  <c r="D82" i="21"/>
  <c r="E82" i="21" s="1"/>
  <c r="B83" i="22" s="1"/>
  <c r="D83" i="22" s="1"/>
  <c r="C19" i="22" s="1"/>
  <c r="D88" i="21"/>
  <c r="C61" i="21" s="1"/>
  <c r="E61" i="21" s="1"/>
  <c r="B59" i="22" s="1"/>
  <c r="I59" i="22" s="1"/>
  <c r="D92" i="21"/>
  <c r="C68" i="21" s="1"/>
  <c r="E68" i="21" s="1"/>
  <c r="B65" i="22" s="1"/>
  <c r="I65" i="22" s="1"/>
  <c r="D86" i="21"/>
  <c r="C55" i="21" s="1"/>
  <c r="E55" i="21" s="1"/>
  <c r="B52" i="22" s="1"/>
  <c r="I52" i="22" s="1"/>
  <c r="D85" i="21"/>
  <c r="C53" i="21" s="1"/>
  <c r="E53" i="21" s="1"/>
  <c r="B50" i="22" s="1"/>
  <c r="E50" i="22" s="1"/>
  <c r="K59" i="22" l="1"/>
  <c r="K52" i="22"/>
  <c r="K39" i="22"/>
  <c r="E39" i="22"/>
  <c r="K65" i="22"/>
  <c r="E90" i="22"/>
  <c r="I50" i="22"/>
  <c r="K50" i="22" s="1"/>
  <c r="E59" i="22"/>
  <c r="E83" i="22"/>
  <c r="E65" i="22"/>
  <c r="E88" i="22"/>
  <c r="C105" i="21"/>
  <c r="E105" i="21" s="1"/>
  <c r="E52" i="22"/>
  <c r="E153" i="22"/>
  <c r="C147" i="22"/>
  <c r="E132" i="22"/>
  <c r="E137" i="22" s="1"/>
  <c r="B127" i="22"/>
  <c r="K118" i="22"/>
  <c r="K127" i="22" s="1"/>
  <c r="B147" i="22"/>
  <c r="C118" i="22"/>
  <c r="C153" i="22"/>
  <c r="D125" i="22"/>
  <c r="D127" i="22" s="1"/>
  <c r="I137" i="22"/>
  <c r="K132" i="22"/>
  <c r="K137" i="22" s="1"/>
  <c r="K147" i="22" s="1"/>
  <c r="E125" i="22"/>
  <c r="I118" i="22"/>
  <c r="K151" i="22"/>
  <c r="K153" i="22" s="1"/>
  <c r="I153" i="22"/>
  <c r="K65" i="21"/>
  <c r="H62" i="22" s="1"/>
  <c r="J78" i="21"/>
  <c r="K64" i="21"/>
  <c r="H61" i="22" s="1"/>
  <c r="C57" i="21"/>
  <c r="E57" i="21" s="1"/>
  <c r="B55" i="22" s="1"/>
  <c r="C18" i="21"/>
  <c r="E18" i="21" s="1"/>
  <c r="C74" i="21"/>
  <c r="E74" i="21" s="1"/>
  <c r="C65" i="21"/>
  <c r="E65" i="21" s="1"/>
  <c r="C10" i="21"/>
  <c r="C64" i="21"/>
  <c r="E64" i="21" s="1"/>
  <c r="B19" i="22" l="1"/>
  <c r="B62" i="22"/>
  <c r="I55" i="22"/>
  <c r="K55" i="22" s="1"/>
  <c r="E55" i="22"/>
  <c r="B61" i="22"/>
  <c r="B72" i="22"/>
  <c r="E118" i="22"/>
  <c r="E147" i="22"/>
  <c r="C127" i="22"/>
  <c r="I127" i="22"/>
  <c r="I147" i="22"/>
  <c r="C78" i="21"/>
  <c r="E10" i="21"/>
  <c r="I61" i="22" l="1"/>
  <c r="E61" i="22"/>
  <c r="I19" i="22"/>
  <c r="K19" i="22" s="1"/>
  <c r="E19" i="22"/>
  <c r="B10" i="22"/>
  <c r="I72" i="22"/>
  <c r="K72" i="22" s="1"/>
  <c r="E72" i="22"/>
  <c r="E62" i="22"/>
  <c r="I62" i="22"/>
  <c r="E127" i="22"/>
  <c r="K61" i="22" l="1"/>
  <c r="K62" i="22"/>
  <c r="I10" i="22"/>
  <c r="E10" i="22"/>
  <c r="J144" i="20"/>
  <c r="J133" i="9"/>
  <c r="J142" i="9" s="1"/>
  <c r="J148" i="9"/>
  <c r="J111" i="9"/>
  <c r="J124" i="9" s="1"/>
  <c r="J72" i="20"/>
  <c r="J94" i="20" s="1"/>
  <c r="J73" i="9"/>
  <c r="J95" i="9" s="1"/>
  <c r="K10" i="22" l="1"/>
  <c r="J151" i="9"/>
  <c r="K71" i="9"/>
  <c r="H70" i="20" s="1"/>
  <c r="K70" i="9"/>
  <c r="H69" i="20" s="1"/>
  <c r="K69" i="9"/>
  <c r="H68" i="20" s="1"/>
  <c r="K68" i="9"/>
  <c r="H67" i="20" s="1"/>
  <c r="K67" i="9"/>
  <c r="H66" i="20" s="1"/>
  <c r="K66" i="9"/>
  <c r="H64" i="20" s="1"/>
  <c r="K65" i="9"/>
  <c r="H63" i="20" s="1"/>
  <c r="K64" i="9"/>
  <c r="H62" i="20" s="1"/>
  <c r="K63" i="9"/>
  <c r="H61" i="20" s="1"/>
  <c r="K62" i="9"/>
  <c r="H60" i="20" s="1"/>
  <c r="K61" i="9"/>
  <c r="H59" i="20" s="1"/>
  <c r="K60" i="9"/>
  <c r="H58" i="20" s="1"/>
  <c r="K59" i="9"/>
  <c r="H57" i="20" s="1"/>
  <c r="K58" i="9"/>
  <c r="H56" i="20" s="1"/>
  <c r="K57" i="9"/>
  <c r="H55" i="20" s="1"/>
  <c r="K56" i="9"/>
  <c r="K55" i="9"/>
  <c r="H54" i="20" s="1"/>
  <c r="K54" i="9"/>
  <c r="H53" i="20" s="1"/>
  <c r="K53" i="9"/>
  <c r="H52" i="20" s="1"/>
  <c r="K52" i="9"/>
  <c r="H50" i="20" s="1"/>
  <c r="K51" i="9"/>
  <c r="H49" i="20" s="1"/>
  <c r="K50" i="9"/>
  <c r="H48" i="20" s="1"/>
  <c r="K49" i="9"/>
  <c r="H47" i="20" s="1"/>
  <c r="K48" i="9"/>
  <c r="H46" i="20" s="1"/>
  <c r="K47" i="9"/>
  <c r="H45" i="20" s="1"/>
  <c r="K46" i="9"/>
  <c r="H44" i="20" s="1"/>
  <c r="K45" i="9"/>
  <c r="H43" i="20" s="1"/>
  <c r="K44" i="9"/>
  <c r="H42" i="20" s="1"/>
  <c r="K43" i="9"/>
  <c r="H41" i="20" s="1"/>
  <c r="K42" i="9"/>
  <c r="H40" i="20" s="1"/>
  <c r="K41" i="9"/>
  <c r="H39" i="20" s="1"/>
  <c r="K40" i="9"/>
  <c r="K39" i="9"/>
  <c r="H38" i="20" s="1"/>
  <c r="K38" i="9"/>
  <c r="H37" i="20" s="1"/>
  <c r="K37" i="9"/>
  <c r="H36" i="20" s="1"/>
  <c r="K36" i="9"/>
  <c r="K35" i="9"/>
  <c r="H35" i="20" s="1"/>
  <c r="K34" i="9"/>
  <c r="H34" i="20" s="1"/>
  <c r="K33" i="9"/>
  <c r="H33" i="20" s="1"/>
  <c r="K32" i="9"/>
  <c r="K31" i="9"/>
  <c r="H32" i="20" s="1"/>
  <c r="K30" i="9"/>
  <c r="H30" i="20" s="1"/>
  <c r="K29" i="9"/>
  <c r="H29" i="20" s="1"/>
  <c r="K28" i="9"/>
  <c r="K27" i="9"/>
  <c r="H27" i="20" s="1"/>
  <c r="K26" i="9"/>
  <c r="H26" i="20" s="1"/>
  <c r="K25" i="9"/>
  <c r="H25" i="20" s="1"/>
  <c r="K24" i="9"/>
  <c r="H23" i="20" s="1"/>
  <c r="K23" i="9"/>
  <c r="H22" i="20" s="1"/>
  <c r="K22" i="9"/>
  <c r="H21" i="20" s="1"/>
  <c r="K21" i="9"/>
  <c r="H20" i="20" s="1"/>
  <c r="K20" i="9"/>
  <c r="H19" i="20" s="1"/>
  <c r="K19" i="9"/>
  <c r="H18" i="20" s="1"/>
  <c r="K18" i="9"/>
  <c r="H17" i="20" s="1"/>
  <c r="K17" i="9"/>
  <c r="H16" i="20" s="1"/>
  <c r="K16" i="9"/>
  <c r="H15" i="20" s="1"/>
  <c r="K15" i="9"/>
  <c r="H14" i="20" s="1"/>
  <c r="K14" i="9"/>
  <c r="H13" i="20" s="1"/>
  <c r="K13" i="9"/>
  <c r="H12" i="20" s="1"/>
  <c r="K12" i="9"/>
  <c r="H11" i="20" s="1"/>
  <c r="K11" i="9"/>
  <c r="K10" i="9"/>
  <c r="K109" i="9"/>
  <c r="K108" i="9"/>
  <c r="K107" i="9"/>
  <c r="K106" i="9"/>
  <c r="K105" i="9"/>
  <c r="K104" i="9"/>
  <c r="K103" i="9"/>
  <c r="K102" i="9"/>
  <c r="K101" i="9"/>
  <c r="K100" i="9"/>
  <c r="K99" i="9"/>
  <c r="K131" i="9"/>
  <c r="K130" i="9"/>
  <c r="K129" i="9"/>
  <c r="H129" i="20" s="1"/>
  <c r="J111" i="20" l="1"/>
  <c r="J124" i="20" s="1"/>
  <c r="J152" i="20" l="1"/>
  <c r="J135" i="20"/>
  <c r="J146" i="20" s="1"/>
  <c r="K65" i="20"/>
  <c r="H71" i="21" s="1"/>
  <c r="K51" i="20"/>
  <c r="H52" i="21" s="1"/>
  <c r="K31" i="20"/>
  <c r="H32" i="21" s="1"/>
  <c r="K28" i="20"/>
  <c r="H29" i="21" s="1"/>
  <c r="K24" i="20"/>
  <c r="H25" i="21" s="1"/>
  <c r="K102" i="20"/>
  <c r="K144" i="20"/>
  <c r="K130" i="20"/>
  <c r="K131" i="20"/>
  <c r="J155" i="20" l="1"/>
  <c r="D138" i="20"/>
  <c r="E138" i="20" s="1"/>
  <c r="I144" i="20"/>
  <c r="H144" i="20"/>
  <c r="G144" i="20"/>
  <c r="C144" i="20"/>
  <c r="B144" i="21" l="1"/>
  <c r="E144" i="21" s="1"/>
  <c r="E118" i="20"/>
  <c r="B125" i="21" s="1"/>
  <c r="C117" i="20"/>
  <c r="E117" i="20" s="1"/>
  <c r="B124" i="21" s="1"/>
  <c r="D125" i="21" l="1"/>
  <c r="C110" i="21" s="1"/>
  <c r="E110" i="21" s="1"/>
  <c r="E125" i="21"/>
  <c r="D124" i="21"/>
  <c r="C109" i="21" s="1"/>
  <c r="E109" i="21" s="1"/>
  <c r="E124" i="21"/>
  <c r="C24" i="20"/>
  <c r="E24" i="20" s="1"/>
  <c r="B25" i="21" s="1"/>
  <c r="I25" i="21" s="1"/>
  <c r="K25" i="21" s="1"/>
  <c r="H25" i="22" s="1"/>
  <c r="E51" i="20"/>
  <c r="B52" i="21" s="1"/>
  <c r="I52" i="21" s="1"/>
  <c r="K52" i="21" s="1"/>
  <c r="H49" i="22" s="1"/>
  <c r="E49" i="17" l="1"/>
  <c r="F49" i="17" l="1"/>
  <c r="F2" i="18" l="1"/>
  <c r="F21" i="17"/>
  <c r="F20" i="17"/>
  <c r="F16" i="17"/>
  <c r="F15" i="17"/>
  <c r="F43" i="18" l="1"/>
  <c r="F99" i="18" s="1"/>
  <c r="F18" i="17"/>
  <c r="F19" i="17"/>
  <c r="C60" i="17"/>
  <c r="F17" i="17" l="1"/>
  <c r="E43" i="18" l="1"/>
  <c r="E99" i="18" s="1"/>
  <c r="D21" i="17"/>
  <c r="D27" i="17" s="1"/>
  <c r="C21" i="17"/>
  <c r="C27" i="17" s="1"/>
  <c r="D20" i="17"/>
  <c r="D26" i="17" s="1"/>
  <c r="C20" i="17"/>
  <c r="C26" i="17" s="1"/>
  <c r="D43" i="18" l="1"/>
  <c r="D99" i="18" s="1"/>
  <c r="F26" i="17"/>
  <c r="E20" i="17"/>
  <c r="E26" i="17" s="1"/>
  <c r="F27" i="17"/>
  <c r="E21" i="17"/>
  <c r="E27" i="17" s="1"/>
  <c r="E7" i="18"/>
  <c r="F7" i="18" s="1"/>
  <c r="E30" i="17" l="1"/>
  <c r="E89" i="21" l="1"/>
  <c r="B89" i="22" s="1"/>
  <c r="E89" i="22" s="1"/>
  <c r="E84" i="21"/>
  <c r="B86" i="22" s="1"/>
  <c r="E86" i="22" s="1"/>
  <c r="E85" i="21"/>
  <c r="K149" i="21"/>
  <c r="I149" i="21"/>
  <c r="H149" i="21"/>
  <c r="G149" i="21"/>
  <c r="G151" i="21" s="1"/>
  <c r="D141" i="21"/>
  <c r="D118" i="21"/>
  <c r="X70" i="21"/>
  <c r="X33" i="21"/>
  <c r="X22" i="21"/>
  <c r="X20" i="21"/>
  <c r="K2" i="21"/>
  <c r="H137" i="21"/>
  <c r="D141" i="20"/>
  <c r="C130" i="20" s="1"/>
  <c r="E141" i="20" l="1"/>
  <c r="B147" i="21" s="1"/>
  <c r="D147" i="21" s="1"/>
  <c r="D149" i="21" s="1"/>
  <c r="H136" i="21"/>
  <c r="C96" i="21"/>
  <c r="C129" i="21"/>
  <c r="E130" i="20"/>
  <c r="B136" i="21" s="1"/>
  <c r="I136" i="21" s="1"/>
  <c r="K136" i="21" l="1"/>
  <c r="E147" i="21"/>
  <c r="C136" i="21"/>
  <c r="E136" i="21" s="1"/>
  <c r="H108" i="21" l="1"/>
  <c r="E85" i="20" l="1"/>
  <c r="E82" i="20"/>
  <c r="E92" i="21" s="1"/>
  <c r="B7" i="20" l="1"/>
  <c r="D152" i="20"/>
  <c r="C152" i="20"/>
  <c r="G146" i="20"/>
  <c r="D135" i="20"/>
  <c r="G94" i="20"/>
  <c r="D72" i="20"/>
  <c r="X63" i="20"/>
  <c r="X34" i="20"/>
  <c r="X22" i="20"/>
  <c r="X20" i="20"/>
  <c r="K2" i="20"/>
  <c r="H7" i="20" l="1"/>
  <c r="B7" i="21"/>
  <c r="B7" i="22" s="1"/>
  <c r="E7" i="20"/>
  <c r="K7" i="20" s="1"/>
  <c r="D111" i="20"/>
  <c r="I135" i="20"/>
  <c r="C122" i="20"/>
  <c r="C92" i="20"/>
  <c r="H7" i="22" l="1"/>
  <c r="E7" i="22"/>
  <c r="K7" i="22" s="1"/>
  <c r="I146" i="20"/>
  <c r="H7" i="21"/>
  <c r="E7" i="21"/>
  <c r="K7" i="21" s="1"/>
  <c r="E105" i="9" l="1"/>
  <c r="B105" i="20" s="1"/>
  <c r="E102" i="9"/>
  <c r="B101" i="20" s="1"/>
  <c r="E101" i="20" l="1"/>
  <c r="I101" i="20"/>
  <c r="I105" i="20"/>
  <c r="E105" i="20"/>
  <c r="H101" i="20"/>
  <c r="K101" i="20" l="1"/>
  <c r="H107" i="21" s="1"/>
  <c r="H105" i="20"/>
  <c r="K105" i="20" s="1"/>
  <c r="B107" i="21"/>
  <c r="B113" i="21"/>
  <c r="H106" i="20"/>
  <c r="H107" i="20"/>
  <c r="H113" i="21" l="1"/>
  <c r="I107" i="21"/>
  <c r="K107" i="21" s="1"/>
  <c r="E107" i="21"/>
  <c r="I113" i="21"/>
  <c r="E113" i="21"/>
  <c r="K113" i="21" l="1"/>
  <c r="E46" i="9" l="1"/>
  <c r="B44" i="20" s="1"/>
  <c r="E63" i="9"/>
  <c r="B61" i="20" s="1"/>
  <c r="E41" i="9"/>
  <c r="B39" i="20" s="1"/>
  <c r="E13" i="9"/>
  <c r="B12" i="20" s="1"/>
  <c r="E62" i="9"/>
  <c r="B60" i="20" s="1"/>
  <c r="I44" i="20" l="1"/>
  <c r="K44" i="20" s="1"/>
  <c r="H45" i="21" s="1"/>
  <c r="E44" i="20"/>
  <c r="I60" i="20"/>
  <c r="K60" i="20" s="1"/>
  <c r="H63" i="21" s="1"/>
  <c r="E60" i="20"/>
  <c r="I12" i="20"/>
  <c r="K12" i="20" s="1"/>
  <c r="H13" i="21" s="1"/>
  <c r="E12" i="20"/>
  <c r="E39" i="20"/>
  <c r="I39" i="20"/>
  <c r="K39" i="20" s="1"/>
  <c r="H40" i="21" s="1"/>
  <c r="I61" i="20"/>
  <c r="K61" i="20" s="1"/>
  <c r="H66" i="21" s="1"/>
  <c r="E61" i="20"/>
  <c r="B73" i="9"/>
  <c r="B40" i="21" l="1"/>
  <c r="I40" i="21" s="1"/>
  <c r="K40" i="21" s="1"/>
  <c r="H38" i="22" s="1"/>
  <c r="B13" i="21"/>
  <c r="I13" i="21" s="1"/>
  <c r="K13" i="21" s="1"/>
  <c r="B63" i="21"/>
  <c r="I63" i="21" s="1"/>
  <c r="K63" i="21" s="1"/>
  <c r="H60" i="22" s="1"/>
  <c r="B66" i="21"/>
  <c r="I66" i="21" s="1"/>
  <c r="K66" i="21" s="1"/>
  <c r="H63" i="22" s="1"/>
  <c r="B45" i="21"/>
  <c r="I45" i="21" s="1"/>
  <c r="K45" i="21"/>
  <c r="H43" i="22" s="1"/>
  <c r="D120" i="9"/>
  <c r="C107" i="9" s="1"/>
  <c r="E117" i="9"/>
  <c r="B116" i="20" s="1"/>
  <c r="D116" i="20" s="1"/>
  <c r="C102" i="20" s="1"/>
  <c r="E102" i="20" s="1"/>
  <c r="D115" i="9"/>
  <c r="D116" i="9"/>
  <c r="E82" i="9"/>
  <c r="B80" i="20" s="1"/>
  <c r="E79" i="9"/>
  <c r="B77" i="20" s="1"/>
  <c r="E90" i="9"/>
  <c r="B89" i="20" s="1"/>
  <c r="E89" i="9"/>
  <c r="B88" i="20" s="1"/>
  <c r="E88" i="20" s="1"/>
  <c r="E91" i="9"/>
  <c r="B90" i="20" s="1"/>
  <c r="E90" i="20" s="1"/>
  <c r="E78" i="9"/>
  <c r="B76" i="20" s="1"/>
  <c r="E81" i="9"/>
  <c r="B79" i="20" s="1"/>
  <c r="E79" i="20" s="1"/>
  <c r="E83" i="21" s="1"/>
  <c r="B85" i="22" s="1"/>
  <c r="E76" i="9"/>
  <c r="B75" i="20" s="1"/>
  <c r="E13" i="21" l="1"/>
  <c r="B13" i="22" s="1"/>
  <c r="I13" i="22" s="1"/>
  <c r="H13" i="22"/>
  <c r="E63" i="21"/>
  <c r="E85" i="22"/>
  <c r="D89" i="20"/>
  <c r="D77" i="20"/>
  <c r="B108" i="21"/>
  <c r="I108" i="21" s="1"/>
  <c r="K108" i="21" s="1"/>
  <c r="D76" i="20"/>
  <c r="C28" i="20" s="1"/>
  <c r="E75" i="20"/>
  <c r="E116" i="20"/>
  <c r="C101" i="9"/>
  <c r="E120" i="9"/>
  <c r="E107" i="9"/>
  <c r="E115" i="9"/>
  <c r="E114" i="20" s="1"/>
  <c r="B121" i="21" s="1"/>
  <c r="D121" i="21" s="1"/>
  <c r="C102" i="21" s="1"/>
  <c r="D114" i="9"/>
  <c r="E114" i="9" s="1"/>
  <c r="D119" i="9"/>
  <c r="E116" i="9"/>
  <c r="B115" i="20" s="1"/>
  <c r="D77" i="9"/>
  <c r="C27" i="9" s="1"/>
  <c r="D86" i="9"/>
  <c r="C55" i="9" s="1"/>
  <c r="E88" i="9"/>
  <c r="B87" i="20" s="1"/>
  <c r="E87" i="20" s="1"/>
  <c r="E13" i="22" l="1"/>
  <c r="K13" i="22"/>
  <c r="B60" i="22"/>
  <c r="E77" i="20"/>
  <c r="C31" i="20"/>
  <c r="E31" i="20" s="1"/>
  <c r="E89" i="20"/>
  <c r="C65" i="20"/>
  <c r="E65" i="20" s="1"/>
  <c r="E102" i="21"/>
  <c r="E121" i="21"/>
  <c r="D115" i="20"/>
  <c r="C100" i="20" s="1"/>
  <c r="E80" i="20"/>
  <c r="E28" i="20"/>
  <c r="B29" i="21" s="1"/>
  <c r="I29" i="21" s="1"/>
  <c r="K29" i="21" s="1"/>
  <c r="H29" i="22" s="1"/>
  <c r="E76" i="20"/>
  <c r="B107" i="20"/>
  <c r="C100" i="9"/>
  <c r="C106" i="9"/>
  <c r="E119" i="9"/>
  <c r="B120" i="20" s="1"/>
  <c r="E86" i="9"/>
  <c r="E55" i="9"/>
  <c r="B54" i="20" s="1"/>
  <c r="E77" i="9"/>
  <c r="B71" i="21" l="1"/>
  <c r="I71" i="21" s="1"/>
  <c r="K71" i="21" s="1"/>
  <c r="H68" i="22" s="1"/>
  <c r="B32" i="21"/>
  <c r="I32" i="21" s="1"/>
  <c r="K32" i="21" s="1"/>
  <c r="H32" i="22" s="1"/>
  <c r="J60" i="22"/>
  <c r="E60" i="22"/>
  <c r="I60" i="22"/>
  <c r="E86" i="21"/>
  <c r="E115" i="20"/>
  <c r="E54" i="20"/>
  <c r="B56" i="21" s="1"/>
  <c r="I56" i="21" s="1"/>
  <c r="I54" i="20"/>
  <c r="E107" i="20"/>
  <c r="B115" i="21" s="1"/>
  <c r="I107" i="20"/>
  <c r="E120" i="20"/>
  <c r="B127" i="21" s="1"/>
  <c r="E127" i="21" s="1"/>
  <c r="E106" i="9"/>
  <c r="K60" i="22" l="1"/>
  <c r="K54" i="20"/>
  <c r="H56" i="21" s="1"/>
  <c r="K56" i="21" s="1"/>
  <c r="H53" i="22" s="1"/>
  <c r="K107" i="20"/>
  <c r="H115" i="21" s="1"/>
  <c r="E108" i="21"/>
  <c r="C118" i="21"/>
  <c r="I115" i="21"/>
  <c r="E115" i="21"/>
  <c r="B106" i="20"/>
  <c r="K115" i="21" l="1"/>
  <c r="C131" i="21"/>
  <c r="E106" i="20"/>
  <c r="B114" i="21" s="1"/>
  <c r="I106" i="20"/>
  <c r="K106" i="20" l="1"/>
  <c r="H114" i="21" s="1"/>
  <c r="E114" i="21"/>
  <c r="I114" i="21"/>
  <c r="K114" i="21" l="1"/>
  <c r="H99" i="20" l="1"/>
  <c r="C122" i="9"/>
  <c r="E30" i="9" l="1"/>
  <c r="B30" i="20" s="1"/>
  <c r="I30" i="20" l="1"/>
  <c r="E30" i="20"/>
  <c r="E29" i="21" l="1"/>
  <c r="B29" i="22" s="1"/>
  <c r="E29" i="22" s="1"/>
  <c r="B31" i="21"/>
  <c r="I31" i="21" s="1"/>
  <c r="K30" i="20"/>
  <c r="H31" i="21" s="1"/>
  <c r="I29" i="22" l="1"/>
  <c r="K29" i="22" s="1"/>
  <c r="K31" i="21"/>
  <c r="H31" i="22" s="1"/>
  <c r="J31" i="22" s="1"/>
  <c r="K31" i="22" s="1"/>
  <c r="B122" i="9"/>
  <c r="E100" i="9" l="1"/>
  <c r="B99" i="20" l="1"/>
  <c r="I99" i="20" s="1"/>
  <c r="K99" i="20" s="1"/>
  <c r="E118" i="9"/>
  <c r="D122" i="9"/>
  <c r="H104" i="21" l="1"/>
  <c r="E122" i="9"/>
  <c r="B119" i="20"/>
  <c r="E99" i="20"/>
  <c r="B104" i="21" s="1"/>
  <c r="E104" i="21" l="1"/>
  <c r="I104" i="21"/>
  <c r="K104" i="21" s="1"/>
  <c r="D122" i="20"/>
  <c r="D124" i="20" s="1"/>
  <c r="E119" i="20"/>
  <c r="B126" i="21" s="1"/>
  <c r="E126" i="21" s="1"/>
  <c r="B122" i="20"/>
  <c r="E122" i="20" l="1"/>
  <c r="C111" i="20"/>
  <c r="D129" i="21" l="1"/>
  <c r="D131" i="21" s="1"/>
  <c r="B129" i="21"/>
  <c r="C124" i="20"/>
  <c r="E129" i="21" l="1"/>
  <c r="K2" i="9" l="1"/>
  <c r="E80" i="9" l="1"/>
  <c r="B78" i="20" s="1"/>
  <c r="D78" i="20" s="1"/>
  <c r="E78" i="20" l="1"/>
  <c r="E88" i="21" l="1"/>
  <c r="E57" i="9" l="1"/>
  <c r="B55" i="20" s="1"/>
  <c r="E55" i="20" l="1"/>
  <c r="B58" i="21" s="1"/>
  <c r="I58" i="21" s="1"/>
  <c r="I55" i="20"/>
  <c r="E71" i="9"/>
  <c r="B70" i="20" s="1"/>
  <c r="E70" i="20" s="1"/>
  <c r="B76" i="21" l="1"/>
  <c r="E76" i="21" s="1"/>
  <c r="B76" i="22" s="1"/>
  <c r="E76" i="22" s="1"/>
  <c r="K55" i="20"/>
  <c r="H58" i="21" s="1"/>
  <c r="K58" i="21" s="1"/>
  <c r="H56" i="22" s="1"/>
  <c r="E56" i="21"/>
  <c r="B53" i="22" s="1"/>
  <c r="E16" i="17"/>
  <c r="F30" i="17"/>
  <c r="D30" i="17"/>
  <c r="C30" i="17"/>
  <c r="B24" i="17"/>
  <c r="I53" i="22" l="1"/>
  <c r="K53" i="22" s="1"/>
  <c r="E53" i="22"/>
  <c r="D19" i="17"/>
  <c r="D15" i="17"/>
  <c r="E15" i="17"/>
  <c r="D16" i="17"/>
  <c r="C19" i="17"/>
  <c r="C16" i="17"/>
  <c r="C15" i="17"/>
  <c r="C18" i="17"/>
  <c r="C17" i="17"/>
  <c r="E17" i="17" l="1"/>
  <c r="E18" i="17"/>
  <c r="E19" i="17"/>
  <c r="C22" i="17"/>
  <c r="D18" i="17"/>
  <c r="D17" i="17"/>
  <c r="E22" i="17" l="1"/>
  <c r="E24" i="17" s="1"/>
  <c r="D22" i="17"/>
  <c r="F22" i="17"/>
  <c r="E50" i="9" l="1"/>
  <c r="B48" i="20" s="1"/>
  <c r="E48" i="20" l="1"/>
  <c r="I48" i="20"/>
  <c r="B49" i="21" l="1"/>
  <c r="I49" i="21" s="1"/>
  <c r="K48" i="20"/>
  <c r="I133" i="9"/>
  <c r="D111" i="9"/>
  <c r="D148" i="9"/>
  <c r="C148" i="9"/>
  <c r="H49" i="21" l="1"/>
  <c r="K49" i="21" s="1"/>
  <c r="H47" i="22" s="1"/>
  <c r="C111" i="9"/>
  <c r="G95" i="9" l="1"/>
  <c r="E33" i="9" l="1"/>
  <c r="B33" i="20" s="1"/>
  <c r="E26" i="9"/>
  <c r="B26" i="20" s="1"/>
  <c r="E27" i="9"/>
  <c r="B27" i="20" s="1"/>
  <c r="I27" i="20" s="1"/>
  <c r="E48" i="9"/>
  <c r="B46" i="20" s="1"/>
  <c r="I46" i="20" l="1"/>
  <c r="E46" i="20"/>
  <c r="I26" i="20"/>
  <c r="E26" i="20"/>
  <c r="E33" i="20"/>
  <c r="I33" i="20"/>
  <c r="E27" i="20"/>
  <c r="B28" i="21" s="1"/>
  <c r="I28" i="21" s="1"/>
  <c r="E15" i="9"/>
  <c r="B14" i="20" s="1"/>
  <c r="E147" i="9"/>
  <c r="B151" i="20" s="1"/>
  <c r="E151" i="20" s="1"/>
  <c r="B156" i="21" s="1"/>
  <c r="E64" i="9"/>
  <c r="B62" i="20" s="1"/>
  <c r="E45" i="9"/>
  <c r="B43" i="20" s="1"/>
  <c r="E25" i="21" l="1"/>
  <c r="B25" i="22" s="1"/>
  <c r="B27" i="21"/>
  <c r="E45" i="21"/>
  <c r="B43" i="22" s="1"/>
  <c r="E43" i="22" s="1"/>
  <c r="B47" i="21"/>
  <c r="E32" i="21"/>
  <c r="B32" i="22" s="1"/>
  <c r="E32" i="22" s="1"/>
  <c r="B34" i="21"/>
  <c r="I34" i="21" s="1"/>
  <c r="I43" i="22"/>
  <c r="J43" i="22"/>
  <c r="I25" i="22"/>
  <c r="K25" i="22" s="1"/>
  <c r="E25" i="22"/>
  <c r="D156" i="21"/>
  <c r="E156" i="21" s="1"/>
  <c r="I14" i="20"/>
  <c r="K14" i="20" s="1"/>
  <c r="H15" i="21" s="1"/>
  <c r="E14" i="20"/>
  <c r="I43" i="20"/>
  <c r="E43" i="20"/>
  <c r="I62" i="20"/>
  <c r="E62" i="20"/>
  <c r="K26" i="20"/>
  <c r="H27" i="21" s="1"/>
  <c r="K33" i="20"/>
  <c r="H34" i="21" s="1"/>
  <c r="K27" i="20"/>
  <c r="H28" i="21" s="1"/>
  <c r="K28" i="21" s="1"/>
  <c r="H28" i="22" s="1"/>
  <c r="K46" i="20"/>
  <c r="H47" i="21" s="1"/>
  <c r="E68" i="9"/>
  <c r="B67" i="20" s="1"/>
  <c r="E25" i="9"/>
  <c r="B25" i="20" s="1"/>
  <c r="E12" i="9"/>
  <c r="B11" i="20" s="1"/>
  <c r="K34" i="21" l="1"/>
  <c r="H34" i="22" s="1"/>
  <c r="B15" i="21"/>
  <c r="I15" i="21" s="1"/>
  <c r="K15" i="21" s="1"/>
  <c r="H15" i="22" s="1"/>
  <c r="K15" i="22" s="1"/>
  <c r="I47" i="21"/>
  <c r="K47" i="21" s="1"/>
  <c r="H45" i="22" s="1"/>
  <c r="E47" i="21"/>
  <c r="E66" i="21"/>
  <c r="B63" i="22" s="1"/>
  <c r="I63" i="22" s="1"/>
  <c r="K63" i="22" s="1"/>
  <c r="B67" i="21"/>
  <c r="I32" i="22"/>
  <c r="K32" i="22" s="1"/>
  <c r="B44" i="21"/>
  <c r="I44" i="21" s="1"/>
  <c r="I27" i="21"/>
  <c r="K27" i="21" s="1"/>
  <c r="H27" i="22" s="1"/>
  <c r="E27" i="21"/>
  <c r="K43" i="22"/>
  <c r="K43" i="20"/>
  <c r="K62" i="20"/>
  <c r="E25" i="20"/>
  <c r="I25" i="20"/>
  <c r="K25" i="20" s="1"/>
  <c r="H26" i="21" s="1"/>
  <c r="E67" i="20"/>
  <c r="I67" i="20"/>
  <c r="I11" i="20"/>
  <c r="E11" i="20"/>
  <c r="C155" i="21"/>
  <c r="D157" i="21"/>
  <c r="E24" i="9"/>
  <c r="B23" i="20" s="1"/>
  <c r="H67" i="21" l="1"/>
  <c r="I67" i="21"/>
  <c r="E67" i="21"/>
  <c r="B27" i="22"/>
  <c r="B73" i="21"/>
  <c r="I73" i="21" s="1"/>
  <c r="B12" i="21"/>
  <c r="I12" i="21" s="1"/>
  <c r="E63" i="22"/>
  <c r="B45" i="22"/>
  <c r="H44" i="21"/>
  <c r="K44" i="21" s="1"/>
  <c r="H42" i="22" s="1"/>
  <c r="B26" i="21"/>
  <c r="E15" i="21"/>
  <c r="C157" i="21"/>
  <c r="E23" i="20"/>
  <c r="I23" i="20"/>
  <c r="K67" i="20"/>
  <c r="H73" i="21" s="1"/>
  <c r="K11" i="20"/>
  <c r="H12" i="21" s="1"/>
  <c r="E66" i="9"/>
  <c r="B64" i="20" s="1"/>
  <c r="E35" i="9"/>
  <c r="B35" i="20" s="1"/>
  <c r="E35" i="20" s="1"/>
  <c r="K12" i="21" l="1"/>
  <c r="H12" i="22" s="1"/>
  <c r="I45" i="22"/>
  <c r="K45" i="22" s="1"/>
  <c r="E45" i="22"/>
  <c r="B64" i="22"/>
  <c r="E34" i="21"/>
  <c r="B34" i="22" s="1"/>
  <c r="E34" i="22" s="1"/>
  <c r="B36" i="21"/>
  <c r="I36" i="21" s="1"/>
  <c r="K67" i="21"/>
  <c r="H64" i="22" s="1"/>
  <c r="E27" i="22"/>
  <c r="I27" i="22"/>
  <c r="K27" i="22" s="1"/>
  <c r="K73" i="21"/>
  <c r="H70" i="22" s="1"/>
  <c r="B15" i="22"/>
  <c r="E15" i="22" s="1"/>
  <c r="I26" i="21"/>
  <c r="K26" i="21" s="1"/>
  <c r="H26" i="22" s="1"/>
  <c r="E26" i="21"/>
  <c r="B24" i="21"/>
  <c r="E12" i="21"/>
  <c r="B12" i="22" s="1"/>
  <c r="E64" i="20"/>
  <c r="I64" i="20"/>
  <c r="E65" i="9"/>
  <c r="B63" i="20" s="1"/>
  <c r="E39" i="9"/>
  <c r="B38" i="20" s="1"/>
  <c r="E32" i="9"/>
  <c r="E42" i="9"/>
  <c r="B40" i="20" s="1"/>
  <c r="E11" i="9"/>
  <c r="E40" i="9"/>
  <c r="E70" i="9"/>
  <c r="B69" i="20" s="1"/>
  <c r="E60" i="9"/>
  <c r="B58" i="20" s="1"/>
  <c r="E34" i="9"/>
  <c r="B34" i="20" s="1"/>
  <c r="E56" i="9"/>
  <c r="E61" i="9"/>
  <c r="B59" i="20" s="1"/>
  <c r="E53" i="9"/>
  <c r="B52" i="20" s="1"/>
  <c r="E19" i="9"/>
  <c r="B18" i="20" s="1"/>
  <c r="E28" i="9"/>
  <c r="E51" i="9"/>
  <c r="B49" i="20" s="1"/>
  <c r="E36" i="9"/>
  <c r="E17" i="9"/>
  <c r="B16" i="20" s="1"/>
  <c r="K23" i="20"/>
  <c r="H24" i="21" s="1"/>
  <c r="I34" i="22" l="1"/>
  <c r="K34" i="22" s="1"/>
  <c r="B26" i="22"/>
  <c r="E71" i="21"/>
  <c r="B68" i="22" s="1"/>
  <c r="B70" i="21"/>
  <c r="I70" i="21" s="1"/>
  <c r="E64" i="22"/>
  <c r="I64" i="22"/>
  <c r="K64" i="22" s="1"/>
  <c r="I24" i="21"/>
  <c r="K24" i="21" s="1"/>
  <c r="H24" i="22" s="1"/>
  <c r="E24" i="21"/>
  <c r="E12" i="22"/>
  <c r="I12" i="22"/>
  <c r="K12" i="22" s="1"/>
  <c r="E68" i="22"/>
  <c r="I68" i="22"/>
  <c r="K68" i="22" s="1"/>
  <c r="E16" i="20"/>
  <c r="I16" i="20"/>
  <c r="I18" i="20"/>
  <c r="E18" i="20"/>
  <c r="E34" i="20"/>
  <c r="I34" i="20"/>
  <c r="I63" i="20"/>
  <c r="E63" i="20"/>
  <c r="I52" i="20"/>
  <c r="E52" i="20"/>
  <c r="E58" i="20"/>
  <c r="I58" i="20"/>
  <c r="E40" i="20"/>
  <c r="I40" i="20"/>
  <c r="I49" i="20"/>
  <c r="E49" i="20"/>
  <c r="I59" i="20"/>
  <c r="E59" i="20"/>
  <c r="I69" i="20"/>
  <c r="E69" i="20"/>
  <c r="E38" i="20"/>
  <c r="I38" i="20"/>
  <c r="E99" i="9"/>
  <c r="B98" i="20" s="1"/>
  <c r="C124" i="9"/>
  <c r="D124" i="9"/>
  <c r="E70" i="21" l="1"/>
  <c r="B67" i="22" s="1"/>
  <c r="B69" i="21"/>
  <c r="B39" i="21"/>
  <c r="B35" i="21"/>
  <c r="I35" i="21" s="1"/>
  <c r="B19" i="21"/>
  <c r="B62" i="21"/>
  <c r="B24" i="22"/>
  <c r="B50" i="21"/>
  <c r="I50" i="21" s="1"/>
  <c r="I26" i="22"/>
  <c r="K26" i="22" s="1"/>
  <c r="E26" i="22"/>
  <c r="I67" i="22"/>
  <c r="E67" i="22"/>
  <c r="I98" i="20"/>
  <c r="E98" i="20"/>
  <c r="E22" i="9"/>
  <c r="B21" i="20" s="1"/>
  <c r="E83" i="9"/>
  <c r="B81" i="20" s="1"/>
  <c r="E24" i="22" l="1"/>
  <c r="I24" i="22"/>
  <c r="J24" i="22" s="1"/>
  <c r="K24" i="22" s="1"/>
  <c r="I69" i="21"/>
  <c r="E69" i="21"/>
  <c r="I39" i="21"/>
  <c r="E39" i="21"/>
  <c r="I62" i="21"/>
  <c r="E62" i="21"/>
  <c r="I21" i="20"/>
  <c r="E21" i="20"/>
  <c r="B103" i="21"/>
  <c r="D92" i="20"/>
  <c r="D94" i="20" s="1"/>
  <c r="E81" i="20"/>
  <c r="E54" i="9"/>
  <c r="E16" i="9"/>
  <c r="B15" i="20" s="1"/>
  <c r="E18" i="9"/>
  <c r="B17" i="20" s="1"/>
  <c r="E23" i="9"/>
  <c r="B22" i="20" s="1"/>
  <c r="K140" i="9"/>
  <c r="I140" i="9"/>
  <c r="H140" i="9"/>
  <c r="G140" i="9"/>
  <c r="G142" i="9" s="1"/>
  <c r="C140" i="9"/>
  <c r="B22" i="21" l="1"/>
  <c r="I22" i="21" s="1"/>
  <c r="B66" i="22"/>
  <c r="E15" i="20"/>
  <c r="I15" i="20"/>
  <c r="B53" i="20"/>
  <c r="I22" i="20"/>
  <c r="E22" i="20"/>
  <c r="I17" i="20"/>
  <c r="K17" i="20" s="1"/>
  <c r="H17" i="21" s="1"/>
  <c r="E17" i="20"/>
  <c r="B17" i="21" s="1"/>
  <c r="E103" i="21"/>
  <c r="I103" i="21"/>
  <c r="C72" i="20"/>
  <c r="E29" i="9"/>
  <c r="B29" i="20" s="1"/>
  <c r="E38" i="9"/>
  <c r="B37" i="20" s="1"/>
  <c r="D133" i="9"/>
  <c r="E59" i="9"/>
  <c r="B57" i="20" s="1"/>
  <c r="C93" i="9"/>
  <c r="E66" i="22" l="1"/>
  <c r="I66" i="22"/>
  <c r="I17" i="21"/>
  <c r="K17" i="21" s="1"/>
  <c r="H17" i="22" s="1"/>
  <c r="E17" i="21"/>
  <c r="B17" i="22" s="1"/>
  <c r="E22" i="21"/>
  <c r="B22" i="22" s="1"/>
  <c r="E22" i="22" s="1"/>
  <c r="B23" i="21"/>
  <c r="B16" i="21"/>
  <c r="I16" i="21" s="1"/>
  <c r="E57" i="20"/>
  <c r="I57" i="20"/>
  <c r="I37" i="20"/>
  <c r="K37" i="20" s="1"/>
  <c r="H38" i="21" s="1"/>
  <c r="E37" i="20"/>
  <c r="I53" i="20"/>
  <c r="E53" i="20"/>
  <c r="B54" i="21" s="1"/>
  <c r="I29" i="20"/>
  <c r="E29" i="20"/>
  <c r="B30" i="21" s="1"/>
  <c r="H98" i="20"/>
  <c r="K98" i="20" s="1"/>
  <c r="E49" i="21"/>
  <c r="B47" i="22" s="1"/>
  <c r="K22" i="20"/>
  <c r="H23" i="21" s="1"/>
  <c r="K21" i="20"/>
  <c r="H22" i="21" s="1"/>
  <c r="K22" i="21" s="1"/>
  <c r="H22" i="22" s="1"/>
  <c r="C94" i="20"/>
  <c r="D140" i="9"/>
  <c r="E138" i="9"/>
  <c r="B60" i="21" l="1"/>
  <c r="I23" i="21"/>
  <c r="E23" i="21"/>
  <c r="I30" i="21"/>
  <c r="E30" i="21"/>
  <c r="E17" i="22"/>
  <c r="I17" i="22"/>
  <c r="J17" i="22" s="1"/>
  <c r="K17" i="22" s="1"/>
  <c r="I22" i="22"/>
  <c r="J22" i="22" s="1"/>
  <c r="K22" i="22" s="1"/>
  <c r="I54" i="21"/>
  <c r="E54" i="21"/>
  <c r="K23" i="21"/>
  <c r="H23" i="22" s="1"/>
  <c r="E36" i="21"/>
  <c r="B35" i="22" s="1"/>
  <c r="J35" i="22" s="1"/>
  <c r="B38" i="21"/>
  <c r="E16" i="21"/>
  <c r="B16" i="22" s="1"/>
  <c r="E16" i="22" s="1"/>
  <c r="I47" i="22"/>
  <c r="J47" i="22"/>
  <c r="E47" i="22"/>
  <c r="K53" i="20"/>
  <c r="E28" i="21"/>
  <c r="B28" i="22" s="1"/>
  <c r="K29" i="20"/>
  <c r="H30" i="21" s="1"/>
  <c r="B142" i="20"/>
  <c r="C133" i="9"/>
  <c r="I35" i="22" l="1"/>
  <c r="K30" i="21"/>
  <c r="H30" i="22" s="1"/>
  <c r="B51" i="22"/>
  <c r="I60" i="21"/>
  <c r="E60" i="21"/>
  <c r="B58" i="22" s="1"/>
  <c r="B23" i="22"/>
  <c r="H54" i="21"/>
  <c r="K54" i="21" s="1"/>
  <c r="H51" i="22" s="1"/>
  <c r="B30" i="22"/>
  <c r="E30" i="22" s="1"/>
  <c r="E35" i="22"/>
  <c r="I38" i="21"/>
  <c r="K38" i="21" s="1"/>
  <c r="H37" i="22" s="1"/>
  <c r="E38" i="21"/>
  <c r="K47" i="22"/>
  <c r="E28" i="22"/>
  <c r="I28" i="22"/>
  <c r="K28" i="22" s="1"/>
  <c r="H103" i="21"/>
  <c r="D142" i="20"/>
  <c r="D144" i="20" s="1"/>
  <c r="K57" i="20"/>
  <c r="H60" i="21" s="1"/>
  <c r="K60" i="21" l="1"/>
  <c r="H58" i="22" s="1"/>
  <c r="J30" i="22"/>
  <c r="K30" i="22" s="1"/>
  <c r="I58" i="22"/>
  <c r="K58" i="22" s="1"/>
  <c r="E58" i="22"/>
  <c r="B37" i="22"/>
  <c r="E51" i="22"/>
  <c r="I51" i="22"/>
  <c r="K51" i="22" s="1"/>
  <c r="E23" i="22"/>
  <c r="I23" i="22"/>
  <c r="J23" i="22" s="1"/>
  <c r="K23" i="22" s="1"/>
  <c r="K103" i="21"/>
  <c r="D146" i="20"/>
  <c r="D155" i="20" s="1"/>
  <c r="C131" i="20"/>
  <c r="E142" i="20"/>
  <c r="J37" i="22" l="1"/>
  <c r="K37" i="22" s="1"/>
  <c r="E37" i="22"/>
  <c r="E131" i="20"/>
  <c r="C135" i="20"/>
  <c r="C146" i="20" l="1"/>
  <c r="C155" i="20" s="1"/>
  <c r="B137" i="21"/>
  <c r="E52" i="9"/>
  <c r="B50" i="20" s="1"/>
  <c r="I50" i="20" l="1"/>
  <c r="E50" i="20"/>
  <c r="I137" i="21"/>
  <c r="D151" i="21"/>
  <c r="E50" i="21" l="1"/>
  <c r="B51" i="21"/>
  <c r="K137" i="21"/>
  <c r="I141" i="21"/>
  <c r="E137" i="21"/>
  <c r="C141" i="21"/>
  <c r="K50" i="20"/>
  <c r="H51" i="21" s="1"/>
  <c r="E109" i="9"/>
  <c r="B109" i="20" s="1"/>
  <c r="E108" i="9"/>
  <c r="B108" i="20" s="1"/>
  <c r="I51" i="21" l="1"/>
  <c r="K51" i="21" s="1"/>
  <c r="H48" i="22" s="1"/>
  <c r="E51" i="21"/>
  <c r="I108" i="20"/>
  <c r="E108" i="20"/>
  <c r="I109" i="20"/>
  <c r="E109" i="20"/>
  <c r="I151" i="21"/>
  <c r="C151" i="21"/>
  <c r="E136" i="9"/>
  <c r="B139" i="20" s="1"/>
  <c r="B48" i="22" l="1"/>
  <c r="B116" i="21"/>
  <c r="E139" i="20"/>
  <c r="J48" i="22" l="1"/>
  <c r="K48" i="22" s="1"/>
  <c r="E48" i="22"/>
  <c r="B145" i="21"/>
  <c r="I116" i="21"/>
  <c r="E116" i="21"/>
  <c r="E104" i="9"/>
  <c r="B104" i="20" s="1"/>
  <c r="E145" i="21" l="1"/>
  <c r="E104" i="20"/>
  <c r="I104" i="20"/>
  <c r="H104" i="20"/>
  <c r="K104" i="20" l="1"/>
  <c r="H112" i="21" s="1"/>
  <c r="B112" i="21"/>
  <c r="I112" i="21" l="1"/>
  <c r="K112" i="21" s="1"/>
  <c r="E112" i="21"/>
  <c r="E129" i="9"/>
  <c r="B129" i="20" s="1"/>
  <c r="E129" i="20" l="1"/>
  <c r="H109" i="20"/>
  <c r="K109" i="20" s="1"/>
  <c r="E103" i="9"/>
  <c r="B103" i="20" s="1"/>
  <c r="H108" i="20" l="1"/>
  <c r="H116" i="21"/>
  <c r="E103" i="20"/>
  <c r="I103" i="20"/>
  <c r="K116" i="21" l="1"/>
  <c r="K108" i="20"/>
  <c r="H103" i="20"/>
  <c r="B111" i="21"/>
  <c r="K103" i="20" l="1"/>
  <c r="I111" i="21"/>
  <c r="E111" i="21"/>
  <c r="E101" i="9"/>
  <c r="B100" i="20" s="1"/>
  <c r="H111" i="21" l="1"/>
  <c r="I111" i="20"/>
  <c r="E100" i="20"/>
  <c r="B106" i="21" s="1"/>
  <c r="I118" i="21" s="1"/>
  <c r="B111" i="20"/>
  <c r="B124" i="20" s="1"/>
  <c r="H100" i="20"/>
  <c r="K111" i="21" l="1"/>
  <c r="H111" i="20"/>
  <c r="H124" i="20" s="1"/>
  <c r="K100" i="20"/>
  <c r="K111" i="20" s="1"/>
  <c r="K124" i="20" s="1"/>
  <c r="I131" i="21"/>
  <c r="E106" i="21"/>
  <c r="B118" i="21"/>
  <c r="B131" i="21" s="1"/>
  <c r="I124" i="20"/>
  <c r="E111" i="20"/>
  <c r="H106" i="21" l="1"/>
  <c r="K106" i="21" s="1"/>
  <c r="E118" i="21"/>
  <c r="E124" i="20"/>
  <c r="C73" i="9"/>
  <c r="C95" i="9" s="1"/>
  <c r="D73" i="9"/>
  <c r="E85" i="9"/>
  <c r="D93" i="9"/>
  <c r="E20" i="9"/>
  <c r="B19" i="20" s="1"/>
  <c r="E10" i="9"/>
  <c r="B10" i="20" s="1"/>
  <c r="E47" i="9"/>
  <c r="B45" i="20" s="1"/>
  <c r="E49" i="9"/>
  <c r="B47" i="20" s="1"/>
  <c r="E21" i="9"/>
  <c r="B20" i="20" s="1"/>
  <c r="E44" i="9"/>
  <c r="B42" i="20" s="1"/>
  <c r="E31" i="9"/>
  <c r="B32" i="20" s="1"/>
  <c r="E67" i="9"/>
  <c r="B66" i="20" s="1"/>
  <c r="H118" i="21" l="1"/>
  <c r="H131" i="21" s="1"/>
  <c r="E66" i="20"/>
  <c r="I66" i="20"/>
  <c r="E47" i="20"/>
  <c r="I47" i="20"/>
  <c r="E32" i="20"/>
  <c r="I32" i="20"/>
  <c r="I45" i="20"/>
  <c r="E45" i="20"/>
  <c r="I42" i="20"/>
  <c r="E42" i="20"/>
  <c r="B43" i="21" s="1"/>
  <c r="I10" i="20"/>
  <c r="E10" i="20"/>
  <c r="I20" i="20"/>
  <c r="E20" i="20"/>
  <c r="I19" i="20"/>
  <c r="E19" i="20"/>
  <c r="E131" i="21"/>
  <c r="K118" i="21"/>
  <c r="B84" i="20"/>
  <c r="E84" i="20" s="1"/>
  <c r="D95" i="9"/>
  <c r="E84" i="9"/>
  <c r="B83" i="20" s="1"/>
  <c r="E58" i="9"/>
  <c r="B56" i="20" s="1"/>
  <c r="E31" i="21" l="1"/>
  <c r="B31" i="22" s="1"/>
  <c r="E31" i="22" s="1"/>
  <c r="B33" i="21"/>
  <c r="B21" i="21"/>
  <c r="E73" i="21"/>
  <c r="B70" i="22" s="1"/>
  <c r="I70" i="22" s="1"/>
  <c r="B72" i="21"/>
  <c r="B48" i="21"/>
  <c r="I43" i="21"/>
  <c r="E43" i="21"/>
  <c r="E19" i="21"/>
  <c r="B20" i="21"/>
  <c r="I20" i="21" s="1"/>
  <c r="E44" i="21"/>
  <c r="B42" i="22" s="1"/>
  <c r="I42" i="22" s="1"/>
  <c r="B46" i="21"/>
  <c r="I46" i="21" s="1"/>
  <c r="K131" i="21"/>
  <c r="K66" i="20"/>
  <c r="K42" i="20"/>
  <c r="H43" i="21" s="1"/>
  <c r="B11" i="21"/>
  <c r="I11" i="21" s="1"/>
  <c r="E56" i="20"/>
  <c r="I56" i="20"/>
  <c r="K19" i="20"/>
  <c r="H20" i="21" s="1"/>
  <c r="K20" i="20"/>
  <c r="H21" i="21" s="1"/>
  <c r="K32" i="20"/>
  <c r="H33" i="21" s="1"/>
  <c r="E83" i="20"/>
  <c r="H10" i="20"/>
  <c r="K10" i="20" s="1"/>
  <c r="K47" i="20"/>
  <c r="H48" i="21" s="1"/>
  <c r="E46" i="21" l="1"/>
  <c r="B44" i="22" s="1"/>
  <c r="E44" i="22" s="1"/>
  <c r="K43" i="21"/>
  <c r="H41" i="22" s="1"/>
  <c r="J44" i="22"/>
  <c r="I48" i="21"/>
  <c r="K48" i="21" s="1"/>
  <c r="H46" i="22" s="1"/>
  <c r="E48" i="21"/>
  <c r="B46" i="22" s="1"/>
  <c r="I72" i="21"/>
  <c r="E72" i="21"/>
  <c r="J42" i="22"/>
  <c r="K42" i="22" s="1"/>
  <c r="I21" i="21"/>
  <c r="K21" i="21" s="1"/>
  <c r="H21" i="22" s="1"/>
  <c r="E21" i="21"/>
  <c r="E58" i="21"/>
  <c r="B56" i="22" s="1"/>
  <c r="I56" i="22" s="1"/>
  <c r="K56" i="22" s="1"/>
  <c r="B59" i="21"/>
  <c r="E42" i="22"/>
  <c r="E20" i="21"/>
  <c r="B20" i="22" s="1"/>
  <c r="H72" i="21"/>
  <c r="E70" i="22"/>
  <c r="B41" i="22"/>
  <c r="I33" i="21"/>
  <c r="K33" i="21" s="1"/>
  <c r="H33" i="22" s="1"/>
  <c r="E33" i="21"/>
  <c r="B33" i="22" s="1"/>
  <c r="K20" i="21"/>
  <c r="H20" i="22" s="1"/>
  <c r="K70" i="22"/>
  <c r="E11" i="21"/>
  <c r="B11" i="22" s="1"/>
  <c r="D96" i="21"/>
  <c r="D98" i="21" s="1"/>
  <c r="D160" i="21" s="1"/>
  <c r="E93" i="21"/>
  <c r="B91" i="22" s="1"/>
  <c r="H11" i="21"/>
  <c r="K56" i="20"/>
  <c r="H59" i="21" s="1"/>
  <c r="K45" i="20"/>
  <c r="H46" i="21" s="1"/>
  <c r="K46" i="21" s="1"/>
  <c r="H44" i="22" s="1"/>
  <c r="E14" i="9"/>
  <c r="B13" i="20" s="1"/>
  <c r="I44" i="22" l="1"/>
  <c r="K44" i="22" s="1"/>
  <c r="K72" i="21"/>
  <c r="H69" i="22" s="1"/>
  <c r="E56" i="22"/>
  <c r="B21" i="22"/>
  <c r="I33" i="22"/>
  <c r="K33" i="22" s="1"/>
  <c r="E33" i="22"/>
  <c r="E20" i="22"/>
  <c r="I20" i="22"/>
  <c r="K20" i="22" s="1"/>
  <c r="B69" i="22"/>
  <c r="E41" i="22"/>
  <c r="J41" i="22"/>
  <c r="I41" i="22"/>
  <c r="I59" i="21"/>
  <c r="K59" i="21" s="1"/>
  <c r="H57" i="22" s="1"/>
  <c r="E59" i="21"/>
  <c r="I46" i="22"/>
  <c r="E46" i="22"/>
  <c r="J46" i="22"/>
  <c r="E11" i="22"/>
  <c r="I11" i="22"/>
  <c r="D91" i="22"/>
  <c r="B96" i="22"/>
  <c r="K11" i="21"/>
  <c r="H11" i="22" s="1"/>
  <c r="E13" i="20"/>
  <c r="B14" i="21" s="1"/>
  <c r="I13" i="20"/>
  <c r="C98" i="21"/>
  <c r="C160" i="21" s="1"/>
  <c r="E52" i="21"/>
  <c r="B49" i="22" s="1"/>
  <c r="K34" i="20"/>
  <c r="H35" i="21" s="1"/>
  <c r="K35" i="21" s="1"/>
  <c r="K64" i="20"/>
  <c r="H70" i="21" s="1"/>
  <c r="K70" i="21" s="1"/>
  <c r="H67" i="22" s="1"/>
  <c r="K67" i="22" s="1"/>
  <c r="K63" i="20"/>
  <c r="H69" i="21" s="1"/>
  <c r="K69" i="21" s="1"/>
  <c r="K49" i="20"/>
  <c r="H50" i="21" s="1"/>
  <c r="K50" i="21" s="1"/>
  <c r="K38" i="20"/>
  <c r="H39" i="21" s="1"/>
  <c r="K39" i="21" s="1"/>
  <c r="K58" i="20"/>
  <c r="H62" i="21" s="1"/>
  <c r="K62" i="21" s="1"/>
  <c r="K35" i="20"/>
  <c r="H36" i="21" s="1"/>
  <c r="K36" i="21" s="1"/>
  <c r="K52" i="20"/>
  <c r="K59" i="20"/>
  <c r="K40" i="20"/>
  <c r="K70" i="20"/>
  <c r="H76" i="21" s="1"/>
  <c r="K76" i="21" s="1"/>
  <c r="H76" i="22" s="1"/>
  <c r="K76" i="22" s="1"/>
  <c r="K41" i="22" l="1"/>
  <c r="K46" i="22"/>
  <c r="H66" i="22"/>
  <c r="K66" i="22" s="1"/>
  <c r="I14" i="21"/>
  <c r="H35" i="22"/>
  <c r="K35" i="22" s="1"/>
  <c r="B57" i="22"/>
  <c r="I69" i="22"/>
  <c r="K69" i="22" s="1"/>
  <c r="E69" i="22"/>
  <c r="E21" i="22"/>
  <c r="I21" i="22"/>
  <c r="J21" i="22" s="1"/>
  <c r="K21" i="22" s="1"/>
  <c r="K11" i="22"/>
  <c r="C71" i="22"/>
  <c r="D96" i="22"/>
  <c r="D98" i="22" s="1"/>
  <c r="D156" i="22" s="1"/>
  <c r="I49" i="22"/>
  <c r="K49" i="22" s="1"/>
  <c r="E49" i="22"/>
  <c r="E91" i="22"/>
  <c r="E96" i="22" s="1"/>
  <c r="K15" i="20"/>
  <c r="H16" i="21" s="1"/>
  <c r="K16" i="21" s="1"/>
  <c r="H16" i="22" s="1"/>
  <c r="J16" i="22" s="1"/>
  <c r="K16" i="22" s="1"/>
  <c r="K16" i="20"/>
  <c r="K18" i="20"/>
  <c r="H19" i="21" s="1"/>
  <c r="K19" i="21" s="1"/>
  <c r="K69" i="20"/>
  <c r="E69" i="9"/>
  <c r="B68" i="20" s="1"/>
  <c r="X23" i="9"/>
  <c r="E57" i="22" l="1"/>
  <c r="I57" i="22"/>
  <c r="K57" i="22" s="1"/>
  <c r="E71" i="22"/>
  <c r="C78" i="22"/>
  <c r="E159" i="22"/>
  <c r="E68" i="20"/>
  <c r="B75" i="21" s="1"/>
  <c r="I68" i="20"/>
  <c r="E14" i="21"/>
  <c r="B14" i="22" s="1"/>
  <c r="I75" i="21" l="1"/>
  <c r="E75" i="21"/>
  <c r="C98" i="22"/>
  <c r="C156" i="22" s="1"/>
  <c r="I14" i="22"/>
  <c r="E14" i="22"/>
  <c r="K68" i="20"/>
  <c r="H75" i="21" s="1"/>
  <c r="K75" i="21" s="1"/>
  <c r="H75" i="22" s="1"/>
  <c r="B75" i="22" l="1"/>
  <c r="D142" i="9"/>
  <c r="D151" i="9" s="1"/>
  <c r="C142" i="9"/>
  <c r="I75" i="22" l="1"/>
  <c r="K75" i="22" s="1"/>
  <c r="E75" i="22"/>
  <c r="C151" i="9"/>
  <c r="E137" i="9"/>
  <c r="B140" i="20" s="1"/>
  <c r="B144" i="20" s="1"/>
  <c r="B140" i="9"/>
  <c r="E140" i="20" l="1"/>
  <c r="E140" i="9"/>
  <c r="B146" i="21" l="1"/>
  <c r="E144" i="20"/>
  <c r="K13" i="20"/>
  <c r="H14" i="21" s="1"/>
  <c r="K14" i="21" l="1"/>
  <c r="H14" i="22" s="1"/>
  <c r="E146" i="21"/>
  <c r="E149" i="21" s="1"/>
  <c r="B149" i="21"/>
  <c r="X21" i="9"/>
  <c r="J14" i="22" l="1"/>
  <c r="K14" i="22" s="1"/>
  <c r="H133" i="20"/>
  <c r="K133" i="20" s="1"/>
  <c r="X34" i="9"/>
  <c r="H139" i="21" l="1"/>
  <c r="K139" i="21" s="1"/>
  <c r="K129" i="20"/>
  <c r="E131" i="9"/>
  <c r="B133" i="20" l="1"/>
  <c r="E133" i="20" s="1"/>
  <c r="E130" i="9"/>
  <c r="B132" i="20" s="1"/>
  <c r="H133" i="9"/>
  <c r="B139" i="21" l="1"/>
  <c r="E139" i="21" s="1"/>
  <c r="E132" i="20"/>
  <c r="B135" i="20"/>
  <c r="B146" i="20" s="1"/>
  <c r="K133" i="9"/>
  <c r="H132" i="20"/>
  <c r="E133" i="9"/>
  <c r="B133" i="9"/>
  <c r="K132" i="20" l="1"/>
  <c r="H138" i="21" s="1"/>
  <c r="K138" i="21" s="1"/>
  <c r="B138" i="21"/>
  <c r="E135" i="20"/>
  <c r="H135" i="20"/>
  <c r="H146" i="20" s="1"/>
  <c r="B93" i="9"/>
  <c r="K135" i="20" l="1"/>
  <c r="K146" i="20" s="1"/>
  <c r="E146" i="20"/>
  <c r="E138" i="21"/>
  <c r="B141" i="21"/>
  <c r="B151" i="21" s="1"/>
  <c r="H141" i="21"/>
  <c r="H151" i="21" s="1"/>
  <c r="E87" i="9"/>
  <c r="B86" i="20" s="1"/>
  <c r="E141" i="21" l="1"/>
  <c r="K141" i="21"/>
  <c r="E86" i="20"/>
  <c r="B92" i="20"/>
  <c r="E93" i="9"/>
  <c r="B111" i="9"/>
  <c r="E151" i="21" l="1"/>
  <c r="E92" i="20"/>
  <c r="K151" i="21"/>
  <c r="H111" i="9"/>
  <c r="H124" i="9" s="1"/>
  <c r="E37" i="9"/>
  <c r="B36" i="20" s="1"/>
  <c r="B124" i="9"/>
  <c r="B142" i="9"/>
  <c r="I36" i="20" l="1"/>
  <c r="E36" i="20"/>
  <c r="B37" i="21" s="1"/>
  <c r="E158" i="20"/>
  <c r="E96" i="21"/>
  <c r="B96" i="21"/>
  <c r="E111" i="9"/>
  <c r="E124" i="9" s="1"/>
  <c r="E142" i="9"/>
  <c r="I37" i="21" l="1"/>
  <c r="E37" i="21"/>
  <c r="E163" i="21"/>
  <c r="I111" i="9"/>
  <c r="I124" i="9" s="1"/>
  <c r="E146" i="9"/>
  <c r="B150" i="20" s="1"/>
  <c r="E150" i="20" s="1"/>
  <c r="B148" i="9"/>
  <c r="B36" i="22" l="1"/>
  <c r="E35" i="21"/>
  <c r="B155" i="21"/>
  <c r="E152" i="20"/>
  <c r="B153" i="22" s="1"/>
  <c r="I150" i="20"/>
  <c r="I152" i="20" s="1"/>
  <c r="K36" i="20"/>
  <c r="H37" i="21" s="1"/>
  <c r="K111" i="9"/>
  <c r="H148" i="9"/>
  <c r="E148" i="9"/>
  <c r="B152" i="20" s="1"/>
  <c r="I146" i="9"/>
  <c r="K146" i="9" s="1"/>
  <c r="K37" i="21" l="1"/>
  <c r="I36" i="22"/>
  <c r="E36" i="22"/>
  <c r="B157" i="21"/>
  <c r="E155" i="21"/>
  <c r="E157" i="21" s="1"/>
  <c r="I155" i="21"/>
  <c r="I157" i="21" s="1"/>
  <c r="K124" i="9"/>
  <c r="I148" i="9"/>
  <c r="H36" i="22" l="1"/>
  <c r="K148" i="9"/>
  <c r="H150" i="20"/>
  <c r="K150" i="20" s="1"/>
  <c r="X65" i="9"/>
  <c r="K36" i="22" l="1"/>
  <c r="K152" i="20"/>
  <c r="H153" i="22" s="1"/>
  <c r="H155" i="21"/>
  <c r="K155" i="21" s="1"/>
  <c r="K157" i="21" s="1"/>
  <c r="H152" i="20"/>
  <c r="H157" i="21" l="1"/>
  <c r="H142" i="9"/>
  <c r="I142" i="9" l="1"/>
  <c r="K142" i="9"/>
  <c r="E154" i="9" l="1"/>
  <c r="B95" i="9" l="1"/>
  <c r="B151" i="9" s="1"/>
  <c r="E43" i="9" l="1"/>
  <c r="B41" i="20" s="1"/>
  <c r="H73" i="9"/>
  <c r="H95" i="9" s="1"/>
  <c r="H151" i="9" s="1"/>
  <c r="I41" i="20" l="1"/>
  <c r="E41" i="20"/>
  <c r="B42" i="21" s="1"/>
  <c r="B72" i="20"/>
  <c r="B94" i="20" s="1"/>
  <c r="B155" i="20" s="1"/>
  <c r="E73" i="9"/>
  <c r="I73" i="9"/>
  <c r="I95" i="9" s="1"/>
  <c r="I151" i="9" s="1"/>
  <c r="I42" i="21" l="1"/>
  <c r="E42" i="21"/>
  <c r="B78" i="21"/>
  <c r="E72" i="20"/>
  <c r="I72" i="20"/>
  <c r="I94" i="20" s="1"/>
  <c r="K73" i="9"/>
  <c r="K41" i="20"/>
  <c r="H42" i="21" s="1"/>
  <c r="E153" i="9"/>
  <c r="E95" i="9"/>
  <c r="K42" i="21" l="1"/>
  <c r="H40" i="22" s="1"/>
  <c r="H78" i="21"/>
  <c r="B40" i="22"/>
  <c r="I78" i="21"/>
  <c r="I98" i="21" s="1"/>
  <c r="K95" i="9"/>
  <c r="K151" i="9" s="1"/>
  <c r="I155" i="20"/>
  <c r="E94" i="20"/>
  <c r="E157" i="20"/>
  <c r="E40" i="21"/>
  <c r="B98" i="21"/>
  <c r="B160" i="21" s="1"/>
  <c r="H72" i="20"/>
  <c r="H94" i="20" s="1"/>
  <c r="H155" i="20" s="1"/>
  <c r="E151" i="9"/>
  <c r="I160" i="21" l="1"/>
  <c r="E40" i="22"/>
  <c r="J40" i="22"/>
  <c r="J78" i="22" s="1"/>
  <c r="I40" i="22"/>
  <c r="H78" i="22"/>
  <c r="H98" i="22" s="1"/>
  <c r="H156" i="22" s="1"/>
  <c r="K156" i="9"/>
  <c r="E78" i="21"/>
  <c r="E98" i="21" s="1"/>
  <c r="B38" i="22"/>
  <c r="E155" i="20"/>
  <c r="K78" i="21"/>
  <c r="H98" i="21"/>
  <c r="H160" i="21" s="1"/>
  <c r="K72" i="20"/>
  <c r="E162" i="21" l="1"/>
  <c r="K40" i="22"/>
  <c r="E38" i="22"/>
  <c r="E78" i="22" s="1"/>
  <c r="I38" i="22"/>
  <c r="B78" i="22"/>
  <c r="B98" i="22" s="1"/>
  <c r="B156" i="22" s="1"/>
  <c r="E160" i="21"/>
  <c r="K94" i="20"/>
  <c r="K38" i="22" l="1"/>
  <c r="I78" i="22"/>
  <c r="I98" i="22" s="1"/>
  <c r="E158" i="22"/>
  <c r="E98" i="22"/>
  <c r="K98" i="21"/>
  <c r="K155" i="20"/>
  <c r="I156" i="22" l="1"/>
  <c r="E156" i="22"/>
  <c r="K78" i="22"/>
  <c r="K160" i="20"/>
  <c r="K160" i="21"/>
  <c r="F24" i="17"/>
  <c r="C24" i="17"/>
  <c r="D24" i="17"/>
  <c r="K98" i="22" l="1"/>
  <c r="K165" i="21"/>
  <c r="K156" i="22" l="1"/>
  <c r="K161" i="22" l="1"/>
  <c r="C37" i="17" l="1"/>
  <c r="D43" i="17" l="1"/>
  <c r="C44" i="17"/>
  <c r="E52" i="17" l="1"/>
  <c r="E56" i="17" s="1"/>
  <c r="C52" i="17" l="1"/>
  <c r="C56" i="17" s="1"/>
  <c r="C58" i="17" s="1"/>
  <c r="D49" i="17"/>
  <c r="D52" i="17" s="1"/>
  <c r="D56" i="17" s="1"/>
  <c r="D55" i="17" l="1"/>
  <c r="D58" i="17" s="1"/>
  <c r="E55" i="17" s="1"/>
  <c r="E58" i="17" s="1"/>
  <c r="F55" i="17" s="1"/>
  <c r="E60" i="17"/>
  <c r="E61" i="17" s="1"/>
  <c r="D60" i="17" l="1"/>
  <c r="C61" i="17"/>
  <c r="F60" i="17" l="1"/>
  <c r="D61" i="17"/>
  <c r="C41" i="17" l="1"/>
  <c r="C38" i="17" s="1"/>
  <c r="C32" i="17" s="1"/>
  <c r="C34" i="17" s="1"/>
  <c r="D10" i="17"/>
  <c r="D37" i="17" s="1"/>
  <c r="F52" i="17" l="1"/>
  <c r="F56" i="17" s="1"/>
  <c r="F58" i="17" s="1"/>
  <c r="E43" i="17" l="1"/>
  <c r="D44" i="17"/>
  <c r="F43" i="17" l="1"/>
  <c r="E44" i="17"/>
  <c r="F61" i="17" l="1"/>
  <c r="E10" i="17" l="1"/>
  <c r="E37" i="17" l="1"/>
  <c r="D41" i="17"/>
  <c r="D38" i="17" s="1"/>
  <c r="D32" i="17" s="1"/>
  <c r="D34" i="17" s="1"/>
  <c r="E41" i="17"/>
  <c r="E38" i="17" l="1"/>
  <c r="F10" i="17"/>
  <c r="F37" i="17" s="1"/>
  <c r="E32" i="17" l="1"/>
  <c r="E34" i="17" s="1"/>
  <c r="F44" i="17" l="1"/>
  <c r="F41" i="17"/>
  <c r="F38" i="17" s="1"/>
  <c r="F32" i="17" s="1"/>
  <c r="F34" i="17" s="1"/>
</calcChain>
</file>

<file path=xl/sharedStrings.xml><?xml version="1.0" encoding="utf-8"?>
<sst xmlns="http://schemas.openxmlformats.org/spreadsheetml/2006/main" count="1111" uniqueCount="318">
  <si>
    <t>Opening PPE in-service</t>
  </si>
  <si>
    <t>Closing PPE in-service</t>
  </si>
  <si>
    <t>RECONCILIATION OF CUSTOMER CONTRIBUTIONS</t>
  </si>
  <si>
    <t>Opening Customer Contributions WIP</t>
  </si>
  <si>
    <t>Customer Contributions Received</t>
  </si>
  <si>
    <t>less: transfer to Rate Base</t>
  </si>
  <si>
    <t>Customer Contributions WIP end of year</t>
  </si>
  <si>
    <t xml:space="preserve">Opening Gross Customer Contributions in Service </t>
  </si>
  <si>
    <t>Transfers from WIP</t>
  </si>
  <si>
    <t xml:space="preserve">Closing Gross Customer Contributions in Service </t>
  </si>
  <si>
    <t>Total Transmission</t>
  </si>
  <si>
    <t>Total Distribution</t>
  </si>
  <si>
    <t>Total Generation</t>
  </si>
  <si>
    <t>Total General Plant &amp; Equipment</t>
  </si>
  <si>
    <t>SUMMARY - RECONCILIATION OF PROPERTY, PLANT AND EQUIPMENT</t>
  </si>
  <si>
    <t>YUKON ENERGY CORPORATION</t>
  </si>
  <si>
    <t>($000S)</t>
  </si>
  <si>
    <t>Description</t>
  </si>
  <si>
    <t>Transfer to Ratebase</t>
  </si>
  <si>
    <t>Total WIP Adjustments and Transfers</t>
  </si>
  <si>
    <t>WIP end of year</t>
  </si>
  <si>
    <t>Opening Total PPE (in-service plus WIP)</t>
  </si>
  <si>
    <t>Change to total PPE</t>
  </si>
  <si>
    <t>Closing total PPE</t>
  </si>
  <si>
    <t>Opening Total Contribution (in-service plus WIP)</t>
  </si>
  <si>
    <t>Closing total Contribution</t>
  </si>
  <si>
    <t>Work in Progress (WIP), Beginning of Year</t>
  </si>
  <si>
    <t>Transmission</t>
  </si>
  <si>
    <t>Distribution</t>
  </si>
  <si>
    <t>Actual</t>
  </si>
  <si>
    <t>Generation</t>
  </si>
  <si>
    <t>General Plant &amp; Equipment</t>
  </si>
  <si>
    <t>TOTAL</t>
  </si>
  <si>
    <t>Major Projects</t>
  </si>
  <si>
    <t>Total Major Projects</t>
  </si>
  <si>
    <t>Change to total Contribution</t>
  </si>
  <si>
    <t>Table 5.1</t>
  </si>
  <si>
    <t>Ongoing Capital</t>
  </si>
  <si>
    <t>Subtotal Ongoing Capital</t>
  </si>
  <si>
    <t>Total General PPE</t>
  </si>
  <si>
    <t xml:space="preserve">Total Expenditures </t>
  </si>
  <si>
    <t>Table 5.3</t>
  </si>
  <si>
    <t>Accumulated Amortization</t>
  </si>
  <si>
    <t>Dec 31</t>
  </si>
  <si>
    <t>Amortization Rate and Method</t>
  </si>
  <si>
    <t xml:space="preserve"> Additions</t>
  </si>
  <si>
    <t>Large Hydro</t>
  </si>
  <si>
    <t>SL-10 years</t>
  </si>
  <si>
    <t>SL-5 years</t>
  </si>
  <si>
    <t>SL-12 years</t>
  </si>
  <si>
    <t>Total Feasibility Study WIP</t>
  </si>
  <si>
    <t>Total Feasibility Study Closed</t>
  </si>
  <si>
    <t>Total Feasibility</t>
  </si>
  <si>
    <t>Waste To Energy</t>
  </si>
  <si>
    <t>Forecast</t>
  </si>
  <si>
    <t>System Stability Review</t>
  </si>
  <si>
    <t>Climate Change Study</t>
  </si>
  <si>
    <t>YUB 2007-7 &amp; 9 - PPA Review</t>
  </si>
  <si>
    <t>YUB 2007-8 - Part 3 Hearing</t>
  </si>
  <si>
    <t>Feasibility Study</t>
  </si>
  <si>
    <t>Work in Progress</t>
  </si>
  <si>
    <t>Aishihik Relicensing</t>
  </si>
  <si>
    <t>Relicensing</t>
  </si>
  <si>
    <t>Whitehorse Relicensing</t>
  </si>
  <si>
    <t>Mayo Relicensing</t>
  </si>
  <si>
    <t>Total Relicensing Closed</t>
  </si>
  <si>
    <t>Total Relicensing WIP</t>
  </si>
  <si>
    <t>Total Relicensing</t>
  </si>
  <si>
    <t>DSM</t>
  </si>
  <si>
    <t>SL-45 years</t>
  </si>
  <si>
    <t>Dam Safety Review</t>
  </si>
  <si>
    <t>Completed projects</t>
  </si>
  <si>
    <t>WIP</t>
  </si>
  <si>
    <t>Total Deferred Costs</t>
  </si>
  <si>
    <t>Adjustments</t>
  </si>
  <si>
    <t>Table 5.4</t>
  </si>
  <si>
    <t>Table 5.5</t>
  </si>
  <si>
    <t>Retirements and other adjustments</t>
  </si>
  <si>
    <t>Net transfer from WIP</t>
  </si>
  <si>
    <t>Notes:</t>
  </si>
  <si>
    <t>Closed</t>
  </si>
  <si>
    <t>Net Deferred Costs (excluding WIP)</t>
  </si>
  <si>
    <t>1. This table does not include projects with zero net book value in the beginning of the year.</t>
  </si>
  <si>
    <t>EXPENDITURES ON PROPERTY, PLANT AND EQUIPMENT - SUMMARY</t>
  </si>
  <si>
    <t>Total Expenditures</t>
  </si>
  <si>
    <t>Transfer to RFSR</t>
  </si>
  <si>
    <t>Mayo Hydro Bridge Icing Upgrade</t>
  </si>
  <si>
    <t>Mayo Lake Outlet Channel</t>
  </si>
  <si>
    <t>Hydraulic Wood Removal System</t>
  </si>
  <si>
    <t>Power Canal Leak Investigation</t>
  </si>
  <si>
    <t>Biogas Study</t>
  </si>
  <si>
    <t>Carmacks Airport Substation</t>
  </si>
  <si>
    <t>Solar PV Installation-WH</t>
  </si>
  <si>
    <t>Hoole Canyon and Slate Rapids</t>
  </si>
  <si>
    <t>Load Forecasting</t>
  </si>
  <si>
    <t>Faro Mine Pumped Storage Project</t>
  </si>
  <si>
    <t>Enterprise Risk Management</t>
  </si>
  <si>
    <t>LNG Supply Option</t>
  </si>
  <si>
    <t>LNG Transportation Options</t>
  </si>
  <si>
    <t>Mayo &amp; Aishihik Climate Change</t>
  </si>
  <si>
    <t>SKTP-YG Funding</t>
  </si>
  <si>
    <t>Moon Lake Hydro Project</t>
  </si>
  <si>
    <t>Home Heating Retrofit Options</t>
  </si>
  <si>
    <t>Total Overhaul</t>
  </si>
  <si>
    <t>LNG Feasibility Study</t>
  </si>
  <si>
    <t>WAF Transmission Upgrades</t>
  </si>
  <si>
    <t>Vehicle Purchases</t>
  </si>
  <si>
    <t>Regulatory</t>
  </si>
  <si>
    <t>Overhauls</t>
  </si>
  <si>
    <t>Arc Flash Study</t>
  </si>
  <si>
    <t>Mayo A Hydro Assessment</t>
  </si>
  <si>
    <t>Vegetation Management on Powerline Rights of Way</t>
  </si>
  <si>
    <t>DSM Program Development</t>
  </si>
  <si>
    <t>Evaluation of CIS Options</t>
  </si>
  <si>
    <t>GIS Assessment</t>
  </si>
  <si>
    <t>LNG Third Engine Assessment</t>
  </si>
  <si>
    <t>Continuity Schedule of Deferred Costs (2018)</t>
  </si>
  <si>
    <t>Diesel Generator Protection</t>
  </si>
  <si>
    <t>Asset Condition Assessment</t>
  </si>
  <si>
    <t>LNG Boil Off Gas Options</t>
  </si>
  <si>
    <t>Total Dam Safety Review</t>
  </si>
  <si>
    <t>Communications Upgrade</t>
  </si>
  <si>
    <t xml:space="preserve">MH2 Ten Year Overhaul </t>
  </si>
  <si>
    <t>Transfers
/Retired</t>
  </si>
  <si>
    <t>Dawson Downtown Voltage Upgrade Assessment</t>
  </si>
  <si>
    <t>Resource Plan Update - 2016</t>
  </si>
  <si>
    <t>Gladstone</t>
  </si>
  <si>
    <t>Wind Feasibility - Ferry Hill</t>
  </si>
  <si>
    <t>Condition Assessment of Selected YEC Assets</t>
  </si>
  <si>
    <t>Building Condition Reports</t>
  </si>
  <si>
    <t>Condition Assessment of WH &amp; WD Assets</t>
  </si>
  <si>
    <t>Life Cycle Analysis of LNG/Diesel</t>
  </si>
  <si>
    <t>Cross Arm Replacements Evaluation</t>
  </si>
  <si>
    <t>Other projects under $100K</t>
  </si>
  <si>
    <t>Atlin Storage</t>
  </si>
  <si>
    <t>YDC Feasibility Asset Contribution</t>
  </si>
  <si>
    <t>Geothermal</t>
  </si>
  <si>
    <t>L170 Cross Arm Testing &amp; Change</t>
  </si>
  <si>
    <t>Retirements, Disposals and Adjustments</t>
  </si>
  <si>
    <t>1. Based on IFRS requirements, the financial statement accumulated depreciation at January 1, 2014 was rebased to $0 and total costs adjusted accordingly.  Therefore, the total gross plant in Table 5.1 is not the same as gross plant in the financial statements.</t>
  </si>
  <si>
    <t>Whitehorse Diesel System Grounding for Generators</t>
  </si>
  <si>
    <t>Assessment of Fuel Tank Whitehorse</t>
  </si>
  <si>
    <t>Disaster Recovery Plan</t>
  </si>
  <si>
    <t>Enterprise Risk Management Report</t>
  </si>
  <si>
    <t>Waste To Energy Contribution</t>
  </si>
  <si>
    <t>Geothermal 2013 Contribution</t>
  </si>
  <si>
    <t>Whitehorse Diesel Plant Conversion</t>
  </si>
  <si>
    <t>WRGS Contamination Assessment</t>
  </si>
  <si>
    <t>Biogas Study Contribution</t>
  </si>
  <si>
    <t>Work in Progress:</t>
  </si>
  <si>
    <t>Completed Projects:</t>
  </si>
  <si>
    <t>Mt Sumanik Wind Feasibility Study</t>
  </si>
  <si>
    <t>Electric Vehicle Technical Study</t>
  </si>
  <si>
    <t>Biogas Preliminary Design 2 Contribution</t>
  </si>
  <si>
    <t>Whitehorse Turbine Re-runnering</t>
  </si>
  <si>
    <t>Aishihik Turbine Re-Runnering</t>
  </si>
  <si>
    <t>LNG Transportation Options Contribution</t>
  </si>
  <si>
    <t>General Rate Application - 2017/18</t>
  </si>
  <si>
    <t>Electric Vehicle Technical Study - Contributions</t>
  </si>
  <si>
    <t>Expenses</t>
  </si>
  <si>
    <t>Total Regulatory Closed</t>
  </si>
  <si>
    <t>Total Regulatory WIP</t>
  </si>
  <si>
    <t xml:space="preserve">Total Regulatory </t>
  </si>
  <si>
    <t>Southern Lakes Storage</t>
  </si>
  <si>
    <t>Energy Storage System</t>
  </si>
  <si>
    <t>Disaster Recovery / Business Continuity Plan</t>
  </si>
  <si>
    <t>N-1 Event Risk Assessment</t>
  </si>
  <si>
    <t>Dyke Heating Pipe Assessment</t>
  </si>
  <si>
    <t>WH2 Uprate Assessment</t>
  </si>
  <si>
    <t>Wareham Spillgate Leakage Reduction Study</t>
  </si>
  <si>
    <t>Water Study Main Building</t>
  </si>
  <si>
    <t>Emergency Preparedness Improvement</t>
  </si>
  <si>
    <t>IPP Standing Offer Program Implementation</t>
  </si>
  <si>
    <t>Victoria Gold PPA Process</t>
  </si>
  <si>
    <t>2012 ERA and Long-Term Hydro YUB Application</t>
  </si>
  <si>
    <t>Asset Appraisal - Replacement Cost</t>
  </si>
  <si>
    <t>Mayo Lake Storage Assessment</t>
  </si>
  <si>
    <t>Whitehorse Hatchery Water Relicensing</t>
  </si>
  <si>
    <t>Victoria Gold PPA Process Contributions</t>
  </si>
  <si>
    <t>Dawson Downtown Distribution Fusing</t>
  </si>
  <si>
    <t>Transformer T9 Assessment</t>
  </si>
  <si>
    <t>SKTP Planning 2015-2017</t>
  </si>
  <si>
    <t>Asset Management Plan</t>
  </si>
  <si>
    <t>IFRS Upgrades</t>
  </si>
  <si>
    <t>Detailed Line Inspection L169-L172</t>
  </si>
  <si>
    <t>Unit 4 Weir Assessment</t>
  </si>
  <si>
    <t>IFRS Transition</t>
  </si>
  <si>
    <t>Asset Appraisal - Replacment Cost</t>
  </si>
  <si>
    <t>Victoria Gold PPA Process Contribution</t>
  </si>
  <si>
    <t>DSM Contribution</t>
  </si>
  <si>
    <t>Resource Plan Update - 2016 Contribution</t>
  </si>
  <si>
    <t>Continuity Schedule of Deferred Costs (2019)</t>
  </si>
  <si>
    <t>Mayo A &amp; B Road Infrastructure Study</t>
  </si>
  <si>
    <t>10 Year Renewable Energy Plan</t>
  </si>
  <si>
    <t>Aishihik 2020 25 Year Relicensing</t>
  </si>
  <si>
    <t>Aishihik 2020 3 Year Relicensing</t>
  </si>
  <si>
    <t>Continuity Schedule of Deferred Costs (2020)</t>
  </si>
  <si>
    <t>2020 Forecast</t>
  </si>
  <si>
    <t>Aishihik Elevator Study</t>
  </si>
  <si>
    <t>Repeater Network Upgrade Assessment</t>
  </si>
  <si>
    <t>Trash Rack Cleaning Study</t>
  </si>
  <si>
    <t>EV Infrastructure Strategy</t>
  </si>
  <si>
    <t>Transmission Access Road Program Study</t>
  </si>
  <si>
    <t>PMF Flood Study</t>
  </si>
  <si>
    <r>
      <t>AH3 Contract Dispute</t>
    </r>
    <r>
      <rPr>
        <vertAlign val="superscript"/>
        <sz val="10"/>
        <color theme="1"/>
        <rFont val="Arial"/>
        <family val="2"/>
      </rPr>
      <t>1</t>
    </r>
  </si>
  <si>
    <t>Asset Management Framework</t>
  </si>
  <si>
    <t>Breaker Replacement Program</t>
  </si>
  <si>
    <t>Building Upgrades</t>
  </si>
  <si>
    <t>Dawson Voltage Conversion</t>
  </si>
  <si>
    <t>EAM Purchase and Implementation</t>
  </si>
  <si>
    <t>Replace P125 WH2 Head Gate</t>
  </si>
  <si>
    <t>Transmission Line Refurbishment</t>
  </si>
  <si>
    <t>WH2 Uprate</t>
  </si>
  <si>
    <t>Dam Safety Recommendations 2017/18</t>
  </si>
  <si>
    <t>P126 LNG Boil-off-gas Heat Exchanger</t>
  </si>
  <si>
    <t>Wareham Gate Heater</t>
  </si>
  <si>
    <t>N-1 Capacity Shortage Mobile Genset</t>
  </si>
  <si>
    <t>Transmission Line Access</t>
  </si>
  <si>
    <t>L355 Voltage Regulator</t>
  </si>
  <si>
    <t>System Improvements for Eagle Gold Mine</t>
  </si>
  <si>
    <t>Crane Replacement/Refurbishment</t>
  </si>
  <si>
    <t>Mayo Earthworks</t>
  </si>
  <si>
    <t>Water Improvement Upgrades</t>
  </si>
  <si>
    <t>Reserve for Site Restoration</t>
  </si>
  <si>
    <t>Decommission WW1</t>
  </si>
  <si>
    <t>Site Restoration Transmission Lines</t>
  </si>
  <si>
    <t>Total Reserve for Site Restoration</t>
  </si>
  <si>
    <t>Reserve for Injuries and Damages</t>
  </si>
  <si>
    <t>Injuries and Damages Costs</t>
  </si>
  <si>
    <t>Total Reserve for Injuries and Damages</t>
  </si>
  <si>
    <t>Total RFSR</t>
  </si>
  <si>
    <t>Total RFID</t>
  </si>
  <si>
    <t>Transfer to RFID</t>
  </si>
  <si>
    <t>Pumped Storage</t>
  </si>
  <si>
    <t>WH1 and WH2 Design and Install Dewatering System</t>
  </si>
  <si>
    <t>Southern Lakes Transmission Line</t>
  </si>
  <si>
    <t>Stop Log Crane WH Main Spillway</t>
  </si>
  <si>
    <t>Dam Safety Program</t>
  </si>
  <si>
    <t>Wareham Gate Refurbishment</t>
  </si>
  <si>
    <t>Protection and Control Program</t>
  </si>
  <si>
    <t>Compact Digger Truck</t>
  </si>
  <si>
    <t>Transfers (Income Statement, Feasibility and Other)</t>
  </si>
  <si>
    <t>Small Hydro</t>
  </si>
  <si>
    <t>Mayo A&amp;B Road Infrastructure Study</t>
  </si>
  <si>
    <t>DSM Residential Demand Response Pilot</t>
  </si>
  <si>
    <t>DSM Residential Demand Response Pilot Contributions</t>
  </si>
  <si>
    <t>Retired</t>
  </si>
  <si>
    <t>2018 Actual</t>
  </si>
  <si>
    <t>2019 Actual</t>
  </si>
  <si>
    <t>Diesel Retirement Replacement</t>
  </si>
  <si>
    <t>Business Continuity Plan</t>
  </si>
  <si>
    <t>WH4 Turbine Floor Cooling Upgrade Assessment</t>
  </si>
  <si>
    <t>General Rate Application - 2021</t>
  </si>
  <si>
    <t>10 Year Renewable Energy Plan Contributions</t>
  </si>
  <si>
    <t>Atlin Hydro EPA Preparation</t>
  </si>
  <si>
    <t>Continuity Schedule of Deferred Costs (2021)</t>
  </si>
  <si>
    <t>Table 5.6</t>
  </si>
  <si>
    <t>2021 Forecast</t>
  </si>
  <si>
    <t>Callison S250-T1 Replacement Assessment</t>
  </si>
  <si>
    <t>Building Condition Reports 2021-2024</t>
  </si>
  <si>
    <t>P125 Trashrack Study</t>
  </si>
  <si>
    <t>Whitehorse Diesel Rental Substation Improvements</t>
  </si>
  <si>
    <t>Whitehorse Fire System Investigation</t>
  </si>
  <si>
    <t>LNG Third Engine / Critical Spares</t>
  </si>
  <si>
    <t>MH0 (Mayo A) Generating Station Slope Stability</t>
  </si>
  <si>
    <t>Replacement of Mayo A Surge Chamber</t>
  </si>
  <si>
    <t>WAF L178</t>
  </si>
  <si>
    <t>Whitehorse Interconnection</t>
  </si>
  <si>
    <t>L177 Re Route</t>
  </si>
  <si>
    <t>New Mobile Office Unit - IT</t>
  </si>
  <si>
    <t>WH4 Ventilation</t>
  </si>
  <si>
    <t>Decommission WD3</t>
  </si>
  <si>
    <t>FD7 Overhaul</t>
  </si>
  <si>
    <t>Table 5.2-1</t>
  </si>
  <si>
    <t>Breaker Replacement Program - 2018</t>
  </si>
  <si>
    <t>Transmission Line Refurbishment - 2018</t>
  </si>
  <si>
    <t>1. This does not include legal costs required to be expensed for accounting purposes. Upon final settlement of the lawsuit (under appeal as of 2021 GRA filing), total project costs (including legal expensed) will be presented to the board for review.</t>
  </si>
  <si>
    <t>Table 5.2-2</t>
  </si>
  <si>
    <r>
      <t>McQuesten Substation</t>
    </r>
    <r>
      <rPr>
        <vertAlign val="superscript"/>
        <sz val="11"/>
        <color indexed="8"/>
        <rFont val="Tahoma"/>
        <family val="2"/>
      </rPr>
      <t>1</t>
    </r>
  </si>
  <si>
    <r>
      <t>Mayo to McQuesten Transmission Line Upgrade</t>
    </r>
    <r>
      <rPr>
        <vertAlign val="superscript"/>
        <sz val="11"/>
        <color indexed="8"/>
        <rFont val="Tahoma"/>
        <family val="2"/>
      </rPr>
      <t>1</t>
    </r>
  </si>
  <si>
    <r>
      <t>Customer Extensions</t>
    </r>
    <r>
      <rPr>
        <vertAlign val="superscript"/>
        <sz val="11"/>
        <color indexed="8"/>
        <rFont val="Tahoma"/>
        <family val="2"/>
      </rPr>
      <t>1</t>
    </r>
  </si>
  <si>
    <r>
      <t>Alexco Mobile Substation Connection</t>
    </r>
    <r>
      <rPr>
        <vertAlign val="superscript"/>
        <sz val="11"/>
        <color indexed="8"/>
        <rFont val="Tahoma"/>
        <family val="2"/>
      </rPr>
      <t>1</t>
    </r>
  </si>
  <si>
    <r>
      <t xml:space="preserve">Minto Mine Substation - Neutral Ground Resistor </t>
    </r>
    <r>
      <rPr>
        <vertAlign val="superscript"/>
        <sz val="11"/>
        <color indexed="8"/>
        <rFont val="Tahoma"/>
        <family val="2"/>
      </rPr>
      <t>1</t>
    </r>
  </si>
  <si>
    <r>
      <t xml:space="preserve">Van Gorda Substation </t>
    </r>
    <r>
      <rPr>
        <vertAlign val="superscript"/>
        <sz val="11"/>
        <color indexed="8"/>
        <rFont val="Tahoma"/>
        <family val="2"/>
      </rPr>
      <t>1</t>
    </r>
  </si>
  <si>
    <t>2. Numbers include AFUDC where applicable.</t>
  </si>
  <si>
    <t xml:space="preserve">3. Numbers incude transfers from planning and study cost and transfers from other projects where the capital expenditures may not be in the year shown. </t>
  </si>
  <si>
    <t>1. The costs before expected contributions for the project. Please see section of Tab 5 document for details of the contributions.</t>
  </si>
  <si>
    <t>Projects Included in 2021 Rate Base</t>
  </si>
  <si>
    <t>Major Projects not in 2017-18 GRA Rate Base</t>
  </si>
  <si>
    <t>Major Projects Reviewed in 2017/18 GRA [forecast not included in 2018 GRA rate base]</t>
  </si>
  <si>
    <t>Major Projects Reviewed in 2017/18 GRA [forecast included in 2018 GRA rate base]</t>
  </si>
  <si>
    <r>
      <t xml:space="preserve">EXPENDITURES ON PROPERTY, PLANT AND EQUIPMENT </t>
    </r>
    <r>
      <rPr>
        <b/>
        <vertAlign val="superscript"/>
        <sz val="11"/>
        <color theme="1"/>
        <rFont val="Arial"/>
        <family val="2"/>
      </rPr>
      <t>2,3</t>
    </r>
  </si>
  <si>
    <r>
      <t xml:space="preserve">Energy Storage System (transfer from Feasibility) </t>
    </r>
    <r>
      <rPr>
        <vertAlign val="superscript"/>
        <sz val="11"/>
        <color indexed="8"/>
        <rFont val="Tahoma"/>
        <family val="2"/>
      </rPr>
      <t>4</t>
    </r>
  </si>
  <si>
    <t>4. The costs before expected contributions for the project. Please see section of Tab 5 document for details of the contributions.</t>
  </si>
  <si>
    <t>4. Projects included in 2018 GRA rate base except as otherwise noted in table.</t>
  </si>
  <si>
    <r>
      <t xml:space="preserve">2018 </t>
    </r>
    <r>
      <rPr>
        <b/>
        <vertAlign val="superscript"/>
        <sz val="11"/>
        <rFont val="Arial"/>
        <family val="2"/>
      </rPr>
      <t>4</t>
    </r>
  </si>
  <si>
    <r>
      <t xml:space="preserve">Major Projects Forecast to Remain in WIP by end of 2021 </t>
    </r>
    <r>
      <rPr>
        <b/>
        <vertAlign val="superscript"/>
        <sz val="11"/>
        <color theme="1"/>
        <rFont val="Arial"/>
        <family val="2"/>
      </rPr>
      <t>5</t>
    </r>
  </si>
  <si>
    <t>5. All project listed above will have capital expenditures after 2021. AH3 Contract Dispute cost will depend on final settlement of the lawsuit.</t>
  </si>
  <si>
    <t>Continuity Schedule of Intangible Assets</t>
  </si>
  <si>
    <t>Table 5.7</t>
  </si>
  <si>
    <t xml:space="preserve">Expenditures </t>
  </si>
  <si>
    <t>Close to Ratebase</t>
  </si>
  <si>
    <t>Opening Intangibles in-service</t>
  </si>
  <si>
    <t>Closing Intangibles in-service</t>
  </si>
  <si>
    <t>Opening Accumulated Amortization of Intangibles</t>
  </si>
  <si>
    <t>Closing Accumulated Amortization of Intangibles</t>
  </si>
  <si>
    <t>Amortization</t>
  </si>
  <si>
    <t>Annual Change</t>
  </si>
  <si>
    <t>($)</t>
  </si>
  <si>
    <t>Opening NBV of Intangibles in-service</t>
  </si>
  <si>
    <t>Closing NBV of Intangibles in-service</t>
  </si>
  <si>
    <t>ERP System Upgrades</t>
  </si>
  <si>
    <t>Projects under $100K</t>
  </si>
  <si>
    <t>Note 2</t>
  </si>
  <si>
    <t>2. By end of 2021 WH2 Uprate Assessment will be transferred to Property, Plant and Equipment and added to WH2 Uprate total cost [amortized over 72 years starting in 2022].</t>
  </si>
  <si>
    <t>N-1 Capacity Shortage Thermal Rental Site Electrical Infrastructure</t>
  </si>
  <si>
    <t>WH4 Uprate [Servomotor]</t>
  </si>
  <si>
    <t>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</si>
</sst>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
    <numFmt numFmtId="167" formatCode="_(* #,##0_);_(* \(#,##0\);_(* &quot;-&quot;??_);_(@_)"/>
    <numFmt numFmtId="168" formatCode="?"/>
    <numFmt numFmtId="169" formatCode="_-* #,##0_-;\-* #,##0_-;_-* &quot;-&quot;??_-;_-@_-"/>
    <numFmt numFmtId="170" formatCode="&quot;$&quot;#,##0;[Red]&quot;$&quot;#,##0"/>
  </numFmts>
  <fonts count="27">
    <font>
      <sz val="11"/>
      <color theme="1"/>
      <name val="Calibri"/>
      <family val="2"/>
      <scheme val="minor"/>
    </font>
    <font>
      <sz val="10"/>
      <name val="Arial"/>
      <family val="2"/>
    </font>
    <font>
      <b/>
      <sz val="10"/>
      <name val="Arial"/>
      <family val="2"/>
    </font>
    <font>
      <sz val="8.5"/>
      <name val="LinePrinter"/>
    </font>
    <font>
      <i/>
      <sz val="10"/>
      <name val="Arial"/>
      <family val="2"/>
    </font>
    <font>
      <sz val="10"/>
      <name val="Helvetica (PCL6)"/>
    </font>
    <font>
      <sz val="11"/>
      <color theme="1"/>
      <name val="Calibri"/>
      <family val="2"/>
      <scheme val="minor"/>
    </font>
    <font>
      <sz val="10"/>
      <color theme="1"/>
      <name val="Arial"/>
      <family val="2"/>
    </font>
    <font>
      <b/>
      <sz val="10"/>
      <color theme="1"/>
      <name val="Arial"/>
      <family val="2"/>
    </font>
    <font>
      <i/>
      <sz val="10"/>
      <color theme="1"/>
      <name val="Arial"/>
      <family val="2"/>
    </font>
    <font>
      <sz val="10"/>
      <color theme="1"/>
      <name val="Calibri"/>
      <family val="2"/>
      <scheme val="minor"/>
    </font>
    <font>
      <sz val="8"/>
      <name val="Arial"/>
      <family val="2"/>
    </font>
    <font>
      <sz val="10"/>
      <color indexed="8"/>
      <name val="Tahoma"/>
      <family val="2"/>
    </font>
    <font>
      <sz val="10"/>
      <name val="Arial"/>
      <family val="2"/>
    </font>
    <font>
      <sz val="10"/>
      <color theme="0"/>
      <name val="Tahoma"/>
      <family val="2"/>
    </font>
    <font>
      <sz val="8.25"/>
      <color rgb="FF000000"/>
      <name val="Arial"/>
      <family val="2"/>
    </font>
    <font>
      <sz val="10"/>
      <name val="MS Sans Serif"/>
      <family val="2"/>
    </font>
    <font>
      <sz val="10"/>
      <color theme="1"/>
      <name val="Calibri"/>
      <family val="2"/>
    </font>
    <font>
      <sz val="8"/>
      <color theme="1"/>
      <name val="Calibri"/>
      <family val="2"/>
    </font>
    <font>
      <sz val="10"/>
      <color theme="1"/>
      <name val="Tahoma"/>
      <family val="2"/>
    </font>
    <font>
      <b/>
      <sz val="10"/>
      <name val="MS Sans Serif"/>
      <family val="2"/>
    </font>
    <font>
      <vertAlign val="superscript"/>
      <sz val="10"/>
      <color theme="1"/>
      <name val="Arial"/>
      <family val="2"/>
    </font>
    <font>
      <sz val="8"/>
      <name val="Calibri"/>
      <family val="2"/>
      <scheme val="minor"/>
    </font>
    <font>
      <vertAlign val="superscript"/>
      <sz val="11"/>
      <color indexed="8"/>
      <name val="Tahoma"/>
      <family val="2"/>
    </font>
    <font>
      <b/>
      <vertAlign val="superscript"/>
      <sz val="11"/>
      <color theme="1"/>
      <name val="Arial"/>
      <family val="2"/>
    </font>
    <font>
      <b/>
      <vertAlign val="superscript"/>
      <sz val="11"/>
      <name val="Arial"/>
      <family val="2"/>
    </font>
    <font>
      <sz val="10"/>
      <color theme="0"/>
      <name val="Arial"/>
      <family val="2"/>
    </font>
  </fonts>
  <fills count="5">
    <fill>
      <patternFill patternType="none"/>
    </fill>
    <fill>
      <patternFill patternType="gray125"/>
    </fill>
    <fill>
      <patternFill patternType="solid">
        <fgColor rgb="FFFFFF00"/>
        <bgColor indexed="64"/>
      </patternFill>
    </fill>
    <fill>
      <patternFill patternType="solid">
        <fgColor theme="7" tint="0.39997558519241921"/>
        <bgColor indexed="65"/>
      </patternFill>
    </fill>
    <fill>
      <patternFill patternType="mediumGray">
        <fgColor indexed="22"/>
      </patternFill>
    </fill>
  </fills>
  <borders count="8">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118">
    <xf numFmtId="0" fontId="0" fillId="0" borderId="0"/>
    <xf numFmtId="165" fontId="6" fillId="0" borderId="0" applyFont="0" applyFill="0" applyBorder="0" applyAlignment="0" applyProtection="0"/>
    <xf numFmtId="165" fontId="1" fillId="0" borderId="0" applyFont="0" applyFill="0" applyBorder="0" applyAlignment="0" applyProtection="0"/>
    <xf numFmtId="0" fontId="1" fillId="0" borderId="0"/>
    <xf numFmtId="0" fontId="3" fillId="0" borderId="0"/>
    <xf numFmtId="0" fontId="5" fillId="0" borderId="0"/>
    <xf numFmtId="9" fontId="6" fillId="0" borderId="0" applyFont="0" applyFill="0" applyBorder="0" applyAlignment="0" applyProtection="0"/>
    <xf numFmtId="0" fontId="13" fillId="0" borderId="0"/>
    <xf numFmtId="164" fontId="1" fillId="0" borderId="0" applyFont="0" applyFill="0" applyBorder="0" applyAlignment="0" applyProtection="0"/>
    <xf numFmtId="0" fontId="1" fillId="0" borderId="0"/>
    <xf numFmtId="0" fontId="14" fillId="3" borderId="0" applyNumberFormat="0" applyBorder="0" applyAlignment="0" applyProtection="0"/>
    <xf numFmtId="43"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5"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70" fontId="1" fillId="0" borderId="0" applyFont="0" applyFill="0" applyBorder="0" applyAlignment="0" applyProtection="0"/>
    <xf numFmtId="6"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5"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1" fillId="0" borderId="0" applyFont="0" applyFill="0" applyBorder="0" applyAlignment="0" applyProtection="0"/>
    <xf numFmtId="6" fontId="6" fillId="0" borderId="0" applyFont="0" applyFill="0" applyBorder="0" applyAlignment="0" applyProtection="0"/>
    <xf numFmtId="44" fontId="1" fillId="0" borderId="0" applyFont="0" applyFill="0" applyBorder="0" applyAlignment="0" applyProtection="0"/>
    <xf numFmtId="164" fontId="1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15" fillId="0" borderId="0" applyFont="0" applyFill="0" applyBorder="0" applyAlignment="0" applyProtection="0"/>
    <xf numFmtId="44" fontId="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6" fillId="0" borderId="0" applyFont="0" applyFill="0" applyBorder="0" applyAlignment="0" applyProtection="0"/>
    <xf numFmtId="37" fontId="16" fillId="0" borderId="0" applyFill="0" applyBorder="0" applyProtection="0"/>
    <xf numFmtId="0" fontId="1" fillId="0" borderId="0"/>
    <xf numFmtId="0" fontId="15" fillId="0" borderId="0" applyAlignment="0"/>
    <xf numFmtId="0" fontId="15" fillId="0" borderId="0" applyAlignment="0"/>
    <xf numFmtId="0" fontId="6" fillId="0" borderId="0"/>
    <xf numFmtId="0" fontId="6" fillId="0" borderId="0"/>
    <xf numFmtId="0" fontId="6" fillId="0" borderId="0"/>
    <xf numFmtId="0" fontId="6" fillId="0" borderId="0"/>
    <xf numFmtId="0" fontId="17" fillId="0" borderId="0"/>
    <xf numFmtId="0" fontId="6" fillId="0" borderId="0"/>
    <xf numFmtId="0" fontId="6" fillId="0" borderId="0"/>
    <xf numFmtId="0" fontId="6" fillId="0" borderId="0"/>
    <xf numFmtId="0" fontId="15" fillId="0" borderId="0" applyAlignment="0"/>
    <xf numFmtId="0" fontId="6" fillId="0" borderId="0"/>
    <xf numFmtId="0" fontId="6" fillId="0" borderId="0"/>
    <xf numFmtId="0" fontId="1" fillId="0" borderId="0"/>
    <xf numFmtId="0" fontId="15" fillId="0" borderId="0" applyAlignment="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19" fillId="0" borderId="0"/>
    <xf numFmtId="0" fontId="1" fillId="0" borderId="0"/>
    <xf numFmtId="0" fontId="6" fillId="0" borderId="0"/>
    <xf numFmtId="0" fontId="6" fillId="0" borderId="0"/>
    <xf numFmtId="0" fontId="6" fillId="0" borderId="0"/>
    <xf numFmtId="0" fontId="6" fillId="0" borderId="0"/>
    <xf numFmtId="0" fontId="15" fillId="0" borderId="0" applyAlignment="0"/>
    <xf numFmtId="0" fontId="6" fillId="0" borderId="0"/>
    <xf numFmtId="0" fontId="15" fillId="0" borderId="0" applyAlignment="0"/>
    <xf numFmtId="0" fontId="19" fillId="0" borderId="0"/>
    <xf numFmtId="0" fontId="16" fillId="0" borderId="0"/>
    <xf numFmtId="0" fontId="6" fillId="0" borderId="0"/>
    <xf numFmtId="0" fontId="6"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16" fillId="0" borderId="0" applyNumberFormat="0" applyFont="0" applyFill="0" applyBorder="0" applyAlignment="0" applyProtection="0">
      <alignment horizontal="left"/>
    </xf>
    <xf numFmtId="15" fontId="16" fillId="0" borderId="0" applyFont="0" applyFill="0" applyBorder="0" applyAlignment="0" applyProtection="0"/>
    <xf numFmtId="4" fontId="16" fillId="0" borderId="0" applyFont="0" applyFill="0" applyBorder="0" applyAlignment="0" applyProtection="0"/>
    <xf numFmtId="0" fontId="20" fillId="0" borderId="4">
      <alignment horizontal="center"/>
    </xf>
    <xf numFmtId="3" fontId="16" fillId="0" borderId="0" applyFont="0" applyFill="0" applyBorder="0" applyAlignment="0" applyProtection="0"/>
    <xf numFmtId="0" fontId="16" fillId="4" borderId="0" applyNumberFormat="0" applyFont="0" applyBorder="0" applyAlignment="0" applyProtection="0"/>
  </cellStyleXfs>
  <cellXfs count="141">
    <xf numFmtId="0" fontId="0" fillId="0" borderId="0" xfId="0"/>
    <xf numFmtId="0" fontId="1" fillId="0" borderId="0" xfId="0" applyFont="1" applyFill="1"/>
    <xf numFmtId="0" fontId="1" fillId="0" borderId="0" xfId="0" applyFont="1" applyFill="1" applyBorder="1"/>
    <xf numFmtId="0" fontId="1" fillId="0" borderId="0" xfId="0" applyFont="1"/>
    <xf numFmtId="0" fontId="2" fillId="0" borderId="0" xfId="0" applyFont="1" applyBorder="1" applyAlignment="1">
      <alignment vertical="center"/>
    </xf>
    <xf numFmtId="0" fontId="2" fillId="0" borderId="0" xfId="0" applyFont="1" applyFill="1"/>
    <xf numFmtId="0" fontId="2" fillId="0" borderId="0" xfId="0" applyFont="1"/>
    <xf numFmtId="0" fontId="2" fillId="0" borderId="1" xfId="0" applyFont="1" applyBorder="1" applyAlignment="1">
      <alignment horizontal="center" wrapText="1"/>
    </xf>
    <xf numFmtId="0" fontId="2" fillId="0" borderId="1" xfId="0" applyFont="1" applyBorder="1" applyAlignment="1">
      <alignment vertical="center"/>
    </xf>
    <xf numFmtId="0" fontId="1" fillId="0" borderId="1" xfId="0" applyFont="1" applyBorder="1"/>
    <xf numFmtId="0" fontId="1" fillId="0" borderId="2" xfId="0" applyFont="1" applyFill="1" applyBorder="1"/>
    <xf numFmtId="0" fontId="1" fillId="0" borderId="0" xfId="0" applyFont="1" applyBorder="1" applyAlignment="1">
      <alignment vertical="center"/>
    </xf>
    <xf numFmtId="37" fontId="2" fillId="0" borderId="0" xfId="4" applyNumberFormat="1" applyFont="1" applyFill="1" applyBorder="1" applyAlignment="1"/>
    <xf numFmtId="0" fontId="7" fillId="0" borderId="0" xfId="0" applyFont="1"/>
    <xf numFmtId="0" fontId="8" fillId="0" borderId="0" xfId="0" quotePrefix="1" applyFont="1" applyFill="1" applyAlignment="1">
      <alignment horizontal="right"/>
    </xf>
    <xf numFmtId="37" fontId="1" fillId="0" borderId="4" xfId="4" applyNumberFormat="1" applyFont="1" applyFill="1" applyBorder="1" applyAlignment="1"/>
    <xf numFmtId="37" fontId="1" fillId="0" borderId="0" xfId="4" applyNumberFormat="1" applyFont="1" applyFill="1" applyBorder="1" applyAlignment="1"/>
    <xf numFmtId="0" fontId="8" fillId="0" borderId="0" xfId="0" applyFont="1" applyAlignment="1"/>
    <xf numFmtId="0" fontId="8" fillId="0" borderId="0" xfId="0" applyFont="1" applyFill="1" applyAlignment="1">
      <alignment horizontal="center"/>
    </xf>
    <xf numFmtId="166" fontId="7" fillId="0" borderId="0" xfId="0" applyNumberFormat="1" applyFont="1"/>
    <xf numFmtId="166" fontId="7" fillId="0" borderId="0" xfId="0" applyNumberFormat="1" applyFont="1" applyFill="1"/>
    <xf numFmtId="168" fontId="7" fillId="0" borderId="0" xfId="0" applyNumberFormat="1" applyFont="1" applyFill="1"/>
    <xf numFmtId="166" fontId="7" fillId="0" borderId="1" xfId="0" applyNumberFormat="1" applyFont="1" applyFill="1" applyBorder="1"/>
    <xf numFmtId="0" fontId="7" fillId="0" borderId="1" xfId="0" applyFont="1" applyBorder="1"/>
    <xf numFmtId="0" fontId="9" fillId="0" borderId="0" xfId="0" applyFont="1"/>
    <xf numFmtId="166" fontId="9" fillId="0" borderId="0" xfId="0" applyNumberFormat="1" applyFont="1"/>
    <xf numFmtId="0" fontId="7" fillId="0" borderId="2" xfId="0" applyFont="1" applyBorder="1"/>
    <xf numFmtId="0" fontId="8" fillId="0" borderId="0" xfId="0" applyFont="1"/>
    <xf numFmtId="166" fontId="8" fillId="0" borderId="0" xfId="0" applyNumberFormat="1" applyFont="1"/>
    <xf numFmtId="166" fontId="7" fillId="0" borderId="0" xfId="0" applyNumberFormat="1" applyFont="1" applyFill="1" applyBorder="1"/>
    <xf numFmtId="0" fontId="7" fillId="0" borderId="0" xfId="0" applyFont="1" applyFill="1"/>
    <xf numFmtId="0" fontId="8" fillId="0" borderId="0" xfId="0" applyFont="1" applyFill="1" applyAlignment="1"/>
    <xf numFmtId="3" fontId="2" fillId="0" borderId="0" xfId="0" applyNumberFormat="1" applyFont="1" applyFill="1" applyAlignment="1">
      <alignment horizontal="center"/>
    </xf>
    <xf numFmtId="0" fontId="8" fillId="0" borderId="0" xfId="0" applyFont="1" applyFill="1"/>
    <xf numFmtId="0" fontId="2" fillId="0" borderId="1" xfId="0" applyFont="1" applyFill="1" applyBorder="1" applyAlignment="1">
      <alignment horizontal="left"/>
    </xf>
    <xf numFmtId="3" fontId="7" fillId="0" borderId="0" xfId="0" applyNumberFormat="1" applyFont="1" applyFill="1"/>
    <xf numFmtId="3" fontId="1" fillId="0" borderId="0" xfId="0" applyNumberFormat="1" applyFont="1" applyFill="1"/>
    <xf numFmtId="3" fontId="1" fillId="0" borderId="0" xfId="0" applyNumberFormat="1" applyFont="1" applyFill="1" applyBorder="1"/>
    <xf numFmtId="166" fontId="1" fillId="0" borderId="0" xfId="0" applyNumberFormat="1" applyFont="1" applyFill="1"/>
    <xf numFmtId="166" fontId="1" fillId="0" borderId="0" xfId="0" applyNumberFormat="1" applyFont="1" applyFill="1" applyBorder="1"/>
    <xf numFmtId="3" fontId="1" fillId="0" borderId="0" xfId="3" applyNumberFormat="1" applyFont="1" applyFill="1" applyBorder="1" applyAlignment="1">
      <alignment horizontal="left"/>
    </xf>
    <xf numFmtId="166" fontId="2" fillId="0" borderId="3" xfId="0" applyNumberFormat="1" applyFont="1" applyFill="1" applyBorder="1"/>
    <xf numFmtId="166" fontId="2" fillId="0" borderId="0" xfId="0" applyNumberFormat="1" applyFont="1" applyFill="1" applyBorder="1"/>
    <xf numFmtId="166" fontId="1" fillId="0" borderId="0" xfId="1" applyNumberFormat="1" applyFont="1" applyFill="1" applyBorder="1"/>
    <xf numFmtId="166" fontId="1" fillId="0" borderId="2" xfId="1" applyNumberFormat="1" applyFont="1" applyFill="1" applyBorder="1"/>
    <xf numFmtId="3" fontId="2" fillId="0" borderId="0" xfId="3" applyNumberFormat="1" applyFont="1" applyFill="1" applyBorder="1" applyAlignment="1">
      <alignment horizontal="left"/>
    </xf>
    <xf numFmtId="166" fontId="2" fillId="0" borderId="0" xfId="3" applyNumberFormat="1" applyFont="1" applyFill="1" applyBorder="1" applyAlignment="1"/>
    <xf numFmtId="3" fontId="7" fillId="0" borderId="2" xfId="0" applyNumberFormat="1" applyFont="1" applyFill="1" applyBorder="1"/>
    <xf numFmtId="166" fontId="2" fillId="0" borderId="0" xfId="0" applyNumberFormat="1" applyFont="1" applyFill="1"/>
    <xf numFmtId="0" fontId="5" fillId="0" borderId="0" xfId="5" applyFont="1" applyFill="1" applyAlignment="1">
      <alignment horizontal="left"/>
    </xf>
    <xf numFmtId="167" fontId="7" fillId="0" borderId="0" xfId="0" applyNumberFormat="1" applyFont="1" applyFill="1"/>
    <xf numFmtId="167" fontId="7" fillId="0" borderId="1" xfId="0" applyNumberFormat="1" applyFont="1" applyFill="1" applyBorder="1"/>
    <xf numFmtId="166" fontId="9" fillId="0" borderId="0" xfId="0" applyNumberFormat="1" applyFont="1" applyFill="1"/>
    <xf numFmtId="166" fontId="8" fillId="0" borderId="0" xfId="0" applyNumberFormat="1" applyFont="1" applyFill="1"/>
    <xf numFmtId="167" fontId="7" fillId="0" borderId="0" xfId="1" applyNumberFormat="1" applyFont="1" applyFill="1"/>
    <xf numFmtId="0" fontId="4" fillId="0" borderId="0" xfId="0" applyFont="1" applyFill="1" applyAlignment="1">
      <alignment horizontal="left" indent="10"/>
    </xf>
    <xf numFmtId="0" fontId="9" fillId="0" borderId="0" xfId="0" applyFont="1" applyFill="1"/>
    <xf numFmtId="49" fontId="1" fillId="0" borderId="0" xfId="4" quotePrefix="1" applyNumberFormat="1" applyFont="1" applyFill="1" applyBorder="1" applyAlignment="1">
      <alignment horizontal="center" vertical="center"/>
    </xf>
    <xf numFmtId="1" fontId="1" fillId="0" borderId="4" xfId="4" applyNumberFormat="1" applyFont="1" applyFill="1" applyBorder="1" applyAlignment="1">
      <alignment horizontal="center" vertical="center"/>
    </xf>
    <xf numFmtId="1" fontId="1" fillId="0" borderId="4" xfId="4" quotePrefix="1" applyNumberFormat="1" applyFont="1" applyFill="1" applyBorder="1" applyAlignment="1">
      <alignment horizontal="center" vertical="center"/>
    </xf>
    <xf numFmtId="9" fontId="7" fillId="0" borderId="0" xfId="6" applyFont="1"/>
    <xf numFmtId="37" fontId="1" fillId="0" borderId="0" xfId="4" quotePrefix="1" applyNumberFormat="1" applyFont="1" applyFill="1" applyBorder="1" applyAlignment="1"/>
    <xf numFmtId="4" fontId="1" fillId="0" borderId="0" xfId="3" applyNumberFormat="1" applyFont="1" applyFill="1"/>
    <xf numFmtId="37" fontId="1" fillId="0" borderId="1" xfId="4" applyNumberFormat="1" applyFont="1" applyFill="1" applyBorder="1" applyAlignment="1"/>
    <xf numFmtId="37" fontId="2" fillId="0" borderId="0" xfId="4" applyNumberFormat="1" applyFont="1" applyFill="1"/>
    <xf numFmtId="3" fontId="2" fillId="0" borderId="5" xfId="3" applyNumberFormat="1" applyFont="1" applyFill="1" applyBorder="1"/>
    <xf numFmtId="37" fontId="1" fillId="0" borderId="0" xfId="4" applyNumberFormat="1" applyFont="1" applyFill="1"/>
    <xf numFmtId="3" fontId="1" fillId="0" borderId="0" xfId="4" applyNumberFormat="1" applyFont="1" applyFill="1"/>
    <xf numFmtId="3" fontId="1" fillId="0" borderId="0" xfId="5" applyNumberFormat="1" applyFont="1" applyFill="1"/>
    <xf numFmtId="3" fontId="2" fillId="0" borderId="0" xfId="4" applyNumberFormat="1" applyFont="1" applyFill="1"/>
    <xf numFmtId="3" fontId="2" fillId="0" borderId="0" xfId="5" applyNumberFormat="1" applyFont="1" applyFill="1"/>
    <xf numFmtId="167" fontId="10" fillId="0" borderId="0" xfId="1" applyNumberFormat="1" applyFont="1"/>
    <xf numFmtId="0" fontId="7" fillId="0" borderId="1" xfId="0" applyFont="1" applyFill="1" applyBorder="1"/>
    <xf numFmtId="0" fontId="7" fillId="0" borderId="0" xfId="0" applyFont="1" applyFill="1" applyAlignment="1">
      <alignment horizontal="left"/>
    </xf>
    <xf numFmtId="0" fontId="7" fillId="0" borderId="0" xfId="0" applyFont="1" applyFill="1" applyAlignment="1"/>
    <xf numFmtId="3" fontId="7" fillId="0" borderId="1" xfId="0" applyNumberFormat="1" applyFont="1" applyFill="1" applyBorder="1"/>
    <xf numFmtId="0" fontId="12" fillId="0" borderId="0" xfId="0" applyFont="1" applyFill="1" applyBorder="1" applyAlignment="1">
      <alignment horizontal="left" vertical="center"/>
    </xf>
    <xf numFmtId="165" fontId="11" fillId="0" borderId="0" xfId="1" applyFont="1" applyFill="1" applyBorder="1"/>
    <xf numFmtId="0" fontId="2" fillId="0" borderId="1" xfId="0" applyFont="1" applyFill="1" applyBorder="1" applyAlignment="1">
      <alignment horizontal="center" wrapText="1"/>
    </xf>
    <xf numFmtId="0" fontId="2" fillId="0" borderId="0" xfId="0" applyFont="1" applyFill="1" applyAlignment="1">
      <alignment horizontal="right"/>
    </xf>
    <xf numFmtId="0" fontId="2" fillId="0" borderId="4" xfId="0" applyFont="1" applyFill="1" applyBorder="1"/>
    <xf numFmtId="0" fontId="2" fillId="0" borderId="0" xfId="0" applyFont="1" applyFill="1" applyBorder="1"/>
    <xf numFmtId="0" fontId="1" fillId="0" borderId="0" xfId="0" applyFont="1" applyFill="1" applyBorder="1" applyAlignment="1">
      <alignment horizontal="center"/>
    </xf>
    <xf numFmtId="49" fontId="1" fillId="0" borderId="0" xfId="0" applyNumberFormat="1" applyFont="1" applyFill="1" applyAlignment="1">
      <alignment horizontal="center" vertical="center"/>
    </xf>
    <xf numFmtId="1" fontId="1" fillId="0" borderId="4" xfId="0" quotePrefix="1"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wrapText="1"/>
    </xf>
    <xf numFmtId="1" fontId="1" fillId="0" borderId="4" xfId="0" applyNumberFormat="1" applyFont="1" applyFill="1" applyBorder="1" applyAlignment="1">
      <alignment horizontal="center" vertical="center"/>
    </xf>
    <xf numFmtId="43" fontId="7" fillId="0" borderId="0" xfId="0" applyNumberFormat="1" applyFont="1" applyFill="1"/>
    <xf numFmtId="169" fontId="7" fillId="0" borderId="0" xfId="0" applyNumberFormat="1" applyFont="1" applyFill="1"/>
    <xf numFmtId="0" fontId="1" fillId="0" borderId="0" xfId="0" applyFont="1" applyFill="1" applyBorder="1" applyAlignment="1">
      <alignment vertical="center"/>
    </xf>
    <xf numFmtId="169" fontId="7" fillId="2" borderId="0" xfId="0" applyNumberFormat="1" applyFont="1" applyFill="1"/>
    <xf numFmtId="0" fontId="7" fillId="0" borderId="0" xfId="0" applyFont="1" applyAlignment="1">
      <alignment horizontal="center"/>
    </xf>
    <xf numFmtId="169" fontId="7" fillId="0" borderId="0" xfId="1" applyNumberFormat="1" applyFont="1" applyFill="1"/>
    <xf numFmtId="0" fontId="8" fillId="0" borderId="0" xfId="0" applyFont="1" applyAlignment="1">
      <alignment horizontal="left"/>
    </xf>
    <xf numFmtId="0" fontId="8" fillId="0" borderId="0" xfId="0" applyFont="1" applyFill="1" applyAlignment="1">
      <alignment horizontal="left"/>
    </xf>
    <xf numFmtId="0" fontId="7" fillId="0" borderId="0" xfId="0" applyFont="1" applyFill="1" applyAlignment="1">
      <alignment horizontal="center"/>
    </xf>
    <xf numFmtId="0" fontId="8" fillId="0" borderId="0" xfId="0" applyFont="1" applyFill="1" applyBorder="1" applyAlignment="1">
      <alignment horizontal="left"/>
    </xf>
    <xf numFmtId="0" fontId="8" fillId="0" borderId="0" xfId="0" applyFont="1" applyFill="1" applyBorder="1" applyAlignment="1">
      <alignment horizontal="right"/>
    </xf>
    <xf numFmtId="0" fontId="8" fillId="0" borderId="0" xfId="0" applyFont="1" applyFill="1" applyBorder="1" applyAlignment="1"/>
    <xf numFmtId="3" fontId="2" fillId="0" borderId="0" xfId="0" applyNumberFormat="1" applyFont="1" applyFill="1" applyBorder="1" applyAlignment="1">
      <alignment horizontal="center"/>
    </xf>
    <xf numFmtId="0" fontId="8" fillId="0" borderId="0" xfId="0" applyFont="1" applyFill="1" applyBorder="1" applyAlignment="1">
      <alignment horizontal="center"/>
    </xf>
    <xf numFmtId="165" fontId="7" fillId="0" borderId="0" xfId="0" applyNumberFormat="1" applyFont="1" applyFill="1"/>
    <xf numFmtId="17" fontId="8" fillId="0" borderId="0" xfId="0" applyNumberFormat="1" applyFont="1" applyFill="1" applyAlignment="1"/>
    <xf numFmtId="0" fontId="8" fillId="0" borderId="0" xfId="0" quotePrefix="1" applyFont="1" applyFill="1" applyBorder="1" applyAlignment="1">
      <alignment horizontal="right"/>
    </xf>
    <xf numFmtId="166" fontId="2" fillId="0" borderId="0" xfId="1" applyNumberFormat="1" applyFont="1" applyFill="1" applyBorder="1"/>
    <xf numFmtId="3" fontId="2" fillId="0" borderId="0" xfId="0" applyNumberFormat="1" applyFont="1" applyFill="1"/>
    <xf numFmtId="166" fontId="2" fillId="0" borderId="2" xfId="1" applyNumberFormat="1" applyFont="1" applyFill="1" applyBorder="1"/>
    <xf numFmtId="43" fontId="7" fillId="0" borderId="0" xfId="1" applyNumberFormat="1" applyFont="1" applyFill="1"/>
    <xf numFmtId="0" fontId="7" fillId="0" borderId="0" xfId="0" applyFont="1" applyFill="1" applyAlignment="1">
      <alignment horizontal="center"/>
    </xf>
    <xf numFmtId="0" fontId="8" fillId="0" borderId="1" xfId="0" applyFont="1" applyFill="1" applyBorder="1"/>
    <xf numFmtId="37" fontId="2" fillId="0" borderId="0" xfId="4" quotePrefix="1" applyNumberFormat="1" applyFont="1" applyFill="1" applyBorder="1" applyAlignment="1"/>
    <xf numFmtId="0" fontId="8" fillId="0" borderId="0" xfId="0" applyFont="1" applyAlignment="1">
      <alignment horizontal="right"/>
    </xf>
    <xf numFmtId="0" fontId="8" fillId="0" borderId="0" xfId="0" applyFont="1" applyAlignment="1">
      <alignment horizontal="left"/>
    </xf>
    <xf numFmtId="3" fontId="8" fillId="0" borderId="3" xfId="0" applyNumberFormat="1" applyFont="1" applyFill="1" applyBorder="1"/>
    <xf numFmtId="3" fontId="2" fillId="0" borderId="3" xfId="3" applyNumberFormat="1" applyFont="1" applyFill="1" applyBorder="1" applyAlignment="1">
      <alignment horizontal="left"/>
    </xf>
    <xf numFmtId="0" fontId="7" fillId="0" borderId="0" xfId="0" applyFont="1" applyFill="1" applyAlignment="1">
      <alignment horizontal="left" wrapText="1"/>
    </xf>
    <xf numFmtId="0" fontId="1" fillId="0" borderId="0" xfId="0" applyFont="1" applyFill="1" applyAlignment="1">
      <alignment horizontal="centerContinuous" vertical="center"/>
    </xf>
    <xf numFmtId="0" fontId="1" fillId="0" borderId="7" xfId="0" applyFont="1" applyFill="1" applyBorder="1" applyAlignment="1">
      <alignment horizontal="centerContinuous" vertical="center"/>
    </xf>
    <xf numFmtId="0" fontId="8" fillId="0" borderId="0" xfId="0" applyFont="1" applyFill="1" applyAlignment="1">
      <alignment horizontal="left"/>
    </xf>
    <xf numFmtId="0" fontId="12" fillId="0" borderId="0" xfId="0" applyFont="1" applyFill="1" applyBorder="1" applyAlignment="1">
      <alignment horizontal="left" vertical="center" indent="1"/>
    </xf>
    <xf numFmtId="0" fontId="7" fillId="0" borderId="0" xfId="0" applyFont="1" applyFill="1" applyAlignment="1">
      <alignment horizontal="left" indent="1"/>
    </xf>
    <xf numFmtId="0" fontId="8" fillId="0" borderId="0" xfId="0" applyFont="1" applyAlignment="1">
      <alignment horizontal="left"/>
    </xf>
    <xf numFmtId="0" fontId="2" fillId="0" borderId="5" xfId="0" applyFont="1" applyBorder="1"/>
    <xf numFmtId="0" fontId="8" fillId="0" borderId="5" xfId="0" applyFont="1" applyBorder="1"/>
    <xf numFmtId="166" fontId="8" fillId="0" borderId="5" xfId="0" applyNumberFormat="1" applyFont="1" applyFill="1" applyBorder="1"/>
    <xf numFmtId="0" fontId="2" fillId="0" borderId="5" xfId="0" applyFont="1" applyBorder="1" applyAlignment="1">
      <alignment vertical="center"/>
    </xf>
    <xf numFmtId="0" fontId="7" fillId="0" borderId="5" xfId="0" applyFont="1" applyBorder="1"/>
    <xf numFmtId="0" fontId="2" fillId="0" borderId="0" xfId="0" applyFont="1" applyBorder="1"/>
    <xf numFmtId="0" fontId="8" fillId="0" borderId="0" xfId="0" applyFont="1" applyBorder="1"/>
    <xf numFmtId="166" fontId="8" fillId="0" borderId="0" xfId="0" applyNumberFormat="1" applyFont="1" applyFill="1" applyBorder="1"/>
    <xf numFmtId="166" fontId="26" fillId="0" borderId="2" xfId="0" applyNumberFormat="1" applyFont="1" applyFill="1" applyBorder="1"/>
    <xf numFmtId="0" fontId="8" fillId="0" borderId="0" xfId="0" applyFont="1" applyAlignment="1">
      <alignment horizontal="left"/>
    </xf>
    <xf numFmtId="0" fontId="7" fillId="0" borderId="0" xfId="0" applyFont="1" applyAlignment="1">
      <alignment horizontal="left" vertical="top" wrapText="1"/>
    </xf>
    <xf numFmtId="0" fontId="8" fillId="0" borderId="0" xfId="0" applyFont="1" applyFill="1" applyAlignment="1">
      <alignment horizontal="left"/>
    </xf>
    <xf numFmtId="0" fontId="7" fillId="0" borderId="0" xfId="0" applyFont="1" applyFill="1" applyAlignment="1">
      <alignment horizontal="left" wrapText="1"/>
    </xf>
    <xf numFmtId="0" fontId="7" fillId="0" borderId="0" xfId="0" applyFont="1" applyFill="1" applyAlignment="1">
      <alignment horizontal="left" vertical="top" wrapText="1"/>
    </xf>
    <xf numFmtId="37" fontId="1" fillId="0" borderId="4" xfId="4" quotePrefix="1" applyNumberFormat="1" applyFont="1" applyFill="1" applyBorder="1" applyAlignment="1">
      <alignment horizontal="center"/>
    </xf>
    <xf numFmtId="0" fontId="1" fillId="0" borderId="4" xfId="0" applyFont="1" applyFill="1" applyBorder="1" applyAlignment="1">
      <alignment horizontal="center"/>
    </xf>
    <xf numFmtId="0" fontId="1" fillId="0" borderId="6" xfId="0" applyFont="1" applyFill="1" applyBorder="1" applyAlignment="1">
      <alignment horizontal="center"/>
    </xf>
    <xf numFmtId="0" fontId="1" fillId="0" borderId="0" xfId="0" applyFont="1" applyFill="1" applyAlignment="1">
      <alignment horizontal="center" vertical="center" wrapText="1"/>
    </xf>
    <xf numFmtId="0" fontId="7" fillId="0" borderId="4" xfId="0" applyFont="1" applyFill="1" applyBorder="1" applyAlignment="1">
      <alignment horizontal="center" vertical="center" wrapText="1"/>
    </xf>
  </cellXfs>
  <cellStyles count="118">
    <cellStyle name="60% - Accent4 2" xfId="10" xr:uid="{00000000-0005-0000-0000-000000000000}"/>
    <cellStyle name="Comma" xfId="1" builtinId="3"/>
    <cellStyle name="Comma 10" xfId="11" xr:uid="{00000000-0005-0000-0000-000002000000}"/>
    <cellStyle name="Comma 11" xfId="12" xr:uid="{00000000-0005-0000-0000-000003000000}"/>
    <cellStyle name="Comma 11 2" xfId="13" xr:uid="{00000000-0005-0000-0000-000004000000}"/>
    <cellStyle name="Comma 12" xfId="14" xr:uid="{00000000-0005-0000-0000-000005000000}"/>
    <cellStyle name="Comma 2" xfId="2" xr:uid="{00000000-0005-0000-0000-000006000000}"/>
    <cellStyle name="Comma 2 2" xfId="15" xr:uid="{00000000-0005-0000-0000-000007000000}"/>
    <cellStyle name="Comma 2 3" xfId="16" xr:uid="{00000000-0005-0000-0000-000008000000}"/>
    <cellStyle name="Comma 2 4" xfId="17" xr:uid="{00000000-0005-0000-0000-000009000000}"/>
    <cellStyle name="Comma 3" xfId="18" xr:uid="{00000000-0005-0000-0000-00000A000000}"/>
    <cellStyle name="Comma 3 2" xfId="19" xr:uid="{00000000-0005-0000-0000-00000B000000}"/>
    <cellStyle name="Comma 3 2 2" xfId="20" xr:uid="{00000000-0005-0000-0000-00000C000000}"/>
    <cellStyle name="Comma 3 3" xfId="21" xr:uid="{00000000-0005-0000-0000-00000D000000}"/>
    <cellStyle name="Comma 3 3 2" xfId="22" xr:uid="{00000000-0005-0000-0000-00000E000000}"/>
    <cellStyle name="Comma 3 4" xfId="23" xr:uid="{00000000-0005-0000-0000-00000F000000}"/>
    <cellStyle name="Comma 3 5" xfId="24" xr:uid="{00000000-0005-0000-0000-000010000000}"/>
    <cellStyle name="Comma 4" xfId="25" xr:uid="{00000000-0005-0000-0000-000011000000}"/>
    <cellStyle name="Comma 4 2" xfId="26" xr:uid="{00000000-0005-0000-0000-000012000000}"/>
    <cellStyle name="Comma 4 2 2" xfId="27" xr:uid="{00000000-0005-0000-0000-000013000000}"/>
    <cellStyle name="Comma 4 3" xfId="28" xr:uid="{00000000-0005-0000-0000-000014000000}"/>
    <cellStyle name="Comma 5" xfId="29" xr:uid="{00000000-0005-0000-0000-000015000000}"/>
    <cellStyle name="Comma 5 2" xfId="30" xr:uid="{00000000-0005-0000-0000-000016000000}"/>
    <cellStyle name="Comma 6" xfId="31" xr:uid="{00000000-0005-0000-0000-000017000000}"/>
    <cellStyle name="Comma 6 2" xfId="32" xr:uid="{00000000-0005-0000-0000-000018000000}"/>
    <cellStyle name="Comma 6 2 2" xfId="33" xr:uid="{00000000-0005-0000-0000-000019000000}"/>
    <cellStyle name="Comma 6 3" xfId="34" xr:uid="{00000000-0005-0000-0000-00001A000000}"/>
    <cellStyle name="Comma 7" xfId="35" xr:uid="{00000000-0005-0000-0000-00001B000000}"/>
    <cellStyle name="Comma 7 2" xfId="36" xr:uid="{00000000-0005-0000-0000-00001C000000}"/>
    <cellStyle name="Comma 7 2 2" xfId="37" xr:uid="{00000000-0005-0000-0000-00001D000000}"/>
    <cellStyle name="Comma 7 3" xfId="38" xr:uid="{00000000-0005-0000-0000-00001E000000}"/>
    <cellStyle name="Comma 8" xfId="39" xr:uid="{00000000-0005-0000-0000-00001F000000}"/>
    <cellStyle name="Comma 8 2" xfId="40" xr:uid="{00000000-0005-0000-0000-000020000000}"/>
    <cellStyle name="Comma 9" xfId="41" xr:uid="{00000000-0005-0000-0000-000021000000}"/>
    <cellStyle name="Comma 9 2" xfId="42" xr:uid="{00000000-0005-0000-0000-000022000000}"/>
    <cellStyle name="Currency 2" xfId="8" xr:uid="{00000000-0005-0000-0000-000023000000}"/>
    <cellStyle name="Currency 2 2" xfId="43" xr:uid="{00000000-0005-0000-0000-000024000000}"/>
    <cellStyle name="Currency 2 2 2" xfId="44" xr:uid="{00000000-0005-0000-0000-000025000000}"/>
    <cellStyle name="Currency 2 3" xfId="45" xr:uid="{00000000-0005-0000-0000-000026000000}"/>
    <cellStyle name="Currency 2 3 2" xfId="46" xr:uid="{00000000-0005-0000-0000-000027000000}"/>
    <cellStyle name="Currency 2 4" xfId="47" xr:uid="{00000000-0005-0000-0000-000028000000}"/>
    <cellStyle name="Currency 3" xfId="48" xr:uid="{00000000-0005-0000-0000-000029000000}"/>
    <cellStyle name="Currency 3 2" xfId="49" xr:uid="{00000000-0005-0000-0000-00002A000000}"/>
    <cellStyle name="Currency 3 3" xfId="50" xr:uid="{00000000-0005-0000-0000-00002B000000}"/>
    <cellStyle name="Currency 4" xfId="51" xr:uid="{00000000-0005-0000-0000-00002C000000}"/>
    <cellStyle name="Currency 4 2" xfId="52" xr:uid="{00000000-0005-0000-0000-00002D000000}"/>
    <cellStyle name="Currency 4 2 2" xfId="53" xr:uid="{00000000-0005-0000-0000-00002E000000}"/>
    <cellStyle name="Currency 4 3" xfId="54" xr:uid="{00000000-0005-0000-0000-00002F000000}"/>
    <cellStyle name="Currency 5" xfId="55" xr:uid="{00000000-0005-0000-0000-000030000000}"/>
    <cellStyle name="Currency 6" xfId="56" xr:uid="{00000000-0005-0000-0000-000031000000}"/>
    <cellStyle name="Normal" xfId="0" builtinId="0"/>
    <cellStyle name="Normal 10" xfId="57" xr:uid="{00000000-0005-0000-0000-000033000000}"/>
    <cellStyle name="Normal 11" xfId="58" xr:uid="{00000000-0005-0000-0000-000034000000}"/>
    <cellStyle name="Normal 12" xfId="59" xr:uid="{00000000-0005-0000-0000-000035000000}"/>
    <cellStyle name="Normal 13" xfId="60" xr:uid="{00000000-0005-0000-0000-000036000000}"/>
    <cellStyle name="Normal 14" xfId="61" xr:uid="{00000000-0005-0000-0000-000037000000}"/>
    <cellStyle name="Normal 14 2" xfId="62" xr:uid="{00000000-0005-0000-0000-000038000000}"/>
    <cellStyle name="Normal 15" xfId="63" xr:uid="{00000000-0005-0000-0000-000039000000}"/>
    <cellStyle name="Normal 15 2" xfId="64" xr:uid="{00000000-0005-0000-0000-00003A000000}"/>
    <cellStyle name="Normal 16" xfId="65" xr:uid="{00000000-0005-0000-0000-00003B000000}"/>
    <cellStyle name="Normal 17" xfId="66" xr:uid="{00000000-0005-0000-0000-00003C000000}"/>
    <cellStyle name="Normal 17 2" xfId="67" xr:uid="{00000000-0005-0000-0000-00003D000000}"/>
    <cellStyle name="Normal 18" xfId="68" xr:uid="{00000000-0005-0000-0000-00003E000000}"/>
    <cellStyle name="Normal 2" xfId="3" xr:uid="{00000000-0005-0000-0000-00003F000000}"/>
    <cellStyle name="Normal 2 2" xfId="9" xr:uid="{00000000-0005-0000-0000-000040000000}"/>
    <cellStyle name="Normal 2 3" xfId="69" xr:uid="{00000000-0005-0000-0000-000041000000}"/>
    <cellStyle name="Normal 2 4" xfId="70" xr:uid="{00000000-0005-0000-0000-000042000000}"/>
    <cellStyle name="Normal 2 5" xfId="71" xr:uid="{00000000-0005-0000-0000-000043000000}"/>
    <cellStyle name="Normal 3" xfId="7" xr:uid="{00000000-0005-0000-0000-000044000000}"/>
    <cellStyle name="Normal 3 2" xfId="72" xr:uid="{00000000-0005-0000-0000-000045000000}"/>
    <cellStyle name="Normal 3 3" xfId="73" xr:uid="{00000000-0005-0000-0000-000046000000}"/>
    <cellStyle name="Normal 3 3 2" xfId="74" xr:uid="{00000000-0005-0000-0000-000047000000}"/>
    <cellStyle name="Normal 3 4" xfId="75" xr:uid="{00000000-0005-0000-0000-000048000000}"/>
    <cellStyle name="Normal 4" xfId="76" xr:uid="{00000000-0005-0000-0000-000049000000}"/>
    <cellStyle name="Normal 4 2" xfId="77" xr:uid="{00000000-0005-0000-0000-00004A000000}"/>
    <cellStyle name="Normal 4 2 2" xfId="78" xr:uid="{00000000-0005-0000-0000-00004B000000}"/>
    <cellStyle name="Normal 4 3" xfId="79" xr:uid="{00000000-0005-0000-0000-00004C000000}"/>
    <cellStyle name="Normal 5" xfId="80" xr:uid="{00000000-0005-0000-0000-00004D000000}"/>
    <cellStyle name="Normal 5 2" xfId="81" xr:uid="{00000000-0005-0000-0000-00004E000000}"/>
    <cellStyle name="Normal 5 3" xfId="82" xr:uid="{00000000-0005-0000-0000-00004F000000}"/>
    <cellStyle name="Normal 5 4" xfId="83" xr:uid="{00000000-0005-0000-0000-000050000000}"/>
    <cellStyle name="Normal 6" xfId="84" xr:uid="{00000000-0005-0000-0000-000051000000}"/>
    <cellStyle name="Normal 6 2" xfId="85" xr:uid="{00000000-0005-0000-0000-000052000000}"/>
    <cellStyle name="Normal 6 2 2" xfId="86" xr:uid="{00000000-0005-0000-0000-000053000000}"/>
    <cellStyle name="Normal 6 3" xfId="87" xr:uid="{00000000-0005-0000-0000-000054000000}"/>
    <cellStyle name="Normal 7" xfId="88" xr:uid="{00000000-0005-0000-0000-000055000000}"/>
    <cellStyle name="Normal 7 2" xfId="89" xr:uid="{00000000-0005-0000-0000-000056000000}"/>
    <cellStyle name="Normal 7 3" xfId="90" xr:uid="{00000000-0005-0000-0000-000057000000}"/>
    <cellStyle name="Normal 8" xfId="91" xr:uid="{00000000-0005-0000-0000-000058000000}"/>
    <cellStyle name="Normal 8 2" xfId="92" xr:uid="{00000000-0005-0000-0000-000059000000}"/>
    <cellStyle name="Normal 9" xfId="93" xr:uid="{00000000-0005-0000-0000-00005A000000}"/>
    <cellStyle name="Normal 9 2" xfId="94" xr:uid="{00000000-0005-0000-0000-00005B000000}"/>
    <cellStyle name="Normal_CASH" xfId="4" xr:uid="{00000000-0005-0000-0000-00005C000000}"/>
    <cellStyle name="Normal_Continuity Schedule for All Deferred Costs (Actual)" xfId="5" xr:uid="{00000000-0005-0000-0000-00005D000000}"/>
    <cellStyle name="Percent" xfId="6" builtinId="5"/>
    <cellStyle name="Percent 2" xfId="95" xr:uid="{00000000-0005-0000-0000-00005F000000}"/>
    <cellStyle name="Percent 2 2" xfId="96" xr:uid="{00000000-0005-0000-0000-000060000000}"/>
    <cellStyle name="Percent 3" xfId="97" xr:uid="{00000000-0005-0000-0000-000061000000}"/>
    <cellStyle name="Percent 3 2" xfId="98" xr:uid="{00000000-0005-0000-0000-000062000000}"/>
    <cellStyle name="Percent 3 2 2" xfId="99" xr:uid="{00000000-0005-0000-0000-000063000000}"/>
    <cellStyle name="Percent 3 3" xfId="100" xr:uid="{00000000-0005-0000-0000-000064000000}"/>
    <cellStyle name="Percent 4" xfId="101" xr:uid="{00000000-0005-0000-0000-000065000000}"/>
    <cellStyle name="Percent 4 2" xfId="102" xr:uid="{00000000-0005-0000-0000-000066000000}"/>
    <cellStyle name="Percent 4 2 2" xfId="103" xr:uid="{00000000-0005-0000-0000-000067000000}"/>
    <cellStyle name="Percent 4 3" xfId="104" xr:uid="{00000000-0005-0000-0000-000068000000}"/>
    <cellStyle name="Percent 5" xfId="105" xr:uid="{00000000-0005-0000-0000-000069000000}"/>
    <cellStyle name="Percent 5 2" xfId="106" xr:uid="{00000000-0005-0000-0000-00006A000000}"/>
    <cellStyle name="Percent 6" xfId="107" xr:uid="{00000000-0005-0000-0000-00006B000000}"/>
    <cellStyle name="Percent 6 2" xfId="108" xr:uid="{00000000-0005-0000-0000-00006C000000}"/>
    <cellStyle name="Percent 7" xfId="109" xr:uid="{00000000-0005-0000-0000-00006D000000}"/>
    <cellStyle name="Percent 7 2" xfId="110" xr:uid="{00000000-0005-0000-0000-00006E000000}"/>
    <cellStyle name="Percent 8" xfId="111" xr:uid="{00000000-0005-0000-0000-00006F000000}"/>
    <cellStyle name="PSChar" xfId="112" xr:uid="{00000000-0005-0000-0000-000070000000}"/>
    <cellStyle name="PSDate" xfId="113" xr:uid="{00000000-0005-0000-0000-000071000000}"/>
    <cellStyle name="PSDec" xfId="114" xr:uid="{00000000-0005-0000-0000-000072000000}"/>
    <cellStyle name="PSHeading" xfId="115" xr:uid="{00000000-0005-0000-0000-000073000000}"/>
    <cellStyle name="PSInt" xfId="116" xr:uid="{00000000-0005-0000-0000-000074000000}"/>
    <cellStyle name="PSSpacer" xfId="117" xr:uid="{00000000-0005-0000-0000-000075000000}"/>
  </cellStyles>
  <dxfs count="82">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306/2.0/2020/4.0%20FILING%20DOCUMENT/Tab%203_Revenue%20Requirement/Working%20files/September%202020/2020-21%20GRA%20Capital%20Plan%20GRA%20WRI.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ukonnect.gov.yk.ca/jr/0%20Main%20Estimates/4%20Overview/2%20Appendices%20in%20Overview%20Mem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mbs\Budget%20Documents%20Draft%20-%20Restricted%20To%20Data%20Entry%20Analyst\2012-13\2012-13%20O%20&amp;%20M%20Estimates\05%20Executive%20Council%20Office-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partments\Finance\Gnwkp\Corporate%20Reporting\Management%20Reports\2015\Special%20Requests\40M%20Mgmt%20Board%20Submission\K%20-%20Forecast%20based%20on%20Q2\Capital%20Plan%20-%20Capital%20Contribu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qp\2005-06%20Main%20Estimates\2005-06%20Capital%20Main%20Estimates\New00%20Capital%20Summary%20Pages.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jirousek\2002\Capital\CSR%203rd%20Quarter\CEAR%20report(3RD%20Quarter)Working%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2016"/>
      <sheetName val="Sept 20 Meeting"/>
      <sheetName val="CF PT"/>
      <sheetName val="Mgmt Board Category"/>
      <sheetName val="Data"/>
      <sheetName val="Plan"/>
      <sheetName val="Amortization Period"/>
      <sheetName val="2018 5 Yr Plan"/>
      <sheetName val="2017 Asset_10 yr plan"/>
      <sheetName val="2017 Planning Projects"/>
      <sheetName val="2018 5 Yr Planning"/>
      <sheetName val="PT2017"/>
      <sheetName val="Closings"/>
      <sheetName val="Monthly Spending"/>
      <sheetName val="Drop Downs"/>
      <sheetName val="Rate Base Additions"/>
      <sheetName val="CF Forecast"/>
      <sheetName val="DSM"/>
      <sheetName val="DSM GRA"/>
      <sheetName val="5.2 (original)"/>
    </sheetNames>
    <sheetDataSet>
      <sheetData sheetId="0"/>
      <sheetData sheetId="1"/>
      <sheetData sheetId="2"/>
      <sheetData sheetId="3"/>
      <sheetData sheetId="4"/>
      <sheetData sheetId="5"/>
      <sheetData sheetId="6"/>
      <sheetData sheetId="7"/>
      <sheetData sheetId="8"/>
      <sheetData sheetId="9">
        <row r="1">
          <cell r="D1">
            <v>2.3599999999999999E-2</v>
          </cell>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
      <sheetName val="A for Supp #2 2000-01"/>
      <sheetName val="B"/>
      <sheetName val="C"/>
      <sheetName val="D"/>
      <sheetName val="E"/>
      <sheetName val="F"/>
      <sheetName val="G"/>
      <sheetName val="I"/>
      <sheetName val="J"/>
      <sheetName val="K"/>
      <sheetName val="K-2"/>
      <sheetName val="Lists"/>
      <sheetName val="Drop Dow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lank 1 (4)"/>
      <sheetName val="SUMMARY 1"/>
      <sheetName val="SUMMARY 2"/>
      <sheetName val="SUMMARY 3"/>
      <sheetName val="blank 1 (3)"/>
      <sheetName val="CORPORATE SERVICES"/>
      <sheetName val="LAND  CLAIMS AND IMPLEMENTATION"/>
      <sheetName val="INTERGOV"/>
      <sheetName val="AUDIT"/>
      <sheetName val="GOVERNANCE LIAISON &amp; CAPACITY "/>
      <sheetName val="COMMISH"/>
      <sheetName val="DAP"/>
      <sheetName val="CABINET"/>
      <sheetName val="YWBS"/>
      <sheetName val="YOUTH DIRECTORATE"/>
      <sheetName val="NORTHERN STRATEGY"/>
      <sheetName val="PLEBISCITES"/>
      <sheetName val="REVENUES"/>
      <sheetName val="TRANSFERS"/>
      <sheetName val="ASSETS"/>
      <sheetName val="blank 1 (5)"/>
      <sheetName val="RF blanck (1)"/>
      <sheetName val="blank (6)"/>
      <sheetName val="Restricted Funds (2)"/>
      <sheetName val="blank 1"/>
      <sheetName val="Sheet1"/>
      <sheetName val="blank (1)"/>
      <sheetName val="WATER BOARD SECRETARIAT"/>
      <sheetName val="blank 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ummary KPI"/>
      <sheetName val="Financial KPI"/>
      <sheetName val="KPI Explainations"/>
      <sheetName val="Assumptions"/>
      <sheetName val="Slide-LNG"/>
      <sheetName val="Slide-RB"/>
      <sheetName val="Summary"/>
      <sheetName val="BS"/>
      <sheetName val="IS"/>
      <sheetName val="Labour"/>
      <sheetName val="Non Labour"/>
      <sheetName val="Sales"/>
      <sheetName val="Generation"/>
      <sheetName val="Debt"/>
      <sheetName val="Debt Details"/>
      <sheetName val="Debt KDFN"/>
      <sheetName val="Flex Note"/>
      <sheetName val="2014 WIP PT"/>
      <sheetName val="Capital PT"/>
      <sheetName val="Capital"/>
      <sheetName val="Capital Details PT"/>
      <sheetName val="Capital Details"/>
      <sheetName val="Capital KDFN"/>
      <sheetName val="Deferred PT"/>
      <sheetName val="Deferred WIP"/>
      <sheetName val="ConstFin"/>
      <sheetName val="ConstFin (2)"/>
      <sheetName val="Financing Details"/>
      <sheetName val="2014 WIP"/>
      <sheetName val="Cash Flow"/>
      <sheetName val="Operating"/>
      <sheetName val="Investing"/>
      <sheetName val="Financing"/>
      <sheetName val="Other Rev. BP Data"/>
      <sheetName val="Revenue Analysis"/>
      <sheetName val="tb by object"/>
      <sheetName val="Cash"/>
    </sheetNames>
    <sheetDataSet>
      <sheetData sheetId="0"/>
      <sheetData sheetId="1"/>
      <sheetData sheetId="2"/>
      <sheetData sheetId="3"/>
      <sheetData sheetId="4"/>
      <sheetData sheetId="5"/>
      <sheetData sheetId="6"/>
      <sheetData sheetId="7">
        <row r="1">
          <cell r="A1">
            <v>0</v>
          </cell>
          <cell r="F1">
            <v>0</v>
          </cell>
        </row>
        <row r="2">
          <cell r="A2">
            <v>0</v>
          </cell>
          <cell r="B2" t="str">
            <v>Yukon Energy Corporation</v>
          </cell>
          <cell r="C2">
            <v>0</v>
          </cell>
          <cell r="D2">
            <v>0</v>
          </cell>
          <cell r="E2">
            <v>0</v>
          </cell>
          <cell r="F2">
            <v>0</v>
          </cell>
        </row>
        <row r="3">
          <cell r="A3">
            <v>0</v>
          </cell>
          <cell r="B3" t="str">
            <v>Balance Sheet</v>
          </cell>
          <cell r="C3">
            <v>0</v>
          </cell>
          <cell r="D3">
            <v>0</v>
          </cell>
          <cell r="E3">
            <v>0</v>
          </cell>
          <cell r="F3">
            <v>0</v>
          </cell>
        </row>
        <row r="4">
          <cell r="A4">
            <v>0</v>
          </cell>
          <cell r="B4" t="str">
            <v>($000s)</v>
          </cell>
          <cell r="C4">
            <v>0</v>
          </cell>
          <cell r="D4">
            <v>0</v>
          </cell>
          <cell r="E4">
            <v>0</v>
          </cell>
          <cell r="F4">
            <v>0</v>
          </cell>
        </row>
        <row r="5">
          <cell r="A5">
            <v>0</v>
          </cell>
          <cell r="B5">
            <v>0</v>
          </cell>
          <cell r="C5">
            <v>0</v>
          </cell>
          <cell r="D5">
            <v>0</v>
          </cell>
          <cell r="E5">
            <v>0</v>
          </cell>
          <cell r="F5">
            <v>0</v>
          </cell>
        </row>
        <row r="6">
          <cell r="A6">
            <v>0</v>
          </cell>
          <cell r="B6">
            <v>0</v>
          </cell>
          <cell r="C6">
            <v>0</v>
          </cell>
          <cell r="D6">
            <v>0</v>
          </cell>
          <cell r="E6">
            <v>0</v>
          </cell>
          <cell r="F6">
            <v>0</v>
          </cell>
        </row>
        <row r="7">
          <cell r="A7">
            <v>0</v>
          </cell>
          <cell r="B7">
            <v>0</v>
          </cell>
          <cell r="C7">
            <v>0</v>
          </cell>
          <cell r="D7">
            <v>0</v>
          </cell>
          <cell r="E7">
            <v>0</v>
          </cell>
          <cell r="F7">
            <v>0</v>
          </cell>
        </row>
        <row r="8">
          <cell r="A8">
            <v>0</v>
          </cell>
          <cell r="B8">
            <v>0</v>
          </cell>
          <cell r="C8">
            <v>0</v>
          </cell>
          <cell r="D8">
            <v>0</v>
          </cell>
          <cell r="E8">
            <v>0</v>
          </cell>
          <cell r="F8">
            <v>0</v>
          </cell>
        </row>
        <row r="9">
          <cell r="A9">
            <v>0</v>
          </cell>
          <cell r="D9">
            <v>0</v>
          </cell>
          <cell r="E9">
            <v>2014</v>
          </cell>
          <cell r="F9" t="str">
            <v>2015</v>
          </cell>
        </row>
        <row r="10">
          <cell r="A10">
            <v>0</v>
          </cell>
          <cell r="E10" t="str">
            <v>Actuals</v>
          </cell>
          <cell r="F10" t="str">
            <v>BP</v>
          </cell>
        </row>
        <row r="11">
          <cell r="A11">
            <v>0</v>
          </cell>
          <cell r="C11" t="str">
            <v>ASSETS</v>
          </cell>
          <cell r="E11">
            <v>0</v>
          </cell>
          <cell r="F11">
            <v>0</v>
          </cell>
        </row>
        <row r="12">
          <cell r="A12">
            <v>0</v>
          </cell>
          <cell r="C12" t="str">
            <v>Current assets</v>
          </cell>
          <cell r="D12">
            <v>0</v>
          </cell>
          <cell r="E12">
            <v>0</v>
          </cell>
          <cell r="F12">
            <v>0</v>
          </cell>
        </row>
        <row r="13">
          <cell r="A13">
            <v>1</v>
          </cell>
          <cell r="B13">
            <v>0</v>
          </cell>
          <cell r="C13">
            <v>0</v>
          </cell>
          <cell r="D13" t="str">
            <v>Cash and short-term investments</v>
          </cell>
          <cell r="E13">
            <v>-10798</v>
          </cell>
          <cell r="F13">
            <v>5285.1623928874851</v>
          </cell>
        </row>
        <row r="14">
          <cell r="A14">
            <v>2</v>
          </cell>
          <cell r="B14">
            <v>0</v>
          </cell>
          <cell r="C14">
            <v>0</v>
          </cell>
          <cell r="D14" t="str">
            <v>Accounts receivable</v>
          </cell>
          <cell r="E14">
            <v>7188</v>
          </cell>
          <cell r="F14">
            <v>6473</v>
          </cell>
        </row>
        <row r="15">
          <cell r="A15">
            <v>3</v>
          </cell>
          <cell r="B15">
            <v>0</v>
          </cell>
          <cell r="C15">
            <v>0</v>
          </cell>
          <cell r="D15" t="str">
            <v>Inventories</v>
          </cell>
          <cell r="E15">
            <v>3065</v>
          </cell>
          <cell r="F15">
            <v>3110</v>
          </cell>
        </row>
        <row r="16">
          <cell r="A16">
            <v>4</v>
          </cell>
          <cell r="B16">
            <v>0</v>
          </cell>
          <cell r="C16">
            <v>0</v>
          </cell>
          <cell r="D16" t="str">
            <v>Prepaid expenses</v>
          </cell>
          <cell r="E16">
            <v>719</v>
          </cell>
          <cell r="F16">
            <v>570</v>
          </cell>
        </row>
        <row r="17">
          <cell r="A17">
            <v>0</v>
          </cell>
          <cell r="B17">
            <v>0</v>
          </cell>
          <cell r="C17">
            <v>0</v>
          </cell>
          <cell r="D17">
            <v>0</v>
          </cell>
          <cell r="E17">
            <v>174</v>
          </cell>
          <cell r="F17">
            <v>15438.162392887485</v>
          </cell>
        </row>
        <row r="18">
          <cell r="A18">
            <v>0</v>
          </cell>
          <cell r="E18">
            <v>0</v>
          </cell>
          <cell r="F18">
            <v>0</v>
          </cell>
        </row>
        <row r="19">
          <cell r="A19">
            <v>8</v>
          </cell>
          <cell r="D19" t="str">
            <v>Customer contribution financing</v>
          </cell>
          <cell r="E19">
            <v>0</v>
          </cell>
          <cell r="F19">
            <v>0</v>
          </cell>
        </row>
        <row r="20">
          <cell r="A20">
            <v>0</v>
          </cell>
          <cell r="E20">
            <v>0</v>
          </cell>
          <cell r="F20">
            <v>0</v>
          </cell>
        </row>
        <row r="21">
          <cell r="A21">
            <v>10</v>
          </cell>
          <cell r="B21">
            <v>0</v>
          </cell>
          <cell r="C21" t="str">
            <v>Diesel Contingency Fund</v>
          </cell>
          <cell r="D21">
            <v>0</v>
          </cell>
          <cell r="E21">
            <v>9627</v>
          </cell>
          <cell r="F21">
            <v>12207.837607112515</v>
          </cell>
        </row>
        <row r="22">
          <cell r="A22">
            <v>0</v>
          </cell>
          <cell r="C22" t="str">
            <v>Deferred costs</v>
          </cell>
          <cell r="D22">
            <v>0</v>
          </cell>
          <cell r="E22">
            <v>0</v>
          </cell>
          <cell r="F22">
            <v>0</v>
          </cell>
        </row>
        <row r="23">
          <cell r="A23">
            <v>5</v>
          </cell>
          <cell r="B23">
            <v>0</v>
          </cell>
          <cell r="C23">
            <v>0</v>
          </cell>
          <cell r="D23" t="str">
            <v>Feasibility and relicencing costs</v>
          </cell>
          <cell r="E23">
            <v>22116</v>
          </cell>
          <cell r="F23">
            <v>24050</v>
          </cell>
        </row>
        <row r="24">
          <cell r="A24">
            <v>6</v>
          </cell>
          <cell r="B24">
            <v>0</v>
          </cell>
          <cell r="C24">
            <v>0</v>
          </cell>
          <cell r="D24" t="str">
            <v>Regulatory costs</v>
          </cell>
          <cell r="E24">
            <v>3650</v>
          </cell>
          <cell r="F24">
            <v>4085</v>
          </cell>
        </row>
        <row r="25">
          <cell r="A25">
            <v>0</v>
          </cell>
          <cell r="B25">
            <v>0</v>
          </cell>
          <cell r="C25">
            <v>0</v>
          </cell>
          <cell r="D25" t="str">
            <v>Vegetation management deferred cost</v>
          </cell>
          <cell r="E25">
            <v>917</v>
          </cell>
          <cell r="F25">
            <v>2124</v>
          </cell>
        </row>
        <row r="26">
          <cell r="A26">
            <v>7</v>
          </cell>
          <cell r="B26">
            <v>0</v>
          </cell>
          <cell r="C26">
            <v>0</v>
          </cell>
          <cell r="D26" t="str">
            <v>Dam safety review</v>
          </cell>
          <cell r="E26">
            <v>24</v>
          </cell>
          <cell r="F26">
            <v>150</v>
          </cell>
        </row>
        <row r="27">
          <cell r="A27">
            <v>0</v>
          </cell>
          <cell r="B27">
            <v>0</v>
          </cell>
          <cell r="C27">
            <v>0</v>
          </cell>
          <cell r="D27">
            <v>0</v>
          </cell>
          <cell r="E27">
            <v>26707</v>
          </cell>
          <cell r="F27">
            <v>30409</v>
          </cell>
        </row>
        <row r="28">
          <cell r="A28">
            <v>0</v>
          </cell>
          <cell r="C28" t="str">
            <v>Capital assets</v>
          </cell>
          <cell r="D28">
            <v>0</v>
          </cell>
          <cell r="E28">
            <v>0</v>
          </cell>
          <cell r="F28">
            <v>0</v>
          </cell>
        </row>
        <row r="29">
          <cell r="A29">
            <v>11</v>
          </cell>
          <cell r="B29">
            <v>0</v>
          </cell>
          <cell r="C29">
            <v>0</v>
          </cell>
          <cell r="D29" t="str">
            <v>Property, plant and equipment</v>
          </cell>
          <cell r="E29">
            <v>555553</v>
          </cell>
          <cell r="F29">
            <v>579356</v>
          </cell>
        </row>
        <row r="30">
          <cell r="A30">
            <v>12</v>
          </cell>
          <cell r="B30">
            <v>0</v>
          </cell>
          <cell r="C30">
            <v>0</v>
          </cell>
          <cell r="D30" t="str">
            <v>Accumulated amortization</v>
          </cell>
          <cell r="E30">
            <v>-121086</v>
          </cell>
          <cell r="F30">
            <v>-133579</v>
          </cell>
        </row>
        <row r="31">
          <cell r="A31">
            <v>13</v>
          </cell>
          <cell r="D31" t="str">
            <v>Contributions for plant extensions</v>
          </cell>
          <cell r="E31">
            <v>-166913</v>
          </cell>
          <cell r="F31">
            <v>-163253</v>
          </cell>
        </row>
        <row r="32">
          <cell r="A32">
            <v>0</v>
          </cell>
          <cell r="B32">
            <v>0</v>
          </cell>
          <cell r="C32">
            <v>0</v>
          </cell>
          <cell r="D32">
            <v>0</v>
          </cell>
          <cell r="E32">
            <v>267554</v>
          </cell>
          <cell r="F32">
            <v>282524</v>
          </cell>
        </row>
        <row r="33">
          <cell r="A33">
            <v>0</v>
          </cell>
          <cell r="D33">
            <v>0</v>
          </cell>
          <cell r="E33">
            <v>304062</v>
          </cell>
          <cell r="F33">
            <v>340579</v>
          </cell>
        </row>
        <row r="34">
          <cell r="A34">
            <v>0</v>
          </cell>
          <cell r="C34" t="str">
            <v>LIABILITIES</v>
          </cell>
          <cell r="D34">
            <v>0</v>
          </cell>
          <cell r="E34">
            <v>0</v>
          </cell>
          <cell r="F34">
            <v>0</v>
          </cell>
        </row>
        <row r="35">
          <cell r="A35">
            <v>0</v>
          </cell>
          <cell r="C35" t="str">
            <v>Current liabilities</v>
          </cell>
          <cell r="D35">
            <v>0</v>
          </cell>
          <cell r="E35">
            <v>0</v>
          </cell>
          <cell r="F35">
            <v>0</v>
          </cell>
        </row>
        <row r="36">
          <cell r="A36">
            <v>14</v>
          </cell>
          <cell r="B36">
            <v>0</v>
          </cell>
          <cell r="C36">
            <v>0</v>
          </cell>
          <cell r="D36" t="str">
            <v>Accounts payable</v>
          </cell>
          <cell r="E36">
            <v>15022</v>
          </cell>
          <cell r="F36">
            <v>6846</v>
          </cell>
        </row>
        <row r="37">
          <cell r="A37">
            <v>22</v>
          </cell>
          <cell r="B37">
            <v>0</v>
          </cell>
          <cell r="C37">
            <v>0</v>
          </cell>
          <cell r="D37" t="str">
            <v>Construction Financing</v>
          </cell>
          <cell r="E37">
            <v>42880</v>
          </cell>
          <cell r="F37">
            <v>30109.1433</v>
          </cell>
        </row>
        <row r="38">
          <cell r="A38">
            <v>0</v>
          </cell>
          <cell r="B38">
            <v>0</v>
          </cell>
          <cell r="C38">
            <v>0</v>
          </cell>
          <cell r="D38" t="str">
            <v>Derivative related liability</v>
          </cell>
          <cell r="E38">
            <v>213</v>
          </cell>
          <cell r="F38">
            <v>0</v>
          </cell>
        </row>
        <row r="39">
          <cell r="A39">
            <v>15</v>
          </cell>
          <cell r="B39">
            <v>0</v>
          </cell>
          <cell r="C39">
            <v>0</v>
          </cell>
          <cell r="D39" t="str">
            <v>Current portion of long-term debt</v>
          </cell>
          <cell r="E39">
            <v>72347</v>
          </cell>
          <cell r="F39">
            <v>5226.3197505218941</v>
          </cell>
        </row>
        <row r="40">
          <cell r="A40">
            <v>0</v>
          </cell>
          <cell r="B40">
            <v>0</v>
          </cell>
          <cell r="C40">
            <v>0</v>
          </cell>
          <cell r="D40">
            <v>0</v>
          </cell>
          <cell r="E40">
            <v>0</v>
          </cell>
          <cell r="F40">
            <v>0</v>
          </cell>
        </row>
        <row r="41">
          <cell r="A41">
            <v>0</v>
          </cell>
          <cell r="B41">
            <v>0</v>
          </cell>
          <cell r="D41">
            <v>0</v>
          </cell>
          <cell r="E41">
            <v>0</v>
          </cell>
          <cell r="F41">
            <v>0</v>
          </cell>
        </row>
        <row r="42">
          <cell r="A42">
            <v>0</v>
          </cell>
          <cell r="B42">
            <v>0</v>
          </cell>
          <cell r="C42">
            <v>0</v>
          </cell>
          <cell r="D42">
            <v>0</v>
          </cell>
          <cell r="E42">
            <v>0</v>
          </cell>
          <cell r="F42">
            <v>0</v>
          </cell>
        </row>
        <row r="43">
          <cell r="A43">
            <v>0</v>
          </cell>
          <cell r="E43">
            <v>130462</v>
          </cell>
          <cell r="F43">
            <v>42181.463050521888</v>
          </cell>
        </row>
        <row r="44">
          <cell r="A44">
            <v>0</v>
          </cell>
          <cell r="E44">
            <v>0</v>
          </cell>
          <cell r="F44">
            <v>0</v>
          </cell>
        </row>
        <row r="45">
          <cell r="A45">
            <v>9</v>
          </cell>
          <cell r="C45" t="str">
            <v>Long-term pension liability</v>
          </cell>
          <cell r="E45">
            <v>985</v>
          </cell>
          <cell r="F45">
            <v>5445</v>
          </cell>
        </row>
        <row r="46">
          <cell r="A46">
            <v>0</v>
          </cell>
          <cell r="C46" t="str">
            <v>Deferred revenue</v>
          </cell>
          <cell r="E46">
            <v>0</v>
          </cell>
          <cell r="F46">
            <v>0</v>
          </cell>
        </row>
        <row r="47">
          <cell r="A47">
            <v>0</v>
          </cell>
          <cell r="C47" t="str">
            <v>Contingency reserves</v>
          </cell>
          <cell r="E47">
            <v>0</v>
          </cell>
          <cell r="F47">
            <v>0</v>
          </cell>
        </row>
        <row r="48">
          <cell r="A48">
            <v>19</v>
          </cell>
          <cell r="B48">
            <v>0</v>
          </cell>
          <cell r="C48">
            <v>0</v>
          </cell>
          <cell r="D48" t="str">
            <v>Diesel Contingency Fund</v>
          </cell>
          <cell r="E48">
            <v>8000</v>
          </cell>
          <cell r="F48">
            <v>8000</v>
          </cell>
        </row>
        <row r="49">
          <cell r="A49">
            <v>21</v>
          </cell>
          <cell r="B49">
            <v>0</v>
          </cell>
          <cell r="C49">
            <v>0</v>
          </cell>
          <cell r="D49" t="str">
            <v>Excess DCF collected</v>
          </cell>
          <cell r="E49">
            <v>1627</v>
          </cell>
          <cell r="F49">
            <v>4207.8376071125149</v>
          </cell>
        </row>
        <row r="50">
          <cell r="A50">
            <v>26</v>
          </cell>
          <cell r="B50">
            <v>0</v>
          </cell>
          <cell r="C50">
            <v>0</v>
          </cell>
          <cell r="D50" t="str">
            <v>Reserve for site restoration</v>
          </cell>
          <cell r="E50">
            <v>7257</v>
          </cell>
          <cell r="F50">
            <v>7290</v>
          </cell>
        </row>
        <row r="51">
          <cell r="A51">
            <v>0</v>
          </cell>
          <cell r="B51">
            <v>0</v>
          </cell>
          <cell r="C51">
            <v>0</v>
          </cell>
          <cell r="D51" t="str">
            <v>GRA hearing reserve</v>
          </cell>
          <cell r="E51">
            <v>224</v>
          </cell>
          <cell r="F51">
            <v>712</v>
          </cell>
        </row>
        <row r="52">
          <cell r="A52">
            <v>20</v>
          </cell>
          <cell r="B52">
            <v>0</v>
          </cell>
          <cell r="C52">
            <v>0</v>
          </cell>
          <cell r="D52" t="str">
            <v>Deferred uninsured losses</v>
          </cell>
          <cell r="E52">
            <v>-300</v>
          </cell>
          <cell r="F52">
            <v>-283</v>
          </cell>
        </row>
        <row r="53">
          <cell r="A53">
            <v>0</v>
          </cell>
          <cell r="B53">
            <v>0</v>
          </cell>
          <cell r="C53">
            <v>0</v>
          </cell>
          <cell r="D53">
            <v>0</v>
          </cell>
          <cell r="E53">
            <v>16808</v>
          </cell>
          <cell r="F53">
            <v>19926.837607112517</v>
          </cell>
        </row>
        <row r="54">
          <cell r="A54">
            <v>0</v>
          </cell>
          <cell r="B54">
            <v>0</v>
          </cell>
          <cell r="C54">
            <v>0</v>
          </cell>
          <cell r="D54">
            <v>0</v>
          </cell>
          <cell r="E54">
            <v>0</v>
          </cell>
          <cell r="F54">
            <v>0</v>
          </cell>
        </row>
        <row r="55">
          <cell r="A55">
            <v>0</v>
          </cell>
          <cell r="C55" t="str">
            <v>CAPITAL</v>
          </cell>
          <cell r="D55">
            <v>0</v>
          </cell>
          <cell r="E55">
            <v>0</v>
          </cell>
          <cell r="F55">
            <v>0</v>
          </cell>
        </row>
        <row r="56">
          <cell r="A56">
            <v>0</v>
          </cell>
          <cell r="C56" t="str">
            <v>Long-term debt</v>
          </cell>
          <cell r="D56">
            <v>0</v>
          </cell>
          <cell r="E56">
            <v>0</v>
          </cell>
          <cell r="F56">
            <v>0</v>
          </cell>
        </row>
        <row r="57">
          <cell r="A57">
            <v>0</v>
          </cell>
          <cell r="C57">
            <v>0</v>
          </cell>
          <cell r="D57" t="str">
            <v>YDC $92.5M Refinancing</v>
          </cell>
          <cell r="E57">
            <v>0</v>
          </cell>
          <cell r="F57">
            <v>85091</v>
          </cell>
        </row>
        <row r="58">
          <cell r="A58">
            <v>30</v>
          </cell>
          <cell r="D58" t="str">
            <v>YDC $81.9M Refinancing</v>
          </cell>
          <cell r="E58">
            <v>0</v>
          </cell>
          <cell r="F58">
            <v>0</v>
          </cell>
        </row>
        <row r="59">
          <cell r="A59">
            <v>0</v>
          </cell>
          <cell r="D59" t="str">
            <v>YDC $17.1M Term Note</v>
          </cell>
          <cell r="E59">
            <v>14360</v>
          </cell>
          <cell r="F59">
            <v>0</v>
          </cell>
        </row>
        <row r="60">
          <cell r="A60">
            <v>18</v>
          </cell>
          <cell r="D60" t="str">
            <v>YDC $21.9M Flexible Term Note</v>
          </cell>
          <cell r="E60">
            <v>20552</v>
          </cell>
          <cell r="F60">
            <v>20215</v>
          </cell>
        </row>
        <row r="61">
          <cell r="A61">
            <v>0</v>
          </cell>
          <cell r="D61" t="str">
            <v>TD $12.4M Term Note</v>
          </cell>
          <cell r="E61">
            <v>837</v>
          </cell>
          <cell r="F61">
            <v>0</v>
          </cell>
        </row>
        <row r="62">
          <cell r="A62">
            <v>0</v>
          </cell>
          <cell r="D62" t="str">
            <v>TD $11M Swap - 2012</v>
          </cell>
          <cell r="E62">
            <v>10036</v>
          </cell>
          <cell r="F62">
            <v>9697</v>
          </cell>
        </row>
        <row r="63">
          <cell r="A63">
            <v>16</v>
          </cell>
          <cell r="D63" t="str">
            <v>YDC Advance - 2011</v>
          </cell>
          <cell r="E63">
            <v>2053</v>
          </cell>
          <cell r="F63">
            <v>0</v>
          </cell>
        </row>
        <row r="64">
          <cell r="A64">
            <v>0</v>
          </cell>
          <cell r="D64" t="str">
            <v>YDC Advance - 2013</v>
          </cell>
          <cell r="E64">
            <v>5471</v>
          </cell>
          <cell r="F64">
            <v>0</v>
          </cell>
        </row>
        <row r="65">
          <cell r="A65">
            <v>0</v>
          </cell>
          <cell r="D65" t="str">
            <v>YDC Advance - 2014</v>
          </cell>
          <cell r="E65">
            <v>0</v>
          </cell>
          <cell r="F65">
            <v>1783</v>
          </cell>
        </row>
        <row r="66">
          <cell r="A66">
            <v>0</v>
          </cell>
          <cell r="D66" t="str">
            <v>Other New 2014 Debt</v>
          </cell>
          <cell r="E66">
            <v>5505</v>
          </cell>
          <cell r="F66">
            <v>12942</v>
          </cell>
        </row>
        <row r="67">
          <cell r="A67">
            <v>0</v>
          </cell>
          <cell r="D67" t="str">
            <v>Other New 2015 Debt</v>
          </cell>
          <cell r="E67">
            <v>0</v>
          </cell>
          <cell r="F67">
            <v>30839</v>
          </cell>
        </row>
        <row r="68">
          <cell r="A68">
            <v>0</v>
          </cell>
          <cell r="D68" t="str">
            <v>Other New 2016 Debt</v>
          </cell>
          <cell r="E68">
            <v>0</v>
          </cell>
          <cell r="F68">
            <v>0</v>
          </cell>
        </row>
        <row r="69">
          <cell r="A69">
            <v>0</v>
          </cell>
          <cell r="D69" t="str">
            <v>Other New 2017 Debt</v>
          </cell>
          <cell r="E69">
            <v>0</v>
          </cell>
          <cell r="F69">
            <v>0</v>
          </cell>
        </row>
        <row r="70">
          <cell r="A70">
            <v>0</v>
          </cell>
          <cell r="D70" t="str">
            <v>Long term FN Liabilities</v>
          </cell>
          <cell r="E70">
            <v>251</v>
          </cell>
          <cell r="F70">
            <v>221</v>
          </cell>
        </row>
        <row r="71">
          <cell r="A71">
            <v>0</v>
          </cell>
          <cell r="B71">
            <v>0</v>
          </cell>
          <cell r="C71">
            <v>0</v>
          </cell>
          <cell r="D71">
            <v>0</v>
          </cell>
          <cell r="E71">
            <v>59065</v>
          </cell>
          <cell r="F71">
            <v>160788</v>
          </cell>
        </row>
        <row r="72">
          <cell r="A72">
            <v>0</v>
          </cell>
          <cell r="C72" t="str">
            <v>Equity</v>
          </cell>
          <cell r="D72">
            <v>0</v>
          </cell>
          <cell r="E72">
            <v>0</v>
          </cell>
          <cell r="F72">
            <v>0</v>
          </cell>
        </row>
        <row r="73">
          <cell r="A73">
            <v>24</v>
          </cell>
          <cell r="C73">
            <v>0</v>
          </cell>
          <cell r="D73" t="str">
            <v>Share capital</v>
          </cell>
          <cell r="E73">
            <v>39000</v>
          </cell>
          <cell r="F73">
            <v>39000</v>
          </cell>
        </row>
        <row r="74">
          <cell r="A74">
            <v>0</v>
          </cell>
          <cell r="C74">
            <v>0</v>
          </cell>
          <cell r="D74" t="str">
            <v>Contributed Surplus</v>
          </cell>
          <cell r="E74">
            <v>14600</v>
          </cell>
          <cell r="F74">
            <v>25592</v>
          </cell>
        </row>
        <row r="75">
          <cell r="A75">
            <v>25</v>
          </cell>
          <cell r="C75">
            <v>0</v>
          </cell>
          <cell r="D75" t="str">
            <v>Retained earnings</v>
          </cell>
          <cell r="E75">
            <v>43142</v>
          </cell>
          <cell r="F75">
            <v>47646</v>
          </cell>
        </row>
        <row r="76">
          <cell r="A76">
            <v>0</v>
          </cell>
          <cell r="C76">
            <v>0</v>
          </cell>
          <cell r="D76" t="str">
            <v>Total equity</v>
          </cell>
          <cell r="E76">
            <v>96742</v>
          </cell>
          <cell r="F76">
            <v>112238</v>
          </cell>
        </row>
        <row r="77">
          <cell r="A77">
            <v>0</v>
          </cell>
          <cell r="C77" t="str">
            <v>Total capital</v>
          </cell>
          <cell r="D77">
            <v>0</v>
          </cell>
          <cell r="E77">
            <v>155807</v>
          </cell>
          <cell r="F77">
            <v>273026</v>
          </cell>
        </row>
        <row r="78">
          <cell r="A78">
            <v>0</v>
          </cell>
          <cell r="B78">
            <v>0</v>
          </cell>
          <cell r="C78">
            <v>0</v>
          </cell>
          <cell r="D78">
            <v>0</v>
          </cell>
          <cell r="E78">
            <v>304062</v>
          </cell>
          <cell r="F78">
            <v>340579.30065763439</v>
          </cell>
        </row>
      </sheetData>
      <sheetData sheetId="8"/>
      <sheetData sheetId="9"/>
      <sheetData sheetId="10"/>
      <sheetData sheetId="11"/>
      <sheetData sheetId="12"/>
      <sheetData sheetId="13"/>
      <sheetData sheetId="14">
        <row r="17">
          <cell r="X17">
            <v>621564.48659001035</v>
          </cell>
        </row>
      </sheetData>
      <sheetData sheetId="15"/>
      <sheetData sheetId="16"/>
      <sheetData sheetId="17"/>
      <sheetData sheetId="18"/>
      <sheetData sheetId="19"/>
      <sheetData sheetId="20"/>
      <sheetData sheetId="21">
        <row r="750">
          <cell r="R750">
            <v>-18165385.379999999</v>
          </cell>
        </row>
      </sheetData>
      <sheetData sheetId="22"/>
      <sheetData sheetId="23"/>
      <sheetData sheetId="24"/>
      <sheetData sheetId="25"/>
      <sheetData sheetId="26"/>
      <sheetData sheetId="27">
        <row r="14">
          <cell r="G14">
            <v>-1924959.2557426221</v>
          </cell>
        </row>
      </sheetData>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blank"/>
      <sheetName val="contents"/>
      <sheetName val="blank (2)"/>
      <sheetName val="vote info"/>
      <sheetName val="blank (3)"/>
      <sheetName val="SUMMARY"/>
      <sheetName val="EXPEND"/>
      <sheetName val="RECOVERY"/>
      <sheetName val="TCA EXP"/>
      <sheetName val="ASSETS"/>
      <sheetName val="ALLO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Explanations"/>
      <sheetName val="Master Report"/>
      <sheetName val="Pivot Tables"/>
      <sheetName val="Core(see pg 18)"/>
      <sheetName val="FIS"/>
      <sheetName val="FS Studies"/>
      <sheetName val="Rec to BP"/>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6"/>
  <sheetViews>
    <sheetView tabSelected="1" view="pageBreakPreview" zoomScaleSheetLayoutView="100" workbookViewId="0">
      <pane ySplit="6" topLeftCell="A19" activePane="bottomLeft" state="frozen"/>
      <selection activeCell="A199" sqref="A199:E199"/>
      <selection pane="bottomLeft" activeCell="A10" sqref="A10"/>
    </sheetView>
  </sheetViews>
  <sheetFormatPr defaultColWidth="9.109375" defaultRowHeight="13.2"/>
  <cols>
    <col min="1" max="1" width="50" style="13" customWidth="1"/>
    <col min="2" max="2" width="1.44140625" style="13" customWidth="1"/>
    <col min="3" max="4" width="9.88671875" style="13" customWidth="1"/>
    <col min="5" max="6" width="10.33203125" style="13" bestFit="1" customWidth="1"/>
    <col min="7" max="7" width="10.109375" style="13" bestFit="1" customWidth="1"/>
    <col min="8" max="9" width="9.109375" style="13"/>
    <col min="10" max="10" width="11.6640625" style="13" bestFit="1" customWidth="1"/>
    <col min="11" max="16384" width="9.109375" style="13"/>
  </cols>
  <sheetData>
    <row r="1" spans="1:14">
      <c r="A1" s="93" t="s">
        <v>15</v>
      </c>
      <c r="B1" s="93"/>
      <c r="C1" s="93"/>
      <c r="D1" s="93"/>
      <c r="E1" s="112"/>
      <c r="F1" s="111" t="s">
        <v>36</v>
      </c>
    </row>
    <row r="2" spans="1:14">
      <c r="A2" s="17" t="s">
        <v>83</v>
      </c>
      <c r="B2" s="17"/>
      <c r="C2" s="17"/>
      <c r="D2" s="17"/>
      <c r="E2" s="102"/>
      <c r="F2" s="14" t="s">
        <v>317</v>
      </c>
    </row>
    <row r="3" spans="1:14">
      <c r="A3" s="131" t="s">
        <v>16</v>
      </c>
      <c r="B3" s="131"/>
      <c r="C3" s="131"/>
      <c r="D3" s="131"/>
      <c r="E3" s="131"/>
      <c r="F3" s="131"/>
    </row>
    <row r="5" spans="1:14">
      <c r="B5" s="91"/>
      <c r="C5" s="18" t="s">
        <v>29</v>
      </c>
      <c r="D5" s="18" t="s">
        <v>29</v>
      </c>
      <c r="E5" s="18" t="s">
        <v>54</v>
      </c>
      <c r="F5" s="18" t="s">
        <v>54</v>
      </c>
    </row>
    <row r="6" spans="1:14">
      <c r="A6" s="7" t="s">
        <v>17</v>
      </c>
      <c r="B6" s="7"/>
      <c r="C6" s="78">
        <v>2018</v>
      </c>
      <c r="D6" s="78">
        <v>2019</v>
      </c>
      <c r="E6" s="78">
        <v>2020</v>
      </c>
      <c r="F6" s="78">
        <v>2021</v>
      </c>
    </row>
    <row r="8" spans="1:14">
      <c r="A8" s="4" t="s">
        <v>14</v>
      </c>
    </row>
    <row r="9" spans="1:14">
      <c r="A9" s="4"/>
      <c r="D9" s="20"/>
      <c r="E9" s="20"/>
      <c r="F9" s="20"/>
    </row>
    <row r="10" spans="1:14">
      <c r="A10" s="4" t="s">
        <v>26</v>
      </c>
      <c r="C10" s="20">
        <v>4759317.3</v>
      </c>
      <c r="D10" s="20">
        <f t="shared" ref="D10:F10" si="0">C35</f>
        <v>4491386.3699999992</v>
      </c>
      <c r="E10" s="20">
        <f t="shared" si="0"/>
        <v>8088316.9700000007</v>
      </c>
      <c r="F10" s="20">
        <f t="shared" si="0"/>
        <v>10795939.75</v>
      </c>
    </row>
    <row r="11" spans="1:14">
      <c r="A11" s="4"/>
      <c r="C11" s="19"/>
      <c r="D11" s="19"/>
      <c r="E11" s="19"/>
      <c r="F11" s="19"/>
    </row>
    <row r="12" spans="1:14">
      <c r="A12" s="4" t="s">
        <v>34</v>
      </c>
      <c r="C12" s="20">
        <f>'5.2-1'!C30+'5.2-2'!C20</f>
        <v>15230483.260000002</v>
      </c>
      <c r="D12" s="20">
        <f>'5.2-1'!D30+'5.2-2'!D20</f>
        <v>23562593.409999996</v>
      </c>
      <c r="E12" s="20">
        <f>'5.2-1'!E30+'5.2-2'!E20</f>
        <v>29290486.280000001</v>
      </c>
      <c r="F12" s="20">
        <f>'5.2-1'!F30+'5.2-2'!F20</f>
        <v>56266000</v>
      </c>
      <c r="M12" s="19"/>
      <c r="N12" s="60"/>
    </row>
    <row r="13" spans="1:14">
      <c r="A13" s="4"/>
      <c r="C13" s="21"/>
      <c r="D13" s="19"/>
      <c r="E13" s="19"/>
      <c r="F13" s="19"/>
    </row>
    <row r="14" spans="1:14">
      <c r="A14" s="4" t="s">
        <v>37</v>
      </c>
      <c r="C14" s="21"/>
      <c r="D14" s="19"/>
      <c r="E14" s="19"/>
      <c r="F14" s="19"/>
    </row>
    <row r="15" spans="1:14">
      <c r="A15" s="11" t="s">
        <v>10</v>
      </c>
      <c r="C15" s="20">
        <f>'5.2-1'!C56</f>
        <v>1234248.3699999999</v>
      </c>
      <c r="D15" s="20">
        <f>'5.2-1'!D56</f>
        <v>1335232.6800000002</v>
      </c>
      <c r="E15" s="20">
        <f>'5.2-1'!E56</f>
        <v>1037746</v>
      </c>
      <c r="F15" s="20">
        <f>'5.2-1'!F56</f>
        <v>550000</v>
      </c>
    </row>
    <row r="16" spans="1:14">
      <c r="A16" s="11" t="s">
        <v>11</v>
      </c>
      <c r="C16" s="20">
        <f>'5.2-1'!C65</f>
        <v>1245100.1499999999</v>
      </c>
      <c r="D16" s="20">
        <f>'5.2-1'!D65</f>
        <v>1398810.39</v>
      </c>
      <c r="E16" s="20">
        <f>'5.2-1'!E65</f>
        <v>774488</v>
      </c>
      <c r="F16" s="20">
        <f>'5.2-1'!F65</f>
        <v>625000</v>
      </c>
    </row>
    <row r="17" spans="1:13">
      <c r="A17" s="11" t="s">
        <v>12</v>
      </c>
      <c r="C17" s="20">
        <f>'5.2-1'!C43</f>
        <v>1040045.69</v>
      </c>
      <c r="D17" s="20">
        <f>'5.2-1'!D43</f>
        <v>1736868.0899999999</v>
      </c>
      <c r="E17" s="20">
        <f>'5.2-1'!E43</f>
        <v>1205100</v>
      </c>
      <c r="F17" s="20">
        <f>'5.2-1'!F43</f>
        <v>1110000</v>
      </c>
    </row>
    <row r="18" spans="1:13">
      <c r="A18" s="11" t="s">
        <v>13</v>
      </c>
      <c r="C18" s="29">
        <f>'5.2-1'!C79</f>
        <v>1734203.8499999999</v>
      </c>
      <c r="D18" s="29">
        <f>'5.2-1'!D79</f>
        <v>1740006.71</v>
      </c>
      <c r="E18" s="29">
        <f>'5.2-1'!E79</f>
        <v>2066000</v>
      </c>
      <c r="F18" s="29">
        <f>'5.2-1'!F79</f>
        <v>2045000</v>
      </c>
    </row>
    <row r="19" spans="1:13">
      <c r="A19" s="89" t="s">
        <v>103</v>
      </c>
      <c r="B19" s="30"/>
      <c r="C19" s="29">
        <f>'5.2-1'!C85</f>
        <v>0</v>
      </c>
      <c r="D19" s="29">
        <f>'5.2-1'!D85</f>
        <v>144932.10999999999</v>
      </c>
      <c r="E19" s="29">
        <f>'5.2-1'!E85</f>
        <v>198355.72</v>
      </c>
      <c r="F19" s="29">
        <f>'5.2-1'!F85</f>
        <v>760000</v>
      </c>
    </row>
    <row r="20" spans="1:13">
      <c r="A20" s="89" t="s">
        <v>230</v>
      </c>
      <c r="B20" s="30"/>
      <c r="C20" s="29">
        <f>'5.2-1'!C92</f>
        <v>164688.09</v>
      </c>
      <c r="D20" s="29">
        <f>'5.2-1'!D92</f>
        <v>1172970</v>
      </c>
      <c r="E20" s="29">
        <f>'5.2-1'!E92</f>
        <v>0</v>
      </c>
      <c r="F20" s="29">
        <f>'5.2-1'!F92</f>
        <v>0</v>
      </c>
    </row>
    <row r="21" spans="1:13">
      <c r="A21" s="89" t="s">
        <v>231</v>
      </c>
      <c r="B21" s="30"/>
      <c r="C21" s="22">
        <f>'5.2-1'!C97</f>
        <v>650875.06999999995</v>
      </c>
      <c r="D21" s="22">
        <f>'5.2-1'!D97</f>
        <v>62166.2</v>
      </c>
      <c r="E21" s="22">
        <f>'5.2-1'!E97</f>
        <v>1598400</v>
      </c>
      <c r="F21" s="22">
        <f>'5.2-1'!F97</f>
        <v>411000</v>
      </c>
    </row>
    <row r="22" spans="1:13">
      <c r="A22" s="4" t="s">
        <v>38</v>
      </c>
      <c r="C22" s="20">
        <f>SUM(C15:C21)</f>
        <v>6069161.2199999997</v>
      </c>
      <c r="D22" s="20">
        <f>SUM(D15:D21)</f>
        <v>7590986.1800000006</v>
      </c>
      <c r="E22" s="20">
        <f>SUM(E15:E21)</f>
        <v>6880089.7199999997</v>
      </c>
      <c r="F22" s="20">
        <f>SUM(F15:F21)</f>
        <v>5501000</v>
      </c>
    </row>
    <row r="23" spans="1:13">
      <c r="A23" s="8"/>
      <c r="B23" s="23"/>
      <c r="C23" s="22"/>
      <c r="D23" s="22"/>
      <c r="E23" s="22"/>
      <c r="F23" s="22"/>
    </row>
    <row r="24" spans="1:13">
      <c r="A24" s="4" t="s">
        <v>40</v>
      </c>
      <c r="B24" s="19">
        <f>SUM(B12:B18)</f>
        <v>0</v>
      </c>
      <c r="C24" s="20">
        <f>C12+C22</f>
        <v>21299644.48</v>
      </c>
      <c r="D24" s="20">
        <f>D12+D22</f>
        <v>31153579.589999996</v>
      </c>
      <c r="E24" s="20">
        <f>E12+E22</f>
        <v>36170576</v>
      </c>
      <c r="F24" s="20">
        <f>F12+F22</f>
        <v>61767000</v>
      </c>
      <c r="G24" s="19"/>
      <c r="H24" s="19"/>
      <c r="J24" s="19"/>
      <c r="M24" s="19"/>
    </row>
    <row r="25" spans="1:13" s="24" customFormat="1">
      <c r="A25" s="55"/>
      <c r="B25" s="56"/>
      <c r="C25" s="52"/>
      <c r="D25" s="52"/>
      <c r="E25" s="52"/>
      <c r="F25" s="52"/>
      <c r="G25" s="25"/>
      <c r="H25" s="25"/>
      <c r="J25" s="19"/>
    </row>
    <row r="26" spans="1:13">
      <c r="A26" s="2" t="s">
        <v>85</v>
      </c>
      <c r="B26" s="30"/>
      <c r="C26" s="20">
        <f>-C20</f>
        <v>-164688.09</v>
      </c>
      <c r="D26" s="20">
        <f>-D20</f>
        <v>-1172970</v>
      </c>
      <c r="E26" s="20">
        <f>-E20</f>
        <v>0</v>
      </c>
      <c r="F26" s="20">
        <f>-F20</f>
        <v>0</v>
      </c>
      <c r="G26" s="25"/>
      <c r="H26" s="25"/>
      <c r="J26" s="19"/>
    </row>
    <row r="27" spans="1:13">
      <c r="A27" s="2" t="s">
        <v>232</v>
      </c>
      <c r="B27" s="30"/>
      <c r="C27" s="20">
        <f>-C21</f>
        <v>-650875.06999999995</v>
      </c>
      <c r="D27" s="20">
        <f t="shared" ref="D27:F27" si="1">-D21</f>
        <v>-62166.2</v>
      </c>
      <c r="E27" s="20">
        <f t="shared" ref="E27" si="2">-E21</f>
        <v>-1598400</v>
      </c>
      <c r="F27" s="20">
        <f t="shared" si="1"/>
        <v>-411000</v>
      </c>
      <c r="G27" s="25"/>
      <c r="H27" s="25"/>
      <c r="J27" s="25"/>
    </row>
    <row r="28" spans="1:13">
      <c r="A28" s="1" t="s">
        <v>241</v>
      </c>
      <c r="C28" s="20">
        <f>419877.660000039-'5.2-2'!C17</f>
        <v>-295037.34999996104</v>
      </c>
      <c r="D28" s="20">
        <f>-2000-658000</f>
        <v>-660000</v>
      </c>
      <c r="E28" s="20">
        <f>-2000</f>
        <v>-2000</v>
      </c>
      <c r="F28" s="20">
        <f>-2000</f>
        <v>-2000</v>
      </c>
      <c r="G28" s="19"/>
      <c r="H28" s="19"/>
    </row>
    <row r="29" spans="1:13">
      <c r="A29" s="9"/>
      <c r="B29" s="23"/>
      <c r="C29" s="22"/>
      <c r="D29" s="22"/>
      <c r="E29" s="22"/>
      <c r="F29" s="22"/>
    </row>
    <row r="30" spans="1:13">
      <c r="A30" s="4" t="s">
        <v>19</v>
      </c>
      <c r="C30" s="20">
        <f t="shared" ref="C30:F30" si="3">SUM(C26:C28)</f>
        <v>-1110600.5099999609</v>
      </c>
      <c r="D30" s="20">
        <f t="shared" si="3"/>
        <v>-1895136.2</v>
      </c>
      <c r="E30" s="20">
        <f t="shared" ref="E30" si="4">SUM(E26:E28)</f>
        <v>-1600400</v>
      </c>
      <c r="F30" s="20">
        <f t="shared" si="3"/>
        <v>-413000</v>
      </c>
      <c r="G30" s="19"/>
      <c r="H30" s="19"/>
      <c r="I30" s="19"/>
      <c r="J30" s="19"/>
      <c r="K30" s="19"/>
    </row>
    <row r="31" spans="1:13">
      <c r="A31" s="3"/>
      <c r="C31" s="20"/>
      <c r="D31" s="20"/>
      <c r="E31" s="20"/>
      <c r="F31" s="20"/>
      <c r="G31" s="19"/>
      <c r="H31" s="19"/>
      <c r="I31" s="19"/>
      <c r="J31" s="19"/>
    </row>
    <row r="32" spans="1:13">
      <c r="A32" s="5" t="s">
        <v>18</v>
      </c>
      <c r="C32" s="20">
        <f>-C38</f>
        <v>-20457394.900000043</v>
      </c>
      <c r="D32" s="20">
        <f t="shared" ref="D32:F32" si="5">-D38</f>
        <v>-25661971.609999951</v>
      </c>
      <c r="E32" s="20">
        <f t="shared" ref="E32" si="6">-E38</f>
        <v>-31862970.50999999</v>
      </c>
      <c r="F32" s="20">
        <f t="shared" si="5"/>
        <v>-34760942.790000081</v>
      </c>
      <c r="G32" s="19"/>
      <c r="H32" s="19"/>
      <c r="I32" s="19"/>
    </row>
    <row r="33" spans="1:8">
      <c r="A33" s="24"/>
      <c r="C33" s="20"/>
      <c r="D33" s="30"/>
      <c r="E33" s="30"/>
      <c r="F33" s="30"/>
    </row>
    <row r="34" spans="1:8" ht="13.8" thickBot="1">
      <c r="A34" s="10"/>
      <c r="B34" s="26"/>
      <c r="C34" s="130">
        <f>C10+C24+C30+C32-C35</f>
        <v>-420.00000000186265</v>
      </c>
      <c r="D34" s="130">
        <f>D10+D24+D30+D32-D35</f>
        <v>-458.81999996118248</v>
      </c>
      <c r="E34" s="130">
        <f>E10+E24+E30+E32-E35</f>
        <v>-417.28999999165535</v>
      </c>
      <c r="F34" s="130">
        <f>F10+F24+F30+F32-F35</f>
        <v>-417.32000008225441</v>
      </c>
    </row>
    <row r="35" spans="1:8" ht="13.8" thickTop="1">
      <c r="A35" s="6" t="s">
        <v>20</v>
      </c>
      <c r="B35" s="27"/>
      <c r="C35" s="53">
        <v>4491386.3699999992</v>
      </c>
      <c r="D35" s="53">
        <v>8088316.9700000007</v>
      </c>
      <c r="E35" s="53">
        <v>10795939.75</v>
      </c>
      <c r="F35" s="53">
        <v>37389414.280000001</v>
      </c>
      <c r="H35" s="28"/>
    </row>
    <row r="36" spans="1:8">
      <c r="A36" s="6"/>
      <c r="C36" s="20"/>
      <c r="D36" s="20"/>
      <c r="E36" s="20"/>
      <c r="F36" s="20"/>
    </row>
    <row r="37" spans="1:8">
      <c r="A37" s="6" t="s">
        <v>0</v>
      </c>
      <c r="C37" s="20">
        <f>C43-C10</f>
        <v>593997007.96999991</v>
      </c>
      <c r="D37" s="20">
        <f>D43-D10</f>
        <v>610895443.54999995</v>
      </c>
      <c r="E37" s="20">
        <f>E43-E10</f>
        <v>634649673.5999999</v>
      </c>
      <c r="F37" s="20">
        <f>F43-F10</f>
        <v>666512644.1099999</v>
      </c>
    </row>
    <row r="38" spans="1:8">
      <c r="A38" s="3" t="s">
        <v>78</v>
      </c>
      <c r="C38" s="20">
        <f>C41-C37-C39</f>
        <v>20457394.900000043</v>
      </c>
      <c r="D38" s="20">
        <f>D41-D37-D39</f>
        <v>25661971.609999951</v>
      </c>
      <c r="E38" s="20">
        <f>E41-E37-E39</f>
        <v>31862970.50999999</v>
      </c>
      <c r="F38" s="20">
        <f>F41-F37-F39</f>
        <v>34760942.790000081</v>
      </c>
    </row>
    <row r="39" spans="1:8" s="30" customFormat="1">
      <c r="A39" s="1" t="s">
        <v>77</v>
      </c>
      <c r="C39" s="20">
        <v>-3558959.3200000003</v>
      </c>
      <c r="D39" s="20">
        <v>-1907741.56</v>
      </c>
      <c r="E39" s="20">
        <v>0</v>
      </c>
      <c r="F39" s="20">
        <v>0</v>
      </c>
    </row>
    <row r="40" spans="1:8">
      <c r="A40" s="3"/>
      <c r="C40" s="20"/>
      <c r="D40" s="20"/>
      <c r="E40" s="20"/>
      <c r="F40" s="20"/>
    </row>
    <row r="41" spans="1:8">
      <c r="A41" s="6" t="s">
        <v>1</v>
      </c>
      <c r="B41" s="27"/>
      <c r="C41" s="53">
        <f>C45-C35</f>
        <v>610895443.54999995</v>
      </c>
      <c r="D41" s="53">
        <f>D45-D35</f>
        <v>634649673.5999999</v>
      </c>
      <c r="E41" s="53">
        <f t="shared" ref="E41:F41" si="7">E45-E35</f>
        <v>666512644.1099999</v>
      </c>
      <c r="F41" s="53">
        <f t="shared" si="7"/>
        <v>701273586.89999998</v>
      </c>
    </row>
    <row r="42" spans="1:8">
      <c r="A42" s="6"/>
      <c r="C42" s="20"/>
      <c r="D42" s="20"/>
      <c r="E42" s="20"/>
      <c r="F42" s="20"/>
    </row>
    <row r="43" spans="1:8">
      <c r="A43" s="6" t="s">
        <v>21</v>
      </c>
      <c r="C43" s="20">
        <v>598756325.26999986</v>
      </c>
      <c r="D43" s="20">
        <f t="shared" ref="D43:F43" si="8">C45</f>
        <v>615386829.91999996</v>
      </c>
      <c r="E43" s="20">
        <f t="shared" si="8"/>
        <v>642737990.56999993</v>
      </c>
      <c r="F43" s="20">
        <f t="shared" si="8"/>
        <v>677308583.8599999</v>
      </c>
    </row>
    <row r="44" spans="1:8">
      <c r="A44" s="3" t="s">
        <v>22</v>
      </c>
      <c r="C44" s="19">
        <f>C45-C43</f>
        <v>16630504.650000095</v>
      </c>
      <c r="D44" s="19">
        <f>D45-D43</f>
        <v>27351160.649999976</v>
      </c>
      <c r="E44" s="19">
        <f>E45-E43</f>
        <v>34570593.289999962</v>
      </c>
      <c r="F44" s="19">
        <f>F45-F43</f>
        <v>61354417.320000052</v>
      </c>
    </row>
    <row r="45" spans="1:8">
      <c r="A45" s="6" t="s">
        <v>23</v>
      </c>
      <c r="B45" s="27"/>
      <c r="C45" s="53">
        <v>615386829.91999996</v>
      </c>
      <c r="D45" s="53">
        <v>642737990.56999993</v>
      </c>
      <c r="E45" s="53">
        <v>677308583.8599999</v>
      </c>
      <c r="F45" s="53">
        <v>738663001.17999995</v>
      </c>
    </row>
    <row r="46" spans="1:8">
      <c r="A46" s="6"/>
      <c r="C46" s="19"/>
      <c r="D46" s="19"/>
      <c r="E46" s="19"/>
      <c r="F46" s="19"/>
    </row>
    <row r="47" spans="1:8">
      <c r="A47" s="6" t="s">
        <v>2</v>
      </c>
      <c r="C47" s="19"/>
      <c r="D47" s="19"/>
      <c r="E47" s="19"/>
      <c r="F47" s="19"/>
    </row>
    <row r="48" spans="1:8">
      <c r="A48" s="6"/>
      <c r="C48" s="19"/>
      <c r="D48" s="19"/>
      <c r="E48" s="19"/>
      <c r="F48" s="19"/>
    </row>
    <row r="49" spans="1:7">
      <c r="A49" s="6" t="s">
        <v>3</v>
      </c>
      <c r="C49" s="53">
        <v>20692.650000000001</v>
      </c>
      <c r="D49" s="28">
        <f t="shared" ref="D49:F49" si="9">C53</f>
        <v>603058.51000000013</v>
      </c>
      <c r="E49" s="28">
        <f t="shared" si="9"/>
        <v>385366.2</v>
      </c>
      <c r="F49" s="28">
        <f t="shared" si="9"/>
        <v>776282.09</v>
      </c>
    </row>
    <row r="50" spans="1:7">
      <c r="A50" s="3" t="s">
        <v>4</v>
      </c>
      <c r="C50" s="20">
        <v>775700.10999999987</v>
      </c>
      <c r="D50" s="20">
        <v>12191687.02</v>
      </c>
      <c r="E50" s="20">
        <v>16512746</v>
      </c>
      <c r="F50" s="20">
        <v>28800000</v>
      </c>
    </row>
    <row r="51" spans="1:7">
      <c r="A51" s="3" t="s">
        <v>74</v>
      </c>
      <c r="C51" s="20"/>
      <c r="D51" s="20"/>
      <c r="E51" s="20"/>
      <c r="F51" s="20"/>
    </row>
    <row r="52" spans="1:7">
      <c r="A52" s="3" t="s">
        <v>5</v>
      </c>
      <c r="C52" s="20">
        <f>-(C49+C50-C53+C51)</f>
        <v>-193334.24999999977</v>
      </c>
      <c r="D52" s="20">
        <f>-(D49+D50-D53)</f>
        <v>-12409379.33</v>
      </c>
      <c r="E52" s="20">
        <f>-(E49+E50-E53)</f>
        <v>-16121830.109999999</v>
      </c>
      <c r="F52" s="20">
        <f>-(F49+F50-F53)</f>
        <v>-8800000</v>
      </c>
    </row>
    <row r="53" spans="1:7">
      <c r="A53" s="6" t="s">
        <v>6</v>
      </c>
      <c r="C53" s="53">
        <v>603058.51000000013</v>
      </c>
      <c r="D53" s="53">
        <v>385366.2</v>
      </c>
      <c r="E53" s="53">
        <v>776282.09</v>
      </c>
      <c r="F53" s="53">
        <v>20776282.09</v>
      </c>
    </row>
    <row r="54" spans="1:7">
      <c r="A54" s="3"/>
      <c r="C54" s="19"/>
      <c r="D54" s="19"/>
      <c r="E54" s="19"/>
      <c r="F54" s="19"/>
      <c r="G54" s="19"/>
    </row>
    <row r="55" spans="1:7">
      <c r="A55" s="6" t="s">
        <v>7</v>
      </c>
      <c r="C55" s="53">
        <v>200810924.49000001</v>
      </c>
      <c r="D55" s="28">
        <f t="shared" ref="D55:F55" si="10">C58</f>
        <v>198923772.39000002</v>
      </c>
      <c r="E55" s="28">
        <f t="shared" si="10"/>
        <v>211333151.72000003</v>
      </c>
      <c r="F55" s="28">
        <f t="shared" si="10"/>
        <v>227454981.83000004</v>
      </c>
    </row>
    <row r="56" spans="1:7">
      <c r="A56" s="3" t="s">
        <v>8</v>
      </c>
      <c r="C56" s="19">
        <f t="shared" ref="C56:F56" si="11">-C52</f>
        <v>193334.24999999977</v>
      </c>
      <c r="D56" s="19">
        <f t="shared" si="11"/>
        <v>12409379.33</v>
      </c>
      <c r="E56" s="19">
        <f t="shared" ref="E56" si="12">-E52</f>
        <v>16121830.109999999</v>
      </c>
      <c r="F56" s="19">
        <f t="shared" si="11"/>
        <v>8800000</v>
      </c>
    </row>
    <row r="57" spans="1:7">
      <c r="A57" s="3" t="s">
        <v>138</v>
      </c>
      <c r="C57" s="19">
        <v>-2080486.35</v>
      </c>
      <c r="D57" s="19"/>
      <c r="E57" s="19"/>
      <c r="F57" s="19"/>
    </row>
    <row r="58" spans="1:7">
      <c r="A58" s="6" t="s">
        <v>9</v>
      </c>
      <c r="C58" s="28">
        <f t="shared" ref="C58:F58" si="13">SUM(C55:C57)</f>
        <v>198923772.39000002</v>
      </c>
      <c r="D58" s="28">
        <f t="shared" si="13"/>
        <v>211333151.72000003</v>
      </c>
      <c r="E58" s="53">
        <f t="shared" ref="E58" si="14">SUM(E55:E57)</f>
        <v>227454981.83000004</v>
      </c>
      <c r="F58" s="53">
        <f t="shared" si="13"/>
        <v>236254981.83000004</v>
      </c>
    </row>
    <row r="59" spans="1:7">
      <c r="C59" s="19"/>
      <c r="D59" s="19"/>
      <c r="E59" s="19"/>
      <c r="F59" s="19"/>
    </row>
    <row r="60" spans="1:7">
      <c r="A60" s="6" t="s">
        <v>24</v>
      </c>
      <c r="C60" s="20">
        <f>C49+C55</f>
        <v>200831617.14000002</v>
      </c>
      <c r="D60" s="19">
        <f t="shared" ref="D60" si="15">C62</f>
        <v>199526830.90000004</v>
      </c>
      <c r="E60" s="19">
        <f>C62</f>
        <v>199526830.90000004</v>
      </c>
      <c r="F60" s="19">
        <f>D62</f>
        <v>211718517.92000002</v>
      </c>
    </row>
    <row r="61" spans="1:7">
      <c r="A61" s="3" t="s">
        <v>35</v>
      </c>
      <c r="C61" s="19">
        <f>C62-C60</f>
        <v>-1304786.2399999797</v>
      </c>
      <c r="D61" s="19">
        <f t="shared" ref="D61:F61" si="16">D62-D60</f>
        <v>12191687.019999981</v>
      </c>
      <c r="E61" s="19">
        <f t="shared" ref="E61" si="17">E62-E60</f>
        <v>28704433.019999981</v>
      </c>
      <c r="F61" s="19">
        <f t="shared" si="16"/>
        <v>45312746</v>
      </c>
    </row>
    <row r="62" spans="1:7">
      <c r="A62" s="6" t="s">
        <v>25</v>
      </c>
      <c r="B62" s="27"/>
      <c r="C62" s="53">
        <v>199526830.90000004</v>
      </c>
      <c r="D62" s="53">
        <v>211718517.92000002</v>
      </c>
      <c r="E62" s="53">
        <v>228231263.92000002</v>
      </c>
      <c r="F62" s="53">
        <v>257031263.92000002</v>
      </c>
    </row>
    <row r="64" spans="1:7">
      <c r="A64" s="13" t="s">
        <v>79</v>
      </c>
    </row>
    <row r="65" spans="1:6" ht="38.25" customHeight="1">
      <c r="A65" s="132" t="s">
        <v>139</v>
      </c>
      <c r="B65" s="132"/>
      <c r="C65" s="132"/>
      <c r="D65" s="132"/>
      <c r="E65" s="132"/>
      <c r="F65" s="132"/>
    </row>
    <row r="66" spans="1:6">
      <c r="C66" s="19"/>
      <c r="D66" s="19"/>
      <c r="E66" s="19"/>
      <c r="F66" s="19"/>
    </row>
    <row r="67" spans="1:6">
      <c r="C67" s="20"/>
      <c r="D67" s="20"/>
      <c r="E67" s="20"/>
      <c r="F67" s="20"/>
    </row>
    <row r="68" spans="1:6">
      <c r="C68" s="20"/>
      <c r="D68" s="20"/>
      <c r="E68" s="20"/>
      <c r="F68" s="20"/>
    </row>
    <row r="69" spans="1:6">
      <c r="C69" s="19"/>
      <c r="D69" s="19"/>
      <c r="E69" s="19"/>
      <c r="F69" s="19"/>
    </row>
    <row r="70" spans="1:6">
      <c r="C70" s="20"/>
      <c r="D70" s="20"/>
      <c r="E70" s="20"/>
      <c r="F70" s="20"/>
    </row>
    <row r="71" spans="1:6">
      <c r="C71" s="19"/>
      <c r="D71" s="19"/>
      <c r="E71" s="19"/>
      <c r="F71" s="19"/>
    </row>
    <row r="72" spans="1:6">
      <c r="C72" s="19"/>
      <c r="D72" s="19"/>
      <c r="E72" s="19"/>
      <c r="F72" s="19"/>
    </row>
    <row r="74" spans="1:6">
      <c r="C74" s="19"/>
      <c r="D74" s="19"/>
      <c r="E74" s="19"/>
      <c r="F74" s="19"/>
    </row>
    <row r="75" spans="1:6">
      <c r="C75" s="19"/>
      <c r="D75" s="19"/>
      <c r="E75" s="19"/>
      <c r="F75" s="19"/>
    </row>
    <row r="76" spans="1:6">
      <c r="C76" s="19"/>
      <c r="D76" s="19"/>
      <c r="E76" s="19"/>
      <c r="F76" s="19"/>
    </row>
  </sheetData>
  <mergeCells count="2">
    <mergeCell ref="A3:F3"/>
    <mergeCell ref="A65:F65"/>
  </mergeCells>
  <printOptions horizontalCentered="1"/>
  <pageMargins left="0.70866141732283472" right="0.70866141732283472" top="0.74803149606299213" bottom="0.74803149606299213" header="0.31496062992125984" footer="0.31496062992125984"/>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7"/>
  <sheetViews>
    <sheetView view="pageBreakPreview" zoomScale="85" zoomScaleNormal="130" zoomScaleSheetLayoutView="85" workbookViewId="0">
      <pane ySplit="7" topLeftCell="A8" activePane="bottomLeft" state="frozen"/>
      <selection activeCell="A199" sqref="A199:E199"/>
      <selection pane="bottomLeft" activeCell="A23" sqref="A23"/>
    </sheetView>
  </sheetViews>
  <sheetFormatPr defaultColWidth="9.109375" defaultRowHeight="13.2"/>
  <cols>
    <col min="1" max="1" width="9.33203125" style="30" customWidth="1"/>
    <col min="2" max="2" width="54.109375" style="30" customWidth="1"/>
    <col min="3" max="3" width="11.88671875" style="36" customWidth="1"/>
    <col min="4" max="6" width="11.88671875" style="37" customWidth="1"/>
    <col min="7" max="7" width="10.6640625" style="30" customWidth="1"/>
    <col min="8" max="16384" width="9.109375" style="30"/>
  </cols>
  <sheetData>
    <row r="1" spans="1:6">
      <c r="A1" s="94" t="s">
        <v>15</v>
      </c>
      <c r="B1" s="73"/>
      <c r="C1" s="94"/>
      <c r="D1" s="96"/>
      <c r="E1" s="97"/>
      <c r="F1" s="97" t="s">
        <v>273</v>
      </c>
    </row>
    <row r="2" spans="1:6" ht="16.2">
      <c r="A2" s="31" t="s">
        <v>291</v>
      </c>
      <c r="B2" s="74"/>
      <c r="C2" s="31"/>
      <c r="D2" s="98"/>
      <c r="E2" s="103"/>
      <c r="F2" s="103" t="str">
        <f>'5.1'!$F$2</f>
        <v>November 2020</v>
      </c>
    </row>
    <row r="3" spans="1:6">
      <c r="A3" s="31" t="s">
        <v>287</v>
      </c>
      <c r="B3" s="74"/>
      <c r="C3" s="31"/>
      <c r="D3" s="98"/>
      <c r="E3" s="103"/>
      <c r="F3" s="103"/>
    </row>
    <row r="4" spans="1:6">
      <c r="A4" s="133" t="s">
        <v>16</v>
      </c>
      <c r="B4" s="133"/>
      <c r="C4" s="133"/>
      <c r="D4" s="133"/>
      <c r="E4" s="133"/>
      <c r="F4" s="133"/>
    </row>
    <row r="5" spans="1:6">
      <c r="A5" s="18"/>
      <c r="B5" s="95"/>
      <c r="C5" s="32"/>
      <c r="D5" s="99"/>
      <c r="E5" s="99"/>
      <c r="F5" s="99"/>
    </row>
    <row r="6" spans="1:6">
      <c r="A6" s="33"/>
      <c r="B6" s="95"/>
      <c r="C6" s="18" t="s">
        <v>29</v>
      </c>
      <c r="D6" s="100" t="s">
        <v>29</v>
      </c>
      <c r="E6" s="100" t="s">
        <v>54</v>
      </c>
      <c r="F6" s="100" t="s">
        <v>54</v>
      </c>
    </row>
    <row r="7" spans="1:6" ht="16.2">
      <c r="A7" s="34" t="s">
        <v>17</v>
      </c>
      <c r="B7" s="75"/>
      <c r="C7" s="78" t="s">
        <v>295</v>
      </c>
      <c r="D7" s="78">
        <v>2019</v>
      </c>
      <c r="E7" s="78">
        <f>D7+1</f>
        <v>2020</v>
      </c>
      <c r="F7" s="78">
        <f>E7+1</f>
        <v>2021</v>
      </c>
    </row>
    <row r="8" spans="1:6">
      <c r="B8" s="35"/>
    </row>
    <row r="9" spans="1:6">
      <c r="A9" s="33" t="s">
        <v>33</v>
      </c>
      <c r="B9" s="35"/>
      <c r="C9" s="38"/>
      <c r="D9" s="39"/>
      <c r="E9" s="39"/>
      <c r="F9" s="39"/>
    </row>
    <row r="10" spans="1:6" ht="8.4" customHeight="1"/>
    <row r="11" spans="1:6" ht="11.7" customHeight="1">
      <c r="B11" s="33" t="s">
        <v>288</v>
      </c>
    </row>
    <row r="12" spans="1:6">
      <c r="B12" s="76" t="s">
        <v>206</v>
      </c>
      <c r="C12" s="38">
        <v>479375</v>
      </c>
      <c r="D12" s="39">
        <v>1780576.78</v>
      </c>
      <c r="E12" s="39">
        <v>0</v>
      </c>
      <c r="F12" s="39">
        <v>0</v>
      </c>
    </row>
    <row r="13" spans="1:6" ht="15.6">
      <c r="B13" s="76" t="s">
        <v>279</v>
      </c>
      <c r="C13" s="43">
        <v>0</v>
      </c>
      <c r="D13" s="43">
        <v>501133.57</v>
      </c>
      <c r="E13" s="43">
        <v>20000000</v>
      </c>
      <c r="F13" s="43">
        <v>11200000</v>
      </c>
    </row>
    <row r="14" spans="1:6" ht="15.6">
      <c r="B14" s="76" t="s">
        <v>278</v>
      </c>
      <c r="C14" s="43">
        <v>123044.63</v>
      </c>
      <c r="D14" s="43">
        <v>11496138.369999999</v>
      </c>
      <c r="E14" s="43">
        <v>0</v>
      </c>
      <c r="F14" s="43">
        <v>0</v>
      </c>
    </row>
    <row r="15" spans="1:6">
      <c r="A15" s="33"/>
      <c r="B15" s="76" t="s">
        <v>216</v>
      </c>
      <c r="C15" s="43">
        <v>227486.5</v>
      </c>
      <c r="D15" s="43">
        <v>1070346.1299999999</v>
      </c>
      <c r="E15" s="43">
        <v>0</v>
      </c>
      <c r="F15" s="43">
        <v>0</v>
      </c>
    </row>
    <row r="16" spans="1:6">
      <c r="B16" s="76" t="s">
        <v>210</v>
      </c>
      <c r="C16" s="43">
        <v>0</v>
      </c>
      <c r="D16" s="43">
        <v>93450.4</v>
      </c>
      <c r="E16" s="43">
        <v>2300000</v>
      </c>
      <c r="F16" s="43">
        <v>3500000</v>
      </c>
    </row>
    <row r="17" spans="1:6">
      <c r="B17" s="76" t="s">
        <v>315</v>
      </c>
      <c r="C17" s="43">
        <v>0</v>
      </c>
      <c r="D17" s="43">
        <v>0</v>
      </c>
      <c r="E17" s="43">
        <v>2036943</v>
      </c>
      <c r="F17" s="43">
        <v>0</v>
      </c>
    </row>
    <row r="18" spans="1:6">
      <c r="B18" s="76" t="s">
        <v>211</v>
      </c>
      <c r="C18" s="43">
        <v>0</v>
      </c>
      <c r="D18" s="43">
        <v>4271612.99</v>
      </c>
      <c r="E18" s="43">
        <v>0</v>
      </c>
      <c r="F18" s="43">
        <v>0</v>
      </c>
    </row>
    <row r="19" spans="1:6">
      <c r="B19" s="76" t="s">
        <v>266</v>
      </c>
      <c r="C19" s="43">
        <v>0</v>
      </c>
      <c r="D19" s="43">
        <v>0</v>
      </c>
      <c r="E19" s="43">
        <v>0</v>
      </c>
      <c r="F19" s="43">
        <v>1300000</v>
      </c>
    </row>
    <row r="20" spans="1:6">
      <c r="B20" s="76" t="s">
        <v>212</v>
      </c>
      <c r="C20" s="43">
        <v>0</v>
      </c>
      <c r="D20" s="43">
        <v>3044386.55</v>
      </c>
      <c r="E20" s="43">
        <v>1693321.28</v>
      </c>
      <c r="F20" s="43">
        <v>7300000</v>
      </c>
    </row>
    <row r="21" spans="1:6">
      <c r="B21" s="76" t="s">
        <v>316</v>
      </c>
      <c r="C21" s="43">
        <v>51894.080000000002</v>
      </c>
      <c r="D21" s="43">
        <v>78866.080000000002</v>
      </c>
      <c r="E21" s="43">
        <v>400000</v>
      </c>
      <c r="F21" s="43">
        <v>1000000</v>
      </c>
    </row>
    <row r="22" spans="1:6">
      <c r="B22" s="76"/>
      <c r="C22" s="43"/>
      <c r="D22" s="43"/>
      <c r="E22" s="43"/>
      <c r="F22" s="43"/>
    </row>
    <row r="23" spans="1:6">
      <c r="B23" s="33" t="s">
        <v>289</v>
      </c>
      <c r="C23" s="43"/>
      <c r="D23" s="43"/>
      <c r="E23" s="43"/>
      <c r="F23" s="43"/>
    </row>
    <row r="24" spans="1:6">
      <c r="B24" s="76" t="s">
        <v>263</v>
      </c>
      <c r="C24" s="43">
        <v>5007685.2</v>
      </c>
      <c r="D24" s="43">
        <v>96763.71</v>
      </c>
      <c r="E24" s="43"/>
      <c r="F24" s="43"/>
    </row>
    <row r="25" spans="1:6">
      <c r="B25" s="33" t="s">
        <v>290</v>
      </c>
      <c r="C25" s="43"/>
      <c r="D25" s="43"/>
      <c r="E25" s="43"/>
      <c r="F25" s="43"/>
    </row>
    <row r="26" spans="1:6" collapsed="1">
      <c r="B26" s="76" t="s">
        <v>122</v>
      </c>
      <c r="C26" s="43">
        <v>1645282.4</v>
      </c>
      <c r="D26" s="43"/>
      <c r="E26" s="43"/>
      <c r="F26" s="43"/>
    </row>
    <row r="27" spans="1:6">
      <c r="B27" s="76" t="s">
        <v>274</v>
      </c>
      <c r="C27" s="38">
        <f>'[1]5.2 (original)'!C12-'5.2-1'!C12</f>
        <v>687954.46</v>
      </c>
      <c r="D27" s="39"/>
      <c r="E27" s="39"/>
      <c r="F27" s="39"/>
    </row>
    <row r="28" spans="1:6">
      <c r="B28" s="76" t="s">
        <v>275</v>
      </c>
      <c r="C28" s="43">
        <v>6280165.1100000003</v>
      </c>
      <c r="D28" s="43"/>
      <c r="E28" s="43"/>
      <c r="F28" s="43"/>
    </row>
    <row r="29" spans="1:6" ht="13.8" thickBot="1">
      <c r="B29" s="35"/>
      <c r="C29" s="105"/>
      <c r="E29" s="39"/>
      <c r="F29" s="39"/>
    </row>
    <row r="30" spans="1:6" ht="13.8" thickTop="1">
      <c r="B30" s="113" t="s">
        <v>34</v>
      </c>
      <c r="C30" s="41">
        <f>SUM(C12:C14,C15:C28)</f>
        <v>14502887.380000001</v>
      </c>
      <c r="D30" s="41">
        <f>SUM(D12:D14,D15:D28)</f>
        <v>22433274.579999998</v>
      </c>
      <c r="E30" s="41">
        <f>SUM(E12:E14,E15:E28)</f>
        <v>26430264.280000001</v>
      </c>
      <c r="F30" s="41">
        <f>SUM(F12:F14,F15:F28)</f>
        <v>24300000</v>
      </c>
    </row>
    <row r="31" spans="1:6">
      <c r="B31" s="35"/>
      <c r="C31" s="48"/>
      <c r="D31" s="39"/>
      <c r="E31" s="39"/>
      <c r="F31" s="39"/>
    </row>
    <row r="32" spans="1:6">
      <c r="A32" s="33" t="s">
        <v>30</v>
      </c>
      <c r="B32" s="35"/>
      <c r="C32" s="48"/>
      <c r="D32" s="39"/>
      <c r="E32" s="39"/>
      <c r="F32" s="39"/>
    </row>
    <row r="33" spans="1:6">
      <c r="A33" s="33"/>
      <c r="B33" s="76" t="s">
        <v>237</v>
      </c>
      <c r="C33" s="43">
        <v>0</v>
      </c>
      <c r="D33" s="43">
        <v>0</v>
      </c>
      <c r="E33" s="43">
        <v>0</v>
      </c>
      <c r="F33" s="43">
        <v>300000</v>
      </c>
    </row>
    <row r="34" spans="1:6">
      <c r="A34" s="33"/>
      <c r="B34" s="76" t="s">
        <v>213</v>
      </c>
      <c r="C34" s="43">
        <v>109719.87</v>
      </c>
      <c r="D34" s="43">
        <v>272274.92</v>
      </c>
      <c r="E34" s="43">
        <v>300000</v>
      </c>
      <c r="F34" s="43">
        <v>0</v>
      </c>
    </row>
    <row r="35" spans="1:6">
      <c r="A35" s="33"/>
      <c r="B35" s="76" t="s">
        <v>214</v>
      </c>
      <c r="C35" s="43">
        <v>0</v>
      </c>
      <c r="D35" s="43">
        <v>194306.66</v>
      </c>
      <c r="E35" s="43">
        <v>0</v>
      </c>
      <c r="F35" s="43">
        <v>0</v>
      </c>
    </row>
    <row r="36" spans="1:6">
      <c r="A36" s="33"/>
      <c r="B36" s="76" t="s">
        <v>215</v>
      </c>
      <c r="C36" s="43">
        <v>0</v>
      </c>
      <c r="D36" s="43">
        <v>573627.37</v>
      </c>
      <c r="E36" s="43">
        <v>100000</v>
      </c>
      <c r="F36" s="43">
        <v>0</v>
      </c>
    </row>
    <row r="37" spans="1:6">
      <c r="A37" s="33"/>
      <c r="B37" s="76" t="s">
        <v>238</v>
      </c>
      <c r="C37" s="43">
        <v>0</v>
      </c>
      <c r="D37" s="43">
        <v>0</v>
      </c>
      <c r="E37" s="43">
        <v>250000</v>
      </c>
      <c r="F37" s="43">
        <v>0</v>
      </c>
    </row>
    <row r="38" spans="1:6">
      <c r="A38" s="33"/>
      <c r="B38" s="76" t="s">
        <v>140</v>
      </c>
      <c r="C38" s="43">
        <v>39338.69</v>
      </c>
      <c r="D38" s="43">
        <v>217769.84</v>
      </c>
      <c r="E38" s="43">
        <v>10000</v>
      </c>
      <c r="F38" s="43">
        <v>0</v>
      </c>
    </row>
    <row r="39" spans="1:6">
      <c r="A39" s="33"/>
      <c r="B39" s="76" t="s">
        <v>234</v>
      </c>
      <c r="C39" s="43">
        <v>0</v>
      </c>
      <c r="D39" s="43">
        <v>136864.10999999999</v>
      </c>
      <c r="E39" s="43">
        <v>0</v>
      </c>
      <c r="F39" s="43">
        <v>0</v>
      </c>
    </row>
    <row r="40" spans="1:6">
      <c r="A40" s="33"/>
      <c r="B40" s="76" t="s">
        <v>270</v>
      </c>
      <c r="C40" s="43">
        <v>0</v>
      </c>
      <c r="D40" s="43">
        <v>0</v>
      </c>
      <c r="E40" s="43">
        <v>0</v>
      </c>
      <c r="F40" s="43">
        <v>750000</v>
      </c>
    </row>
    <row r="41" spans="1:6">
      <c r="A41" s="33"/>
      <c r="B41" s="76" t="s">
        <v>133</v>
      </c>
      <c r="C41" s="43">
        <v>890987.13</v>
      </c>
      <c r="D41" s="43">
        <v>342025.19</v>
      </c>
      <c r="E41" s="43">
        <v>545100</v>
      </c>
      <c r="F41" s="43">
        <v>60000</v>
      </c>
    </row>
    <row r="42" spans="1:6" ht="13.8" thickBot="1">
      <c r="C42" s="104"/>
      <c r="D42" s="43"/>
      <c r="E42" s="43"/>
      <c r="F42" s="43"/>
    </row>
    <row r="43" spans="1:6" s="33" customFormat="1" ht="13.8" thickTop="1">
      <c r="B43" s="114" t="s">
        <v>12</v>
      </c>
      <c r="C43" s="41">
        <f>SUM(C33:C40,C41)</f>
        <v>1040045.69</v>
      </c>
      <c r="D43" s="41">
        <f>SUM(D33:D40,D41)</f>
        <v>1736868.0899999999</v>
      </c>
      <c r="E43" s="41">
        <f>SUM(E33:E40,E41)</f>
        <v>1205100</v>
      </c>
      <c r="F43" s="41">
        <f>SUM(F33:F40,F41)</f>
        <v>1110000</v>
      </c>
    </row>
    <row r="44" spans="1:6" s="33" customFormat="1">
      <c r="B44" s="40"/>
      <c r="C44" s="46"/>
      <c r="D44" s="46"/>
      <c r="E44" s="46"/>
      <c r="F44" s="46"/>
    </row>
    <row r="45" spans="1:6">
      <c r="A45" s="33" t="s">
        <v>27</v>
      </c>
      <c r="B45" s="35"/>
      <c r="C45" s="48"/>
      <c r="D45" s="39"/>
      <c r="E45" s="39"/>
      <c r="F45" s="39"/>
    </row>
    <row r="46" spans="1:6">
      <c r="A46" s="33"/>
      <c r="B46" s="35"/>
      <c r="C46" s="48"/>
      <c r="D46" s="39"/>
      <c r="E46" s="39"/>
      <c r="F46" s="39"/>
    </row>
    <row r="47" spans="1:6" ht="15.6">
      <c r="A47" s="33"/>
      <c r="B47" s="76" t="s">
        <v>281</v>
      </c>
      <c r="C47" s="43">
        <v>0</v>
      </c>
      <c r="D47" s="43">
        <v>0</v>
      </c>
      <c r="E47" s="43">
        <v>177786</v>
      </c>
      <c r="F47" s="43">
        <v>0</v>
      </c>
    </row>
    <row r="48" spans="1:6">
      <c r="B48" s="76" t="s">
        <v>268</v>
      </c>
      <c r="C48" s="43">
        <v>0</v>
      </c>
      <c r="D48" s="43">
        <v>0</v>
      </c>
      <c r="E48" s="43">
        <v>105000</v>
      </c>
      <c r="F48" s="43">
        <v>250000</v>
      </c>
    </row>
    <row r="49" spans="1:6" ht="15.6">
      <c r="B49" s="76" t="s">
        <v>282</v>
      </c>
      <c r="C49" s="43">
        <v>58015.64</v>
      </c>
      <c r="D49" s="43">
        <v>104975.91</v>
      </c>
      <c r="E49" s="43">
        <v>0</v>
      </c>
      <c r="F49" s="43">
        <v>0</v>
      </c>
    </row>
    <row r="50" spans="1:6">
      <c r="A50" s="33"/>
      <c r="B50" s="76" t="s">
        <v>239</v>
      </c>
      <c r="C50" s="43">
        <v>0</v>
      </c>
      <c r="D50" s="43">
        <v>0</v>
      </c>
      <c r="E50" s="43">
        <v>0</v>
      </c>
      <c r="F50" s="43">
        <v>300000</v>
      </c>
    </row>
    <row r="51" spans="1:6">
      <c r="A51" s="33"/>
      <c r="B51" s="76" t="s">
        <v>217</v>
      </c>
      <c r="C51" s="43">
        <v>215379.64</v>
      </c>
      <c r="D51" s="43">
        <v>323890</v>
      </c>
      <c r="E51" s="43">
        <v>300000</v>
      </c>
      <c r="F51" s="43">
        <v>0</v>
      </c>
    </row>
    <row r="52" spans="1:6" ht="15.6">
      <c r="A52" s="33"/>
      <c r="B52" s="76" t="s">
        <v>283</v>
      </c>
      <c r="C52" s="43">
        <v>0</v>
      </c>
      <c r="D52" s="43">
        <v>54178.32</v>
      </c>
      <c r="E52" s="43">
        <v>199200</v>
      </c>
      <c r="F52" s="43">
        <v>0</v>
      </c>
    </row>
    <row r="53" spans="1:6">
      <c r="A53" s="33"/>
      <c r="B53" s="76" t="s">
        <v>105</v>
      </c>
      <c r="C53" s="43">
        <v>869664.44</v>
      </c>
      <c r="D53" s="43">
        <v>792785.89</v>
      </c>
      <c r="E53" s="43">
        <v>0</v>
      </c>
      <c r="F53" s="43">
        <v>0</v>
      </c>
    </row>
    <row r="54" spans="1:6">
      <c r="A54" s="33"/>
      <c r="B54" s="76" t="s">
        <v>133</v>
      </c>
      <c r="C54" s="43">
        <v>91188.65</v>
      </c>
      <c r="D54" s="43">
        <v>59402.559999999998</v>
      </c>
      <c r="E54" s="43">
        <v>255760</v>
      </c>
      <c r="F54" s="43">
        <v>0</v>
      </c>
    </row>
    <row r="55" spans="1:6" s="1" customFormat="1" ht="13.8" thickBot="1">
      <c r="B55" s="40"/>
      <c r="C55" s="104"/>
      <c r="D55" s="39"/>
      <c r="E55" s="39"/>
      <c r="F55" s="39"/>
    </row>
    <row r="56" spans="1:6" s="33" customFormat="1" ht="13.8" thickTop="1">
      <c r="B56" s="114" t="s">
        <v>10</v>
      </c>
      <c r="C56" s="41">
        <f>SUM(C47:C53,C54)</f>
        <v>1234248.3699999999</v>
      </c>
      <c r="D56" s="41">
        <f>SUM(D47:D53,D54)</f>
        <v>1335232.6800000002</v>
      </c>
      <c r="E56" s="41">
        <f>SUM(E47:E53,E54)</f>
        <v>1037746</v>
      </c>
      <c r="F56" s="41">
        <f>SUM(F47:F53,F54)</f>
        <v>550000</v>
      </c>
    </row>
    <row r="57" spans="1:6">
      <c r="B57" s="35"/>
      <c r="C57" s="48"/>
      <c r="D57" s="39"/>
      <c r="E57" s="39"/>
      <c r="F57" s="39"/>
    </row>
    <row r="58" spans="1:6">
      <c r="A58" s="33" t="s">
        <v>28</v>
      </c>
      <c r="B58" s="35"/>
      <c r="C58" s="48"/>
      <c r="D58" s="39"/>
      <c r="E58" s="39"/>
      <c r="F58" s="39"/>
    </row>
    <row r="59" spans="1:6">
      <c r="A59" s="33"/>
      <c r="B59" s="35"/>
      <c r="C59" s="43"/>
      <c r="D59" s="43"/>
      <c r="E59" s="43"/>
      <c r="F59" s="43"/>
    </row>
    <row r="60" spans="1:6" ht="15.6">
      <c r="A60" s="33"/>
      <c r="B60" s="76" t="s">
        <v>280</v>
      </c>
      <c r="C60" s="43">
        <v>663105.61</v>
      </c>
      <c r="D60" s="43">
        <v>626070.67000000004</v>
      </c>
      <c r="E60" s="43">
        <v>600000</v>
      </c>
      <c r="F60" s="43">
        <v>600000</v>
      </c>
    </row>
    <row r="61" spans="1:6" ht="14.25" customHeight="1">
      <c r="A61" s="33"/>
      <c r="B61" s="76" t="s">
        <v>218</v>
      </c>
      <c r="C61" s="43">
        <v>0</v>
      </c>
      <c r="D61" s="43">
        <v>143577.9</v>
      </c>
      <c r="E61" s="43">
        <v>35000</v>
      </c>
      <c r="F61" s="43">
        <v>0</v>
      </c>
    </row>
    <row r="62" spans="1:6">
      <c r="A62" s="33"/>
      <c r="B62" s="76" t="s">
        <v>219</v>
      </c>
      <c r="C62" s="43">
        <v>352330</v>
      </c>
      <c r="D62" s="43">
        <v>486611.12</v>
      </c>
      <c r="E62" s="43">
        <v>0</v>
      </c>
      <c r="F62" s="43">
        <v>0</v>
      </c>
    </row>
    <row r="63" spans="1:6">
      <c r="A63" s="33"/>
      <c r="B63" s="76" t="s">
        <v>133</v>
      </c>
      <c r="C63" s="43">
        <v>229664.54</v>
      </c>
      <c r="D63" s="43">
        <v>142550.70000000001</v>
      </c>
      <c r="E63" s="43">
        <v>139488</v>
      </c>
      <c r="F63" s="43">
        <v>25000</v>
      </c>
    </row>
    <row r="64" spans="1:6" ht="13.8" thickBot="1">
      <c r="B64" s="47"/>
      <c r="C64" s="106"/>
      <c r="D64" s="44"/>
      <c r="E64" s="44"/>
      <c r="F64" s="44"/>
    </row>
    <row r="65" spans="1:6" s="33" customFormat="1" ht="13.8" thickTop="1">
      <c r="B65" s="45" t="s">
        <v>11</v>
      </c>
      <c r="C65" s="41">
        <f>SUM(C60:C62,C63)</f>
        <v>1245100.1499999999</v>
      </c>
      <c r="D65" s="41">
        <f>SUM(D60:D62,D63)</f>
        <v>1398810.39</v>
      </c>
      <c r="E65" s="41">
        <f>SUM(E60:E62,E63)</f>
        <v>774488</v>
      </c>
      <c r="F65" s="41">
        <f>SUM(F60:F62,F63)</f>
        <v>625000</v>
      </c>
    </row>
    <row r="66" spans="1:6">
      <c r="B66" s="35"/>
      <c r="C66" s="48"/>
      <c r="D66" s="39"/>
      <c r="E66" s="39"/>
      <c r="F66" s="39"/>
    </row>
    <row r="67" spans="1:6">
      <c r="A67" s="33" t="s">
        <v>31</v>
      </c>
      <c r="B67" s="40"/>
      <c r="C67" s="48"/>
      <c r="D67" s="39"/>
      <c r="E67" s="39"/>
      <c r="F67" s="39"/>
    </row>
    <row r="68" spans="1:6">
      <c r="A68" s="33"/>
      <c r="B68" s="40"/>
      <c r="C68" s="48"/>
      <c r="D68" s="39"/>
      <c r="E68" s="39"/>
      <c r="F68" s="39"/>
    </row>
    <row r="69" spans="1:6">
      <c r="B69" s="76" t="s">
        <v>121</v>
      </c>
      <c r="C69" s="38">
        <v>254749.04</v>
      </c>
      <c r="D69" s="39">
        <v>801231.81</v>
      </c>
      <c r="E69" s="39">
        <v>0</v>
      </c>
      <c r="F69" s="39">
        <v>0</v>
      </c>
    </row>
    <row r="70" spans="1:6">
      <c r="B70" s="76" t="s">
        <v>207</v>
      </c>
      <c r="C70" s="38">
        <v>76807.289999999994</v>
      </c>
      <c r="D70" s="39">
        <v>369929.95</v>
      </c>
      <c r="E70" s="39">
        <v>275000</v>
      </c>
      <c r="F70" s="39">
        <v>0</v>
      </c>
    </row>
    <row r="71" spans="1:6">
      <c r="A71" s="33"/>
      <c r="B71" s="76" t="s">
        <v>220</v>
      </c>
      <c r="C71" s="43">
        <v>0</v>
      </c>
      <c r="D71" s="43">
        <v>0</v>
      </c>
      <c r="E71" s="43">
        <v>165000</v>
      </c>
      <c r="F71" s="43">
        <v>400000</v>
      </c>
    </row>
    <row r="72" spans="1:6">
      <c r="A72" s="33"/>
      <c r="B72" s="76" t="s">
        <v>221</v>
      </c>
      <c r="C72" s="43">
        <v>0</v>
      </c>
      <c r="D72" s="43">
        <v>0</v>
      </c>
      <c r="E72" s="43">
        <v>300000</v>
      </c>
      <c r="F72" s="43">
        <v>0</v>
      </c>
    </row>
    <row r="73" spans="1:6">
      <c r="A73" s="33"/>
      <c r="B73" s="76" t="s">
        <v>269</v>
      </c>
      <c r="C73" s="43">
        <v>0</v>
      </c>
      <c r="D73" s="43">
        <v>0</v>
      </c>
      <c r="E73" s="43">
        <v>0</v>
      </c>
      <c r="F73" s="43">
        <v>230000</v>
      </c>
    </row>
    <row r="74" spans="1:6">
      <c r="A74" s="33"/>
      <c r="B74" s="76" t="s">
        <v>106</v>
      </c>
      <c r="C74" s="43">
        <v>208942.01</v>
      </c>
      <c r="D74" s="43">
        <v>257821.31</v>
      </c>
      <c r="E74" s="43">
        <v>476000</v>
      </c>
      <c r="F74" s="43">
        <v>580000</v>
      </c>
    </row>
    <row r="75" spans="1:6">
      <c r="B75" s="76" t="s">
        <v>240</v>
      </c>
      <c r="C75" s="43">
        <v>0</v>
      </c>
      <c r="D75" s="43">
        <v>0</v>
      </c>
      <c r="E75" s="43">
        <v>0</v>
      </c>
      <c r="F75" s="43">
        <v>185000</v>
      </c>
    </row>
    <row r="76" spans="1:6">
      <c r="A76" s="33"/>
      <c r="B76" s="76" t="s">
        <v>222</v>
      </c>
      <c r="C76" s="43">
        <v>0</v>
      </c>
      <c r="D76" s="43">
        <v>0</v>
      </c>
      <c r="E76" s="43">
        <v>150000</v>
      </c>
      <c r="F76" s="43">
        <v>0</v>
      </c>
    </row>
    <row r="77" spans="1:6">
      <c r="A77" s="33"/>
      <c r="B77" s="76" t="s">
        <v>133</v>
      </c>
      <c r="C77" s="43">
        <v>1193705.5099999998</v>
      </c>
      <c r="D77" s="43">
        <v>311023.64</v>
      </c>
      <c r="E77" s="43">
        <v>700000</v>
      </c>
      <c r="F77" s="43">
        <v>650000</v>
      </c>
    </row>
    <row r="78" spans="1:6" ht="13.8" thickBot="1">
      <c r="B78" s="40"/>
      <c r="C78" s="104"/>
      <c r="D78" s="43"/>
      <c r="E78" s="43"/>
      <c r="F78" s="43"/>
    </row>
    <row r="79" spans="1:6" ht="13.8" thickTop="1">
      <c r="B79" s="114" t="s">
        <v>39</v>
      </c>
      <c r="C79" s="41">
        <f>SUM(C69:C76,C77)</f>
        <v>1734203.8499999999</v>
      </c>
      <c r="D79" s="41">
        <f>SUM(D69:D76,D77)</f>
        <v>1740006.71</v>
      </c>
      <c r="E79" s="41">
        <f>SUM(E69:E76,E77)</f>
        <v>2066000</v>
      </c>
      <c r="F79" s="41">
        <f>SUM(F69:F76,F77)</f>
        <v>2045000</v>
      </c>
    </row>
    <row r="80" spans="1:6">
      <c r="B80" s="43"/>
      <c r="C80" s="104"/>
      <c r="D80" s="43"/>
      <c r="E80" s="43"/>
      <c r="F80" s="43"/>
    </row>
    <row r="81" spans="1:6">
      <c r="A81" s="45" t="s">
        <v>108</v>
      </c>
      <c r="C81" s="104"/>
      <c r="D81" s="43"/>
      <c r="E81" s="43"/>
      <c r="F81" s="43"/>
    </row>
    <row r="82" spans="1:6">
      <c r="B82" s="76" t="s">
        <v>272</v>
      </c>
      <c r="C82" s="43">
        <v>0</v>
      </c>
      <c r="D82" s="43">
        <v>0</v>
      </c>
      <c r="E82" s="43">
        <v>0</v>
      </c>
      <c r="F82" s="43">
        <v>580000</v>
      </c>
    </row>
    <row r="83" spans="1:6">
      <c r="B83" s="76" t="s">
        <v>133</v>
      </c>
      <c r="C83" s="43">
        <v>0</v>
      </c>
      <c r="D83" s="43">
        <v>144932.10999999999</v>
      </c>
      <c r="E83" s="43">
        <v>198355.72</v>
      </c>
      <c r="F83" s="43">
        <v>180000</v>
      </c>
    </row>
    <row r="84" spans="1:6" ht="13.8" thickBot="1">
      <c r="B84" s="40"/>
      <c r="C84" s="42"/>
      <c r="D84" s="42"/>
      <c r="E84" s="42"/>
      <c r="F84" s="42"/>
    </row>
    <row r="85" spans="1:6" ht="13.8" thickTop="1">
      <c r="B85" s="114" t="s">
        <v>103</v>
      </c>
      <c r="C85" s="41">
        <f>SUM(C82:C83)</f>
        <v>0</v>
      </c>
      <c r="D85" s="41">
        <f>SUM(D82:D83)</f>
        <v>144932.10999999999</v>
      </c>
      <c r="E85" s="41">
        <f>SUM(E82:E83)</f>
        <v>198355.72</v>
      </c>
      <c r="F85" s="41">
        <f>SUM(F82:F83)</f>
        <v>760000</v>
      </c>
    </row>
    <row r="87" spans="1:6">
      <c r="A87" s="45" t="s">
        <v>223</v>
      </c>
      <c r="C87" s="104"/>
      <c r="D87" s="43"/>
      <c r="E87" s="43"/>
      <c r="F87" s="43"/>
    </row>
    <row r="88" spans="1:6">
      <c r="B88" s="76" t="s">
        <v>271</v>
      </c>
      <c r="C88" s="43">
        <v>0</v>
      </c>
      <c r="D88" s="43">
        <v>998999.99</v>
      </c>
      <c r="E88" s="43">
        <v>0</v>
      </c>
      <c r="F88" s="43">
        <v>0</v>
      </c>
    </row>
    <row r="89" spans="1:6">
      <c r="B89" s="76" t="s">
        <v>224</v>
      </c>
      <c r="C89" s="43">
        <v>164688.09</v>
      </c>
      <c r="D89" s="43">
        <v>0</v>
      </c>
      <c r="E89" s="43">
        <v>0</v>
      </c>
      <c r="F89" s="43">
        <v>0</v>
      </c>
    </row>
    <row r="90" spans="1:6">
      <c r="B90" s="76" t="s">
        <v>225</v>
      </c>
      <c r="C90" s="43">
        <v>0</v>
      </c>
      <c r="D90" s="43">
        <v>173970.01</v>
      </c>
      <c r="E90" s="43">
        <v>0</v>
      </c>
      <c r="F90" s="43">
        <v>0</v>
      </c>
    </row>
    <row r="91" spans="1:6" ht="13.8" thickBot="1">
      <c r="B91" s="40"/>
      <c r="C91" s="42"/>
      <c r="D91" s="42"/>
      <c r="E91" s="42"/>
      <c r="F91" s="42"/>
    </row>
    <row r="92" spans="1:6" ht="13.8" thickTop="1">
      <c r="B92" s="114" t="s">
        <v>226</v>
      </c>
      <c r="C92" s="41">
        <f>SUM(C88:C90)</f>
        <v>164688.09</v>
      </c>
      <c r="D92" s="41">
        <f t="shared" ref="D92:F92" si="0">SUM(D88:D90)</f>
        <v>1172970</v>
      </c>
      <c r="E92" s="41">
        <f t="shared" si="0"/>
        <v>0</v>
      </c>
      <c r="F92" s="41">
        <f t="shared" si="0"/>
        <v>0</v>
      </c>
    </row>
    <row r="93" spans="1:6">
      <c r="B93" s="40"/>
      <c r="C93" s="42"/>
      <c r="D93" s="42"/>
      <c r="E93" s="42"/>
      <c r="F93" s="42"/>
    </row>
    <row r="94" spans="1:6">
      <c r="A94" s="45" t="s">
        <v>227</v>
      </c>
      <c r="C94" s="104"/>
      <c r="D94" s="43"/>
      <c r="E94" s="43"/>
      <c r="F94" s="43"/>
    </row>
    <row r="95" spans="1:6">
      <c r="B95" s="76" t="s">
        <v>228</v>
      </c>
      <c r="C95" s="43">
        <v>650875.06999999995</v>
      </c>
      <c r="D95" s="43">
        <v>62166.2</v>
      </c>
      <c r="E95" s="43">
        <v>1598400</v>
      </c>
      <c r="F95" s="43">
        <v>411000</v>
      </c>
    </row>
    <row r="96" spans="1:6" ht="13.8" thickBot="1">
      <c r="B96" s="40"/>
      <c r="C96" s="42"/>
      <c r="D96" s="42"/>
      <c r="E96" s="42"/>
      <c r="F96" s="42"/>
    </row>
    <row r="97" spans="1:6" ht="13.8" thickTop="1">
      <c r="B97" s="114" t="s">
        <v>229</v>
      </c>
      <c r="C97" s="41">
        <f>SUM(C95)</f>
        <v>650875.06999999995</v>
      </c>
      <c r="D97" s="41">
        <f t="shared" ref="D97:F97" si="1">SUM(D95)</f>
        <v>62166.2</v>
      </c>
      <c r="E97" s="41">
        <f t="shared" si="1"/>
        <v>1598400</v>
      </c>
      <c r="F97" s="41">
        <f t="shared" si="1"/>
        <v>411000</v>
      </c>
    </row>
    <row r="98" spans="1:6" ht="13.8" thickBot="1">
      <c r="B98" s="47"/>
      <c r="C98" s="44"/>
      <c r="D98" s="44"/>
      <c r="E98" s="44"/>
      <c r="F98" s="44"/>
    </row>
    <row r="99" spans="1:6" ht="13.8" thickTop="1">
      <c r="A99" s="45" t="s">
        <v>32</v>
      </c>
      <c r="C99" s="48">
        <f>+C85+C79+C65+C56+C43+C30+C92+C97</f>
        <v>20572048.600000001</v>
      </c>
      <c r="D99" s="48">
        <f>+D85+D79+D65+D56+D43+D30+D92+D97</f>
        <v>30024260.759999998</v>
      </c>
      <c r="E99" s="48">
        <f>+E85+E79+E65+E56+E43+E30+E92+E97</f>
        <v>33310354</v>
      </c>
      <c r="F99" s="48">
        <f>+F85+F79+F65+F56+F43+F30+F92+F97</f>
        <v>29801000</v>
      </c>
    </row>
    <row r="102" spans="1:6">
      <c r="A102" s="30" t="s">
        <v>79</v>
      </c>
    </row>
    <row r="103" spans="1:6">
      <c r="A103" s="30" t="s">
        <v>286</v>
      </c>
    </row>
    <row r="104" spans="1:6">
      <c r="A104" s="30" t="s">
        <v>284</v>
      </c>
    </row>
    <row r="105" spans="1:6" ht="24.75" customHeight="1">
      <c r="A105" s="134" t="s">
        <v>285</v>
      </c>
      <c r="B105" s="134"/>
      <c r="C105" s="134"/>
      <c r="D105" s="134"/>
      <c r="E105" s="134"/>
      <c r="F105" s="115"/>
    </row>
    <row r="106" spans="1:6">
      <c r="A106" s="30" t="s">
        <v>294</v>
      </c>
    </row>
    <row r="107" spans="1:6">
      <c r="B107" s="40"/>
      <c r="C107" s="42"/>
      <c r="D107" s="42"/>
      <c r="E107" s="42"/>
      <c r="F107" s="42"/>
    </row>
    <row r="108" spans="1:6">
      <c r="C108" s="48"/>
      <c r="D108" s="48"/>
      <c r="E108" s="48"/>
      <c r="F108" s="48"/>
    </row>
    <row r="109" spans="1:6">
      <c r="C109" s="48"/>
      <c r="D109" s="48"/>
      <c r="E109" s="48"/>
      <c r="F109" s="48"/>
    </row>
    <row r="110" spans="1:6">
      <c r="C110" s="48"/>
      <c r="D110" s="48"/>
      <c r="E110" s="48"/>
      <c r="F110" s="48"/>
    </row>
    <row r="120" spans="2:6" ht="13.8">
      <c r="B120" s="71"/>
      <c r="C120" s="30"/>
      <c r="D120" s="30"/>
      <c r="E120" s="30"/>
      <c r="F120" s="30"/>
    </row>
    <row r="121" spans="2:6" ht="13.8">
      <c r="B121" s="71"/>
      <c r="C121" s="30"/>
      <c r="D121" s="30"/>
      <c r="E121" s="30"/>
      <c r="F121" s="30"/>
    </row>
    <row r="122" spans="2:6" ht="13.8">
      <c r="B122" s="71"/>
      <c r="C122" s="30"/>
      <c r="D122" s="30"/>
      <c r="E122" s="30"/>
      <c r="F122" s="30"/>
    </row>
    <row r="123" spans="2:6" ht="13.8">
      <c r="B123" s="71"/>
      <c r="C123" s="30"/>
      <c r="D123" s="30"/>
      <c r="E123" s="30"/>
      <c r="F123" s="30"/>
    </row>
    <row r="124" spans="2:6" ht="13.8">
      <c r="B124" s="71"/>
      <c r="C124" s="30"/>
      <c r="D124" s="30"/>
      <c r="E124" s="30"/>
      <c r="F124" s="30"/>
    </row>
    <row r="125" spans="2:6" ht="13.8">
      <c r="B125" s="71"/>
      <c r="C125" s="30"/>
      <c r="D125" s="30"/>
      <c r="E125" s="30"/>
      <c r="F125" s="30"/>
    </row>
    <row r="126" spans="2:6" ht="13.8">
      <c r="B126" s="71"/>
      <c r="C126" s="30"/>
      <c r="D126" s="30"/>
      <c r="E126" s="30"/>
      <c r="F126" s="30"/>
    </row>
    <row r="127" spans="2:6" ht="13.8">
      <c r="B127" s="71"/>
      <c r="C127" s="30"/>
      <c r="D127" s="30"/>
      <c r="E127" s="30"/>
      <c r="F127" s="30"/>
    </row>
  </sheetData>
  <sortState xmlns:xlrd2="http://schemas.microsoft.com/office/spreadsheetml/2017/richdata2" ref="A49:P73">
    <sortCondition ref="B49:B73"/>
  </sortState>
  <mergeCells count="2">
    <mergeCell ref="A4:F4"/>
    <mergeCell ref="A105:E105"/>
  </mergeCells>
  <conditionalFormatting sqref="F42 F55 F44:F47 F57:F58 F64 F78 F66:F70">
    <cfRule type="cellIs" dxfId="81" priority="2" operator="greaterThan">
      <formula>99999</formula>
    </cfRule>
  </conditionalFormatting>
  <printOptions horizontalCentered="1"/>
  <pageMargins left="0.70866141732283472" right="0.70866141732283472" top="0.74803149606299213" bottom="0.74803149606299213" header="0.31496062992125984" footer="0.31496062992125984"/>
  <pageSetup scale="81" fitToHeight="2" orientation="portrait" blackAndWhite="1" r:id="rId1"/>
  <rowBreaks count="1" manualBreakCount="1">
    <brk id="5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1829-785C-49CC-A166-5A4A768C50C6}">
  <sheetPr>
    <pageSetUpPr fitToPage="1"/>
  </sheetPr>
  <dimension ref="A1:F40"/>
  <sheetViews>
    <sheetView view="pageBreakPreview" zoomScaleNormal="130" zoomScaleSheetLayoutView="100" workbookViewId="0">
      <pane ySplit="7" topLeftCell="A8" activePane="bottomLeft" state="frozen"/>
      <selection activeCell="A199" sqref="A199:E199"/>
      <selection pane="bottomLeft" activeCell="D11" sqref="D11"/>
    </sheetView>
  </sheetViews>
  <sheetFormatPr defaultColWidth="9.109375" defaultRowHeight="13.2"/>
  <cols>
    <col min="1" max="1" width="9.33203125" style="30" customWidth="1"/>
    <col min="2" max="2" width="54.109375" style="30" customWidth="1"/>
    <col min="3" max="3" width="11.88671875" style="36" customWidth="1"/>
    <col min="4" max="6" width="11.88671875" style="37" customWidth="1"/>
    <col min="7" max="8" width="10.6640625" style="30" customWidth="1"/>
    <col min="9" max="16384" width="9.109375" style="30"/>
  </cols>
  <sheetData>
    <row r="1" spans="1:6">
      <c r="A1" s="118" t="s">
        <v>15</v>
      </c>
      <c r="B1" s="73"/>
      <c r="C1" s="118"/>
      <c r="D1" s="96"/>
      <c r="E1" s="97"/>
      <c r="F1" s="97" t="s">
        <v>277</v>
      </c>
    </row>
    <row r="2" spans="1:6" ht="16.2">
      <c r="A2" s="31" t="s">
        <v>291</v>
      </c>
      <c r="B2" s="74"/>
      <c r="C2" s="31"/>
      <c r="D2" s="98"/>
      <c r="E2" s="103"/>
      <c r="F2" s="103" t="str">
        <f>'5.1'!$F$2</f>
        <v>November 2020</v>
      </c>
    </row>
    <row r="3" spans="1:6" ht="16.2">
      <c r="A3" s="31" t="s">
        <v>296</v>
      </c>
      <c r="B3" s="74"/>
      <c r="C3" s="31"/>
      <c r="D3" s="98"/>
      <c r="E3" s="103"/>
      <c r="F3" s="103"/>
    </row>
    <row r="4" spans="1:6">
      <c r="A4" s="31" t="s">
        <v>16</v>
      </c>
      <c r="B4" s="31"/>
      <c r="C4" s="31"/>
      <c r="D4" s="31"/>
      <c r="E4" s="31"/>
      <c r="F4" s="31"/>
    </row>
    <row r="5" spans="1:6">
      <c r="A5" s="18"/>
      <c r="B5" s="108"/>
      <c r="C5" s="32"/>
      <c r="D5" s="99"/>
      <c r="E5" s="99"/>
      <c r="F5" s="99"/>
    </row>
    <row r="6" spans="1:6">
      <c r="A6" s="33"/>
      <c r="B6" s="108"/>
      <c r="C6" s="18" t="s">
        <v>29</v>
      </c>
      <c r="D6" s="100" t="s">
        <v>29</v>
      </c>
      <c r="E6" s="100" t="s">
        <v>54</v>
      </c>
      <c r="F6" s="100" t="s">
        <v>54</v>
      </c>
    </row>
    <row r="7" spans="1:6">
      <c r="A7" s="34" t="s">
        <v>17</v>
      </c>
      <c r="B7" s="75"/>
      <c r="C7" s="78">
        <v>2018</v>
      </c>
      <c r="D7" s="78">
        <f>C7+1</f>
        <v>2019</v>
      </c>
      <c r="E7" s="78">
        <f>D7+1</f>
        <v>2020</v>
      </c>
      <c r="F7" s="78">
        <f>E7+1</f>
        <v>2021</v>
      </c>
    </row>
    <row r="8" spans="1:6">
      <c r="B8" s="35"/>
    </row>
    <row r="9" spans="1:6" ht="15.6">
      <c r="B9" s="120" t="s">
        <v>204</v>
      </c>
      <c r="C9" s="43">
        <v>12680.87</v>
      </c>
      <c r="D9" s="38">
        <v>-317754.01</v>
      </c>
      <c r="E9" s="38">
        <v>0</v>
      </c>
      <c r="F9" s="38">
        <v>0</v>
      </c>
    </row>
    <row r="10" spans="1:6">
      <c r="B10" s="119" t="s">
        <v>208</v>
      </c>
      <c r="C10" s="38">
        <v>0</v>
      </c>
      <c r="D10" s="39">
        <v>60080.480000000003</v>
      </c>
      <c r="E10" s="39">
        <v>50000</v>
      </c>
      <c r="F10" s="39">
        <v>300000</v>
      </c>
    </row>
    <row r="11" spans="1:6" ht="15.6">
      <c r="B11" s="119" t="s">
        <v>292</v>
      </c>
      <c r="C11" s="38">
        <v>0</v>
      </c>
      <c r="D11" s="39">
        <v>38222.25</v>
      </c>
      <c r="E11" s="39">
        <v>1000000</v>
      </c>
      <c r="F11" s="39">
        <v>25000000</v>
      </c>
    </row>
    <row r="12" spans="1:6">
      <c r="B12" s="119" t="s">
        <v>264</v>
      </c>
      <c r="C12" s="43">
        <v>0</v>
      </c>
      <c r="D12" s="43">
        <v>0</v>
      </c>
      <c r="E12" s="43">
        <v>0</v>
      </c>
      <c r="F12" s="43">
        <v>1500000</v>
      </c>
    </row>
    <row r="13" spans="1:6">
      <c r="B13" s="119" t="s">
        <v>233</v>
      </c>
      <c r="C13" s="43">
        <v>0</v>
      </c>
      <c r="D13" s="43">
        <v>0</v>
      </c>
      <c r="E13" s="43">
        <v>250000</v>
      </c>
      <c r="F13" s="43">
        <v>395000</v>
      </c>
    </row>
    <row r="14" spans="1:6">
      <c r="B14" s="119" t="s">
        <v>265</v>
      </c>
      <c r="C14" s="43">
        <v>0</v>
      </c>
      <c r="D14" s="43">
        <v>0</v>
      </c>
      <c r="E14" s="43">
        <v>0</v>
      </c>
      <c r="F14" s="43">
        <v>200000</v>
      </c>
    </row>
    <row r="15" spans="1:6">
      <c r="B15" s="119" t="s">
        <v>235</v>
      </c>
      <c r="C15" s="43">
        <v>0</v>
      </c>
      <c r="D15" s="43">
        <v>0</v>
      </c>
      <c r="E15" s="43">
        <v>0</v>
      </c>
      <c r="F15" s="43">
        <v>175000</v>
      </c>
    </row>
    <row r="16" spans="1:6">
      <c r="B16" s="119" t="s">
        <v>236</v>
      </c>
      <c r="C16" s="43">
        <v>0</v>
      </c>
      <c r="D16" s="43">
        <v>0</v>
      </c>
      <c r="E16" s="43">
        <v>0</v>
      </c>
      <c r="F16" s="43">
        <v>200000</v>
      </c>
    </row>
    <row r="17" spans="2:6">
      <c r="B17" s="119" t="s">
        <v>205</v>
      </c>
      <c r="C17" s="38">
        <f>714915.01</f>
        <v>714915.01</v>
      </c>
      <c r="D17" s="39">
        <v>1348770.11</v>
      </c>
      <c r="E17" s="39">
        <v>1560222</v>
      </c>
      <c r="F17" s="39">
        <v>1196000</v>
      </c>
    </row>
    <row r="18" spans="2:6">
      <c r="B18" s="119" t="s">
        <v>267</v>
      </c>
      <c r="C18" s="43">
        <v>0</v>
      </c>
      <c r="D18" s="43">
        <v>0</v>
      </c>
      <c r="E18" s="43">
        <v>0</v>
      </c>
      <c r="F18" s="43">
        <v>3000000</v>
      </c>
    </row>
    <row r="19" spans="2:6" ht="13.8" thickBot="1">
      <c r="B19" s="35"/>
      <c r="C19" s="105"/>
      <c r="E19" s="39"/>
      <c r="F19" s="39"/>
    </row>
    <row r="20" spans="2:6" ht="13.8" thickTop="1">
      <c r="B20" s="113" t="s">
        <v>34</v>
      </c>
      <c r="C20" s="41">
        <f>SUM(C9:C18)</f>
        <v>727595.88</v>
      </c>
      <c r="D20" s="41">
        <f t="shared" ref="D20:F20" si="0">SUM(D9:D18)</f>
        <v>1129318.83</v>
      </c>
      <c r="E20" s="41">
        <f t="shared" si="0"/>
        <v>2860222</v>
      </c>
      <c r="F20" s="41">
        <f t="shared" si="0"/>
        <v>31966000</v>
      </c>
    </row>
    <row r="22" spans="2:6" ht="28.8" customHeight="1">
      <c r="B22" s="134" t="s">
        <v>276</v>
      </c>
      <c r="C22" s="134"/>
      <c r="D22" s="134"/>
      <c r="E22" s="134"/>
      <c r="F22" s="134"/>
    </row>
    <row r="23" spans="2:6">
      <c r="B23" s="30" t="s">
        <v>284</v>
      </c>
      <c r="C23" s="30"/>
      <c r="D23" s="36"/>
    </row>
    <row r="24" spans="2:6" ht="31.2" customHeight="1">
      <c r="B24" s="134" t="s">
        <v>285</v>
      </c>
      <c r="C24" s="134"/>
      <c r="D24" s="134"/>
      <c r="E24" s="134"/>
      <c r="F24" s="134"/>
    </row>
    <row r="25" spans="2:6" ht="30.6" customHeight="1">
      <c r="B25" s="135" t="s">
        <v>293</v>
      </c>
      <c r="C25" s="135"/>
      <c r="D25" s="135"/>
      <c r="E25" s="135"/>
      <c r="F25" s="135"/>
    </row>
    <row r="26" spans="2:6" ht="28.2" customHeight="1">
      <c r="B26" s="135" t="s">
        <v>297</v>
      </c>
      <c r="C26" s="135"/>
      <c r="D26" s="135"/>
      <c r="E26" s="135"/>
      <c r="F26" s="135"/>
    </row>
    <row r="33" spans="2:2" ht="13.8">
      <c r="B33" s="71"/>
    </row>
    <row r="34" spans="2:2" ht="13.8">
      <c r="B34" s="71"/>
    </row>
    <row r="35" spans="2:2" ht="13.8">
      <c r="B35" s="71"/>
    </row>
    <row r="36" spans="2:2" ht="13.8">
      <c r="B36" s="71"/>
    </row>
    <row r="37" spans="2:2" ht="13.8">
      <c r="B37" s="71"/>
    </row>
    <row r="38" spans="2:2" ht="13.8">
      <c r="B38" s="71"/>
    </row>
    <row r="39" spans="2:2" ht="13.8">
      <c r="B39" s="71"/>
    </row>
    <row r="40" spans="2:2" ht="13.8">
      <c r="B40" s="71"/>
    </row>
  </sheetData>
  <mergeCells count="4">
    <mergeCell ref="B24:F24"/>
    <mergeCell ref="B22:F22"/>
    <mergeCell ref="B26:F26"/>
    <mergeCell ref="B25:F25"/>
  </mergeCells>
  <printOptions horizontalCentered="1"/>
  <pageMargins left="0.70866141732283472" right="0.70866141732283472" top="0.74803149606299213" bottom="0.74803149606299213" header="0.31496062992125984" footer="0.31496062992125984"/>
  <pageSetup scale="8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X159"/>
  <sheetViews>
    <sheetView view="pageBreakPreview" zoomScale="70" zoomScaleSheetLayoutView="70" workbookViewId="0">
      <pane ySplit="7" topLeftCell="A122" activePane="bottomLeft" state="frozen"/>
      <selection activeCell="A199" sqref="A199:E199"/>
      <selection pane="bottomLeft" activeCell="E148" sqref="E148"/>
    </sheetView>
  </sheetViews>
  <sheetFormatPr defaultColWidth="9.109375" defaultRowHeight="13.2"/>
  <cols>
    <col min="1" max="1" width="48.44140625" style="30" customWidth="1"/>
    <col min="2" max="2" width="13" style="30" bestFit="1" customWidth="1"/>
    <col min="3" max="3" width="12.5546875" style="30" customWidth="1"/>
    <col min="4" max="4" width="11.77734375" style="30" customWidth="1"/>
    <col min="5" max="5" width="12.44140625" style="30" customWidth="1"/>
    <col min="6" max="6" width="4.5546875" style="30" customWidth="1"/>
    <col min="7" max="7" width="11.6640625" style="30" customWidth="1"/>
    <col min="8" max="8" width="11.88671875" style="30" bestFit="1" customWidth="1"/>
    <col min="9" max="10" width="12.6640625" style="30" customWidth="1"/>
    <col min="11" max="11" width="11.5546875" style="30" bestFit="1" customWidth="1"/>
    <col min="12" max="12" width="11.33203125" style="30" bestFit="1" customWidth="1"/>
    <col min="13" max="13" width="12" style="30" customWidth="1"/>
    <col min="14" max="15" width="14" style="30" bestFit="1" customWidth="1"/>
    <col min="16" max="16" width="13.6640625" style="30" customWidth="1"/>
    <col min="17" max="18" width="9.109375" style="30"/>
    <col min="19" max="19" width="11.33203125" style="30" bestFit="1" customWidth="1"/>
    <col min="20" max="23" width="9.109375" style="30"/>
    <col min="24" max="24" width="10.33203125" style="30" bestFit="1" customWidth="1"/>
    <col min="25" max="16384" width="9.109375" style="30"/>
  </cols>
  <sheetData>
    <row r="1" spans="1:16">
      <c r="A1" s="12" t="s">
        <v>15</v>
      </c>
      <c r="B1" s="12"/>
      <c r="C1" s="5"/>
      <c r="D1" s="5"/>
      <c r="E1" s="5"/>
      <c r="F1" s="5"/>
      <c r="G1" s="5"/>
      <c r="H1" s="5"/>
      <c r="I1" s="5"/>
      <c r="J1" s="5"/>
      <c r="K1" s="79" t="s">
        <v>41</v>
      </c>
    </row>
    <row r="2" spans="1:16" ht="15" customHeight="1">
      <c r="A2" s="12" t="s">
        <v>116</v>
      </c>
      <c r="B2" s="12"/>
      <c r="C2" s="5"/>
      <c r="D2" s="5"/>
      <c r="E2" s="5"/>
      <c r="F2" s="5"/>
      <c r="G2" s="5"/>
      <c r="H2" s="5"/>
      <c r="I2" s="5"/>
      <c r="J2" s="5"/>
      <c r="K2" s="14" t="str">
        <f>'5.1'!F2</f>
        <v>November 2020</v>
      </c>
    </row>
    <row r="3" spans="1:16" ht="15.75" customHeight="1" thickBot="1">
      <c r="A3" s="15" t="s">
        <v>308</v>
      </c>
      <c r="B3" s="15"/>
      <c r="C3" s="80"/>
      <c r="D3" s="80"/>
      <c r="E3" s="80"/>
      <c r="F3" s="80"/>
      <c r="G3" s="80"/>
      <c r="H3" s="80"/>
      <c r="I3" s="80"/>
      <c r="J3" s="80"/>
      <c r="K3" s="80"/>
    </row>
    <row r="4" spans="1:16" ht="13.8" thickBot="1">
      <c r="A4" s="16"/>
      <c r="B4" s="15"/>
      <c r="C4" s="80"/>
      <c r="D4" s="80"/>
      <c r="E4" s="80"/>
      <c r="F4" s="81"/>
      <c r="G4" s="81"/>
      <c r="H4" s="80"/>
      <c r="I4" s="80"/>
      <c r="J4" s="80"/>
      <c r="K4" s="80"/>
    </row>
    <row r="5" spans="1:16" ht="13.8" thickBot="1">
      <c r="A5" s="16"/>
      <c r="B5" s="136" t="s">
        <v>84</v>
      </c>
      <c r="C5" s="137"/>
      <c r="D5" s="137"/>
      <c r="E5" s="137"/>
      <c r="F5" s="82"/>
      <c r="G5" s="5"/>
      <c r="H5" s="138" t="s">
        <v>42</v>
      </c>
      <c r="I5" s="138"/>
      <c r="J5" s="138"/>
      <c r="K5" s="138"/>
    </row>
    <row r="6" spans="1:16" ht="18" customHeight="1">
      <c r="A6" s="16"/>
      <c r="B6" s="57" t="s">
        <v>43</v>
      </c>
      <c r="C6" s="116" t="s">
        <v>247</v>
      </c>
      <c r="D6" s="117"/>
      <c r="E6" s="83" t="s">
        <v>43</v>
      </c>
      <c r="F6" s="83"/>
      <c r="G6" s="139" t="s">
        <v>44</v>
      </c>
      <c r="H6" s="57" t="s">
        <v>43</v>
      </c>
      <c r="I6" s="116" t="s">
        <v>247</v>
      </c>
      <c r="J6" s="116"/>
      <c r="K6" s="57" t="s">
        <v>43</v>
      </c>
    </row>
    <row r="7" spans="1:16" ht="31.5" customHeight="1" thickBot="1">
      <c r="A7" s="16"/>
      <c r="B7" s="58">
        <v>2017</v>
      </c>
      <c r="C7" s="84" t="s">
        <v>45</v>
      </c>
      <c r="D7" s="85" t="s">
        <v>123</v>
      </c>
      <c r="E7" s="86">
        <v>2018</v>
      </c>
      <c r="F7" s="86"/>
      <c r="G7" s="140"/>
      <c r="H7" s="59">
        <v>2017</v>
      </c>
      <c r="I7" s="85" t="s">
        <v>159</v>
      </c>
      <c r="J7" s="85" t="s">
        <v>246</v>
      </c>
      <c r="K7" s="86">
        <v>2018</v>
      </c>
    </row>
    <row r="8" spans="1:16">
      <c r="A8" s="33" t="s">
        <v>59</v>
      </c>
    </row>
    <row r="9" spans="1:16">
      <c r="A9" s="61" t="s">
        <v>150</v>
      </c>
      <c r="G9" s="62"/>
    </row>
    <row r="10" spans="1:16">
      <c r="A10" s="30" t="s">
        <v>155</v>
      </c>
      <c r="B10" s="54">
        <v>115894.04</v>
      </c>
      <c r="C10" s="54"/>
      <c r="D10" s="54"/>
      <c r="E10" s="54">
        <f t="shared" ref="E10:E41" si="0">B10+C10+D10</f>
        <v>115894.04</v>
      </c>
      <c r="G10" s="62" t="s">
        <v>48</v>
      </c>
      <c r="H10" s="54">
        <v>23178.84</v>
      </c>
      <c r="I10" s="54">
        <v>23178.84</v>
      </c>
      <c r="J10" s="54"/>
      <c r="K10" s="50">
        <f t="shared" ref="K10:K71" si="1">H10+I10+J10</f>
        <v>46357.68</v>
      </c>
      <c r="L10" s="50"/>
      <c r="M10" s="50"/>
      <c r="N10" s="50"/>
      <c r="O10" s="50"/>
      <c r="P10" s="50"/>
    </row>
    <row r="11" spans="1:16">
      <c r="A11" s="30" t="s">
        <v>141</v>
      </c>
      <c r="B11" s="54">
        <v>30528.14</v>
      </c>
      <c r="C11" s="54"/>
      <c r="D11" s="54">
        <v>-30528.14</v>
      </c>
      <c r="E11" s="54">
        <f t="shared" si="0"/>
        <v>0</v>
      </c>
      <c r="G11" s="62" t="s">
        <v>48</v>
      </c>
      <c r="H11" s="54">
        <v>25440.000000000007</v>
      </c>
      <c r="I11" s="54">
        <v>5088.1399999999921</v>
      </c>
      <c r="J11" s="54">
        <v>-30528.14</v>
      </c>
      <c r="K11" s="50">
        <f t="shared" si="1"/>
        <v>0</v>
      </c>
      <c r="L11" s="50"/>
      <c r="P11" s="50"/>
    </row>
    <row r="12" spans="1:16">
      <c r="A12" s="30" t="s">
        <v>118</v>
      </c>
      <c r="B12" s="54">
        <v>127545.07</v>
      </c>
      <c r="C12" s="54"/>
      <c r="D12" s="54"/>
      <c r="E12" s="54">
        <f t="shared" si="0"/>
        <v>127545.07</v>
      </c>
      <c r="G12" s="62" t="s">
        <v>48</v>
      </c>
      <c r="H12" s="54">
        <v>25509</v>
      </c>
      <c r="I12" s="54">
        <v>25509</v>
      </c>
      <c r="J12" s="54"/>
      <c r="K12" s="50">
        <f t="shared" si="1"/>
        <v>51018</v>
      </c>
      <c r="L12" s="50"/>
      <c r="P12" s="50"/>
    </row>
    <row r="13" spans="1:16">
      <c r="A13" s="30" t="s">
        <v>182</v>
      </c>
      <c r="B13" s="54">
        <v>417641.32</v>
      </c>
      <c r="C13" s="54"/>
      <c r="D13" s="54"/>
      <c r="E13" s="54">
        <f t="shared" si="0"/>
        <v>417641.32</v>
      </c>
      <c r="G13" s="62" t="s">
        <v>48</v>
      </c>
      <c r="H13" s="54">
        <v>0</v>
      </c>
      <c r="I13" s="54">
        <v>83528.280000000013</v>
      </c>
      <c r="J13" s="54"/>
      <c r="K13" s="50">
        <f t="shared" si="1"/>
        <v>83528.280000000013</v>
      </c>
      <c r="L13" s="50"/>
      <c r="P13" s="50"/>
    </row>
    <row r="14" spans="1:16">
      <c r="A14" s="30" t="s">
        <v>134</v>
      </c>
      <c r="B14" s="54">
        <v>2230652.33</v>
      </c>
      <c r="C14" s="54"/>
      <c r="D14" s="54"/>
      <c r="E14" s="54">
        <f t="shared" si="0"/>
        <v>2230652.33</v>
      </c>
      <c r="G14" s="62" t="s">
        <v>47</v>
      </c>
      <c r="H14" s="54">
        <v>1338392.5900000001</v>
      </c>
      <c r="I14" s="54">
        <v>223065.47999999995</v>
      </c>
      <c r="J14" s="54"/>
      <c r="K14" s="50">
        <f t="shared" si="1"/>
        <v>1561458.07</v>
      </c>
      <c r="L14" s="50"/>
      <c r="P14" s="50"/>
    </row>
    <row r="15" spans="1:16">
      <c r="A15" s="30" t="s">
        <v>153</v>
      </c>
      <c r="B15" s="54">
        <v>-16500</v>
      </c>
      <c r="C15" s="54"/>
      <c r="D15" s="54"/>
      <c r="E15" s="54">
        <f t="shared" si="0"/>
        <v>-16500</v>
      </c>
      <c r="G15" s="62" t="s">
        <v>48</v>
      </c>
      <c r="H15" s="54">
        <v>-6325</v>
      </c>
      <c r="I15" s="54">
        <v>-3300</v>
      </c>
      <c r="J15" s="54"/>
      <c r="K15" s="50">
        <f t="shared" si="1"/>
        <v>-9625</v>
      </c>
      <c r="L15" s="50"/>
      <c r="P15" s="50"/>
    </row>
    <row r="16" spans="1:16">
      <c r="A16" s="30" t="s">
        <v>90</v>
      </c>
      <c r="B16" s="54">
        <v>95287.61</v>
      </c>
      <c r="C16" s="54"/>
      <c r="D16" s="54"/>
      <c r="E16" s="54">
        <f t="shared" si="0"/>
        <v>95287.61</v>
      </c>
      <c r="G16" s="62" t="s">
        <v>48</v>
      </c>
      <c r="H16" s="54">
        <v>41611.939999999995</v>
      </c>
      <c r="I16" s="54">
        <v>19057.559999999998</v>
      </c>
      <c r="J16" s="54"/>
      <c r="K16" s="50">
        <f t="shared" si="1"/>
        <v>60669.499999999993</v>
      </c>
      <c r="L16" s="50"/>
      <c r="P16" s="50"/>
    </row>
    <row r="17" spans="1:24">
      <c r="A17" s="30" t="s">
        <v>148</v>
      </c>
      <c r="B17" s="54">
        <v>-7000</v>
      </c>
      <c r="C17" s="54"/>
      <c r="D17" s="54"/>
      <c r="E17" s="54">
        <f t="shared" si="0"/>
        <v>-7000</v>
      </c>
      <c r="G17" s="62" t="s">
        <v>48</v>
      </c>
      <c r="H17" s="54">
        <v>-4200.1200000000008</v>
      </c>
      <c r="I17" s="54">
        <v>-1400.0400000000002</v>
      </c>
      <c r="J17" s="54"/>
      <c r="K17" s="50">
        <f t="shared" si="1"/>
        <v>-5600.1600000000008</v>
      </c>
      <c r="L17" s="50"/>
      <c r="P17" s="50"/>
    </row>
    <row r="18" spans="1:24">
      <c r="A18" s="30" t="s">
        <v>129</v>
      </c>
      <c r="B18" s="54">
        <v>104405.24</v>
      </c>
      <c r="C18" s="54"/>
      <c r="D18" s="54"/>
      <c r="E18" s="54">
        <f t="shared" si="0"/>
        <v>104405.24</v>
      </c>
      <c r="G18" s="62" t="s">
        <v>48</v>
      </c>
      <c r="H18" s="54">
        <v>20881.079999999998</v>
      </c>
      <c r="I18" s="54">
        <v>20881.079999999998</v>
      </c>
      <c r="J18" s="54"/>
      <c r="K18" s="50">
        <f t="shared" si="1"/>
        <v>41762.159999999996</v>
      </c>
      <c r="L18" s="50"/>
      <c r="P18" s="50"/>
    </row>
    <row r="19" spans="1:24">
      <c r="A19" s="30" t="s">
        <v>91</v>
      </c>
      <c r="B19" s="54">
        <v>50626.91</v>
      </c>
      <c r="C19" s="54"/>
      <c r="D19" s="54"/>
      <c r="E19" s="54">
        <f t="shared" si="0"/>
        <v>50626.91</v>
      </c>
      <c r="G19" s="62" t="s">
        <v>48</v>
      </c>
      <c r="H19" s="54">
        <v>21065.74</v>
      </c>
      <c r="I19" s="54">
        <v>10125.36</v>
      </c>
      <c r="J19" s="54"/>
      <c r="K19" s="50">
        <f t="shared" si="1"/>
        <v>31191.100000000002</v>
      </c>
      <c r="L19" s="50"/>
      <c r="P19" s="50"/>
    </row>
    <row r="20" spans="1:24">
      <c r="A20" s="30" t="s">
        <v>56</v>
      </c>
      <c r="B20" s="54">
        <v>604376.64</v>
      </c>
      <c r="C20" s="54"/>
      <c r="D20" s="54"/>
      <c r="E20" s="54">
        <f t="shared" si="0"/>
        <v>604376.64</v>
      </c>
      <c r="G20" s="62" t="s">
        <v>48</v>
      </c>
      <c r="H20" s="54">
        <v>90656.46</v>
      </c>
      <c r="I20" s="54">
        <v>120875.28000000001</v>
      </c>
      <c r="J20" s="54"/>
      <c r="K20" s="50">
        <f t="shared" si="1"/>
        <v>211531.74000000002</v>
      </c>
      <c r="L20" s="50"/>
      <c r="P20" s="50"/>
    </row>
    <row r="21" spans="1:24">
      <c r="A21" s="30" t="s">
        <v>128</v>
      </c>
      <c r="B21" s="54">
        <v>230631.12</v>
      </c>
      <c r="C21" s="54"/>
      <c r="D21" s="54"/>
      <c r="E21" s="54">
        <f t="shared" si="0"/>
        <v>230631.12</v>
      </c>
      <c r="G21" s="62" t="s">
        <v>48</v>
      </c>
      <c r="H21" s="54">
        <v>46126.19999999999</v>
      </c>
      <c r="I21" s="54">
        <v>46126.19999999999</v>
      </c>
      <c r="J21" s="54"/>
      <c r="K21" s="50">
        <f t="shared" si="1"/>
        <v>92252.39999999998</v>
      </c>
      <c r="L21" s="50"/>
      <c r="P21" s="50"/>
      <c r="X21" s="50">
        <f>C21</f>
        <v>0</v>
      </c>
    </row>
    <row r="22" spans="1:24">
      <c r="A22" s="30" t="s">
        <v>130</v>
      </c>
      <c r="B22" s="54">
        <v>227969.33</v>
      </c>
      <c r="C22" s="54"/>
      <c r="D22" s="54"/>
      <c r="E22" s="54">
        <f t="shared" si="0"/>
        <v>227969.33</v>
      </c>
      <c r="G22" s="62" t="s">
        <v>48</v>
      </c>
      <c r="H22" s="54">
        <v>45593.879999999983</v>
      </c>
      <c r="I22" s="54">
        <v>45593.879999999983</v>
      </c>
      <c r="J22" s="54"/>
      <c r="K22" s="50">
        <f t="shared" si="1"/>
        <v>91187.759999999966</v>
      </c>
      <c r="L22" s="50"/>
      <c r="P22" s="50"/>
    </row>
    <row r="23" spans="1:24">
      <c r="A23" s="30" t="s">
        <v>132</v>
      </c>
      <c r="B23" s="54">
        <v>189613.55</v>
      </c>
      <c r="C23" s="54"/>
      <c r="D23" s="54"/>
      <c r="E23" s="54">
        <f t="shared" si="0"/>
        <v>189613.55</v>
      </c>
      <c r="G23" s="62" t="s">
        <v>48</v>
      </c>
      <c r="H23" s="54">
        <v>37922.76</v>
      </c>
      <c r="I23" s="54">
        <v>37922.76</v>
      </c>
      <c r="J23" s="54"/>
      <c r="K23" s="50">
        <f t="shared" si="1"/>
        <v>75845.52</v>
      </c>
      <c r="L23" s="50"/>
      <c r="P23" s="50"/>
      <c r="X23" s="50">
        <f>C23</f>
        <v>0</v>
      </c>
    </row>
    <row r="24" spans="1:24">
      <c r="A24" s="30" t="s">
        <v>179</v>
      </c>
      <c r="B24" s="54">
        <v>4121.7</v>
      </c>
      <c r="C24" s="54"/>
      <c r="D24" s="54"/>
      <c r="E24" s="54">
        <f t="shared" si="0"/>
        <v>4121.7</v>
      </c>
      <c r="G24" s="62" t="s">
        <v>48</v>
      </c>
      <c r="H24" s="54">
        <v>824.4000000000002</v>
      </c>
      <c r="I24" s="54">
        <v>824.4000000000002</v>
      </c>
      <c r="J24" s="54"/>
      <c r="K24" s="50">
        <f t="shared" si="1"/>
        <v>1648.8000000000004</v>
      </c>
      <c r="L24" s="50"/>
      <c r="P24" s="50"/>
    </row>
    <row r="25" spans="1:24">
      <c r="A25" s="30" t="s">
        <v>184</v>
      </c>
      <c r="B25" s="54">
        <v>231146.42</v>
      </c>
      <c r="C25" s="54"/>
      <c r="D25" s="54"/>
      <c r="E25" s="54">
        <f t="shared" si="0"/>
        <v>231146.42</v>
      </c>
      <c r="G25" s="62" t="s">
        <v>48</v>
      </c>
      <c r="H25" s="54">
        <v>0</v>
      </c>
      <c r="I25" s="54">
        <v>46229.280000000006</v>
      </c>
      <c r="J25" s="54"/>
      <c r="K25" s="50">
        <f t="shared" si="1"/>
        <v>46229.280000000006</v>
      </c>
      <c r="L25" s="50"/>
      <c r="P25" s="50"/>
    </row>
    <row r="26" spans="1:24">
      <c r="A26" s="30" t="s">
        <v>117</v>
      </c>
      <c r="B26" s="54">
        <v>34475.839999999997</v>
      </c>
      <c r="C26" s="54"/>
      <c r="D26" s="54"/>
      <c r="E26" s="54">
        <f t="shared" si="0"/>
        <v>34475.839999999997</v>
      </c>
      <c r="G26" s="62" t="s">
        <v>48</v>
      </c>
      <c r="H26" s="54">
        <v>574.6</v>
      </c>
      <c r="I26" s="54">
        <v>6895.2000000000016</v>
      </c>
      <c r="J26" s="54"/>
      <c r="K26" s="50">
        <f t="shared" si="1"/>
        <v>7469.800000000002</v>
      </c>
      <c r="L26" s="50"/>
      <c r="P26" s="50"/>
    </row>
    <row r="27" spans="1:24">
      <c r="A27" s="30" t="s">
        <v>165</v>
      </c>
      <c r="B27" s="54">
        <v>0</v>
      </c>
      <c r="C27" s="54">
        <f>-D77</f>
        <v>3756.44</v>
      </c>
      <c r="D27" s="54"/>
      <c r="E27" s="54">
        <f t="shared" si="0"/>
        <v>3756.44</v>
      </c>
      <c r="G27" s="62" t="s">
        <v>48</v>
      </c>
      <c r="H27" s="54">
        <v>0</v>
      </c>
      <c r="I27" s="54">
        <v>722.71</v>
      </c>
      <c r="J27" s="54"/>
      <c r="K27" s="50">
        <f t="shared" si="1"/>
        <v>722.71</v>
      </c>
      <c r="L27" s="50"/>
      <c r="P27" s="50"/>
    </row>
    <row r="28" spans="1:24">
      <c r="A28" s="30" t="s">
        <v>142</v>
      </c>
      <c r="B28" s="54">
        <v>21161.7</v>
      </c>
      <c r="C28" s="54"/>
      <c r="D28" s="54">
        <v>-21161.7</v>
      </c>
      <c r="E28" s="54">
        <f t="shared" si="0"/>
        <v>0</v>
      </c>
      <c r="G28" s="62" t="s">
        <v>48</v>
      </c>
      <c r="H28" s="54">
        <v>16929.599999999995</v>
      </c>
      <c r="I28" s="54">
        <v>4232.1000000000058</v>
      </c>
      <c r="J28" s="54">
        <v>-21161.7</v>
      </c>
      <c r="K28" s="50">
        <f t="shared" si="1"/>
        <v>0</v>
      </c>
      <c r="L28" s="50"/>
      <c r="P28" s="50"/>
    </row>
    <row r="29" spans="1:24">
      <c r="A29" s="30" t="s">
        <v>152</v>
      </c>
      <c r="B29" s="54">
        <v>67919.3</v>
      </c>
      <c r="C29" s="54"/>
      <c r="D29" s="54"/>
      <c r="E29" s="54">
        <f t="shared" si="0"/>
        <v>67919.3</v>
      </c>
      <c r="G29" s="62" t="s">
        <v>48</v>
      </c>
      <c r="H29" s="54">
        <v>22639.8</v>
      </c>
      <c r="I29" s="92">
        <v>13583.88</v>
      </c>
      <c r="J29" s="92"/>
      <c r="K29" s="50">
        <f t="shared" si="1"/>
        <v>36223.68</v>
      </c>
      <c r="L29" s="50"/>
      <c r="P29" s="50"/>
    </row>
    <row r="30" spans="1:24">
      <c r="A30" s="30" t="s">
        <v>158</v>
      </c>
      <c r="B30" s="54">
        <v>-3500</v>
      </c>
      <c r="C30" s="54"/>
      <c r="D30" s="54"/>
      <c r="E30" s="54">
        <f t="shared" si="0"/>
        <v>-3500</v>
      </c>
      <c r="G30" s="62" t="s">
        <v>48</v>
      </c>
      <c r="H30" s="54">
        <v>-1166.5999999999999</v>
      </c>
      <c r="I30" s="54">
        <v>-699.96</v>
      </c>
      <c r="J30" s="54"/>
      <c r="K30" s="50">
        <f t="shared" si="1"/>
        <v>-1866.56</v>
      </c>
      <c r="L30" s="50"/>
      <c r="P30" s="50"/>
    </row>
    <row r="31" spans="1:24">
      <c r="A31" s="30" t="s">
        <v>96</v>
      </c>
      <c r="B31" s="54">
        <v>169398.09</v>
      </c>
      <c r="C31" s="54"/>
      <c r="D31" s="54"/>
      <c r="E31" s="54">
        <f t="shared" si="0"/>
        <v>169398.09</v>
      </c>
      <c r="G31" s="62" t="s">
        <v>48</v>
      </c>
      <c r="H31" s="54">
        <v>33879.599999999999</v>
      </c>
      <c r="I31" s="54">
        <v>33879.599999999999</v>
      </c>
      <c r="J31" s="54"/>
      <c r="K31" s="50">
        <f t="shared" si="1"/>
        <v>67759.199999999997</v>
      </c>
      <c r="L31" s="50"/>
      <c r="P31" s="50"/>
    </row>
    <row r="32" spans="1:24">
      <c r="A32" s="30" t="s">
        <v>143</v>
      </c>
      <c r="B32" s="54">
        <v>43766.92</v>
      </c>
      <c r="C32" s="54"/>
      <c r="D32" s="54">
        <v>-43766.92</v>
      </c>
      <c r="E32" s="54">
        <f t="shared" si="0"/>
        <v>0</v>
      </c>
      <c r="G32" s="62" t="s">
        <v>48</v>
      </c>
      <c r="H32" s="54">
        <v>35013.599999999999</v>
      </c>
      <c r="I32" s="54">
        <v>8753.32</v>
      </c>
      <c r="J32" s="54">
        <v>-43766.92</v>
      </c>
      <c r="K32" s="50">
        <f t="shared" si="1"/>
        <v>0</v>
      </c>
      <c r="L32" s="50"/>
      <c r="P32" s="50"/>
    </row>
    <row r="33" spans="1:24">
      <c r="A33" s="30" t="s">
        <v>113</v>
      </c>
      <c r="B33" s="54">
        <v>26112.799999999999</v>
      </c>
      <c r="C33" s="54"/>
      <c r="D33" s="54"/>
      <c r="E33" s="54">
        <f t="shared" si="0"/>
        <v>26112.799999999999</v>
      </c>
      <c r="G33" s="62" t="s">
        <v>48</v>
      </c>
      <c r="H33" s="54">
        <v>0</v>
      </c>
      <c r="I33" s="54">
        <v>5222.5199999999995</v>
      </c>
      <c r="J33" s="54"/>
      <c r="K33" s="50">
        <f t="shared" si="1"/>
        <v>5222.5199999999995</v>
      </c>
      <c r="L33" s="50"/>
      <c r="P33" s="50"/>
    </row>
    <row r="34" spans="1:24">
      <c r="A34" s="30" t="s">
        <v>95</v>
      </c>
      <c r="B34" s="54">
        <v>21634.44</v>
      </c>
      <c r="C34" s="54"/>
      <c r="D34" s="54"/>
      <c r="E34" s="54">
        <f t="shared" si="0"/>
        <v>21634.44</v>
      </c>
      <c r="G34" s="62" t="s">
        <v>48</v>
      </c>
      <c r="H34" s="54">
        <v>8653.6800000000021</v>
      </c>
      <c r="I34" s="54">
        <v>4326.8400000000011</v>
      </c>
      <c r="J34" s="54"/>
      <c r="K34" s="50">
        <f t="shared" si="1"/>
        <v>12980.520000000004</v>
      </c>
      <c r="L34" s="50"/>
      <c r="P34" s="50"/>
      <c r="X34" s="50">
        <f>C34</f>
        <v>0</v>
      </c>
    </row>
    <row r="35" spans="1:24">
      <c r="A35" s="30" t="s">
        <v>136</v>
      </c>
      <c r="B35" s="54">
        <v>1947735.12</v>
      </c>
      <c r="C35" s="54"/>
      <c r="D35" s="54">
        <v>-324.08</v>
      </c>
      <c r="E35" s="54">
        <f t="shared" si="0"/>
        <v>1947411.04</v>
      </c>
      <c r="G35" s="62" t="s">
        <v>47</v>
      </c>
      <c r="H35" s="54">
        <v>1168706.0799999996</v>
      </c>
      <c r="I35" s="54">
        <v>194806.03999999995</v>
      </c>
      <c r="J35" s="54">
        <v>-324.08</v>
      </c>
      <c r="K35" s="50">
        <f t="shared" si="1"/>
        <v>1363188.0399999996</v>
      </c>
      <c r="L35" s="50"/>
      <c r="P35" s="50"/>
    </row>
    <row r="36" spans="1:24">
      <c r="A36" s="30" t="s">
        <v>145</v>
      </c>
      <c r="B36" s="54">
        <v>-3413.88</v>
      </c>
      <c r="C36" s="54"/>
      <c r="D36" s="54">
        <v>3413.88</v>
      </c>
      <c r="E36" s="54">
        <f t="shared" si="0"/>
        <v>0</v>
      </c>
      <c r="G36" s="62" t="s">
        <v>48</v>
      </c>
      <c r="H36" s="54">
        <v>-2731.1999999999994</v>
      </c>
      <c r="I36" s="54">
        <v>-682.68</v>
      </c>
      <c r="J36" s="54">
        <v>3413.88</v>
      </c>
      <c r="K36" s="50">
        <f t="shared" si="1"/>
        <v>0</v>
      </c>
      <c r="L36" s="50"/>
      <c r="P36" s="50"/>
    </row>
    <row r="37" spans="1:24">
      <c r="A37" s="30" t="s">
        <v>126</v>
      </c>
      <c r="B37" s="54">
        <v>4521264.92</v>
      </c>
      <c r="C37" s="54"/>
      <c r="D37" s="54"/>
      <c r="E37" s="54">
        <f t="shared" si="0"/>
        <v>4521264.92</v>
      </c>
      <c r="G37" s="62" t="s">
        <v>47</v>
      </c>
      <c r="H37" s="54">
        <v>452126.52000000008</v>
      </c>
      <c r="I37" s="54">
        <v>452126.52000000008</v>
      </c>
      <c r="J37" s="54"/>
      <c r="K37" s="50">
        <f t="shared" si="1"/>
        <v>904253.04000000015</v>
      </c>
      <c r="L37" s="50"/>
      <c r="P37" s="50"/>
    </row>
    <row r="38" spans="1:24">
      <c r="A38" s="30" t="s">
        <v>102</v>
      </c>
      <c r="B38" s="54">
        <v>9683.98</v>
      </c>
      <c r="C38" s="54"/>
      <c r="D38" s="54"/>
      <c r="E38" s="54">
        <f t="shared" si="0"/>
        <v>9683.98</v>
      </c>
      <c r="G38" s="62" t="s">
        <v>48</v>
      </c>
      <c r="H38" s="54">
        <v>3066.6000000000004</v>
      </c>
      <c r="I38" s="107">
        <v>1936.8000000000004</v>
      </c>
      <c r="J38" s="107"/>
      <c r="K38" s="50">
        <f t="shared" si="1"/>
        <v>5003.4000000000005</v>
      </c>
      <c r="L38" s="50"/>
      <c r="P38" s="50"/>
    </row>
    <row r="39" spans="1:24">
      <c r="A39" s="30" t="s">
        <v>93</v>
      </c>
      <c r="B39" s="54">
        <v>40844.76</v>
      </c>
      <c r="C39" s="54"/>
      <c r="D39" s="54"/>
      <c r="E39" s="54">
        <f t="shared" si="0"/>
        <v>40844.76</v>
      </c>
      <c r="G39" s="62" t="s">
        <v>48</v>
      </c>
      <c r="H39" s="54">
        <v>16338</v>
      </c>
      <c r="I39" s="54">
        <v>8169</v>
      </c>
      <c r="J39" s="54"/>
      <c r="K39" s="50">
        <f t="shared" si="1"/>
        <v>24507</v>
      </c>
      <c r="L39" s="50"/>
      <c r="P39" s="50"/>
    </row>
    <row r="40" spans="1:24">
      <c r="A40" s="30" t="s">
        <v>88</v>
      </c>
      <c r="B40" s="54">
        <v>18556.18</v>
      </c>
      <c r="C40" s="54"/>
      <c r="D40" s="54">
        <v>-18556.18</v>
      </c>
      <c r="E40" s="54">
        <f t="shared" si="0"/>
        <v>0</v>
      </c>
      <c r="G40" s="62" t="s">
        <v>48</v>
      </c>
      <c r="H40" s="54">
        <v>15463.499999999998</v>
      </c>
      <c r="I40" s="54">
        <v>3092.6800000000021</v>
      </c>
      <c r="J40" s="54">
        <v>-18556.18</v>
      </c>
      <c r="K40" s="50">
        <f t="shared" si="1"/>
        <v>0</v>
      </c>
      <c r="L40" s="50"/>
      <c r="P40" s="50"/>
    </row>
    <row r="41" spans="1:24">
      <c r="A41" s="30" t="s">
        <v>183</v>
      </c>
      <c r="B41" s="54">
        <v>72592.490000000005</v>
      </c>
      <c r="C41" s="54"/>
      <c r="D41" s="54"/>
      <c r="E41" s="54">
        <f t="shared" si="0"/>
        <v>72592.490000000005</v>
      </c>
      <c r="G41" s="62" t="s">
        <v>48</v>
      </c>
      <c r="H41" s="54">
        <v>0</v>
      </c>
      <c r="I41" s="54">
        <v>14518.439999999995</v>
      </c>
      <c r="J41" s="54"/>
      <c r="K41" s="50">
        <f t="shared" si="1"/>
        <v>14518.439999999995</v>
      </c>
      <c r="L41" s="50"/>
      <c r="P41" s="50"/>
    </row>
    <row r="42" spans="1:24">
      <c r="A42" s="30" t="s">
        <v>137</v>
      </c>
      <c r="B42" s="54">
        <v>50823.56</v>
      </c>
      <c r="C42" s="54"/>
      <c r="D42" s="54"/>
      <c r="E42" s="54">
        <f t="shared" ref="E42:E73" si="2">B42+C42+D42</f>
        <v>50823.56</v>
      </c>
      <c r="G42" s="62" t="s">
        <v>48</v>
      </c>
      <c r="H42" s="54">
        <v>30494.159999999989</v>
      </c>
      <c r="I42" s="54">
        <v>10164.719999999996</v>
      </c>
      <c r="J42" s="54"/>
      <c r="K42" s="50">
        <f t="shared" si="1"/>
        <v>40658.879999999983</v>
      </c>
      <c r="L42" s="50"/>
      <c r="P42" s="50"/>
    </row>
    <row r="43" spans="1:24">
      <c r="A43" s="30" t="s">
        <v>46</v>
      </c>
      <c r="B43" s="54">
        <v>291236.94</v>
      </c>
      <c r="C43" s="54"/>
      <c r="D43" s="54"/>
      <c r="E43" s="54">
        <f t="shared" si="2"/>
        <v>291236.94</v>
      </c>
      <c r="G43" s="62" t="s">
        <v>48</v>
      </c>
      <c r="H43" s="54">
        <v>58247.399999999987</v>
      </c>
      <c r="I43" s="54">
        <v>58247.399999999987</v>
      </c>
      <c r="J43" s="54"/>
      <c r="K43" s="50">
        <f t="shared" si="1"/>
        <v>116494.79999999997</v>
      </c>
      <c r="L43" s="50"/>
      <c r="P43" s="50"/>
    </row>
    <row r="44" spans="1:24">
      <c r="A44" s="30" t="s">
        <v>131</v>
      </c>
      <c r="B44" s="54">
        <v>118035.9</v>
      </c>
      <c r="C44" s="54"/>
      <c r="D44" s="54"/>
      <c r="E44" s="54">
        <f t="shared" si="2"/>
        <v>118035.9</v>
      </c>
      <c r="G44" s="62" t="s">
        <v>48</v>
      </c>
      <c r="H44" s="54">
        <v>23607.24</v>
      </c>
      <c r="I44" s="54">
        <v>23607.24</v>
      </c>
      <c r="J44" s="54"/>
      <c r="K44" s="50">
        <f t="shared" si="1"/>
        <v>47214.48</v>
      </c>
      <c r="L44" s="50"/>
      <c r="P44" s="50"/>
    </row>
    <row r="45" spans="1:24">
      <c r="A45" s="30" t="s">
        <v>119</v>
      </c>
      <c r="B45" s="54">
        <v>46316.97</v>
      </c>
      <c r="C45" s="54"/>
      <c r="D45" s="54"/>
      <c r="E45" s="54">
        <f t="shared" si="2"/>
        <v>46316.97</v>
      </c>
      <c r="G45" s="62" t="s">
        <v>48</v>
      </c>
      <c r="H45" s="54">
        <v>9263.4</v>
      </c>
      <c r="I45" s="92">
        <v>9263.4</v>
      </c>
      <c r="J45" s="92"/>
      <c r="K45" s="50">
        <f t="shared" si="1"/>
        <v>18526.8</v>
      </c>
      <c r="L45" s="50"/>
      <c r="P45" s="50"/>
    </row>
    <row r="46" spans="1:24">
      <c r="A46" s="30" t="s">
        <v>104</v>
      </c>
      <c r="B46" s="54">
        <v>-150000</v>
      </c>
      <c r="C46" s="54"/>
      <c r="D46" s="54"/>
      <c r="E46" s="54">
        <f t="shared" si="2"/>
        <v>-150000</v>
      </c>
      <c r="G46" s="62" t="s">
        <v>48</v>
      </c>
      <c r="H46" s="54">
        <v>-30000</v>
      </c>
      <c r="I46" s="54">
        <v>-30000</v>
      </c>
      <c r="J46" s="54"/>
      <c r="K46" s="50">
        <f t="shared" si="1"/>
        <v>-60000</v>
      </c>
      <c r="L46" s="50"/>
      <c r="P46" s="50"/>
    </row>
    <row r="47" spans="1:24">
      <c r="A47" s="30" t="s">
        <v>97</v>
      </c>
      <c r="B47" s="54">
        <v>273095.39</v>
      </c>
      <c r="C47" s="54"/>
      <c r="D47" s="54"/>
      <c r="E47" s="54">
        <f t="shared" si="2"/>
        <v>273095.39</v>
      </c>
      <c r="G47" s="62" t="s">
        <v>48</v>
      </c>
      <c r="H47" s="54">
        <v>54619.079999999987</v>
      </c>
      <c r="I47" s="54">
        <v>54619.079999999987</v>
      </c>
      <c r="J47" s="54"/>
      <c r="K47" s="50">
        <f t="shared" si="1"/>
        <v>109238.15999999997</v>
      </c>
      <c r="L47" s="50"/>
      <c r="P47" s="50"/>
    </row>
    <row r="48" spans="1:24">
      <c r="A48" s="30" t="s">
        <v>115</v>
      </c>
      <c r="B48" s="54">
        <v>47081.440000000002</v>
      </c>
      <c r="C48" s="54"/>
      <c r="D48" s="54"/>
      <c r="E48" s="54">
        <f t="shared" si="2"/>
        <v>47081.440000000002</v>
      </c>
      <c r="G48" s="62" t="s">
        <v>48</v>
      </c>
      <c r="H48" s="54">
        <v>0</v>
      </c>
      <c r="I48" s="54">
        <v>9416.2800000000025</v>
      </c>
      <c r="J48" s="54"/>
      <c r="K48" s="50">
        <f t="shared" si="1"/>
        <v>9416.2800000000025</v>
      </c>
      <c r="L48" s="50"/>
      <c r="P48" s="50"/>
    </row>
    <row r="49" spans="1:16">
      <c r="A49" s="30" t="s">
        <v>98</v>
      </c>
      <c r="B49" s="54">
        <v>277699.90000000002</v>
      </c>
      <c r="C49" s="54"/>
      <c r="D49" s="54"/>
      <c r="E49" s="54">
        <f t="shared" si="2"/>
        <v>277699.90000000002</v>
      </c>
      <c r="G49" s="62" t="s">
        <v>48</v>
      </c>
      <c r="H49" s="54">
        <v>55539.960000000014</v>
      </c>
      <c r="I49" s="54">
        <v>55539.960000000014</v>
      </c>
      <c r="J49" s="54"/>
      <c r="K49" s="50">
        <f t="shared" si="1"/>
        <v>111079.92000000003</v>
      </c>
      <c r="L49" s="50"/>
      <c r="P49" s="50"/>
    </row>
    <row r="50" spans="1:16">
      <c r="A50" s="30" t="s">
        <v>156</v>
      </c>
      <c r="B50" s="54">
        <v>-15000</v>
      </c>
      <c r="C50" s="54"/>
      <c r="D50" s="54"/>
      <c r="E50" s="54">
        <f t="shared" si="2"/>
        <v>-15000</v>
      </c>
      <c r="G50" s="62" t="s">
        <v>48</v>
      </c>
      <c r="H50" s="54">
        <v>-3000</v>
      </c>
      <c r="I50" s="54">
        <v>-3000</v>
      </c>
      <c r="J50" s="54"/>
      <c r="K50" s="50">
        <f t="shared" si="1"/>
        <v>-6000</v>
      </c>
      <c r="L50" s="50"/>
      <c r="P50" s="50"/>
    </row>
    <row r="51" spans="1:16">
      <c r="A51" s="30" t="s">
        <v>94</v>
      </c>
      <c r="B51" s="54">
        <v>17147.61</v>
      </c>
      <c r="C51" s="54"/>
      <c r="D51" s="54"/>
      <c r="E51" s="54">
        <f t="shared" si="2"/>
        <v>17147.61</v>
      </c>
      <c r="G51" s="62" t="s">
        <v>48</v>
      </c>
      <c r="H51" s="54">
        <v>6858.96</v>
      </c>
      <c r="I51" s="54">
        <v>3429.48</v>
      </c>
      <c r="J51" s="54"/>
      <c r="K51" s="50">
        <f t="shared" si="1"/>
        <v>10288.44</v>
      </c>
      <c r="L51" s="50"/>
      <c r="P51" s="50"/>
    </row>
    <row r="52" spans="1:16">
      <c r="A52" s="30" t="s">
        <v>110</v>
      </c>
      <c r="B52" s="54">
        <v>95037.97</v>
      </c>
      <c r="C52" s="54"/>
      <c r="D52" s="54"/>
      <c r="E52" s="54">
        <f t="shared" si="2"/>
        <v>95037.97</v>
      </c>
      <c r="G52" s="62" t="s">
        <v>48</v>
      </c>
      <c r="H52" s="54">
        <v>25343.52</v>
      </c>
      <c r="I52" s="92">
        <v>19007.64</v>
      </c>
      <c r="J52" s="92"/>
      <c r="K52" s="50">
        <f t="shared" si="1"/>
        <v>44351.16</v>
      </c>
      <c r="L52" s="50"/>
      <c r="P52" s="50"/>
    </row>
    <row r="53" spans="1:16">
      <c r="A53" s="30" t="s">
        <v>86</v>
      </c>
      <c r="B53" s="54">
        <v>15602.920000000004</v>
      </c>
      <c r="C53" s="54"/>
      <c r="D53" s="54"/>
      <c r="E53" s="54">
        <f t="shared" si="2"/>
        <v>15602.920000000004</v>
      </c>
      <c r="G53" s="62" t="s">
        <v>48</v>
      </c>
      <c r="H53" s="54">
        <v>9361.8000000000029</v>
      </c>
      <c r="I53" s="54">
        <v>3120.6000000000008</v>
      </c>
      <c r="J53" s="54"/>
      <c r="K53" s="50">
        <f t="shared" si="1"/>
        <v>12482.400000000003</v>
      </c>
      <c r="L53" s="50"/>
      <c r="P53" s="50"/>
    </row>
    <row r="54" spans="1:16">
      <c r="A54" s="30" t="s">
        <v>101</v>
      </c>
      <c r="B54" s="54">
        <v>170667.19</v>
      </c>
      <c r="D54" s="54"/>
      <c r="E54" s="54">
        <f t="shared" si="2"/>
        <v>170667.19</v>
      </c>
      <c r="G54" s="62" t="s">
        <v>48</v>
      </c>
      <c r="H54" s="54">
        <v>0</v>
      </c>
      <c r="I54" s="54">
        <v>34133.4</v>
      </c>
      <c r="J54" s="54"/>
      <c r="K54" s="50">
        <f t="shared" si="1"/>
        <v>34133.4</v>
      </c>
      <c r="L54" s="50"/>
      <c r="P54" s="50"/>
    </row>
    <row r="55" spans="1:16">
      <c r="A55" s="30" t="s">
        <v>166</v>
      </c>
      <c r="B55" s="54">
        <v>0</v>
      </c>
      <c r="C55" s="54">
        <f>-D86</f>
        <v>128910.98</v>
      </c>
      <c r="D55" s="54"/>
      <c r="E55" s="54">
        <f t="shared" si="2"/>
        <v>128910.98</v>
      </c>
      <c r="G55" s="62" t="s">
        <v>48</v>
      </c>
      <c r="H55" s="54">
        <v>0</v>
      </c>
      <c r="I55" s="54"/>
      <c r="J55" s="54"/>
      <c r="K55" s="50">
        <f t="shared" si="1"/>
        <v>0</v>
      </c>
      <c r="L55" s="50"/>
      <c r="P55" s="50"/>
    </row>
    <row r="56" spans="1:16">
      <c r="A56" s="30" t="s">
        <v>89</v>
      </c>
      <c r="B56" s="54">
        <v>61524.59</v>
      </c>
      <c r="C56" s="54"/>
      <c r="D56" s="54">
        <v>-61524.59</v>
      </c>
      <c r="E56" s="54">
        <f t="shared" si="2"/>
        <v>0</v>
      </c>
      <c r="G56" s="62" t="s">
        <v>48</v>
      </c>
      <c r="H56" s="54">
        <v>49219.68</v>
      </c>
      <c r="I56" s="54">
        <v>12304.909999999996</v>
      </c>
      <c r="J56" s="54">
        <v>-61524.59</v>
      </c>
      <c r="K56" s="50">
        <f t="shared" si="1"/>
        <v>0</v>
      </c>
      <c r="L56" s="50"/>
      <c r="P56" s="50"/>
    </row>
    <row r="57" spans="1:16">
      <c r="A57" s="30" t="s">
        <v>125</v>
      </c>
      <c r="B57" s="54">
        <v>2015083.44</v>
      </c>
      <c r="C57" s="54"/>
      <c r="D57" s="54"/>
      <c r="E57" s="54">
        <f t="shared" si="2"/>
        <v>2015083.44</v>
      </c>
      <c r="G57" s="62" t="s">
        <v>48</v>
      </c>
      <c r="H57" s="54">
        <v>167923.6</v>
      </c>
      <c r="I57" s="54">
        <v>403016.6399999999</v>
      </c>
      <c r="J57" s="54"/>
      <c r="K57" s="50">
        <f t="shared" si="1"/>
        <v>570940.23999999987</v>
      </c>
      <c r="L57" s="50"/>
      <c r="P57" s="50"/>
    </row>
    <row r="58" spans="1:16">
      <c r="A58" s="30" t="s">
        <v>181</v>
      </c>
      <c r="B58" s="54">
        <v>3389993</v>
      </c>
      <c r="C58" s="54"/>
      <c r="D58" s="54"/>
      <c r="E58" s="54">
        <f t="shared" si="2"/>
        <v>3389993</v>
      </c>
      <c r="G58" s="62" t="s">
        <v>48</v>
      </c>
      <c r="H58" s="54">
        <v>508498.92</v>
      </c>
      <c r="I58" s="54">
        <v>677998.55999999994</v>
      </c>
      <c r="J58" s="54"/>
      <c r="K58" s="50">
        <f t="shared" si="1"/>
        <v>1186497.48</v>
      </c>
      <c r="L58" s="50"/>
      <c r="P58" s="50"/>
    </row>
    <row r="59" spans="1:16">
      <c r="A59" s="30" t="s">
        <v>100</v>
      </c>
      <c r="B59" s="54">
        <v>-3389993</v>
      </c>
      <c r="C59" s="54"/>
      <c r="D59" s="54"/>
      <c r="E59" s="54">
        <f t="shared" si="2"/>
        <v>-3389993</v>
      </c>
      <c r="G59" s="62" t="s">
        <v>48</v>
      </c>
      <c r="H59" s="54">
        <v>-508498.92</v>
      </c>
      <c r="I59" s="54">
        <v>-677998.55999999994</v>
      </c>
      <c r="J59" s="54"/>
      <c r="K59" s="50">
        <f t="shared" si="1"/>
        <v>-1186497.48</v>
      </c>
      <c r="L59" s="50"/>
    </row>
    <row r="60" spans="1:16">
      <c r="A60" s="30" t="s">
        <v>92</v>
      </c>
      <c r="B60" s="54">
        <v>48901.33</v>
      </c>
      <c r="C60" s="54"/>
      <c r="D60" s="54"/>
      <c r="E60" s="54">
        <f t="shared" si="2"/>
        <v>48901.33</v>
      </c>
      <c r="G60" s="62" t="s">
        <v>48</v>
      </c>
      <c r="H60" s="54">
        <v>19560.480000000003</v>
      </c>
      <c r="I60" s="54">
        <v>9780.2400000000016</v>
      </c>
      <c r="J60" s="54"/>
      <c r="K60" s="50">
        <f t="shared" si="1"/>
        <v>29340.720000000005</v>
      </c>
      <c r="L60" s="50"/>
    </row>
    <row r="61" spans="1:16">
      <c r="A61" s="30" t="s">
        <v>55</v>
      </c>
      <c r="B61" s="54">
        <v>88543.55</v>
      </c>
      <c r="C61" s="54"/>
      <c r="D61" s="54"/>
      <c r="E61" s="54">
        <f t="shared" si="2"/>
        <v>88543.55</v>
      </c>
      <c r="G61" s="62" t="s">
        <v>48</v>
      </c>
      <c r="H61" s="54">
        <v>53126.28</v>
      </c>
      <c r="I61" s="54">
        <v>17708.759999999998</v>
      </c>
      <c r="J61" s="54"/>
      <c r="K61" s="50">
        <f t="shared" si="1"/>
        <v>70835.039999999994</v>
      </c>
      <c r="L61" s="50"/>
    </row>
    <row r="62" spans="1:16">
      <c r="A62" s="30" t="s">
        <v>180</v>
      </c>
      <c r="B62" s="54">
        <v>105340.92</v>
      </c>
      <c r="C62" s="54"/>
      <c r="D62" s="54"/>
      <c r="E62" s="54">
        <f t="shared" si="2"/>
        <v>105340.92</v>
      </c>
      <c r="G62" s="62" t="s">
        <v>48</v>
      </c>
      <c r="H62" s="54">
        <v>21068.16</v>
      </c>
      <c r="I62" s="54">
        <v>21068.16</v>
      </c>
      <c r="J62" s="54"/>
      <c r="K62" s="50">
        <f t="shared" si="1"/>
        <v>42136.32</v>
      </c>
      <c r="L62" s="50"/>
    </row>
    <row r="63" spans="1:16">
      <c r="A63" s="30" t="s">
        <v>185</v>
      </c>
      <c r="B63" s="54">
        <v>87336.03</v>
      </c>
      <c r="C63" s="54"/>
      <c r="D63" s="54"/>
      <c r="E63" s="54">
        <f t="shared" si="2"/>
        <v>87336.03</v>
      </c>
      <c r="G63" s="62" t="s">
        <v>48</v>
      </c>
      <c r="H63" s="54">
        <v>0</v>
      </c>
      <c r="I63" s="54">
        <v>17467.2</v>
      </c>
      <c r="J63" s="54"/>
      <c r="K63" s="50">
        <f t="shared" si="1"/>
        <v>17467.2</v>
      </c>
      <c r="L63" s="50"/>
      <c r="P63" s="50"/>
    </row>
    <row r="64" spans="1:16">
      <c r="A64" s="30" t="s">
        <v>111</v>
      </c>
      <c r="B64" s="54">
        <v>47421.46</v>
      </c>
      <c r="C64" s="54"/>
      <c r="D64" s="54"/>
      <c r="E64" s="54">
        <f t="shared" si="2"/>
        <v>47421.46</v>
      </c>
      <c r="G64" s="62" t="s">
        <v>48</v>
      </c>
      <c r="H64" s="54">
        <v>2371.08</v>
      </c>
      <c r="I64" s="92">
        <v>9484.32</v>
      </c>
      <c r="J64" s="92"/>
      <c r="K64" s="50">
        <f t="shared" si="1"/>
        <v>11855.4</v>
      </c>
      <c r="L64" s="50"/>
      <c r="P64" s="50"/>
    </row>
    <row r="65" spans="1:24">
      <c r="A65" s="30" t="s">
        <v>53</v>
      </c>
      <c r="B65" s="54">
        <v>1667371.55</v>
      </c>
      <c r="C65" s="50"/>
      <c r="D65" s="54"/>
      <c r="E65" s="54">
        <f t="shared" si="2"/>
        <v>1667371.55</v>
      </c>
      <c r="G65" s="62" t="s">
        <v>47</v>
      </c>
      <c r="H65" s="54">
        <v>826477.29000000015</v>
      </c>
      <c r="I65" s="54">
        <v>166737.12</v>
      </c>
      <c r="J65" s="54"/>
      <c r="K65" s="50">
        <f t="shared" si="1"/>
        <v>993214.41000000015</v>
      </c>
      <c r="L65" s="50"/>
      <c r="X65" s="50">
        <f>C65</f>
        <v>0</v>
      </c>
    </row>
    <row r="66" spans="1:24">
      <c r="A66" s="30" t="s">
        <v>144</v>
      </c>
      <c r="B66" s="54">
        <v>-782591</v>
      </c>
      <c r="C66" s="54"/>
      <c r="D66" s="54"/>
      <c r="E66" s="54">
        <f t="shared" si="2"/>
        <v>-782591</v>
      </c>
      <c r="G66" s="62" t="s">
        <v>47</v>
      </c>
      <c r="H66" s="54">
        <v>-384605.61000000004</v>
      </c>
      <c r="I66" s="54">
        <v>-78259.08</v>
      </c>
      <c r="J66" s="54"/>
      <c r="K66" s="50">
        <f t="shared" si="1"/>
        <v>-462864.69000000006</v>
      </c>
      <c r="L66" s="50"/>
    </row>
    <row r="67" spans="1:24">
      <c r="A67" s="30" t="s">
        <v>146</v>
      </c>
      <c r="B67" s="54">
        <v>318813.90999999997</v>
      </c>
      <c r="C67" s="54"/>
      <c r="D67" s="54"/>
      <c r="E67" s="54">
        <f t="shared" si="2"/>
        <v>318813.90999999997</v>
      </c>
      <c r="G67" s="62" t="s">
        <v>48</v>
      </c>
      <c r="H67" s="54">
        <v>63762.84</v>
      </c>
      <c r="I67" s="54">
        <v>63762.84</v>
      </c>
      <c r="J67" s="54"/>
      <c r="K67" s="50">
        <f t="shared" si="1"/>
        <v>127525.68</v>
      </c>
      <c r="L67" s="50"/>
    </row>
    <row r="68" spans="1:24">
      <c r="A68" s="30" t="s">
        <v>154</v>
      </c>
      <c r="B68" s="54">
        <v>164133.69</v>
      </c>
      <c r="C68" s="54"/>
      <c r="D68" s="54"/>
      <c r="E68" s="54">
        <f t="shared" si="2"/>
        <v>164133.69</v>
      </c>
      <c r="G68" s="62" t="s">
        <v>48</v>
      </c>
      <c r="H68" s="54">
        <v>13760.25</v>
      </c>
      <c r="I68" s="54">
        <v>32826.720000000008</v>
      </c>
      <c r="J68" s="54"/>
      <c r="K68" s="50">
        <f t="shared" si="1"/>
        <v>46586.970000000008</v>
      </c>
      <c r="L68" s="50"/>
    </row>
    <row r="69" spans="1:24">
      <c r="A69" s="30" t="s">
        <v>127</v>
      </c>
      <c r="B69" s="54">
        <v>118743.17</v>
      </c>
      <c r="C69" s="54"/>
      <c r="D69" s="54"/>
      <c r="E69" s="54">
        <f t="shared" si="2"/>
        <v>118743.17</v>
      </c>
      <c r="G69" s="62" t="s">
        <v>48</v>
      </c>
      <c r="H69" s="54">
        <v>23748.599999999995</v>
      </c>
      <c r="I69" s="54">
        <v>23748.599999999995</v>
      </c>
      <c r="J69" s="54"/>
      <c r="K69" s="50">
        <f t="shared" si="1"/>
        <v>47497.19999999999</v>
      </c>
      <c r="L69" s="50"/>
    </row>
    <row r="70" spans="1:24">
      <c r="A70" s="30" t="s">
        <v>147</v>
      </c>
      <c r="B70" s="54">
        <v>35306.589999999997</v>
      </c>
      <c r="C70" s="54"/>
      <c r="D70" s="54"/>
      <c r="E70" s="54">
        <f t="shared" si="2"/>
        <v>35306.589999999997</v>
      </c>
      <c r="G70" s="62" t="s">
        <v>48</v>
      </c>
      <c r="H70" s="54">
        <v>21183.840000000007</v>
      </c>
      <c r="I70" s="54">
        <v>7061.2800000000025</v>
      </c>
      <c r="J70" s="54"/>
      <c r="K70" s="50">
        <f t="shared" si="1"/>
        <v>28245.12000000001</v>
      </c>
      <c r="L70" s="50"/>
    </row>
    <row r="71" spans="1:24">
      <c r="A71" s="30" t="s">
        <v>135</v>
      </c>
      <c r="B71" s="54">
        <v>-3574463.73</v>
      </c>
      <c r="D71" s="54">
        <v>103686.37</v>
      </c>
      <c r="E71" s="54">
        <f t="shared" si="2"/>
        <v>-3470777.36</v>
      </c>
      <c r="G71" s="62" t="s">
        <v>48</v>
      </c>
      <c r="H71" s="54">
        <v>-1238441.1999999997</v>
      </c>
      <c r="I71" s="50">
        <v>-617579.68999999994</v>
      </c>
      <c r="J71" s="54">
        <v>103686.37</v>
      </c>
      <c r="K71" s="50">
        <f t="shared" si="1"/>
        <v>-1752334.5199999996</v>
      </c>
      <c r="L71" s="50"/>
    </row>
    <row r="72" spans="1:24">
      <c r="B72" s="54"/>
      <c r="C72" s="54"/>
      <c r="D72" s="54"/>
      <c r="E72" s="54"/>
      <c r="G72" s="62"/>
      <c r="H72" s="54"/>
      <c r="I72" s="54"/>
      <c r="J72" s="54"/>
      <c r="K72" s="54"/>
      <c r="L72" s="50"/>
      <c r="P72" s="50"/>
    </row>
    <row r="73" spans="1:24">
      <c r="A73" s="33" t="s">
        <v>51</v>
      </c>
      <c r="B73" s="50">
        <f>SUM(B10:B72)</f>
        <v>13264383.370000001</v>
      </c>
      <c r="C73" s="50">
        <f>SUM(C10:C72)</f>
        <v>132667.41999999998</v>
      </c>
      <c r="D73" s="50">
        <f>SUM(D10:D72)</f>
        <v>-68761.359999999986</v>
      </c>
      <c r="E73" s="50">
        <f>SUM(E10:E72)</f>
        <v>13328289.430000003</v>
      </c>
      <c r="H73" s="50">
        <f>SUM(H10:H72)</f>
        <v>3355662.36</v>
      </c>
      <c r="I73" s="50">
        <f>SUM(I10:I72)</f>
        <v>1790865.7299999995</v>
      </c>
      <c r="J73" s="50">
        <f>SUM(J10:J72)</f>
        <v>-68761.359999999986</v>
      </c>
      <c r="K73" s="50">
        <f>SUM(K10:K72)</f>
        <v>5077766.7300000014</v>
      </c>
      <c r="L73" s="50"/>
      <c r="M73" s="50"/>
      <c r="N73" s="50"/>
      <c r="O73" s="101"/>
    </row>
    <row r="75" spans="1:24">
      <c r="A75" s="33" t="s">
        <v>149</v>
      </c>
    </row>
    <row r="76" spans="1:24">
      <c r="A76" s="30" t="s">
        <v>124</v>
      </c>
      <c r="B76" s="54">
        <v>0</v>
      </c>
      <c r="C76" s="54">
        <v>76552.479999999996</v>
      </c>
      <c r="D76" s="77"/>
      <c r="E76" s="54">
        <f t="shared" ref="E76:E91" si="3">B76+C76+D76</f>
        <v>76552.479999999996</v>
      </c>
      <c r="L76" s="50"/>
    </row>
    <row r="77" spans="1:24">
      <c r="A77" s="30" t="s">
        <v>165</v>
      </c>
      <c r="B77" s="54">
        <v>3464</v>
      </c>
      <c r="C77" s="54">
        <v>292.44</v>
      </c>
      <c r="D77" s="54">
        <f>-(B77+C77)</f>
        <v>-3756.44</v>
      </c>
      <c r="E77" s="54">
        <f t="shared" si="3"/>
        <v>0</v>
      </c>
      <c r="L77" s="50"/>
    </row>
    <row r="78" spans="1:24">
      <c r="A78" s="30" t="s">
        <v>167</v>
      </c>
      <c r="B78" s="54">
        <v>0</v>
      </c>
      <c r="C78" s="54">
        <v>8416.3799999999992</v>
      </c>
      <c r="D78" s="77"/>
      <c r="E78" s="54">
        <f t="shared" si="3"/>
        <v>8416.3799999999992</v>
      </c>
      <c r="L78" s="50"/>
    </row>
    <row r="79" spans="1:24">
      <c r="A79" s="30" t="s">
        <v>171</v>
      </c>
      <c r="B79" s="54">
        <v>0</v>
      </c>
      <c r="C79" s="54">
        <v>48130.38</v>
      </c>
      <c r="D79" s="77"/>
      <c r="E79" s="54">
        <f t="shared" si="3"/>
        <v>48130.38</v>
      </c>
      <c r="L79" s="50"/>
    </row>
    <row r="80" spans="1:24">
      <c r="A80" s="30" t="s">
        <v>164</v>
      </c>
      <c r="B80" s="54">
        <v>15113</v>
      </c>
      <c r="C80" s="54">
        <v>8207.4500000000007</v>
      </c>
      <c r="D80" s="77"/>
      <c r="E80" s="54">
        <f t="shared" si="3"/>
        <v>23320.45</v>
      </c>
      <c r="L80" s="50"/>
    </row>
    <row r="81" spans="1:20">
      <c r="A81" s="30" t="s">
        <v>114</v>
      </c>
      <c r="B81" s="54">
        <v>0</v>
      </c>
      <c r="C81" s="54">
        <v>44613.32</v>
      </c>
      <c r="D81" s="77"/>
      <c r="E81" s="54">
        <f t="shared" si="3"/>
        <v>44613.32</v>
      </c>
      <c r="L81" s="50"/>
    </row>
    <row r="82" spans="1:20">
      <c r="A82" s="30" t="s">
        <v>172</v>
      </c>
      <c r="B82" s="54">
        <v>0</v>
      </c>
      <c r="C82" s="54">
        <v>48127.3</v>
      </c>
      <c r="D82" s="77"/>
      <c r="E82" s="54">
        <f t="shared" si="3"/>
        <v>48127.3</v>
      </c>
      <c r="L82" s="50"/>
    </row>
    <row r="83" spans="1:20">
      <c r="A83" s="30" t="s">
        <v>99</v>
      </c>
      <c r="B83" s="54">
        <v>304757.46000000002</v>
      </c>
      <c r="C83" s="54">
        <v>169555.52</v>
      </c>
      <c r="D83" s="54"/>
      <c r="E83" s="54">
        <f t="shared" si="3"/>
        <v>474312.98</v>
      </c>
      <c r="L83" s="50"/>
    </row>
    <row r="84" spans="1:20">
      <c r="A84" s="30" t="s">
        <v>87</v>
      </c>
      <c r="B84" s="54">
        <v>435876.06</v>
      </c>
      <c r="C84" s="54">
        <v>69051.399999999994</v>
      </c>
      <c r="E84" s="54">
        <f t="shared" si="3"/>
        <v>504927.45999999996</v>
      </c>
    </row>
    <row r="85" spans="1:20">
      <c r="A85" s="30" t="s">
        <v>151</v>
      </c>
      <c r="B85" s="54">
        <v>618183.94999999995</v>
      </c>
      <c r="C85" s="54">
        <v>76242.009999999995</v>
      </c>
      <c r="D85" s="54"/>
      <c r="E85" s="54">
        <f t="shared" si="3"/>
        <v>694425.96</v>
      </c>
      <c r="L85" s="50"/>
    </row>
    <row r="86" spans="1:20">
      <c r="A86" s="30" t="s">
        <v>166</v>
      </c>
      <c r="B86" s="54">
        <v>39142</v>
      </c>
      <c r="C86" s="54">
        <v>89768.98</v>
      </c>
      <c r="D86" s="54">
        <f>-(B86+C86)</f>
        <v>-128910.98</v>
      </c>
      <c r="E86" s="54">
        <f t="shared" si="3"/>
        <v>0</v>
      </c>
      <c r="L86" s="50"/>
    </row>
    <row r="87" spans="1:20">
      <c r="A87" s="30" t="s">
        <v>163</v>
      </c>
      <c r="B87" s="54">
        <v>7168290.3600000003</v>
      </c>
      <c r="C87" s="54">
        <v>150788.81</v>
      </c>
      <c r="D87" s="77"/>
      <c r="E87" s="54">
        <f t="shared" si="3"/>
        <v>7319079.1699999999</v>
      </c>
      <c r="L87" s="50"/>
    </row>
    <row r="88" spans="1:20">
      <c r="A88" s="30" t="s">
        <v>249</v>
      </c>
      <c r="B88" s="54">
        <v>5011</v>
      </c>
      <c r="C88" s="54">
        <v>35995.61</v>
      </c>
      <c r="D88" s="77"/>
      <c r="E88" s="54">
        <f t="shared" si="3"/>
        <v>41006.61</v>
      </c>
      <c r="L88" s="50"/>
    </row>
    <row r="89" spans="1:20">
      <c r="A89" s="30" t="s">
        <v>169</v>
      </c>
      <c r="B89" s="54">
        <v>0</v>
      </c>
      <c r="C89" s="54">
        <v>49578.559999999998</v>
      </c>
      <c r="D89" s="77"/>
      <c r="E89" s="54">
        <f t="shared" si="3"/>
        <v>49578.559999999998</v>
      </c>
      <c r="L89" s="50"/>
    </row>
    <row r="90" spans="1:20">
      <c r="A90" s="30" t="s">
        <v>170</v>
      </c>
      <c r="B90" s="54">
        <v>0</v>
      </c>
      <c r="C90" s="54">
        <v>7451.47</v>
      </c>
      <c r="D90" s="77"/>
      <c r="E90" s="54">
        <f t="shared" si="3"/>
        <v>7451.47</v>
      </c>
      <c r="L90" s="50"/>
    </row>
    <row r="91" spans="1:20">
      <c r="A91" s="30" t="s">
        <v>168</v>
      </c>
      <c r="B91" s="54">
        <v>0</v>
      </c>
      <c r="C91" s="54">
        <v>207944.18</v>
      </c>
      <c r="D91" s="77"/>
      <c r="E91" s="54">
        <f t="shared" si="3"/>
        <v>207944.18</v>
      </c>
      <c r="L91" s="50"/>
    </row>
    <row r="92" spans="1:20">
      <c r="B92" s="54"/>
      <c r="C92" s="50"/>
      <c r="D92" s="50"/>
      <c r="E92" s="54"/>
    </row>
    <row r="93" spans="1:20">
      <c r="A93" s="33" t="s">
        <v>50</v>
      </c>
      <c r="B93" s="50">
        <f>SUM(B75:B92)</f>
        <v>8589837.8300000001</v>
      </c>
      <c r="C93" s="50">
        <f>SUM(C75:C92)</f>
        <v>1090716.2899999998</v>
      </c>
      <c r="D93" s="50">
        <f>SUM(D75:D92)</f>
        <v>-132667.41999999998</v>
      </c>
      <c r="E93" s="50">
        <f>SUM(E75:E92)</f>
        <v>9547886.6999999993</v>
      </c>
      <c r="H93" s="50"/>
      <c r="I93" s="50"/>
      <c r="J93" s="50"/>
      <c r="K93" s="50"/>
      <c r="L93" s="50"/>
      <c r="T93" s="50"/>
    </row>
    <row r="94" spans="1:20">
      <c r="B94" s="50"/>
      <c r="C94" s="50"/>
      <c r="D94" s="50"/>
      <c r="E94" s="50"/>
      <c r="H94" s="50"/>
      <c r="I94" s="50"/>
      <c r="J94" s="50"/>
      <c r="K94" s="50"/>
      <c r="L94" s="50"/>
    </row>
    <row r="95" spans="1:20">
      <c r="A95" s="109" t="s">
        <v>52</v>
      </c>
      <c r="B95" s="51">
        <f>B73+B93</f>
        <v>21854221.200000003</v>
      </c>
      <c r="C95" s="51">
        <f>C73+C93</f>
        <v>1223383.7099999997</v>
      </c>
      <c r="D95" s="51">
        <f t="shared" ref="D95:K95" si="4">D73+D93</f>
        <v>-201428.77999999997</v>
      </c>
      <c r="E95" s="51">
        <f t="shared" si="4"/>
        <v>22876176.130000003</v>
      </c>
      <c r="F95" s="51"/>
      <c r="G95" s="51">
        <f t="shared" si="4"/>
        <v>0</v>
      </c>
      <c r="H95" s="51">
        <f t="shared" si="4"/>
        <v>3355662.36</v>
      </c>
      <c r="I95" s="51">
        <f t="shared" si="4"/>
        <v>1790865.7299999995</v>
      </c>
      <c r="J95" s="51">
        <f t="shared" si="4"/>
        <v>-68761.359999999986</v>
      </c>
      <c r="K95" s="51">
        <f t="shared" si="4"/>
        <v>5077766.7300000014</v>
      </c>
      <c r="L95" s="50"/>
      <c r="M95" s="50"/>
      <c r="N95" s="50"/>
      <c r="S95" s="50"/>
    </row>
    <row r="96" spans="1:20">
      <c r="E96" s="50"/>
    </row>
    <row r="97" spans="1:14">
      <c r="A97" s="33" t="s">
        <v>107</v>
      </c>
      <c r="B97" s="50"/>
      <c r="C97" s="50"/>
      <c r="D97" s="50"/>
      <c r="E97" s="50"/>
      <c r="H97" s="50"/>
      <c r="I97" s="50"/>
      <c r="J97" s="50"/>
      <c r="K97" s="50"/>
      <c r="M97" s="50"/>
    </row>
    <row r="98" spans="1:14">
      <c r="A98" s="110" t="s">
        <v>150</v>
      </c>
      <c r="E98" s="50"/>
    </row>
    <row r="99" spans="1:14">
      <c r="A99" s="49" t="s">
        <v>109</v>
      </c>
      <c r="B99" s="50">
        <v>178986.03</v>
      </c>
      <c r="C99" s="50"/>
      <c r="D99" s="50"/>
      <c r="E99" s="50">
        <f t="shared" ref="E99:E109" si="5">B99+C99+D99</f>
        <v>178986.03</v>
      </c>
      <c r="F99" s="50"/>
      <c r="G99" s="62" t="s">
        <v>48</v>
      </c>
      <c r="H99" s="50">
        <v>35797.199999999997</v>
      </c>
      <c r="I99" s="50">
        <v>35797.199999999997</v>
      </c>
      <c r="J99" s="50"/>
      <c r="K99" s="50">
        <f t="shared" ref="K99:K109" si="6">H99+I99+J99</f>
        <v>71594.399999999994</v>
      </c>
      <c r="L99" s="50"/>
      <c r="M99" s="50"/>
    </row>
    <row r="100" spans="1:14">
      <c r="A100" s="49" t="s">
        <v>187</v>
      </c>
      <c r="B100" s="50">
        <v>0</v>
      </c>
      <c r="C100" s="50">
        <f>-D115</f>
        <v>46630.71</v>
      </c>
      <c r="D100" s="50"/>
      <c r="E100" s="50">
        <f t="shared" si="5"/>
        <v>46630.71</v>
      </c>
      <c r="F100" s="50"/>
      <c r="G100" s="62" t="s">
        <v>48</v>
      </c>
      <c r="H100" s="50">
        <v>0</v>
      </c>
      <c r="I100" s="88">
        <v>6217.44</v>
      </c>
      <c r="J100" s="88"/>
      <c r="K100" s="50">
        <f t="shared" si="6"/>
        <v>6217.44</v>
      </c>
      <c r="L100" s="50"/>
      <c r="M100" s="50"/>
    </row>
    <row r="101" spans="1:14">
      <c r="A101" s="49" t="s">
        <v>68</v>
      </c>
      <c r="B101" s="50">
        <v>3490060.7800000007</v>
      </c>
      <c r="C101" s="50">
        <f>-D116</f>
        <v>272928.21999999997</v>
      </c>
      <c r="D101" s="50">
        <v>-12377.659999999974</v>
      </c>
      <c r="E101" s="50">
        <f t="shared" si="5"/>
        <v>3750611.3400000008</v>
      </c>
      <c r="F101" s="50"/>
      <c r="G101" s="62" t="s">
        <v>47</v>
      </c>
      <c r="H101" s="50">
        <v>328576.31999999995</v>
      </c>
      <c r="I101" s="88">
        <v>349005.95999999996</v>
      </c>
      <c r="J101" s="88"/>
      <c r="K101" s="50">
        <f t="shared" si="6"/>
        <v>677582.27999999991</v>
      </c>
      <c r="L101" s="50"/>
      <c r="M101" s="50"/>
    </row>
    <row r="102" spans="1:14">
      <c r="A102" s="49" t="s">
        <v>189</v>
      </c>
      <c r="B102" s="50">
        <v>-974548.54</v>
      </c>
      <c r="C102" s="50"/>
      <c r="D102" s="50"/>
      <c r="E102" s="50">
        <f t="shared" si="5"/>
        <v>-974548.54</v>
      </c>
      <c r="F102" s="50"/>
      <c r="G102" s="62" t="s">
        <v>47</v>
      </c>
      <c r="H102" s="50">
        <v>-97454.85</v>
      </c>
      <c r="I102" s="50">
        <v>-97454.85</v>
      </c>
      <c r="J102" s="50"/>
      <c r="K102" s="50">
        <f t="shared" si="6"/>
        <v>-194909.7</v>
      </c>
      <c r="L102" s="50"/>
      <c r="M102" s="50"/>
    </row>
    <row r="103" spans="1:14">
      <c r="A103" s="49" t="s">
        <v>186</v>
      </c>
      <c r="B103" s="50">
        <v>181080.11</v>
      </c>
      <c r="C103" s="50"/>
      <c r="D103" s="50"/>
      <c r="E103" s="50">
        <f t="shared" si="5"/>
        <v>181080.11</v>
      </c>
      <c r="F103" s="50"/>
      <c r="G103" s="62" t="s">
        <v>48</v>
      </c>
      <c r="H103" s="50">
        <v>36216</v>
      </c>
      <c r="I103" s="50">
        <v>36216</v>
      </c>
      <c r="J103" s="50"/>
      <c r="K103" s="50">
        <f t="shared" si="6"/>
        <v>72432</v>
      </c>
      <c r="L103" s="50"/>
      <c r="M103" s="50"/>
    </row>
    <row r="104" spans="1:14">
      <c r="A104" s="49" t="s">
        <v>125</v>
      </c>
      <c r="B104" s="50">
        <v>244223.27</v>
      </c>
      <c r="C104" s="50"/>
      <c r="D104" s="50"/>
      <c r="E104" s="50">
        <f t="shared" si="5"/>
        <v>244223.27</v>
      </c>
      <c r="F104" s="50"/>
      <c r="G104" s="62" t="s">
        <v>48</v>
      </c>
      <c r="H104" s="50">
        <v>48844.68</v>
      </c>
      <c r="I104" s="50">
        <v>48844.68</v>
      </c>
      <c r="J104" s="50"/>
      <c r="K104" s="50">
        <f t="shared" si="6"/>
        <v>97689.36</v>
      </c>
      <c r="L104" s="50"/>
      <c r="M104" s="50"/>
    </row>
    <row r="105" spans="1:14">
      <c r="A105" s="49" t="s">
        <v>190</v>
      </c>
      <c r="B105" s="50">
        <v>-6000</v>
      </c>
      <c r="C105" s="50"/>
      <c r="D105" s="50"/>
      <c r="E105" s="50">
        <f t="shared" si="5"/>
        <v>-6000</v>
      </c>
      <c r="F105" s="50"/>
      <c r="G105" s="62" t="s">
        <v>48</v>
      </c>
      <c r="H105" s="50">
        <v>-1200</v>
      </c>
      <c r="I105" s="50">
        <v>-1200</v>
      </c>
      <c r="J105" s="50"/>
      <c r="K105" s="50">
        <f t="shared" si="6"/>
        <v>-2400</v>
      </c>
      <c r="L105" s="50"/>
      <c r="M105" s="50"/>
    </row>
    <row r="106" spans="1:14">
      <c r="A106" s="49" t="s">
        <v>173</v>
      </c>
      <c r="B106" s="50">
        <v>0</v>
      </c>
      <c r="C106" s="50">
        <f>-D119</f>
        <v>226100.19</v>
      </c>
      <c r="D106" s="50">
        <v>-84499.760000000009</v>
      </c>
      <c r="E106" s="50">
        <f t="shared" si="5"/>
        <v>141600.43</v>
      </c>
      <c r="F106" s="50"/>
      <c r="G106" s="62" t="s">
        <v>48</v>
      </c>
      <c r="H106" s="50">
        <v>0</v>
      </c>
      <c r="I106" s="50">
        <v>11800.05</v>
      </c>
      <c r="J106" s="50"/>
      <c r="K106" s="50">
        <f t="shared" si="6"/>
        <v>11800.05</v>
      </c>
      <c r="L106" s="50"/>
      <c r="M106" s="50"/>
    </row>
    <row r="107" spans="1:14">
      <c r="A107" s="49" t="s">
        <v>188</v>
      </c>
      <c r="B107" s="50">
        <v>0</v>
      </c>
      <c r="C107" s="50">
        <f>-D120</f>
        <v>-100000</v>
      </c>
      <c r="D107" s="50"/>
      <c r="E107" s="50">
        <f t="shared" si="5"/>
        <v>-100000</v>
      </c>
      <c r="F107" s="50"/>
      <c r="G107" s="62" t="s">
        <v>48</v>
      </c>
      <c r="H107" s="50">
        <v>0</v>
      </c>
      <c r="I107" s="50">
        <v>-8383.56</v>
      </c>
      <c r="J107" s="50"/>
      <c r="K107" s="50">
        <f t="shared" si="6"/>
        <v>-8383.56</v>
      </c>
      <c r="L107" s="50"/>
      <c r="M107" s="50"/>
    </row>
    <row r="108" spans="1:14">
      <c r="A108" s="30" t="s">
        <v>57</v>
      </c>
      <c r="B108" s="50">
        <v>243044.71</v>
      </c>
      <c r="C108" s="50"/>
      <c r="D108" s="50"/>
      <c r="E108" s="50">
        <f t="shared" si="5"/>
        <v>243044.71</v>
      </c>
      <c r="F108" s="50"/>
      <c r="G108" s="62" t="s">
        <v>49</v>
      </c>
      <c r="H108" s="50">
        <v>202537.21</v>
      </c>
      <c r="I108" s="50">
        <v>20253.72</v>
      </c>
      <c r="J108" s="50"/>
      <c r="K108" s="50">
        <f t="shared" si="6"/>
        <v>222790.93</v>
      </c>
      <c r="L108" s="50"/>
    </row>
    <row r="109" spans="1:14">
      <c r="A109" s="30" t="s">
        <v>58</v>
      </c>
      <c r="B109" s="50">
        <v>185010.89</v>
      </c>
      <c r="C109" s="50"/>
      <c r="D109" s="50"/>
      <c r="E109" s="50">
        <f t="shared" si="5"/>
        <v>185010.89</v>
      </c>
      <c r="F109" s="50"/>
      <c r="G109" s="62" t="s">
        <v>69</v>
      </c>
      <c r="H109" s="50">
        <v>41113.230000000003</v>
      </c>
      <c r="I109" s="50">
        <v>4111.32</v>
      </c>
      <c r="J109" s="50"/>
      <c r="K109" s="50">
        <f t="shared" si="6"/>
        <v>45224.55</v>
      </c>
      <c r="L109" s="50"/>
    </row>
    <row r="110" spans="1:14">
      <c r="A110" s="49"/>
      <c r="B110" s="50"/>
      <c r="C110" s="50"/>
      <c r="D110" s="50"/>
      <c r="E110" s="50"/>
      <c r="F110" s="50"/>
      <c r="G110" s="62"/>
      <c r="H110" s="50"/>
      <c r="I110" s="50"/>
      <c r="J110" s="50"/>
      <c r="K110" s="54"/>
      <c r="M110" s="50"/>
    </row>
    <row r="111" spans="1:14">
      <c r="A111" s="33" t="s">
        <v>160</v>
      </c>
      <c r="B111" s="50">
        <f>SUM(B98:B110)</f>
        <v>3541857.2500000005</v>
      </c>
      <c r="C111" s="50">
        <f>SUM(C98:C110)</f>
        <v>445659.12</v>
      </c>
      <c r="D111" s="50">
        <f>SUM(D98:D110)</f>
        <v>-96877.419999999984</v>
      </c>
      <c r="E111" s="50">
        <f>SUM(E98:E110)</f>
        <v>3890638.9500000011</v>
      </c>
      <c r="F111" s="50"/>
      <c r="G111" s="50"/>
      <c r="H111" s="50">
        <f>SUM(H98:H110)</f>
        <v>594429.78999999992</v>
      </c>
      <c r="I111" s="50">
        <f>SUM(I98:I110)</f>
        <v>405207.96</v>
      </c>
      <c r="J111" s="50">
        <f>SUM(J98:J110)</f>
        <v>0</v>
      </c>
      <c r="K111" s="50">
        <f>SUM(K98:K110)</f>
        <v>999637.75</v>
      </c>
      <c r="L111" s="50"/>
      <c r="M111" s="50"/>
      <c r="N111" s="50"/>
    </row>
    <row r="112" spans="1:14">
      <c r="A112" s="49"/>
      <c r="B112" s="50"/>
      <c r="C112" s="50"/>
      <c r="D112" s="50"/>
      <c r="E112" s="50"/>
      <c r="F112" s="50"/>
      <c r="G112" s="62"/>
      <c r="H112" s="50"/>
      <c r="I112" s="50"/>
      <c r="J112" s="50"/>
      <c r="K112" s="54"/>
      <c r="L112" s="50"/>
    </row>
    <row r="113" spans="1:14">
      <c r="A113" s="33" t="s">
        <v>149</v>
      </c>
      <c r="B113" s="50"/>
      <c r="C113" s="50"/>
      <c r="D113" s="50"/>
      <c r="E113" s="50"/>
      <c r="F113" s="50"/>
      <c r="G113" s="50"/>
      <c r="H113" s="50"/>
      <c r="I113" s="50"/>
      <c r="J113" s="50"/>
      <c r="K113" s="50"/>
    </row>
    <row r="114" spans="1:14">
      <c r="A114" s="49" t="s">
        <v>174</v>
      </c>
      <c r="B114" s="50">
        <v>56843</v>
      </c>
      <c r="C114" s="50">
        <v>13796.42</v>
      </c>
      <c r="D114" s="54">
        <f>-(B114+C114)</f>
        <v>-70639.42</v>
      </c>
      <c r="E114" s="50">
        <f t="shared" ref="E114:E120" si="7">B114+C114+D114</f>
        <v>0</v>
      </c>
      <c r="F114" s="50"/>
      <c r="G114" s="50"/>
      <c r="H114" s="50"/>
      <c r="I114" s="50"/>
      <c r="J114" s="50"/>
      <c r="K114" s="50"/>
    </row>
    <row r="115" spans="1:14">
      <c r="A115" s="49" t="s">
        <v>175</v>
      </c>
      <c r="B115" s="50">
        <v>0</v>
      </c>
      <c r="C115" s="50">
        <v>46630.71</v>
      </c>
      <c r="D115" s="54">
        <f>-(B115+C115)</f>
        <v>-46630.71</v>
      </c>
      <c r="E115" s="50">
        <f t="shared" si="7"/>
        <v>0</v>
      </c>
      <c r="F115" s="50"/>
      <c r="G115" s="50"/>
      <c r="H115" s="50"/>
      <c r="I115" s="50"/>
      <c r="J115" s="50"/>
      <c r="K115" s="50"/>
    </row>
    <row r="116" spans="1:14">
      <c r="A116" s="49" t="s">
        <v>68</v>
      </c>
      <c r="B116" s="50">
        <v>180415.15999999997</v>
      </c>
      <c r="C116" s="50">
        <v>92513.06</v>
      </c>
      <c r="D116" s="54">
        <f>-(B116+C116)</f>
        <v>-272928.21999999997</v>
      </c>
      <c r="E116" s="50">
        <f t="shared" si="7"/>
        <v>0</v>
      </c>
      <c r="F116" s="50"/>
      <c r="G116" s="50"/>
      <c r="H116" s="50"/>
      <c r="I116" s="50"/>
      <c r="J116" s="50"/>
      <c r="K116" s="50"/>
    </row>
    <row r="117" spans="1:14">
      <c r="A117" s="49" t="s">
        <v>112</v>
      </c>
      <c r="B117" s="50">
        <v>0</v>
      </c>
      <c r="C117" s="50">
        <v>257478.16</v>
      </c>
      <c r="D117" s="50"/>
      <c r="E117" s="50">
        <f t="shared" si="7"/>
        <v>257478.16</v>
      </c>
      <c r="F117" s="50"/>
      <c r="G117" s="50"/>
      <c r="H117" s="50"/>
      <c r="I117" s="50"/>
      <c r="J117" s="50"/>
      <c r="K117" s="50"/>
    </row>
    <row r="118" spans="1:14">
      <c r="A118" s="49" t="s">
        <v>157</v>
      </c>
      <c r="B118" s="50">
        <v>550770.80000000005</v>
      </c>
      <c r="C118" s="50">
        <v>374267.59</v>
      </c>
      <c r="D118" s="50"/>
      <c r="E118" s="50">
        <f t="shared" si="7"/>
        <v>925038.39000000013</v>
      </c>
      <c r="F118" s="50"/>
      <c r="G118" s="50"/>
      <c r="H118" s="50"/>
      <c r="I118" s="50"/>
      <c r="J118" s="50"/>
      <c r="K118" s="50"/>
    </row>
    <row r="119" spans="1:14">
      <c r="A119" s="49" t="s">
        <v>173</v>
      </c>
      <c r="B119" s="50">
        <v>196959</v>
      </c>
      <c r="C119" s="50">
        <v>29141.19</v>
      </c>
      <c r="D119" s="54">
        <f>-(B119+C119)</f>
        <v>-226100.19</v>
      </c>
      <c r="E119" s="50">
        <f t="shared" si="7"/>
        <v>0</v>
      </c>
      <c r="F119" s="50"/>
      <c r="G119" s="50"/>
      <c r="H119" s="50"/>
      <c r="I119" s="50"/>
      <c r="J119" s="50"/>
      <c r="K119" s="50"/>
    </row>
    <row r="120" spans="1:14">
      <c r="A120" s="49" t="s">
        <v>178</v>
      </c>
      <c r="B120" s="50">
        <v>-100000</v>
      </c>
      <c r="C120" s="50">
        <v>0</v>
      </c>
      <c r="D120" s="54">
        <f>-(B120+C120)</f>
        <v>100000</v>
      </c>
      <c r="E120" s="50">
        <f t="shared" si="7"/>
        <v>0</v>
      </c>
      <c r="F120" s="50"/>
      <c r="G120" s="50"/>
      <c r="H120" s="50"/>
      <c r="I120" s="50"/>
      <c r="J120" s="50"/>
      <c r="K120" s="50"/>
    </row>
    <row r="121" spans="1:14">
      <c r="A121" s="49"/>
      <c r="B121" s="50"/>
      <c r="C121" s="50"/>
      <c r="D121" s="50"/>
      <c r="E121" s="50"/>
      <c r="F121" s="50"/>
      <c r="G121" s="50"/>
      <c r="H121" s="50"/>
      <c r="I121" s="50"/>
      <c r="J121" s="50"/>
      <c r="K121" s="50"/>
      <c r="M121" s="50"/>
    </row>
    <row r="122" spans="1:14">
      <c r="A122" s="33" t="s">
        <v>161</v>
      </c>
      <c r="B122" s="50">
        <f>SUM(B114:B121)</f>
        <v>884987.96</v>
      </c>
      <c r="C122" s="50">
        <f>SUM(C114:C121)</f>
        <v>813827.12999999989</v>
      </c>
      <c r="D122" s="50">
        <f>SUM(D114:D121)</f>
        <v>-516298.54000000004</v>
      </c>
      <c r="E122" s="50">
        <f>SUM(E114:E121)</f>
        <v>1182516.55</v>
      </c>
      <c r="F122" s="50"/>
      <c r="G122" s="50"/>
      <c r="H122" s="50"/>
      <c r="I122" s="50"/>
      <c r="J122" s="50"/>
      <c r="K122" s="50"/>
    </row>
    <row r="123" spans="1:14">
      <c r="B123" s="50"/>
      <c r="C123" s="50"/>
      <c r="D123" s="50"/>
      <c r="E123" s="50"/>
      <c r="F123" s="50"/>
      <c r="G123" s="50"/>
      <c r="H123" s="50"/>
      <c r="I123" s="50"/>
      <c r="J123" s="50"/>
      <c r="K123" s="50"/>
    </row>
    <row r="124" spans="1:14">
      <c r="A124" s="109" t="s">
        <v>162</v>
      </c>
      <c r="B124" s="51">
        <f>B111+B122</f>
        <v>4426845.2100000009</v>
      </c>
      <c r="C124" s="51">
        <f>C111+C122</f>
        <v>1259486.25</v>
      </c>
      <c r="D124" s="51">
        <f>D111+D122</f>
        <v>-613175.96</v>
      </c>
      <c r="E124" s="51">
        <f>E111+E122</f>
        <v>5073155.5000000009</v>
      </c>
      <c r="F124" s="51"/>
      <c r="G124" s="51"/>
      <c r="H124" s="51">
        <f>H111+H122</f>
        <v>594429.78999999992</v>
      </c>
      <c r="I124" s="51">
        <f>I111+I122</f>
        <v>405207.96</v>
      </c>
      <c r="J124" s="51">
        <f>J111+J122</f>
        <v>0</v>
      </c>
      <c r="K124" s="51">
        <f>K111+K122</f>
        <v>999637.75</v>
      </c>
      <c r="L124" s="50"/>
      <c r="M124" s="50"/>
      <c r="N124" s="50"/>
    </row>
    <row r="125" spans="1:14">
      <c r="B125" s="50"/>
      <c r="C125" s="50"/>
      <c r="D125" s="50"/>
      <c r="E125" s="50"/>
      <c r="F125" s="50"/>
      <c r="G125" s="50"/>
      <c r="H125" s="50"/>
      <c r="I125" s="50"/>
      <c r="J125" s="50"/>
      <c r="K125" s="50"/>
    </row>
    <row r="126" spans="1:14">
      <c r="K126" s="50"/>
    </row>
    <row r="127" spans="1:14">
      <c r="A127" s="33" t="s">
        <v>62</v>
      </c>
      <c r="B127" s="50"/>
      <c r="C127" s="50"/>
      <c r="D127" s="50"/>
      <c r="E127" s="50"/>
      <c r="F127" s="50"/>
      <c r="G127" s="50"/>
      <c r="H127" s="50"/>
      <c r="I127" s="50"/>
      <c r="J127" s="50"/>
      <c r="K127" s="50"/>
    </row>
    <row r="128" spans="1:14">
      <c r="A128" s="110" t="s">
        <v>150</v>
      </c>
      <c r="B128" s="50"/>
      <c r="C128" s="50"/>
      <c r="D128" s="50"/>
      <c r="E128" s="50"/>
      <c r="F128" s="50"/>
      <c r="G128" s="50"/>
      <c r="H128" s="50"/>
      <c r="I128" s="50"/>
      <c r="J128" s="50"/>
      <c r="K128" s="50"/>
    </row>
    <row r="129" spans="1:20">
      <c r="A129" s="30" t="s">
        <v>61</v>
      </c>
      <c r="B129" s="50">
        <v>8779230.4299999997</v>
      </c>
      <c r="C129" s="50"/>
      <c r="D129" s="50">
        <v>-1399869.36</v>
      </c>
      <c r="E129" s="50">
        <f>B129+C129+D129</f>
        <v>7379361.0699999994</v>
      </c>
      <c r="F129" s="50"/>
      <c r="G129" s="50"/>
      <c r="H129" s="50">
        <v>7901847.419999999</v>
      </c>
      <c r="I129" s="50">
        <v>483318.89999999991</v>
      </c>
      <c r="J129" s="50">
        <v>-1399869.36</v>
      </c>
      <c r="K129" s="50">
        <f>H129+I129+J129</f>
        <v>6985296.9599999981</v>
      </c>
      <c r="L129" s="50"/>
    </row>
    <row r="130" spans="1:20">
      <c r="A130" s="30" t="s">
        <v>63</v>
      </c>
      <c r="B130" s="50">
        <v>285867.32</v>
      </c>
      <c r="C130" s="50"/>
      <c r="D130" s="50"/>
      <c r="E130" s="50">
        <f>B130+C130+D130</f>
        <v>285867.32</v>
      </c>
      <c r="F130" s="50"/>
      <c r="G130" s="50"/>
      <c r="H130" s="50">
        <v>137074.90299999999</v>
      </c>
      <c r="I130" s="50">
        <v>20603.54</v>
      </c>
      <c r="J130" s="50"/>
      <c r="K130" s="50">
        <f t="shared" ref="K130:K131" si="8">H130+I130+J130</f>
        <v>157678.443</v>
      </c>
      <c r="L130" s="50"/>
    </row>
    <row r="131" spans="1:20">
      <c r="A131" s="30" t="s">
        <v>64</v>
      </c>
      <c r="B131" s="50">
        <v>139005.57</v>
      </c>
      <c r="D131" s="50"/>
      <c r="E131" s="50">
        <f>B131+C131+D131</f>
        <v>139005.57</v>
      </c>
      <c r="F131" s="50"/>
      <c r="G131" s="50"/>
      <c r="H131" s="50">
        <v>50636.623333333337</v>
      </c>
      <c r="I131" s="50">
        <v>11346.525833333335</v>
      </c>
      <c r="J131" s="50"/>
      <c r="K131" s="50">
        <f t="shared" si="8"/>
        <v>61983.14916666667</v>
      </c>
      <c r="L131" s="50"/>
    </row>
    <row r="132" spans="1:20">
      <c r="B132" s="50"/>
      <c r="C132" s="50"/>
      <c r="D132" s="50"/>
      <c r="E132" s="50"/>
      <c r="F132" s="50"/>
      <c r="G132" s="50"/>
      <c r="H132" s="50"/>
      <c r="I132" s="50"/>
      <c r="J132" s="50"/>
      <c r="K132" s="50"/>
      <c r="M132" s="50"/>
      <c r="R132" s="50"/>
    </row>
    <row r="133" spans="1:20">
      <c r="A133" s="33" t="s">
        <v>65</v>
      </c>
      <c r="B133" s="50">
        <f>SUM(B128:B132)</f>
        <v>9204103.3200000003</v>
      </c>
      <c r="C133" s="50">
        <f>SUM(C128:C132)</f>
        <v>0</v>
      </c>
      <c r="D133" s="50">
        <f>SUM(D128:D132)</f>
        <v>-1399869.36</v>
      </c>
      <c r="E133" s="50">
        <f>SUM(E128:E132)</f>
        <v>7804233.96</v>
      </c>
      <c r="F133" s="50"/>
      <c r="G133" s="50"/>
      <c r="H133" s="50">
        <f>SUM(H128:H132)</f>
        <v>8089558.946333332</v>
      </c>
      <c r="I133" s="50">
        <f>SUM(I128:I132)</f>
        <v>515268.9658333332</v>
      </c>
      <c r="J133" s="50">
        <f>SUM(J128:J132)</f>
        <v>-1399869.36</v>
      </c>
      <c r="K133" s="50">
        <f>SUM(K128:K132)</f>
        <v>7204958.552166665</v>
      </c>
      <c r="L133" s="50"/>
      <c r="S133" s="50"/>
    </row>
    <row r="134" spans="1:20">
      <c r="B134" s="50"/>
      <c r="C134" s="50"/>
      <c r="D134" s="50"/>
      <c r="E134" s="50"/>
      <c r="F134" s="50"/>
      <c r="G134" s="50"/>
      <c r="H134" s="50"/>
      <c r="I134" s="50"/>
      <c r="J134" s="50"/>
      <c r="K134" s="50"/>
      <c r="S134" s="50"/>
    </row>
    <row r="135" spans="1:20">
      <c r="A135" s="33" t="s">
        <v>149</v>
      </c>
      <c r="B135" s="50"/>
      <c r="C135" s="50"/>
      <c r="D135" s="50"/>
      <c r="E135" s="50"/>
      <c r="F135" s="50"/>
      <c r="G135" s="50"/>
      <c r="H135" s="50"/>
      <c r="I135" s="50"/>
      <c r="J135" s="50"/>
      <c r="K135" s="50"/>
    </row>
    <row r="136" spans="1:20">
      <c r="A136" s="30" t="s">
        <v>176</v>
      </c>
      <c r="B136" s="50">
        <v>2515013.29</v>
      </c>
      <c r="C136" s="50">
        <v>353433.96</v>
      </c>
      <c r="D136" s="50"/>
      <c r="E136" s="50">
        <f>B136+C136+D136</f>
        <v>2868447.25</v>
      </c>
      <c r="F136" s="50"/>
      <c r="G136" s="50"/>
      <c r="H136" s="50"/>
      <c r="I136" s="50"/>
      <c r="J136" s="50"/>
      <c r="K136" s="50"/>
      <c r="L136" s="50"/>
    </row>
    <row r="137" spans="1:20">
      <c r="A137" s="30" t="s">
        <v>61</v>
      </c>
      <c r="B137" s="50">
        <v>2974250.21</v>
      </c>
      <c r="C137" s="50">
        <v>1982948.89</v>
      </c>
      <c r="D137" s="50"/>
      <c r="E137" s="50">
        <f>B137+C137+D137</f>
        <v>4957199.0999999996</v>
      </c>
      <c r="F137" s="50"/>
      <c r="G137" s="50"/>
      <c r="H137" s="50"/>
      <c r="I137" s="50"/>
      <c r="J137" s="50"/>
      <c r="K137" s="50"/>
      <c r="L137" s="50"/>
    </row>
    <row r="138" spans="1:20">
      <c r="A138" s="30" t="s">
        <v>177</v>
      </c>
      <c r="B138" s="50">
        <v>0</v>
      </c>
      <c r="C138" s="50">
        <v>22203.040000000001</v>
      </c>
      <c r="D138" s="50"/>
      <c r="E138" s="50">
        <f>B138+C138+D138</f>
        <v>22203.040000000001</v>
      </c>
      <c r="F138" s="50"/>
      <c r="G138" s="50"/>
      <c r="H138" s="50"/>
      <c r="I138" s="50"/>
      <c r="J138" s="50"/>
      <c r="K138" s="50"/>
      <c r="L138" s="50"/>
    </row>
    <row r="139" spans="1:20">
      <c r="B139" s="50"/>
      <c r="C139" s="50"/>
      <c r="D139" s="50"/>
      <c r="E139" s="50"/>
      <c r="F139" s="50"/>
      <c r="G139" s="50"/>
      <c r="H139" s="50"/>
      <c r="I139" s="50"/>
      <c r="J139" s="50"/>
      <c r="K139" s="50"/>
      <c r="L139" s="50"/>
    </row>
    <row r="140" spans="1:20">
      <c r="A140" s="33" t="s">
        <v>66</v>
      </c>
      <c r="B140" s="50">
        <f>SUM(B136:B138)</f>
        <v>5489263.5</v>
      </c>
      <c r="C140" s="50">
        <f>SUM(C136:C138)</f>
        <v>2358585.89</v>
      </c>
      <c r="D140" s="50">
        <f>SUM(D136:D138)</f>
        <v>0</v>
      </c>
      <c r="E140" s="50">
        <f>SUM(E136:E138)</f>
        <v>7847849.3899999997</v>
      </c>
      <c r="F140" s="50"/>
      <c r="G140" s="50">
        <f>SUM(G136:G138)</f>
        <v>0</v>
      </c>
      <c r="H140" s="50">
        <f>SUM(H136:H138)</f>
        <v>0</v>
      </c>
      <c r="I140" s="50">
        <f>SUM(I136:I138)</f>
        <v>0</v>
      </c>
      <c r="J140" s="50"/>
      <c r="K140" s="50">
        <f>SUM(K136:K138)</f>
        <v>0</v>
      </c>
      <c r="L140" s="50"/>
      <c r="T140" s="50"/>
    </row>
    <row r="141" spans="1:20">
      <c r="B141" s="50"/>
      <c r="C141" s="50"/>
      <c r="D141" s="50"/>
      <c r="E141" s="50"/>
      <c r="F141" s="50"/>
      <c r="G141" s="50"/>
      <c r="H141" s="50"/>
      <c r="I141" s="50"/>
      <c r="J141" s="50"/>
      <c r="K141" s="50"/>
      <c r="T141" s="50"/>
    </row>
    <row r="142" spans="1:20">
      <c r="A142" s="109" t="s">
        <v>67</v>
      </c>
      <c r="B142" s="51">
        <f>B133+B140</f>
        <v>14693366.82</v>
      </c>
      <c r="C142" s="51">
        <f t="shared" ref="C142:K142" si="9">C133+C140</f>
        <v>2358585.89</v>
      </c>
      <c r="D142" s="51">
        <f t="shared" si="9"/>
        <v>-1399869.36</v>
      </c>
      <c r="E142" s="51">
        <f t="shared" si="9"/>
        <v>15652083.35</v>
      </c>
      <c r="F142" s="51"/>
      <c r="G142" s="51">
        <f t="shared" si="9"/>
        <v>0</v>
      </c>
      <c r="H142" s="51">
        <f t="shared" si="9"/>
        <v>8089558.946333332</v>
      </c>
      <c r="I142" s="51">
        <f t="shared" si="9"/>
        <v>515268.9658333332</v>
      </c>
      <c r="J142" s="51">
        <f t="shared" si="9"/>
        <v>-1399869.36</v>
      </c>
      <c r="K142" s="51">
        <f t="shared" si="9"/>
        <v>7204958.552166665</v>
      </c>
      <c r="L142" s="50"/>
      <c r="M142" s="50"/>
      <c r="N142" s="50"/>
      <c r="S142" s="50"/>
    </row>
    <row r="143" spans="1:20">
      <c r="M143" s="50"/>
    </row>
    <row r="144" spans="1:20">
      <c r="K144" s="50"/>
    </row>
    <row r="145" spans="1:24">
      <c r="A145" s="33" t="s">
        <v>70</v>
      </c>
      <c r="B145" s="50"/>
      <c r="C145" s="50"/>
      <c r="D145" s="50"/>
      <c r="E145" s="50"/>
      <c r="F145" s="50"/>
      <c r="G145" s="50"/>
      <c r="H145" s="50"/>
      <c r="I145" s="50"/>
      <c r="J145" s="50"/>
      <c r="K145" s="50"/>
      <c r="S145" s="50"/>
    </row>
    <row r="146" spans="1:24">
      <c r="A146" s="61" t="s">
        <v>71</v>
      </c>
      <c r="B146" s="50">
        <v>147711.95000000001</v>
      </c>
      <c r="C146" s="50"/>
      <c r="D146" s="50"/>
      <c r="E146" s="50">
        <f>SUM(B146:D146)</f>
        <v>147711.95000000001</v>
      </c>
      <c r="F146" s="50"/>
      <c r="G146" s="62" t="s">
        <v>48</v>
      </c>
      <c r="H146" s="50">
        <v>29542.389999999992</v>
      </c>
      <c r="I146" s="50">
        <f>E146/5</f>
        <v>29542.390000000003</v>
      </c>
      <c r="J146" s="50"/>
      <c r="K146" s="50">
        <f t="shared" ref="K146" si="10">H146+I146+J146</f>
        <v>59084.78</v>
      </c>
      <c r="S146" s="50"/>
    </row>
    <row r="147" spans="1:24">
      <c r="A147" s="30" t="s">
        <v>60</v>
      </c>
      <c r="B147" s="50">
        <v>0</v>
      </c>
      <c r="C147" s="50"/>
      <c r="D147" s="50"/>
      <c r="E147" s="50">
        <f>SUM(B147:D147)</f>
        <v>0</v>
      </c>
      <c r="F147" s="50"/>
      <c r="G147" s="50"/>
      <c r="H147" s="50"/>
      <c r="I147" s="50"/>
      <c r="J147" s="50"/>
      <c r="K147" s="50"/>
      <c r="S147" s="50"/>
    </row>
    <row r="148" spans="1:24">
      <c r="A148" s="72" t="s">
        <v>120</v>
      </c>
      <c r="B148" s="51">
        <f>SUM(B146:B147)</f>
        <v>147711.95000000001</v>
      </c>
      <c r="C148" s="51">
        <f t="shared" ref="C148:E148" si="11">SUM(C146:C147)</f>
        <v>0</v>
      </c>
      <c r="D148" s="51">
        <f t="shared" si="11"/>
        <v>0</v>
      </c>
      <c r="E148" s="51">
        <f t="shared" si="11"/>
        <v>147711.95000000001</v>
      </c>
      <c r="F148" s="51"/>
      <c r="G148" s="51"/>
      <c r="H148" s="51">
        <f>SUM(H146:H147)</f>
        <v>29542.389999999992</v>
      </c>
      <c r="I148" s="51">
        <f t="shared" ref="I148:K148" si="12">SUM(I146:I147)</f>
        <v>29542.390000000003</v>
      </c>
      <c r="J148" s="51">
        <f t="shared" si="12"/>
        <v>0</v>
      </c>
      <c r="K148" s="51">
        <f t="shared" si="12"/>
        <v>59084.78</v>
      </c>
      <c r="L148" s="50"/>
      <c r="M148" s="50"/>
      <c r="N148" s="50"/>
      <c r="S148" s="50"/>
    </row>
    <row r="150" spans="1:24">
      <c r="A150" s="63"/>
      <c r="B150" s="51"/>
      <c r="C150" s="51"/>
      <c r="D150" s="51"/>
      <c r="E150" s="51"/>
      <c r="F150" s="68"/>
      <c r="G150" s="35"/>
      <c r="H150" s="51"/>
      <c r="I150" s="51"/>
      <c r="J150" s="51"/>
      <c r="K150" s="51"/>
    </row>
    <row r="151" spans="1:24">
      <c r="A151" s="64" t="s">
        <v>73</v>
      </c>
      <c r="B151" s="65">
        <f>B95+B124+B142+B148</f>
        <v>41122145.180000007</v>
      </c>
      <c r="C151" s="65">
        <f>C95+C124+C142+C148</f>
        <v>4841455.8499999996</v>
      </c>
      <c r="D151" s="65">
        <f>D95+D124+D142+D148</f>
        <v>-2214474.1</v>
      </c>
      <c r="E151" s="65">
        <f>E95+E124+E142+E148</f>
        <v>43749126.930000007</v>
      </c>
      <c r="F151" s="68"/>
      <c r="G151" s="35"/>
      <c r="H151" s="65">
        <f>H95+H124+H142+H148</f>
        <v>12069193.486333333</v>
      </c>
      <c r="I151" s="65">
        <f>I95+I124+I142+I148</f>
        <v>2740885.0458333329</v>
      </c>
      <c r="J151" s="65">
        <f>J95+J124+J142+J148</f>
        <v>-1468630.7200000002</v>
      </c>
      <c r="K151" s="65">
        <f>K95+K124+K142+K148</f>
        <v>13341447.812166667</v>
      </c>
      <c r="L151" s="35"/>
      <c r="M151" s="50"/>
      <c r="N151" s="101"/>
      <c r="S151" s="50"/>
      <c r="X151" s="50"/>
    </row>
    <row r="152" spans="1:24">
      <c r="A152" s="66"/>
      <c r="B152" s="67"/>
      <c r="C152" s="67"/>
      <c r="D152" s="67"/>
      <c r="E152" s="67"/>
      <c r="F152" s="68"/>
      <c r="G152" s="35"/>
      <c r="H152" s="68"/>
      <c r="I152" s="68"/>
      <c r="J152" s="68"/>
      <c r="K152" s="68"/>
      <c r="S152" s="50"/>
      <c r="X152" s="50"/>
    </row>
    <row r="153" spans="1:24">
      <c r="A153" s="64" t="s">
        <v>80</v>
      </c>
      <c r="B153" s="67"/>
      <c r="C153" s="67"/>
      <c r="D153" s="67"/>
      <c r="E153" s="69">
        <f>E73+E111+E133+E148</f>
        <v>25170874.290000003</v>
      </c>
      <c r="F153" s="68"/>
      <c r="G153" s="35"/>
      <c r="H153" s="68"/>
      <c r="I153" s="68"/>
      <c r="J153" s="68"/>
      <c r="K153" s="68"/>
      <c r="S153" s="50"/>
    </row>
    <row r="154" spans="1:24">
      <c r="A154" s="64" t="s">
        <v>72</v>
      </c>
      <c r="B154" s="67"/>
      <c r="C154" s="67"/>
      <c r="D154" s="67"/>
      <c r="E154" s="69">
        <f>E93+E122+E140</f>
        <v>18578252.640000001</v>
      </c>
      <c r="F154" s="68"/>
      <c r="G154" s="35"/>
      <c r="H154" s="68"/>
      <c r="I154" s="68"/>
      <c r="J154" s="68"/>
      <c r="K154" s="68"/>
      <c r="M154" s="50"/>
      <c r="N154" s="101"/>
    </row>
    <row r="155" spans="1:24">
      <c r="A155" s="66"/>
      <c r="B155" s="67"/>
      <c r="C155" s="67"/>
      <c r="D155" s="67"/>
      <c r="E155" s="67"/>
      <c r="F155" s="68"/>
      <c r="G155" s="35"/>
      <c r="H155" s="68"/>
      <c r="I155" s="68"/>
      <c r="J155" s="68"/>
      <c r="K155" s="68"/>
      <c r="X155" s="50"/>
    </row>
    <row r="156" spans="1:24">
      <c r="A156" s="64" t="s">
        <v>81</v>
      </c>
      <c r="B156" s="67"/>
      <c r="C156" s="67"/>
      <c r="D156" s="67"/>
      <c r="E156" s="67"/>
      <c r="F156" s="68"/>
      <c r="G156" s="35"/>
      <c r="H156" s="68"/>
      <c r="I156" s="68"/>
      <c r="J156" s="68"/>
      <c r="K156" s="70">
        <f>E153-K151</f>
        <v>11829426.477833336</v>
      </c>
      <c r="L156" s="35"/>
      <c r="X156" s="50"/>
    </row>
    <row r="158" spans="1:24">
      <c r="A158" s="66" t="s">
        <v>79</v>
      </c>
      <c r="B158" s="67"/>
      <c r="C158" s="67"/>
      <c r="D158" s="67"/>
      <c r="E158" s="67"/>
      <c r="F158" s="68"/>
      <c r="G158" s="35"/>
      <c r="H158" s="68"/>
      <c r="I158" s="68"/>
      <c r="J158" s="68"/>
      <c r="K158" s="70"/>
    </row>
    <row r="159" spans="1:24" ht="12.75" customHeight="1">
      <c r="A159" s="66" t="s">
        <v>82</v>
      </c>
      <c r="B159" s="67"/>
      <c r="C159" s="67"/>
      <c r="D159" s="67"/>
      <c r="E159" s="67"/>
      <c r="F159" s="68"/>
      <c r="G159" s="35"/>
      <c r="H159" s="68"/>
      <c r="I159" s="68"/>
      <c r="J159" s="68"/>
      <c r="K159" s="70"/>
    </row>
  </sheetData>
  <sortState xmlns:xlrd2="http://schemas.microsoft.com/office/spreadsheetml/2017/richdata2" ref="A99:X109">
    <sortCondition ref="A99:A109"/>
  </sortState>
  <mergeCells count="3">
    <mergeCell ref="B5:E5"/>
    <mergeCell ref="H5:K5"/>
    <mergeCell ref="G6:G7"/>
  </mergeCells>
  <conditionalFormatting sqref="A121">
    <cfRule type="expression" dxfId="80" priority="22" stopIfTrue="1">
      <formula>AND(MONTH(#REF!)-MONTH(#REF!)=1,YEAR(#REF!)=YEAR(#REF!),#REF!&gt;0)</formula>
    </cfRule>
    <cfRule type="expression" dxfId="79" priority="23" stopIfTrue="1">
      <formula>AND(MONTH(#REF!)-MONTH(#REF!)=0,YEAR(#REF!)=YEAR(#REF!),#REF!&gt;0)</formula>
    </cfRule>
    <cfRule type="expression" dxfId="78" priority="24" stopIfTrue="1">
      <formula>AND(MONTH(#REF!)-MONTH(#REF!)&lt;0,YEAR(#REF!)=YEAR(#REF!),#REF!&gt;0)</formula>
    </cfRule>
  </conditionalFormatting>
  <conditionalFormatting sqref="A101 A110">
    <cfRule type="expression" dxfId="77" priority="13" stopIfTrue="1">
      <formula>AND(MONTH(#REF!)-MONTH(#REF!)=1,YEAR(#REF!)=YEAR(#REF!),#REF!&gt;0)</formula>
    </cfRule>
    <cfRule type="expression" dxfId="76" priority="14" stopIfTrue="1">
      <formula>AND(MONTH(#REF!)-MONTH(#REF!)=0,YEAR(#REF!)=YEAR(#REF!),#REF!&gt;0)</formula>
    </cfRule>
    <cfRule type="expression" dxfId="75" priority="15" stopIfTrue="1">
      <formula>AND(MONTH(#REF!)-MONTH(#REF!)&lt;0,YEAR(#REF!)=YEAR(#REF!),#REF!&gt;0)</formula>
    </cfRule>
  </conditionalFormatting>
  <conditionalFormatting sqref="A102:A103 A105">
    <cfRule type="expression" dxfId="74" priority="10" stopIfTrue="1">
      <formula>AND(MONTH(#REF!)-MONTH(#REF!)=1,YEAR(#REF!)=YEAR(#REF!),#REF!&gt;0)</formula>
    </cfRule>
    <cfRule type="expression" dxfId="73" priority="11" stopIfTrue="1">
      <formula>AND(MONTH(#REF!)-MONTH(#REF!)=0,YEAR(#REF!)=YEAR(#REF!),#REF!&gt;0)</formula>
    </cfRule>
    <cfRule type="expression" dxfId="72" priority="12" stopIfTrue="1">
      <formula>AND(MONTH(#REF!)-MONTH(#REF!)&lt;0,YEAR(#REF!)=YEAR(#REF!),#REF!&gt;0)</formula>
    </cfRule>
  </conditionalFormatting>
  <conditionalFormatting sqref="A114:A120">
    <cfRule type="expression" dxfId="71" priority="7" stopIfTrue="1">
      <formula>AND(MONTH(#REF!)-MONTH(#REF!)=1,YEAR(#REF!)=YEAR(#REF!),#REF!&gt;0)</formula>
    </cfRule>
    <cfRule type="expression" dxfId="70" priority="8" stopIfTrue="1">
      <formula>AND(MONTH(#REF!)-MONTH(#REF!)=0,YEAR(#REF!)=YEAR(#REF!),#REF!&gt;0)</formula>
    </cfRule>
    <cfRule type="expression" dxfId="69" priority="9" stopIfTrue="1">
      <formula>AND(MONTH(#REF!)-MONTH(#REF!)&lt;0,YEAR(#REF!)=YEAR(#REF!),#REF!&gt;0)</formula>
    </cfRule>
  </conditionalFormatting>
  <conditionalFormatting sqref="A104">
    <cfRule type="expression" dxfId="68" priority="4" stopIfTrue="1">
      <formula>AND(MONTH(#REF!)-MONTH(#REF!)=1,YEAR(#REF!)=YEAR(#REF!),#REF!&gt;0)</formula>
    </cfRule>
    <cfRule type="expression" dxfId="67" priority="5" stopIfTrue="1">
      <formula>AND(MONTH(#REF!)-MONTH(#REF!)=0,YEAR(#REF!)=YEAR(#REF!),#REF!&gt;0)</formula>
    </cfRule>
    <cfRule type="expression" dxfId="66" priority="6" stopIfTrue="1">
      <formula>AND(MONTH(#REF!)-MONTH(#REF!)&lt;0,YEAR(#REF!)=YEAR(#REF!),#REF!&gt;0)</formula>
    </cfRule>
  </conditionalFormatting>
  <conditionalFormatting sqref="A106:A109">
    <cfRule type="expression" dxfId="65" priority="1" stopIfTrue="1">
      <formula>AND(MONTH(#REF!)-MONTH(#REF!)=1,YEAR(#REF!)=YEAR(#REF!),#REF!&gt;0)</formula>
    </cfRule>
    <cfRule type="expression" dxfId="64" priority="2" stopIfTrue="1">
      <formula>AND(MONTH(#REF!)-MONTH(#REF!)=0,YEAR(#REF!)=YEAR(#REF!),#REF!&gt;0)</formula>
    </cfRule>
    <cfRule type="expression" dxfId="63" priority="3" stopIfTrue="1">
      <formula>AND(MONTH(#REF!)-MONTH(#REF!)&lt;0,YEAR(#REF!)=YEAR(#REF!),#REF!&gt;0)</formula>
    </cfRule>
  </conditionalFormatting>
  <conditionalFormatting sqref="A112">
    <cfRule type="expression" dxfId="62" priority="28" stopIfTrue="1">
      <formula>AND(MONTH($E112)-MONTH($B$1)=1,YEAR($E112)=YEAR($B$1),$Y112&gt;0)</formula>
    </cfRule>
    <cfRule type="expression" dxfId="61" priority="29" stopIfTrue="1">
      <formula>AND(MONTH($E112)-MONTH($B$1)=0,YEAR($E112)=YEAR($B$1),$Y112&gt;0)</formula>
    </cfRule>
    <cfRule type="expression" dxfId="60" priority="30" stopIfTrue="1">
      <formula>AND(MONTH($E112)-MONTH($B$1)&lt;0,YEAR($E112)=YEAR($B$1),$Y112&gt;0)</formula>
    </cfRule>
  </conditionalFormatting>
  <dataValidations count="1">
    <dataValidation allowBlank="1" showInputMessage="1" showErrorMessage="1" promptTitle="Change" prompt="Please Open the Regulatory Model before making any changes to this file. It is linked." sqref="K2" xr:uid="{00000000-0002-0000-0200-000000000000}"/>
  </dataValidations>
  <pageMargins left="0.70866141732283472" right="0.70866141732283472" top="0.74803149606299213" bottom="0.74803149606299213" header="0.31496062992125984" footer="0.31496062992125984"/>
  <pageSetup scale="48" fitToHeight="2" orientation="portrait" r:id="rId1"/>
  <rowBreaks count="1" manualBreakCount="1">
    <brk id="9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63"/>
  <sheetViews>
    <sheetView view="pageBreakPreview" zoomScale="85" zoomScaleSheetLayoutView="85" workbookViewId="0">
      <pane ySplit="7" topLeftCell="A90" activePane="bottomLeft" state="frozen"/>
      <selection activeCell="A199" sqref="A199:E199"/>
      <selection pane="bottomLeft" activeCell="A116" sqref="A116"/>
    </sheetView>
  </sheetViews>
  <sheetFormatPr defaultColWidth="9.109375" defaultRowHeight="13.2"/>
  <cols>
    <col min="1" max="1" width="48.44140625" style="30" customWidth="1"/>
    <col min="2" max="2" width="13" style="30" bestFit="1" customWidth="1"/>
    <col min="3" max="4" width="12.5546875" style="30" customWidth="1"/>
    <col min="5" max="5" width="12.44140625" style="30" customWidth="1"/>
    <col min="6" max="6" width="4.5546875" style="30" customWidth="1"/>
    <col min="7" max="7" width="11.6640625" style="30" customWidth="1"/>
    <col min="8" max="8" width="11.88671875" style="30" bestFit="1" customWidth="1"/>
    <col min="9" max="10" width="12.6640625" style="30" customWidth="1"/>
    <col min="11" max="11" width="11.5546875" style="30" bestFit="1" customWidth="1"/>
    <col min="12" max="12" width="11.33203125" style="30" bestFit="1" customWidth="1"/>
    <col min="13" max="13" width="12" style="30" customWidth="1"/>
    <col min="14" max="15" width="14" style="30" bestFit="1" customWidth="1"/>
    <col min="16" max="16" width="13.6640625" style="30" customWidth="1"/>
    <col min="17" max="18" width="9.109375" style="30"/>
    <col min="19" max="19" width="11.33203125" style="30" bestFit="1" customWidth="1"/>
    <col min="20" max="23" width="9.109375" style="30"/>
    <col min="24" max="24" width="10.33203125" style="30" bestFit="1" customWidth="1"/>
    <col min="25" max="16384" width="9.109375" style="30"/>
  </cols>
  <sheetData>
    <row r="1" spans="1:16">
      <c r="A1" s="12" t="s">
        <v>15</v>
      </c>
      <c r="B1" s="12"/>
      <c r="C1" s="5"/>
      <c r="D1" s="5"/>
      <c r="E1" s="5"/>
      <c r="F1" s="5"/>
      <c r="G1" s="5"/>
      <c r="H1" s="5"/>
      <c r="I1" s="5"/>
      <c r="J1" s="5"/>
      <c r="K1" s="79" t="s">
        <v>75</v>
      </c>
    </row>
    <row r="2" spans="1:16" ht="15" customHeight="1">
      <c r="A2" s="12" t="s">
        <v>191</v>
      </c>
      <c r="B2" s="12"/>
      <c r="C2" s="5"/>
      <c r="D2" s="5"/>
      <c r="E2" s="5"/>
      <c r="F2" s="5"/>
      <c r="G2" s="5"/>
      <c r="H2" s="5"/>
      <c r="I2" s="5"/>
      <c r="J2" s="5"/>
      <c r="K2" s="14" t="str">
        <f>'5.1'!F2</f>
        <v>November 2020</v>
      </c>
    </row>
    <row r="3" spans="1:16" ht="15.75" customHeight="1" thickBot="1">
      <c r="A3" s="15" t="s">
        <v>308</v>
      </c>
      <c r="B3" s="15"/>
      <c r="C3" s="80"/>
      <c r="D3" s="80"/>
      <c r="E3" s="80"/>
      <c r="F3" s="80"/>
      <c r="G3" s="80"/>
      <c r="H3" s="80"/>
      <c r="I3" s="80"/>
      <c r="J3" s="80"/>
      <c r="K3" s="80"/>
    </row>
    <row r="4" spans="1:16" ht="13.8" thickBot="1">
      <c r="A4" s="16"/>
      <c r="B4" s="15"/>
      <c r="C4" s="80"/>
      <c r="D4" s="80"/>
      <c r="E4" s="80"/>
      <c r="F4" s="81"/>
      <c r="G4" s="81"/>
      <c r="H4" s="80"/>
      <c r="I4" s="80"/>
      <c r="J4" s="80"/>
      <c r="K4" s="80"/>
    </row>
    <row r="5" spans="1:16" ht="13.8" thickBot="1">
      <c r="A5" s="16"/>
      <c r="B5" s="136" t="s">
        <v>84</v>
      </c>
      <c r="C5" s="137"/>
      <c r="D5" s="137"/>
      <c r="E5" s="137"/>
      <c r="F5" s="82"/>
      <c r="G5" s="5"/>
      <c r="H5" s="138" t="s">
        <v>42</v>
      </c>
      <c r="I5" s="138"/>
      <c r="J5" s="138"/>
      <c r="K5" s="138"/>
    </row>
    <row r="6" spans="1:16" ht="18" customHeight="1">
      <c r="A6" s="16"/>
      <c r="B6" s="57" t="s">
        <v>43</v>
      </c>
      <c r="C6" s="116" t="s">
        <v>248</v>
      </c>
      <c r="D6" s="117"/>
      <c r="E6" s="57" t="s">
        <v>43</v>
      </c>
      <c r="F6" s="83"/>
      <c r="G6" s="139" t="s">
        <v>44</v>
      </c>
      <c r="H6" s="57" t="s">
        <v>43</v>
      </c>
      <c r="I6" s="116" t="s">
        <v>248</v>
      </c>
      <c r="J6" s="116"/>
      <c r="K6" s="57" t="s">
        <v>43</v>
      </c>
    </row>
    <row r="7" spans="1:16" ht="31.5" customHeight="1" thickBot="1">
      <c r="A7" s="16"/>
      <c r="B7" s="58">
        <f>'5.3 - 2018'!B7+1</f>
        <v>2018</v>
      </c>
      <c r="C7" s="84" t="s">
        <v>45</v>
      </c>
      <c r="D7" s="85" t="s">
        <v>123</v>
      </c>
      <c r="E7" s="86">
        <f>B7+1</f>
        <v>2019</v>
      </c>
      <c r="F7" s="86"/>
      <c r="G7" s="140"/>
      <c r="H7" s="59">
        <f>B7</f>
        <v>2018</v>
      </c>
      <c r="I7" s="85" t="s">
        <v>159</v>
      </c>
      <c r="J7" s="85" t="s">
        <v>246</v>
      </c>
      <c r="K7" s="86">
        <f>E7</f>
        <v>2019</v>
      </c>
    </row>
    <row r="8" spans="1:16">
      <c r="A8" s="33" t="s">
        <v>59</v>
      </c>
    </row>
    <row r="9" spans="1:16">
      <c r="A9" s="61" t="s">
        <v>150</v>
      </c>
      <c r="G9" s="62"/>
    </row>
    <row r="10" spans="1:16">
      <c r="A10" s="30" t="s">
        <v>155</v>
      </c>
      <c r="B10" s="54">
        <f>'5.3 - 2018'!E10</f>
        <v>115894.04</v>
      </c>
      <c r="C10" s="54"/>
      <c r="D10" s="54"/>
      <c r="E10" s="54">
        <f t="shared" ref="E10:E41" si="0">B10+C10+D10</f>
        <v>115894.04</v>
      </c>
      <c r="G10" s="62" t="s">
        <v>48</v>
      </c>
      <c r="H10" s="54">
        <f>'5.3 - 2018'!K10</f>
        <v>46357.68</v>
      </c>
      <c r="I10" s="54">
        <f>B10/5</f>
        <v>23178.807999999997</v>
      </c>
      <c r="J10" s="54"/>
      <c r="K10" s="50">
        <f t="shared" ref="K10:K70" si="1">H10+I10+J10</f>
        <v>69536.487999999998</v>
      </c>
      <c r="L10" s="50"/>
      <c r="M10" s="50"/>
      <c r="N10" s="50"/>
      <c r="O10" s="50"/>
      <c r="P10" s="50"/>
    </row>
    <row r="11" spans="1:16">
      <c r="A11" s="30" t="s">
        <v>118</v>
      </c>
      <c r="B11" s="54">
        <f>'5.3 - 2018'!E12</f>
        <v>127545.07</v>
      </c>
      <c r="C11" s="54"/>
      <c r="D11" s="54"/>
      <c r="E11" s="54">
        <f t="shared" si="0"/>
        <v>127545.07</v>
      </c>
      <c r="G11" s="62" t="s">
        <v>48</v>
      </c>
      <c r="H11" s="54">
        <f>'5.3 - 2018'!K12</f>
        <v>51018</v>
      </c>
      <c r="I11" s="54">
        <f>B11/5</f>
        <v>25509.014000000003</v>
      </c>
      <c r="J11" s="54"/>
      <c r="K11" s="50">
        <f t="shared" si="1"/>
        <v>76527.013999999996</v>
      </c>
      <c r="L11" s="50"/>
      <c r="P11" s="50"/>
    </row>
    <row r="12" spans="1:16">
      <c r="A12" s="30" t="s">
        <v>182</v>
      </c>
      <c r="B12" s="54">
        <f>'5.3 - 2018'!E13</f>
        <v>417641.32</v>
      </c>
      <c r="C12" s="54"/>
      <c r="D12" s="54"/>
      <c r="E12" s="54">
        <f t="shared" si="0"/>
        <v>417641.32</v>
      </c>
      <c r="G12" s="62" t="s">
        <v>48</v>
      </c>
      <c r="H12" s="54">
        <f>'5.3 - 2018'!K13</f>
        <v>83528.280000000013</v>
      </c>
      <c r="I12" s="54">
        <f>B12/5</f>
        <v>83528.263999999996</v>
      </c>
      <c r="J12" s="54"/>
      <c r="K12" s="50">
        <f t="shared" si="1"/>
        <v>167056.54399999999</v>
      </c>
      <c r="L12" s="50"/>
      <c r="P12" s="50"/>
    </row>
    <row r="13" spans="1:16">
      <c r="A13" s="30" t="s">
        <v>134</v>
      </c>
      <c r="B13" s="54">
        <f>'5.3 - 2018'!E14</f>
        <v>2230652.33</v>
      </c>
      <c r="C13" s="54"/>
      <c r="D13" s="54"/>
      <c r="E13" s="54">
        <f t="shared" si="0"/>
        <v>2230652.33</v>
      </c>
      <c r="G13" s="62" t="s">
        <v>47</v>
      </c>
      <c r="H13" s="54">
        <f>'5.3 - 2018'!K14</f>
        <v>1561458.07</v>
      </c>
      <c r="I13" s="54">
        <f>B13/10</f>
        <v>223065.23300000001</v>
      </c>
      <c r="J13" s="54"/>
      <c r="K13" s="50">
        <f t="shared" si="1"/>
        <v>1784523.3030000001</v>
      </c>
      <c r="L13" s="50"/>
      <c r="P13" s="50"/>
    </row>
    <row r="14" spans="1:16">
      <c r="A14" s="30" t="s">
        <v>153</v>
      </c>
      <c r="B14" s="54">
        <f>'5.3 - 2018'!E15</f>
        <v>-16500</v>
      </c>
      <c r="C14" s="54"/>
      <c r="D14" s="54"/>
      <c r="E14" s="54">
        <f t="shared" si="0"/>
        <v>-16500</v>
      </c>
      <c r="G14" s="62" t="s">
        <v>48</v>
      </c>
      <c r="H14" s="54">
        <f>'5.3 - 2018'!K15</f>
        <v>-9625</v>
      </c>
      <c r="I14" s="54">
        <f t="shared" ref="I14:I23" si="2">B14/5</f>
        <v>-3300</v>
      </c>
      <c r="J14" s="54"/>
      <c r="K14" s="50">
        <f t="shared" si="1"/>
        <v>-12925</v>
      </c>
      <c r="L14" s="50"/>
      <c r="P14" s="50"/>
    </row>
    <row r="15" spans="1:16">
      <c r="A15" s="30" t="s">
        <v>90</v>
      </c>
      <c r="B15" s="54">
        <f>'5.3 - 2018'!E16</f>
        <v>95287.61</v>
      </c>
      <c r="C15" s="54"/>
      <c r="D15" s="54">
        <v>-23468.95</v>
      </c>
      <c r="E15" s="54">
        <f t="shared" si="0"/>
        <v>71818.66</v>
      </c>
      <c r="G15" s="62" t="s">
        <v>48</v>
      </c>
      <c r="H15" s="54">
        <f>'5.3 - 2018'!K16</f>
        <v>60669.499999999993</v>
      </c>
      <c r="I15" s="54">
        <f t="shared" si="2"/>
        <v>19057.522000000001</v>
      </c>
      <c r="J15" s="54">
        <v>-23468.95</v>
      </c>
      <c r="K15" s="50">
        <f t="shared" si="1"/>
        <v>56258.072</v>
      </c>
      <c r="L15" s="50"/>
      <c r="P15" s="50"/>
    </row>
    <row r="16" spans="1:16">
      <c r="A16" s="30" t="s">
        <v>148</v>
      </c>
      <c r="B16" s="54">
        <f>'5.3 - 2018'!E17</f>
        <v>-7000</v>
      </c>
      <c r="C16" s="54"/>
      <c r="D16" s="54">
        <v>7000</v>
      </c>
      <c r="E16" s="54">
        <f t="shared" si="0"/>
        <v>0</v>
      </c>
      <c r="G16" s="62" t="s">
        <v>48</v>
      </c>
      <c r="H16" s="54">
        <f>'5.3 - 2018'!K17</f>
        <v>-5600.1600000000008</v>
      </c>
      <c r="I16" s="54">
        <f t="shared" si="2"/>
        <v>-1400</v>
      </c>
      <c r="J16" s="54">
        <v>7000</v>
      </c>
      <c r="K16" s="50">
        <f t="shared" si="1"/>
        <v>-0.16000000000076398</v>
      </c>
      <c r="L16" s="50"/>
      <c r="P16" s="50"/>
    </row>
    <row r="17" spans="1:24">
      <c r="A17" s="30" t="s">
        <v>129</v>
      </c>
      <c r="B17" s="54">
        <f>'5.3 - 2018'!E18</f>
        <v>104405.24</v>
      </c>
      <c r="C17" s="54"/>
      <c r="D17" s="54"/>
      <c r="E17" s="54">
        <f t="shared" si="0"/>
        <v>104405.24</v>
      </c>
      <c r="G17" s="62" t="s">
        <v>48</v>
      </c>
      <c r="H17" s="54">
        <f>'5.3 - 2018'!K18</f>
        <v>41762.159999999996</v>
      </c>
      <c r="I17" s="54">
        <f t="shared" si="2"/>
        <v>20881.048000000003</v>
      </c>
      <c r="J17" s="54"/>
      <c r="K17" s="50">
        <f t="shared" si="1"/>
        <v>62643.207999999999</v>
      </c>
      <c r="L17" s="50"/>
      <c r="P17" s="50"/>
    </row>
    <row r="18" spans="1:24">
      <c r="A18" s="30" t="s">
        <v>91</v>
      </c>
      <c r="B18" s="54">
        <f>'5.3 - 2018'!E19</f>
        <v>50626.91</v>
      </c>
      <c r="C18" s="54"/>
      <c r="D18" s="54"/>
      <c r="E18" s="54">
        <f t="shared" si="0"/>
        <v>50626.91</v>
      </c>
      <c r="G18" s="62" t="s">
        <v>48</v>
      </c>
      <c r="H18" s="54">
        <f>'5.3 - 2018'!K19</f>
        <v>31191.100000000002</v>
      </c>
      <c r="I18" s="54">
        <f t="shared" si="2"/>
        <v>10125.382000000001</v>
      </c>
      <c r="J18" s="54"/>
      <c r="K18" s="50">
        <f t="shared" si="1"/>
        <v>41316.482000000004</v>
      </c>
      <c r="L18" s="50"/>
      <c r="P18" s="50"/>
    </row>
    <row r="19" spans="1:24">
      <c r="A19" s="30" t="s">
        <v>56</v>
      </c>
      <c r="B19" s="54">
        <f>'5.3 - 2018'!E20</f>
        <v>604376.64</v>
      </c>
      <c r="C19" s="54"/>
      <c r="D19" s="54"/>
      <c r="E19" s="54">
        <f t="shared" si="0"/>
        <v>604376.64</v>
      </c>
      <c r="G19" s="62" t="s">
        <v>48</v>
      </c>
      <c r="H19" s="54">
        <f>'5.3 - 2018'!K20</f>
        <v>211531.74000000002</v>
      </c>
      <c r="I19" s="54">
        <f t="shared" si="2"/>
        <v>120875.32800000001</v>
      </c>
      <c r="J19" s="54"/>
      <c r="K19" s="50">
        <f t="shared" si="1"/>
        <v>332407.06800000003</v>
      </c>
      <c r="L19" s="50"/>
      <c r="P19" s="50"/>
    </row>
    <row r="20" spans="1:24">
      <c r="A20" s="30" t="s">
        <v>128</v>
      </c>
      <c r="B20" s="54">
        <f>'5.3 - 2018'!E21</f>
        <v>230631.12</v>
      </c>
      <c r="C20" s="54"/>
      <c r="D20" s="54"/>
      <c r="E20" s="54">
        <f t="shared" si="0"/>
        <v>230631.12</v>
      </c>
      <c r="G20" s="62" t="s">
        <v>48</v>
      </c>
      <c r="H20" s="54">
        <f>'5.3 - 2018'!K21</f>
        <v>92252.39999999998</v>
      </c>
      <c r="I20" s="54">
        <f t="shared" si="2"/>
        <v>46126.224000000002</v>
      </c>
      <c r="J20" s="54"/>
      <c r="K20" s="50">
        <f t="shared" si="1"/>
        <v>138378.62399999998</v>
      </c>
      <c r="L20" s="50"/>
      <c r="P20" s="50"/>
      <c r="X20" s="50">
        <f>C20</f>
        <v>0</v>
      </c>
    </row>
    <row r="21" spans="1:24">
      <c r="A21" s="30" t="s">
        <v>130</v>
      </c>
      <c r="B21" s="54">
        <f>'5.3 - 2018'!E22</f>
        <v>227969.33</v>
      </c>
      <c r="C21" s="54"/>
      <c r="D21" s="54"/>
      <c r="E21" s="54">
        <f t="shared" si="0"/>
        <v>227969.33</v>
      </c>
      <c r="G21" s="62" t="s">
        <v>48</v>
      </c>
      <c r="H21" s="54">
        <f>'5.3 - 2018'!K22</f>
        <v>91187.759999999966</v>
      </c>
      <c r="I21" s="54">
        <f t="shared" si="2"/>
        <v>45593.865999999995</v>
      </c>
      <c r="J21" s="54"/>
      <c r="K21" s="50">
        <f t="shared" si="1"/>
        <v>136781.62599999996</v>
      </c>
      <c r="L21" s="50"/>
      <c r="P21" s="50"/>
    </row>
    <row r="22" spans="1:24">
      <c r="A22" s="30" t="s">
        <v>132</v>
      </c>
      <c r="B22" s="54">
        <f>'5.3 - 2018'!E23</f>
        <v>189613.55</v>
      </c>
      <c r="C22" s="54"/>
      <c r="D22" s="54"/>
      <c r="E22" s="54">
        <f t="shared" si="0"/>
        <v>189613.55</v>
      </c>
      <c r="G22" s="62" t="s">
        <v>48</v>
      </c>
      <c r="H22" s="54">
        <f>'5.3 - 2018'!K23</f>
        <v>75845.52</v>
      </c>
      <c r="I22" s="54">
        <f t="shared" si="2"/>
        <v>37922.71</v>
      </c>
      <c r="J22" s="54"/>
      <c r="K22" s="50">
        <f t="shared" si="1"/>
        <v>113768.23000000001</v>
      </c>
      <c r="L22" s="50"/>
      <c r="P22" s="50"/>
      <c r="X22" s="50">
        <f>C22</f>
        <v>0</v>
      </c>
    </row>
    <row r="23" spans="1:24">
      <c r="A23" s="30" t="s">
        <v>179</v>
      </c>
      <c r="B23" s="54">
        <f>'5.3 - 2018'!E24</f>
        <v>4121.7</v>
      </c>
      <c r="C23" s="54"/>
      <c r="D23" s="54"/>
      <c r="E23" s="54">
        <f t="shared" si="0"/>
        <v>4121.7</v>
      </c>
      <c r="G23" s="62" t="s">
        <v>48</v>
      </c>
      <c r="H23" s="54">
        <f>'5.3 - 2018'!K24</f>
        <v>1648.8000000000004</v>
      </c>
      <c r="I23" s="54">
        <f t="shared" si="2"/>
        <v>824.33999999999992</v>
      </c>
      <c r="J23" s="54"/>
      <c r="K23" s="50">
        <f t="shared" si="1"/>
        <v>2473.1400000000003</v>
      </c>
      <c r="L23" s="50"/>
      <c r="P23" s="50"/>
    </row>
    <row r="24" spans="1:24">
      <c r="A24" s="30" t="s">
        <v>124</v>
      </c>
      <c r="B24" s="54">
        <v>0</v>
      </c>
      <c r="C24" s="54">
        <f>-D75</f>
        <v>78648.45</v>
      </c>
      <c r="D24" s="54"/>
      <c r="E24" s="54">
        <f t="shared" si="0"/>
        <v>78648.45</v>
      </c>
      <c r="G24" s="62" t="s">
        <v>48</v>
      </c>
      <c r="H24" s="54">
        <v>0</v>
      </c>
      <c r="I24" s="54">
        <v>0</v>
      </c>
      <c r="J24" s="54"/>
      <c r="K24" s="50">
        <f t="shared" si="1"/>
        <v>0</v>
      </c>
      <c r="L24" s="50"/>
      <c r="P24" s="50"/>
    </row>
    <row r="25" spans="1:24">
      <c r="A25" s="30" t="s">
        <v>184</v>
      </c>
      <c r="B25" s="54">
        <f>'5.3 - 2018'!E25</f>
        <v>231146.42</v>
      </c>
      <c r="C25" s="54"/>
      <c r="D25" s="54"/>
      <c r="E25" s="54">
        <f t="shared" si="0"/>
        <v>231146.42</v>
      </c>
      <c r="G25" s="62" t="s">
        <v>48</v>
      </c>
      <c r="H25" s="54">
        <f>'5.3 - 2018'!K25</f>
        <v>46229.280000000006</v>
      </c>
      <c r="I25" s="54">
        <f>B25/5</f>
        <v>46229.284</v>
      </c>
      <c r="J25" s="54"/>
      <c r="K25" s="50">
        <f t="shared" si="1"/>
        <v>92458.564000000013</v>
      </c>
      <c r="L25" s="50"/>
      <c r="P25" s="50"/>
    </row>
    <row r="26" spans="1:24">
      <c r="A26" s="30" t="s">
        <v>117</v>
      </c>
      <c r="B26" s="54">
        <f>'5.3 - 2018'!E26</f>
        <v>34475.839999999997</v>
      </c>
      <c r="C26" s="54"/>
      <c r="D26" s="54"/>
      <c r="E26" s="54">
        <f t="shared" si="0"/>
        <v>34475.839999999997</v>
      </c>
      <c r="G26" s="62" t="s">
        <v>48</v>
      </c>
      <c r="H26" s="54">
        <f>'5.3 - 2018'!K26</f>
        <v>7469.800000000002</v>
      </c>
      <c r="I26" s="54">
        <f>B26/5</f>
        <v>6895.1679999999997</v>
      </c>
      <c r="J26" s="54"/>
      <c r="K26" s="50">
        <f t="shared" si="1"/>
        <v>14364.968000000001</v>
      </c>
      <c r="L26" s="50"/>
      <c r="P26" s="50"/>
    </row>
    <row r="27" spans="1:24">
      <c r="A27" s="30" t="s">
        <v>165</v>
      </c>
      <c r="B27" s="54">
        <f>'5.3 - 2018'!E27</f>
        <v>3756.44</v>
      </c>
      <c r="C27" s="54"/>
      <c r="D27" s="54"/>
      <c r="E27" s="54">
        <f t="shared" si="0"/>
        <v>3756.44</v>
      </c>
      <c r="G27" s="62" t="s">
        <v>48</v>
      </c>
      <c r="H27" s="54">
        <f>'5.3 - 2018'!K27</f>
        <v>722.71</v>
      </c>
      <c r="I27" s="54">
        <f>B27/5</f>
        <v>751.28800000000001</v>
      </c>
      <c r="J27" s="54"/>
      <c r="K27" s="50">
        <f t="shared" si="1"/>
        <v>1473.998</v>
      </c>
      <c r="L27" s="50"/>
      <c r="P27" s="50"/>
    </row>
    <row r="28" spans="1:24">
      <c r="A28" s="30" t="s">
        <v>167</v>
      </c>
      <c r="B28" s="54">
        <v>0</v>
      </c>
      <c r="C28" s="54">
        <f>-D76</f>
        <v>68263.350000000006</v>
      </c>
      <c r="D28" s="54"/>
      <c r="E28" s="54">
        <f t="shared" si="0"/>
        <v>68263.350000000006</v>
      </c>
      <c r="G28" s="62" t="s">
        <v>48</v>
      </c>
      <c r="H28" s="54">
        <v>0</v>
      </c>
      <c r="I28" s="54">
        <v>3413.16</v>
      </c>
      <c r="J28" s="54"/>
      <c r="K28" s="50">
        <f t="shared" si="1"/>
        <v>3413.16</v>
      </c>
      <c r="L28" s="50"/>
      <c r="P28" s="50"/>
    </row>
    <row r="29" spans="1:24">
      <c r="A29" s="30" t="s">
        <v>152</v>
      </c>
      <c r="B29" s="54">
        <f>'5.3 - 2018'!E29</f>
        <v>67919.3</v>
      </c>
      <c r="C29" s="54"/>
      <c r="D29" s="54"/>
      <c r="E29" s="54">
        <f t="shared" si="0"/>
        <v>67919.3</v>
      </c>
      <c r="G29" s="62" t="s">
        <v>48</v>
      </c>
      <c r="H29" s="54">
        <f>'5.3 - 2018'!K29</f>
        <v>36223.68</v>
      </c>
      <c r="I29" s="54">
        <f>B29/5</f>
        <v>13583.86</v>
      </c>
      <c r="J29" s="54"/>
      <c r="K29" s="50">
        <f t="shared" si="1"/>
        <v>49807.54</v>
      </c>
      <c r="L29" s="50"/>
      <c r="P29" s="50"/>
    </row>
    <row r="30" spans="1:24">
      <c r="A30" s="30" t="s">
        <v>158</v>
      </c>
      <c r="B30" s="54">
        <f>'5.3 - 2018'!E30</f>
        <v>-3500</v>
      </c>
      <c r="C30" s="54"/>
      <c r="D30" s="54"/>
      <c r="E30" s="54">
        <f t="shared" si="0"/>
        <v>-3500</v>
      </c>
      <c r="G30" s="62" t="s">
        <v>48</v>
      </c>
      <c r="H30" s="54">
        <f>'5.3 - 2018'!K30</f>
        <v>-1866.56</v>
      </c>
      <c r="I30" s="54">
        <f>B30/5</f>
        <v>-700</v>
      </c>
      <c r="J30" s="54"/>
      <c r="K30" s="50">
        <f t="shared" si="1"/>
        <v>-2566.56</v>
      </c>
      <c r="L30" s="50"/>
      <c r="P30" s="50"/>
    </row>
    <row r="31" spans="1:24">
      <c r="A31" s="30" t="s">
        <v>171</v>
      </c>
      <c r="B31" s="54">
        <v>0</v>
      </c>
      <c r="C31" s="54">
        <f>-D77</f>
        <v>75010.989999999991</v>
      </c>
      <c r="D31" s="54"/>
      <c r="E31" s="54">
        <f t="shared" si="0"/>
        <v>75010.989999999991</v>
      </c>
      <c r="G31" s="62" t="s">
        <v>48</v>
      </c>
      <c r="H31" s="54">
        <v>0</v>
      </c>
      <c r="I31" s="54">
        <v>0</v>
      </c>
      <c r="J31" s="54"/>
      <c r="K31" s="50">
        <f t="shared" si="1"/>
        <v>0</v>
      </c>
      <c r="L31" s="50"/>
      <c r="P31" s="50"/>
    </row>
    <row r="32" spans="1:24">
      <c r="A32" s="30" t="s">
        <v>96</v>
      </c>
      <c r="B32" s="54">
        <f>'5.3 - 2018'!E31</f>
        <v>169398.09</v>
      </c>
      <c r="C32" s="54"/>
      <c r="D32" s="54"/>
      <c r="E32" s="54">
        <f t="shared" si="0"/>
        <v>169398.09</v>
      </c>
      <c r="G32" s="62" t="s">
        <v>48</v>
      </c>
      <c r="H32" s="54">
        <f>'5.3 - 2018'!K31</f>
        <v>67759.199999999997</v>
      </c>
      <c r="I32" s="54">
        <f>B32/5</f>
        <v>33879.618000000002</v>
      </c>
      <c r="J32" s="54"/>
      <c r="K32" s="50">
        <f t="shared" si="1"/>
        <v>101638.818</v>
      </c>
      <c r="L32" s="50"/>
      <c r="P32" s="50"/>
    </row>
    <row r="33" spans="1:24">
      <c r="A33" s="30" t="s">
        <v>113</v>
      </c>
      <c r="B33" s="54">
        <f>'5.3 - 2018'!E33</f>
        <v>26112.799999999999</v>
      </c>
      <c r="C33" s="54"/>
      <c r="D33" s="54"/>
      <c r="E33" s="54">
        <f t="shared" si="0"/>
        <v>26112.799999999999</v>
      </c>
      <c r="G33" s="62" t="s">
        <v>48</v>
      </c>
      <c r="H33" s="54">
        <f>'5.3 - 2018'!K33</f>
        <v>5222.5199999999995</v>
      </c>
      <c r="I33" s="54">
        <f>B33/5</f>
        <v>5222.5599999999995</v>
      </c>
      <c r="J33" s="54"/>
      <c r="K33" s="50">
        <f t="shared" si="1"/>
        <v>10445.079999999998</v>
      </c>
      <c r="L33" s="50"/>
      <c r="P33" s="50"/>
    </row>
    <row r="34" spans="1:24">
      <c r="A34" s="30" t="s">
        <v>95</v>
      </c>
      <c r="B34" s="54">
        <f>'5.3 - 2018'!E34</f>
        <v>21634.44</v>
      </c>
      <c r="C34" s="54"/>
      <c r="D34" s="54"/>
      <c r="E34" s="54">
        <f t="shared" si="0"/>
        <v>21634.44</v>
      </c>
      <c r="G34" s="62" t="s">
        <v>48</v>
      </c>
      <c r="H34" s="54">
        <f>'5.3 - 2018'!K34</f>
        <v>12980.520000000004</v>
      </c>
      <c r="I34" s="54">
        <f>B34/5</f>
        <v>4326.8879999999999</v>
      </c>
      <c r="J34" s="54"/>
      <c r="K34" s="50">
        <f t="shared" si="1"/>
        <v>17307.408000000003</v>
      </c>
      <c r="L34" s="50"/>
      <c r="P34" s="50"/>
      <c r="X34" s="50">
        <f>C34</f>
        <v>0</v>
      </c>
    </row>
    <row r="35" spans="1:24">
      <c r="A35" s="30" t="s">
        <v>136</v>
      </c>
      <c r="B35" s="54">
        <f>'5.3 - 2018'!E35</f>
        <v>1947411.04</v>
      </c>
      <c r="C35" s="54"/>
      <c r="D35" s="54"/>
      <c r="E35" s="54">
        <f t="shared" si="0"/>
        <v>1947411.04</v>
      </c>
      <c r="G35" s="62" t="s">
        <v>47</v>
      </c>
      <c r="H35" s="54">
        <f>'5.3 - 2018'!K35</f>
        <v>1363188.0399999996</v>
      </c>
      <c r="I35" s="54">
        <v>194741.1</v>
      </c>
      <c r="J35" s="54"/>
      <c r="K35" s="50">
        <f t="shared" si="1"/>
        <v>1557929.1399999997</v>
      </c>
      <c r="L35" s="50"/>
      <c r="P35" s="50"/>
    </row>
    <row r="36" spans="1:24">
      <c r="A36" s="30" t="s">
        <v>126</v>
      </c>
      <c r="B36" s="54">
        <f>'5.3 - 2018'!E37</f>
        <v>4521264.92</v>
      </c>
      <c r="C36" s="54"/>
      <c r="D36" s="54"/>
      <c r="E36" s="54">
        <f t="shared" si="0"/>
        <v>4521264.92</v>
      </c>
      <c r="G36" s="62" t="s">
        <v>47</v>
      </c>
      <c r="H36" s="54">
        <f>'5.3 - 2018'!K37</f>
        <v>904253.04000000015</v>
      </c>
      <c r="I36" s="54">
        <f>B36/10</f>
        <v>452126.49199999997</v>
      </c>
      <c r="J36" s="54"/>
      <c r="K36" s="50">
        <f t="shared" si="1"/>
        <v>1356379.5320000001</v>
      </c>
      <c r="L36" s="50"/>
      <c r="P36" s="50"/>
    </row>
    <row r="37" spans="1:24">
      <c r="A37" s="30" t="s">
        <v>102</v>
      </c>
      <c r="B37" s="54">
        <f>'5.3 - 2018'!E38</f>
        <v>9683.98</v>
      </c>
      <c r="C37" s="54"/>
      <c r="D37" s="54"/>
      <c r="E37" s="54">
        <f t="shared" si="0"/>
        <v>9683.98</v>
      </c>
      <c r="G37" s="62" t="s">
        <v>48</v>
      </c>
      <c r="H37" s="54">
        <f>'5.3 - 2018'!K38</f>
        <v>5003.4000000000005</v>
      </c>
      <c r="I37" s="54">
        <f t="shared" ref="I37:I50" si="3">B37/5</f>
        <v>1936.7959999999998</v>
      </c>
      <c r="J37" s="54"/>
      <c r="K37" s="50">
        <f t="shared" si="1"/>
        <v>6940.1959999999999</v>
      </c>
      <c r="L37" s="50"/>
      <c r="P37" s="50"/>
    </row>
    <row r="38" spans="1:24">
      <c r="A38" s="30" t="s">
        <v>93</v>
      </c>
      <c r="B38" s="54">
        <f>'5.3 - 2018'!E39</f>
        <v>40844.76</v>
      </c>
      <c r="C38" s="54"/>
      <c r="D38" s="54"/>
      <c r="E38" s="54">
        <f t="shared" si="0"/>
        <v>40844.76</v>
      </c>
      <c r="G38" s="62" t="s">
        <v>48</v>
      </c>
      <c r="H38" s="54">
        <f>'5.3 - 2018'!K39</f>
        <v>24507</v>
      </c>
      <c r="I38" s="54">
        <f t="shared" si="3"/>
        <v>8168.9520000000002</v>
      </c>
      <c r="J38" s="54"/>
      <c r="K38" s="50">
        <f t="shared" si="1"/>
        <v>32675.952000000001</v>
      </c>
      <c r="L38" s="50"/>
      <c r="P38" s="50"/>
    </row>
    <row r="39" spans="1:24">
      <c r="A39" s="30" t="s">
        <v>183</v>
      </c>
      <c r="B39" s="54">
        <f>'5.3 - 2018'!E41</f>
        <v>72592.490000000005</v>
      </c>
      <c r="C39" s="54"/>
      <c r="D39" s="54"/>
      <c r="E39" s="54">
        <f t="shared" si="0"/>
        <v>72592.490000000005</v>
      </c>
      <c r="G39" s="62" t="s">
        <v>48</v>
      </c>
      <c r="H39" s="54">
        <f>'5.3 - 2018'!K41</f>
        <v>14518.439999999995</v>
      </c>
      <c r="I39" s="54">
        <f t="shared" si="3"/>
        <v>14518.498000000001</v>
      </c>
      <c r="J39" s="54"/>
      <c r="K39" s="50">
        <f t="shared" si="1"/>
        <v>29036.937999999995</v>
      </c>
      <c r="L39" s="50"/>
      <c r="P39" s="50"/>
    </row>
    <row r="40" spans="1:24">
      <c r="A40" s="30" t="s">
        <v>137</v>
      </c>
      <c r="B40" s="54">
        <f>'5.3 - 2018'!E42</f>
        <v>50823.56</v>
      </c>
      <c r="C40" s="54"/>
      <c r="D40" s="54">
        <v>-50823.56</v>
      </c>
      <c r="E40" s="54">
        <f t="shared" si="0"/>
        <v>0</v>
      </c>
      <c r="G40" s="62" t="s">
        <v>48</v>
      </c>
      <c r="H40" s="54">
        <f>'5.3 - 2018'!K42</f>
        <v>40658.879999999983</v>
      </c>
      <c r="I40" s="54">
        <f t="shared" si="3"/>
        <v>10164.712</v>
      </c>
      <c r="J40" s="54">
        <v>-50823.56</v>
      </c>
      <c r="K40" s="50">
        <f t="shared" si="1"/>
        <v>3.1999999984691385E-2</v>
      </c>
      <c r="L40" s="50"/>
      <c r="P40" s="50"/>
    </row>
    <row r="41" spans="1:24">
      <c r="A41" s="30" t="s">
        <v>46</v>
      </c>
      <c r="B41" s="54">
        <f>'5.3 - 2018'!E43</f>
        <v>291236.94</v>
      </c>
      <c r="C41" s="54"/>
      <c r="D41" s="54"/>
      <c r="E41" s="54">
        <f t="shared" si="0"/>
        <v>291236.94</v>
      </c>
      <c r="G41" s="62" t="s">
        <v>48</v>
      </c>
      <c r="H41" s="54">
        <f>'5.3 - 2018'!K43</f>
        <v>116494.79999999997</v>
      </c>
      <c r="I41" s="54">
        <f t="shared" si="3"/>
        <v>58247.387999999999</v>
      </c>
      <c r="J41" s="54"/>
      <c r="K41" s="50">
        <f t="shared" si="1"/>
        <v>174742.18799999997</v>
      </c>
      <c r="L41" s="50"/>
      <c r="P41" s="50"/>
    </row>
    <row r="42" spans="1:24">
      <c r="A42" s="30" t="s">
        <v>131</v>
      </c>
      <c r="B42" s="54">
        <f>'5.3 - 2018'!E44</f>
        <v>118035.9</v>
      </c>
      <c r="C42" s="54"/>
      <c r="D42" s="54"/>
      <c r="E42" s="54">
        <f t="shared" ref="E42:E73" si="4">B42+C42+D42</f>
        <v>118035.9</v>
      </c>
      <c r="G42" s="62" t="s">
        <v>48</v>
      </c>
      <c r="H42" s="54">
        <f>'5.3 - 2018'!K44</f>
        <v>47214.48</v>
      </c>
      <c r="I42" s="54">
        <f t="shared" si="3"/>
        <v>23607.18</v>
      </c>
      <c r="J42" s="54"/>
      <c r="K42" s="50">
        <f t="shared" si="1"/>
        <v>70821.66</v>
      </c>
      <c r="L42" s="50"/>
      <c r="P42" s="50"/>
    </row>
    <row r="43" spans="1:24">
      <c r="A43" s="30" t="s">
        <v>119</v>
      </c>
      <c r="B43" s="54">
        <f>'5.3 - 2018'!E45</f>
        <v>46316.97</v>
      </c>
      <c r="C43" s="54"/>
      <c r="D43" s="54"/>
      <c r="E43" s="54">
        <f t="shared" si="4"/>
        <v>46316.97</v>
      </c>
      <c r="G43" s="62" t="s">
        <v>48</v>
      </c>
      <c r="H43" s="54">
        <f>'5.3 - 2018'!K45</f>
        <v>18526.8</v>
      </c>
      <c r="I43" s="54">
        <f t="shared" si="3"/>
        <v>9263.3940000000002</v>
      </c>
      <c r="J43" s="54"/>
      <c r="K43" s="50">
        <f t="shared" si="1"/>
        <v>27790.194</v>
      </c>
      <c r="L43" s="50"/>
      <c r="P43" s="50"/>
    </row>
    <row r="44" spans="1:24">
      <c r="A44" s="30" t="s">
        <v>104</v>
      </c>
      <c r="B44" s="54">
        <f>'5.3 - 2018'!E46</f>
        <v>-150000</v>
      </c>
      <c r="C44" s="54"/>
      <c r="D44" s="54"/>
      <c r="E44" s="54">
        <f t="shared" si="4"/>
        <v>-150000</v>
      </c>
      <c r="G44" s="62" t="s">
        <v>48</v>
      </c>
      <c r="H44" s="54">
        <f>'5.3 - 2018'!K46</f>
        <v>-60000</v>
      </c>
      <c r="I44" s="54">
        <f t="shared" si="3"/>
        <v>-30000</v>
      </c>
      <c r="J44" s="54"/>
      <c r="K44" s="50">
        <f t="shared" si="1"/>
        <v>-90000</v>
      </c>
      <c r="L44" s="50"/>
      <c r="P44" s="50"/>
    </row>
    <row r="45" spans="1:24">
      <c r="A45" s="30" t="s">
        <v>97</v>
      </c>
      <c r="B45" s="54">
        <f>'5.3 - 2018'!E47</f>
        <v>273095.39</v>
      </c>
      <c r="C45" s="54"/>
      <c r="D45" s="54"/>
      <c r="E45" s="54">
        <f t="shared" si="4"/>
        <v>273095.39</v>
      </c>
      <c r="G45" s="62" t="s">
        <v>48</v>
      </c>
      <c r="H45" s="54">
        <f>'5.3 - 2018'!K47</f>
        <v>109238.15999999997</v>
      </c>
      <c r="I45" s="54">
        <f t="shared" si="3"/>
        <v>54619.078000000001</v>
      </c>
      <c r="J45" s="54"/>
      <c r="K45" s="50">
        <f t="shared" si="1"/>
        <v>163857.23799999998</v>
      </c>
      <c r="L45" s="50"/>
      <c r="P45" s="50"/>
    </row>
    <row r="46" spans="1:24">
      <c r="A46" s="30" t="s">
        <v>115</v>
      </c>
      <c r="B46" s="54">
        <f>'5.3 - 2018'!E48</f>
        <v>47081.440000000002</v>
      </c>
      <c r="C46" s="54"/>
      <c r="D46" s="54"/>
      <c r="E46" s="54">
        <f t="shared" si="4"/>
        <v>47081.440000000002</v>
      </c>
      <c r="G46" s="62" t="s">
        <v>48</v>
      </c>
      <c r="H46" s="54">
        <f>'5.3 - 2018'!K48</f>
        <v>9416.2800000000025</v>
      </c>
      <c r="I46" s="54">
        <f t="shared" si="3"/>
        <v>9416.2880000000005</v>
      </c>
      <c r="J46" s="54"/>
      <c r="K46" s="50">
        <f t="shared" si="1"/>
        <v>18832.568000000003</v>
      </c>
      <c r="L46" s="50"/>
      <c r="P46" s="50"/>
    </row>
    <row r="47" spans="1:24">
      <c r="A47" s="30" t="s">
        <v>98</v>
      </c>
      <c r="B47" s="54">
        <f>'5.3 - 2018'!E49</f>
        <v>277699.90000000002</v>
      </c>
      <c r="C47" s="54"/>
      <c r="D47" s="54"/>
      <c r="E47" s="54">
        <f t="shared" si="4"/>
        <v>277699.90000000002</v>
      </c>
      <c r="G47" s="62" t="s">
        <v>48</v>
      </c>
      <c r="H47" s="54">
        <f>'5.3 - 2018'!K49</f>
        <v>111079.92000000003</v>
      </c>
      <c r="I47" s="54">
        <f t="shared" si="3"/>
        <v>55539.98</v>
      </c>
      <c r="J47" s="54"/>
      <c r="K47" s="50">
        <f t="shared" si="1"/>
        <v>166619.90000000002</v>
      </c>
      <c r="L47" s="50"/>
      <c r="P47" s="50"/>
    </row>
    <row r="48" spans="1:24">
      <c r="A48" s="30" t="s">
        <v>156</v>
      </c>
      <c r="B48" s="54">
        <f>'5.3 - 2018'!E50</f>
        <v>-15000</v>
      </c>
      <c r="C48" s="54"/>
      <c r="D48" s="54"/>
      <c r="E48" s="54">
        <f t="shared" si="4"/>
        <v>-15000</v>
      </c>
      <c r="G48" s="62" t="s">
        <v>48</v>
      </c>
      <c r="H48" s="54">
        <f>'5.3 - 2018'!K50</f>
        <v>-6000</v>
      </c>
      <c r="I48" s="54">
        <f t="shared" si="3"/>
        <v>-3000</v>
      </c>
      <c r="J48" s="54"/>
      <c r="K48" s="50">
        <f t="shared" si="1"/>
        <v>-9000</v>
      </c>
      <c r="L48" s="50"/>
      <c r="P48" s="50"/>
    </row>
    <row r="49" spans="1:24">
      <c r="A49" s="30" t="s">
        <v>94</v>
      </c>
      <c r="B49" s="54">
        <f>'5.3 - 2018'!E51</f>
        <v>17147.61</v>
      </c>
      <c r="C49" s="54"/>
      <c r="D49" s="54"/>
      <c r="E49" s="54">
        <f t="shared" si="4"/>
        <v>17147.61</v>
      </c>
      <c r="G49" s="62" t="s">
        <v>48</v>
      </c>
      <c r="H49" s="54">
        <f>'5.3 - 2018'!K51</f>
        <v>10288.44</v>
      </c>
      <c r="I49" s="54">
        <f t="shared" si="3"/>
        <v>3429.5219999999999</v>
      </c>
      <c r="J49" s="54"/>
      <c r="K49" s="50">
        <f t="shared" si="1"/>
        <v>13717.962</v>
      </c>
      <c r="L49" s="50"/>
      <c r="P49" s="50"/>
    </row>
    <row r="50" spans="1:24">
      <c r="A50" s="30" t="s">
        <v>110</v>
      </c>
      <c r="B50" s="54">
        <f>'5.3 - 2018'!E52</f>
        <v>95037.97</v>
      </c>
      <c r="C50" s="54"/>
      <c r="D50" s="54"/>
      <c r="E50" s="54">
        <f t="shared" si="4"/>
        <v>95037.97</v>
      </c>
      <c r="G50" s="62" t="s">
        <v>48</v>
      </c>
      <c r="H50" s="54">
        <f>'5.3 - 2018'!K52</f>
        <v>44351.16</v>
      </c>
      <c r="I50" s="54">
        <f t="shared" si="3"/>
        <v>19007.594000000001</v>
      </c>
      <c r="J50" s="54"/>
      <c r="K50" s="50">
        <f t="shared" si="1"/>
        <v>63358.754000000001</v>
      </c>
      <c r="L50" s="50"/>
      <c r="P50" s="50"/>
    </row>
    <row r="51" spans="1:24">
      <c r="A51" s="30" t="s">
        <v>243</v>
      </c>
      <c r="B51" s="54">
        <v>0</v>
      </c>
      <c r="C51" s="54">
        <v>14510.37</v>
      </c>
      <c r="D51" s="54"/>
      <c r="E51" s="54">
        <f t="shared" si="4"/>
        <v>14510.37</v>
      </c>
      <c r="G51" s="62" t="s">
        <v>48</v>
      </c>
      <c r="H51" s="54">
        <v>0</v>
      </c>
      <c r="I51" s="54">
        <v>1451.04</v>
      </c>
      <c r="J51" s="54"/>
      <c r="K51" s="50">
        <f t="shared" si="1"/>
        <v>1451.04</v>
      </c>
      <c r="L51" s="50"/>
      <c r="P51" s="50"/>
    </row>
    <row r="52" spans="1:24">
      <c r="A52" s="30" t="s">
        <v>86</v>
      </c>
      <c r="B52" s="54">
        <f>'5.3 - 2018'!E53</f>
        <v>15602.920000000004</v>
      </c>
      <c r="C52" s="54"/>
      <c r="D52" s="54">
        <v>-15602.92</v>
      </c>
      <c r="E52" s="54">
        <f t="shared" si="4"/>
        <v>0</v>
      </c>
      <c r="G52" s="62" t="s">
        <v>48</v>
      </c>
      <c r="H52" s="54">
        <f>'5.3 - 2018'!K53</f>
        <v>12482.400000000003</v>
      </c>
      <c r="I52" s="54">
        <f t="shared" ref="I52:I62" si="5">B52/5</f>
        <v>3120.5840000000007</v>
      </c>
      <c r="J52" s="54">
        <v>-15602.92</v>
      </c>
      <c r="K52" s="50">
        <f t="shared" si="1"/>
        <v>6.4000000003943569E-2</v>
      </c>
      <c r="L52" s="50"/>
      <c r="P52" s="50"/>
    </row>
    <row r="53" spans="1:24">
      <c r="A53" s="30" t="s">
        <v>101</v>
      </c>
      <c r="B53" s="54">
        <f>'5.3 - 2018'!E54</f>
        <v>170667.19</v>
      </c>
      <c r="D53" s="54"/>
      <c r="E53" s="54">
        <f t="shared" si="4"/>
        <v>170667.19</v>
      </c>
      <c r="G53" s="62" t="s">
        <v>48</v>
      </c>
      <c r="H53" s="54">
        <f>'5.3 - 2018'!K54</f>
        <v>34133.4</v>
      </c>
      <c r="I53" s="54">
        <f t="shared" si="5"/>
        <v>34133.438000000002</v>
      </c>
      <c r="J53" s="54"/>
      <c r="K53" s="50">
        <f t="shared" si="1"/>
        <v>68266.838000000003</v>
      </c>
      <c r="L53" s="50"/>
      <c r="P53" s="50"/>
    </row>
    <row r="54" spans="1:24">
      <c r="A54" s="30" t="s">
        <v>166</v>
      </c>
      <c r="B54" s="54">
        <f>'5.3 - 2018'!E55</f>
        <v>128910.98</v>
      </c>
      <c r="C54" s="54"/>
      <c r="D54" s="54"/>
      <c r="E54" s="54">
        <f t="shared" si="4"/>
        <v>128910.98</v>
      </c>
      <c r="G54" s="62" t="s">
        <v>48</v>
      </c>
      <c r="H54" s="54">
        <f>'5.3 - 2018'!K55</f>
        <v>0</v>
      </c>
      <c r="I54" s="54">
        <f t="shared" si="5"/>
        <v>25782.196</v>
      </c>
      <c r="J54" s="54"/>
      <c r="K54" s="50">
        <f t="shared" si="1"/>
        <v>25782.196</v>
      </c>
      <c r="L54" s="50"/>
      <c r="P54" s="50"/>
    </row>
    <row r="55" spans="1:24">
      <c r="A55" s="30" t="s">
        <v>125</v>
      </c>
      <c r="B55" s="54">
        <f>'5.3 - 2018'!E57</f>
        <v>2015083.44</v>
      </c>
      <c r="C55" s="54"/>
      <c r="D55" s="54"/>
      <c r="E55" s="54">
        <f t="shared" si="4"/>
        <v>2015083.44</v>
      </c>
      <c r="G55" s="62" t="s">
        <v>48</v>
      </c>
      <c r="H55" s="54">
        <f>'5.3 - 2018'!K57</f>
        <v>570940.23999999987</v>
      </c>
      <c r="I55" s="54">
        <f t="shared" si="5"/>
        <v>403016.68799999997</v>
      </c>
      <c r="J55" s="54"/>
      <c r="K55" s="50">
        <f t="shared" si="1"/>
        <v>973956.92799999984</v>
      </c>
      <c r="L55" s="50"/>
      <c r="P55" s="50"/>
    </row>
    <row r="56" spans="1:24">
      <c r="A56" s="30" t="s">
        <v>181</v>
      </c>
      <c r="B56" s="54">
        <f>'5.3 - 2018'!E58</f>
        <v>3389993</v>
      </c>
      <c r="C56" s="54"/>
      <c r="D56" s="54"/>
      <c r="E56" s="54">
        <f t="shared" si="4"/>
        <v>3389993</v>
      </c>
      <c r="G56" s="62" t="s">
        <v>48</v>
      </c>
      <c r="H56" s="54">
        <f>'5.3 - 2018'!K58</f>
        <v>1186497.48</v>
      </c>
      <c r="I56" s="54">
        <f t="shared" si="5"/>
        <v>677998.6</v>
      </c>
      <c r="J56" s="54"/>
      <c r="K56" s="50">
        <f t="shared" si="1"/>
        <v>1864496.08</v>
      </c>
      <c r="L56" s="50"/>
      <c r="P56" s="50"/>
    </row>
    <row r="57" spans="1:24">
      <c r="A57" s="30" t="s">
        <v>100</v>
      </c>
      <c r="B57" s="54">
        <f>'5.3 - 2018'!E59</f>
        <v>-3389993</v>
      </c>
      <c r="C57" s="54"/>
      <c r="D57" s="54"/>
      <c r="E57" s="54">
        <f t="shared" si="4"/>
        <v>-3389993</v>
      </c>
      <c r="G57" s="62" t="s">
        <v>48</v>
      </c>
      <c r="H57" s="54">
        <f>'5.3 - 2018'!K59</f>
        <v>-1186497.48</v>
      </c>
      <c r="I57" s="54">
        <f t="shared" si="5"/>
        <v>-677998.6</v>
      </c>
      <c r="J57" s="54"/>
      <c r="K57" s="50">
        <f t="shared" si="1"/>
        <v>-1864496.08</v>
      </c>
      <c r="L57" s="50"/>
    </row>
    <row r="58" spans="1:24">
      <c r="A58" s="30" t="s">
        <v>92</v>
      </c>
      <c r="B58" s="54">
        <f>'5.3 - 2018'!E60</f>
        <v>48901.33</v>
      </c>
      <c r="C58" s="54"/>
      <c r="D58" s="54"/>
      <c r="E58" s="54">
        <f t="shared" si="4"/>
        <v>48901.33</v>
      </c>
      <c r="G58" s="62" t="s">
        <v>48</v>
      </c>
      <c r="H58" s="54">
        <f>'5.3 - 2018'!K60</f>
        <v>29340.720000000005</v>
      </c>
      <c r="I58" s="54">
        <f t="shared" si="5"/>
        <v>9780.2659999999996</v>
      </c>
      <c r="J58" s="54"/>
      <c r="K58" s="50">
        <f t="shared" si="1"/>
        <v>39120.986000000004</v>
      </c>
      <c r="L58" s="50"/>
    </row>
    <row r="59" spans="1:24">
      <c r="A59" s="30" t="s">
        <v>55</v>
      </c>
      <c r="B59" s="54">
        <f>'5.3 - 2018'!E61</f>
        <v>88543.55</v>
      </c>
      <c r="C59" s="54"/>
      <c r="D59" s="54">
        <v>-88543.55</v>
      </c>
      <c r="E59" s="54">
        <f t="shared" si="4"/>
        <v>0</v>
      </c>
      <c r="G59" s="62" t="s">
        <v>48</v>
      </c>
      <c r="H59" s="54">
        <f>'5.3 - 2018'!K61</f>
        <v>70835.039999999994</v>
      </c>
      <c r="I59" s="54">
        <f t="shared" si="5"/>
        <v>17708.71</v>
      </c>
      <c r="J59" s="54">
        <v>-88543.55</v>
      </c>
      <c r="K59" s="50">
        <f t="shared" si="1"/>
        <v>0.19999999999708962</v>
      </c>
      <c r="L59" s="50"/>
    </row>
    <row r="60" spans="1:24">
      <c r="A60" s="30" t="s">
        <v>180</v>
      </c>
      <c r="B60" s="54">
        <f>'5.3 - 2018'!E62</f>
        <v>105340.92</v>
      </c>
      <c r="C60" s="54"/>
      <c r="D60" s="54"/>
      <c r="E60" s="54">
        <f t="shared" si="4"/>
        <v>105340.92</v>
      </c>
      <c r="G60" s="62" t="s">
        <v>48</v>
      </c>
      <c r="H60" s="54">
        <f>'5.3 - 2018'!K62</f>
        <v>42136.32</v>
      </c>
      <c r="I60" s="54">
        <f t="shared" si="5"/>
        <v>21068.184000000001</v>
      </c>
      <c r="J60" s="54"/>
      <c r="K60" s="50">
        <f t="shared" si="1"/>
        <v>63204.504000000001</v>
      </c>
      <c r="L60" s="50"/>
    </row>
    <row r="61" spans="1:24">
      <c r="A61" s="30" t="s">
        <v>185</v>
      </c>
      <c r="B61" s="54">
        <f>'5.3 - 2018'!E63</f>
        <v>87336.03</v>
      </c>
      <c r="C61" s="54"/>
      <c r="D61" s="54"/>
      <c r="E61" s="54">
        <f t="shared" si="4"/>
        <v>87336.03</v>
      </c>
      <c r="G61" s="62" t="s">
        <v>48</v>
      </c>
      <c r="H61" s="54">
        <f>'5.3 - 2018'!K63</f>
        <v>17467.2</v>
      </c>
      <c r="I61" s="54">
        <f t="shared" si="5"/>
        <v>17467.205999999998</v>
      </c>
      <c r="J61" s="54"/>
      <c r="K61" s="50">
        <f t="shared" si="1"/>
        <v>34934.406000000003</v>
      </c>
      <c r="L61" s="50"/>
      <c r="P61" s="50"/>
    </row>
    <row r="62" spans="1:24">
      <c r="A62" s="30" t="s">
        <v>111</v>
      </c>
      <c r="B62" s="54">
        <f>'5.3 - 2018'!E64</f>
        <v>47421.46</v>
      </c>
      <c r="C62" s="54"/>
      <c r="D62" s="54"/>
      <c r="E62" s="54">
        <f t="shared" si="4"/>
        <v>47421.46</v>
      </c>
      <c r="G62" s="62" t="s">
        <v>48</v>
      </c>
      <c r="H62" s="54">
        <f>'5.3 - 2018'!K64</f>
        <v>11855.4</v>
      </c>
      <c r="I62" s="54">
        <f t="shared" si="5"/>
        <v>9484.2919999999995</v>
      </c>
      <c r="J62" s="54"/>
      <c r="K62" s="50">
        <f t="shared" si="1"/>
        <v>21339.691999999999</v>
      </c>
      <c r="L62" s="50"/>
      <c r="P62" s="50"/>
    </row>
    <row r="63" spans="1:24">
      <c r="A63" s="30" t="s">
        <v>53</v>
      </c>
      <c r="B63" s="54">
        <f>'5.3 - 2018'!E65</f>
        <v>1667371.55</v>
      </c>
      <c r="C63" s="50"/>
      <c r="D63" s="54"/>
      <c r="E63" s="54">
        <f t="shared" si="4"/>
        <v>1667371.55</v>
      </c>
      <c r="G63" s="62" t="s">
        <v>47</v>
      </c>
      <c r="H63" s="54">
        <f>'5.3 - 2018'!K65</f>
        <v>993214.41000000015</v>
      </c>
      <c r="I63" s="54">
        <f>B63/10</f>
        <v>166737.155</v>
      </c>
      <c r="J63" s="54"/>
      <c r="K63" s="50">
        <f t="shared" si="1"/>
        <v>1159951.5650000002</v>
      </c>
      <c r="L63" s="50"/>
      <c r="X63" s="50">
        <f>C63</f>
        <v>0</v>
      </c>
    </row>
    <row r="64" spans="1:24">
      <c r="A64" s="30" t="s">
        <v>144</v>
      </c>
      <c r="B64" s="54">
        <f>'5.3 - 2018'!E66</f>
        <v>-782591</v>
      </c>
      <c r="C64" s="54"/>
      <c r="D64" s="54"/>
      <c r="E64" s="54">
        <f t="shared" si="4"/>
        <v>-782591</v>
      </c>
      <c r="G64" s="62" t="s">
        <v>47</v>
      </c>
      <c r="H64" s="54">
        <f>'5.3 - 2018'!K66</f>
        <v>-462864.69000000006</v>
      </c>
      <c r="I64" s="54">
        <f>B64/10</f>
        <v>-78259.100000000006</v>
      </c>
      <c r="J64" s="54"/>
      <c r="K64" s="50">
        <f t="shared" si="1"/>
        <v>-541123.79</v>
      </c>
      <c r="L64" s="50"/>
    </row>
    <row r="65" spans="1:16">
      <c r="A65" s="30" t="s">
        <v>170</v>
      </c>
      <c r="B65" s="54">
        <v>0</v>
      </c>
      <c r="C65" s="54">
        <f>-D89</f>
        <v>13408.71</v>
      </c>
      <c r="D65" s="54"/>
      <c r="E65" s="54">
        <f t="shared" si="4"/>
        <v>13408.71</v>
      </c>
      <c r="G65" s="62" t="s">
        <v>48</v>
      </c>
      <c r="H65" s="54">
        <v>0</v>
      </c>
      <c r="I65" s="54">
        <v>1340.88</v>
      </c>
      <c r="J65" s="54"/>
      <c r="K65" s="50">
        <f t="shared" si="1"/>
        <v>1340.88</v>
      </c>
      <c r="L65" s="50"/>
    </row>
    <row r="66" spans="1:16">
      <c r="A66" s="30" t="s">
        <v>146</v>
      </c>
      <c r="B66" s="54">
        <f>'5.3 - 2018'!E67</f>
        <v>318813.90999999997</v>
      </c>
      <c r="C66" s="54"/>
      <c r="D66" s="54"/>
      <c r="E66" s="54">
        <f t="shared" si="4"/>
        <v>318813.90999999997</v>
      </c>
      <c r="G66" s="62" t="s">
        <v>48</v>
      </c>
      <c r="H66" s="54">
        <f>'5.3 - 2018'!K67</f>
        <v>127525.68</v>
      </c>
      <c r="I66" s="54">
        <f>B66/5</f>
        <v>63762.781999999992</v>
      </c>
      <c r="J66" s="54"/>
      <c r="K66" s="50">
        <f t="shared" si="1"/>
        <v>191288.462</v>
      </c>
      <c r="L66" s="50"/>
    </row>
    <row r="67" spans="1:16">
      <c r="A67" s="30" t="s">
        <v>154</v>
      </c>
      <c r="B67" s="54">
        <f>'5.3 - 2018'!E68</f>
        <v>164133.69</v>
      </c>
      <c r="C67" s="54"/>
      <c r="D67" s="54"/>
      <c r="E67" s="54">
        <f t="shared" si="4"/>
        <v>164133.69</v>
      </c>
      <c r="G67" s="62" t="s">
        <v>48</v>
      </c>
      <c r="H67" s="54">
        <f>'5.3 - 2018'!K68</f>
        <v>46586.970000000008</v>
      </c>
      <c r="I67" s="54">
        <f>B67/5</f>
        <v>32826.737999999998</v>
      </c>
      <c r="J67" s="54"/>
      <c r="K67" s="50">
        <f t="shared" si="1"/>
        <v>79413.708000000013</v>
      </c>
      <c r="L67" s="50"/>
    </row>
    <row r="68" spans="1:16">
      <c r="A68" s="30" t="s">
        <v>127</v>
      </c>
      <c r="B68" s="54">
        <f>'5.3 - 2018'!E69</f>
        <v>118743.17</v>
      </c>
      <c r="C68" s="54"/>
      <c r="D68" s="54"/>
      <c r="E68" s="54">
        <f t="shared" si="4"/>
        <v>118743.17</v>
      </c>
      <c r="G68" s="62" t="s">
        <v>48</v>
      </c>
      <c r="H68" s="54">
        <f>'5.3 - 2018'!K69</f>
        <v>47497.19999999999</v>
      </c>
      <c r="I68" s="54">
        <f>B68/5</f>
        <v>23748.633999999998</v>
      </c>
      <c r="J68" s="54"/>
      <c r="K68" s="50">
        <f t="shared" si="1"/>
        <v>71245.833999999988</v>
      </c>
      <c r="L68" s="50"/>
    </row>
    <row r="69" spans="1:16">
      <c r="A69" s="30" t="s">
        <v>147</v>
      </c>
      <c r="B69" s="54">
        <f>'5.3 - 2018'!E70</f>
        <v>35306.589999999997</v>
      </c>
      <c r="C69" s="54"/>
      <c r="D69" s="54">
        <v>-35306.589999999997</v>
      </c>
      <c r="E69" s="54">
        <f t="shared" si="4"/>
        <v>0</v>
      </c>
      <c r="G69" s="62" t="s">
        <v>48</v>
      </c>
      <c r="H69" s="54">
        <f>'5.3 - 2018'!K70</f>
        <v>28245.12000000001</v>
      </c>
      <c r="I69" s="54">
        <f>B69/5</f>
        <v>7061.3179999999993</v>
      </c>
      <c r="J69" s="54">
        <v>-35306.589999999997</v>
      </c>
      <c r="K69" s="50">
        <f t="shared" si="1"/>
        <v>-0.15199999998731073</v>
      </c>
      <c r="L69" s="50"/>
    </row>
    <row r="70" spans="1:16">
      <c r="A70" s="30" t="s">
        <v>135</v>
      </c>
      <c r="B70" s="54">
        <f>'5.3 - 2018'!E71</f>
        <v>-3470777.36</v>
      </c>
      <c r="D70" s="54">
        <v>170996.46</v>
      </c>
      <c r="E70" s="54">
        <f t="shared" si="4"/>
        <v>-3299780.9</v>
      </c>
      <c r="G70" s="62" t="s">
        <v>48</v>
      </c>
      <c r="H70" s="54">
        <f>'5.3 - 2018'!K71</f>
        <v>-1752334.5199999996</v>
      </c>
      <c r="I70" s="54">
        <v>-584111.48</v>
      </c>
      <c r="J70" s="54">
        <v>170996.46</v>
      </c>
      <c r="K70" s="50">
        <f t="shared" si="1"/>
        <v>-2165449.5399999996</v>
      </c>
      <c r="L70" s="50"/>
    </row>
    <row r="71" spans="1:16">
      <c r="B71" s="54"/>
      <c r="C71" s="54"/>
      <c r="D71" s="54"/>
      <c r="E71" s="54"/>
      <c r="G71" s="62"/>
      <c r="H71" s="54"/>
      <c r="I71" s="54"/>
      <c r="J71" s="54"/>
      <c r="K71" s="54"/>
      <c r="L71" s="50"/>
      <c r="P71" s="50"/>
    </row>
    <row r="72" spans="1:16">
      <c r="A72" s="33" t="s">
        <v>51</v>
      </c>
      <c r="B72" s="50">
        <f>SUM(B10:B71)</f>
        <v>13328289.430000003</v>
      </c>
      <c r="C72" s="50">
        <f>SUM(C10:C71)</f>
        <v>249841.86999999997</v>
      </c>
      <c r="D72" s="50">
        <f>SUM(D10:D71)</f>
        <v>-35749.109999999986</v>
      </c>
      <c r="E72" s="50">
        <f>SUM(E10:E71)</f>
        <v>13542382.189999999</v>
      </c>
      <c r="H72" s="50">
        <f>SUM(H10:H71)</f>
        <v>5077766.7300000014</v>
      </c>
      <c r="I72" s="50">
        <f>SUM(I10:I71)</f>
        <v>1823496.0699999994</v>
      </c>
      <c r="J72" s="50">
        <f>SUM(J10:J71)</f>
        <v>-35749.109999999986</v>
      </c>
      <c r="K72" s="50">
        <f>SUM(K10:K71)</f>
        <v>6865513.6900000013</v>
      </c>
      <c r="L72" s="50"/>
      <c r="M72" s="50"/>
      <c r="N72" s="50"/>
      <c r="O72" s="50"/>
      <c r="P72" s="50"/>
    </row>
    <row r="74" spans="1:16">
      <c r="A74" s="33" t="s">
        <v>149</v>
      </c>
    </row>
    <row r="75" spans="1:16">
      <c r="A75" s="30" t="s">
        <v>124</v>
      </c>
      <c r="B75" s="54">
        <f>'5.3 - 2018'!E76</f>
        <v>76552.479999999996</v>
      </c>
      <c r="C75" s="54">
        <v>2095.9699999999998</v>
      </c>
      <c r="D75" s="54">
        <v>-78648.45</v>
      </c>
      <c r="E75" s="54">
        <f t="shared" ref="E75:E90" si="6">B75+C75+D75</f>
        <v>0</v>
      </c>
      <c r="L75" s="50"/>
    </row>
    <row r="76" spans="1:16">
      <c r="A76" s="30" t="s">
        <v>167</v>
      </c>
      <c r="B76" s="54">
        <f>'5.3 - 2018'!E78</f>
        <v>8416.3799999999992</v>
      </c>
      <c r="C76" s="54">
        <v>59846.97</v>
      </c>
      <c r="D76" s="54">
        <f>-B76-C76</f>
        <v>-68263.350000000006</v>
      </c>
      <c r="E76" s="54">
        <f t="shared" si="6"/>
        <v>0</v>
      </c>
      <c r="L76" s="50"/>
    </row>
    <row r="77" spans="1:16">
      <c r="A77" s="30" t="s">
        <v>171</v>
      </c>
      <c r="B77" s="54">
        <f>'5.3 - 2018'!E79</f>
        <v>48130.38</v>
      </c>
      <c r="C77" s="54">
        <v>26880.61</v>
      </c>
      <c r="D77" s="54">
        <f>-B77-C77</f>
        <v>-75010.989999999991</v>
      </c>
      <c r="E77" s="54">
        <f t="shared" si="6"/>
        <v>0</v>
      </c>
      <c r="L77" s="50"/>
    </row>
    <row r="78" spans="1:16">
      <c r="A78" s="30" t="s">
        <v>164</v>
      </c>
      <c r="B78" s="54">
        <f>'5.3 - 2018'!E80</f>
        <v>23320.45</v>
      </c>
      <c r="C78" s="54"/>
      <c r="D78" s="54">
        <f>-B78-C78</f>
        <v>-23320.45</v>
      </c>
      <c r="E78" s="54">
        <f t="shared" si="6"/>
        <v>0</v>
      </c>
      <c r="L78" s="50"/>
    </row>
    <row r="79" spans="1:16">
      <c r="A79" s="30" t="s">
        <v>114</v>
      </c>
      <c r="B79" s="54">
        <f>'5.3 - 2018'!E81</f>
        <v>44613.32</v>
      </c>
      <c r="C79" s="54">
        <v>1136.52</v>
      </c>
      <c r="D79" s="54">
        <v>-45749.84</v>
      </c>
      <c r="E79" s="54">
        <f t="shared" si="6"/>
        <v>0</v>
      </c>
      <c r="L79" s="50"/>
    </row>
    <row r="80" spans="1:16">
      <c r="A80" s="30" t="s">
        <v>172</v>
      </c>
      <c r="B80" s="54">
        <f>'5.3 - 2018'!E82</f>
        <v>48127.3</v>
      </c>
      <c r="C80" s="54">
        <v>183911.66</v>
      </c>
      <c r="D80" s="54"/>
      <c r="E80" s="54">
        <f t="shared" si="6"/>
        <v>232038.96000000002</v>
      </c>
      <c r="L80" s="50"/>
    </row>
    <row r="81" spans="1:20">
      <c r="A81" s="30" t="s">
        <v>99</v>
      </c>
      <c r="B81" s="54">
        <f>'5.3 - 2018'!E83</f>
        <v>474312.98</v>
      </c>
      <c r="C81" s="54">
        <v>124249.48</v>
      </c>
      <c r="D81" s="54"/>
      <c r="E81" s="54">
        <f t="shared" si="6"/>
        <v>598562.46</v>
      </c>
      <c r="L81" s="50"/>
    </row>
    <row r="82" spans="1:20">
      <c r="A82" s="30" t="s">
        <v>192</v>
      </c>
      <c r="B82" s="54">
        <v>0</v>
      </c>
      <c r="C82" s="54">
        <v>0</v>
      </c>
      <c r="D82" s="54"/>
      <c r="E82" s="54">
        <f t="shared" si="6"/>
        <v>0</v>
      </c>
      <c r="L82" s="50"/>
    </row>
    <row r="83" spans="1:20">
      <c r="A83" s="30" t="s">
        <v>87</v>
      </c>
      <c r="B83" s="54">
        <f>'5.3 - 2018'!E84</f>
        <v>504927.45999999996</v>
      </c>
      <c r="C83" s="54">
        <v>11872.2</v>
      </c>
      <c r="D83" s="54">
        <v>-516799.66</v>
      </c>
      <c r="E83" s="54">
        <f t="shared" si="6"/>
        <v>0</v>
      </c>
    </row>
    <row r="84" spans="1:20">
      <c r="A84" s="30" t="s">
        <v>151</v>
      </c>
      <c r="B84" s="54">
        <f>'5.3 - 2018'!E85</f>
        <v>694425.96</v>
      </c>
      <c r="C84" s="54">
        <v>31154.86</v>
      </c>
      <c r="D84" s="54"/>
      <c r="E84" s="54">
        <f t="shared" si="6"/>
        <v>725580.82</v>
      </c>
      <c r="L84" s="50"/>
    </row>
    <row r="85" spans="1:20">
      <c r="A85" s="30" t="s">
        <v>242</v>
      </c>
      <c r="B85" s="54">
        <v>0</v>
      </c>
      <c r="C85" s="54">
        <v>16028.09</v>
      </c>
      <c r="D85" s="54"/>
      <c r="E85" s="54">
        <f t="shared" si="6"/>
        <v>16028.09</v>
      </c>
      <c r="L85" s="50"/>
    </row>
    <row r="86" spans="1:20">
      <c r="A86" s="30" t="s">
        <v>163</v>
      </c>
      <c r="B86" s="54">
        <f>'5.3 - 2018'!E87</f>
        <v>7319079.1699999999</v>
      </c>
      <c r="C86" s="54">
        <v>374888.83</v>
      </c>
      <c r="D86" s="54"/>
      <c r="E86" s="54">
        <f t="shared" si="6"/>
        <v>7693968</v>
      </c>
      <c r="L86" s="50"/>
    </row>
    <row r="87" spans="1:20">
      <c r="A87" s="30" t="s">
        <v>249</v>
      </c>
      <c r="B87" s="54">
        <f>'5.3 - 2018'!E88</f>
        <v>41006.61</v>
      </c>
      <c r="C87" s="54">
        <v>554223.92000000004</v>
      </c>
      <c r="D87" s="54"/>
      <c r="E87" s="54">
        <f t="shared" si="6"/>
        <v>595230.53</v>
      </c>
      <c r="L87" s="50"/>
    </row>
    <row r="88" spans="1:20">
      <c r="A88" s="30" t="s">
        <v>169</v>
      </c>
      <c r="B88" s="54">
        <f>'5.3 - 2018'!E89</f>
        <v>49578.559999999998</v>
      </c>
      <c r="C88" s="54">
        <v>303.35000000000002</v>
      </c>
      <c r="D88" s="54"/>
      <c r="E88" s="54">
        <f t="shared" si="6"/>
        <v>49881.909999999996</v>
      </c>
      <c r="L88" s="50"/>
    </row>
    <row r="89" spans="1:20">
      <c r="A89" s="30" t="s">
        <v>170</v>
      </c>
      <c r="B89" s="54">
        <f>'5.3 - 2018'!E90</f>
        <v>7451.47</v>
      </c>
      <c r="C89" s="54">
        <v>5957.24</v>
      </c>
      <c r="D89" s="54">
        <f>-B89-C89</f>
        <v>-13408.71</v>
      </c>
      <c r="E89" s="54">
        <f t="shared" si="6"/>
        <v>0</v>
      </c>
      <c r="L89" s="50"/>
    </row>
    <row r="90" spans="1:20">
      <c r="A90" s="30" t="s">
        <v>168</v>
      </c>
      <c r="B90" s="54">
        <f>'5.3 - 2018'!E91</f>
        <v>207944.18</v>
      </c>
      <c r="C90" s="54">
        <v>44448.47</v>
      </c>
      <c r="D90" s="54"/>
      <c r="E90" s="54">
        <f t="shared" si="6"/>
        <v>252392.65</v>
      </c>
      <c r="L90" s="50"/>
    </row>
    <row r="91" spans="1:20">
      <c r="B91" s="54"/>
      <c r="C91" s="50"/>
      <c r="D91" s="50"/>
      <c r="E91" s="54"/>
    </row>
    <row r="92" spans="1:20">
      <c r="A92" s="33" t="s">
        <v>50</v>
      </c>
      <c r="B92" s="50">
        <f>SUM(B74:B91)</f>
        <v>9547886.6999999993</v>
      </c>
      <c r="C92" s="50">
        <f>SUM(C74:C91)</f>
        <v>1436998.17</v>
      </c>
      <c r="D92" s="50">
        <f>SUM(D74:D91)</f>
        <v>-821201.45</v>
      </c>
      <c r="E92" s="50">
        <f>SUM(E74:E91)</f>
        <v>10163683.42</v>
      </c>
      <c r="H92" s="50"/>
      <c r="I92" s="50"/>
      <c r="J92" s="50"/>
      <c r="K92" s="50"/>
      <c r="L92" s="50"/>
      <c r="M92" s="50"/>
      <c r="N92" s="50"/>
      <c r="T92" s="50"/>
    </row>
    <row r="93" spans="1:20">
      <c r="B93" s="50"/>
      <c r="C93" s="50"/>
      <c r="D93" s="50"/>
      <c r="E93" s="50"/>
      <c r="H93" s="50"/>
      <c r="I93" s="50"/>
      <c r="J93" s="50"/>
      <c r="K93" s="50"/>
      <c r="L93" s="50"/>
    </row>
    <row r="94" spans="1:20">
      <c r="A94" s="109" t="s">
        <v>52</v>
      </c>
      <c r="B94" s="51">
        <f>B72+B92</f>
        <v>22876176.130000003</v>
      </c>
      <c r="C94" s="51">
        <f>C72+C92</f>
        <v>1686840.0399999998</v>
      </c>
      <c r="D94" s="51">
        <f t="shared" ref="D94:K94" si="7">D72+D92</f>
        <v>-856950.55999999994</v>
      </c>
      <c r="E94" s="51">
        <f t="shared" si="7"/>
        <v>23706065.609999999</v>
      </c>
      <c r="F94" s="51"/>
      <c r="G94" s="51">
        <f t="shared" si="7"/>
        <v>0</v>
      </c>
      <c r="H94" s="51">
        <f t="shared" si="7"/>
        <v>5077766.7300000014</v>
      </c>
      <c r="I94" s="51">
        <f t="shared" si="7"/>
        <v>1823496.0699999994</v>
      </c>
      <c r="J94" s="51">
        <f t="shared" si="7"/>
        <v>-35749.109999999986</v>
      </c>
      <c r="K94" s="51">
        <f t="shared" si="7"/>
        <v>6865513.6900000013</v>
      </c>
      <c r="L94" s="50"/>
      <c r="M94" s="50"/>
      <c r="N94" s="50"/>
      <c r="S94" s="50"/>
    </row>
    <row r="95" spans="1:20">
      <c r="E95" s="50"/>
    </row>
    <row r="96" spans="1:20">
      <c r="A96" s="33" t="s">
        <v>107</v>
      </c>
      <c r="B96" s="50"/>
      <c r="C96" s="50"/>
      <c r="D96" s="50"/>
      <c r="E96" s="50"/>
      <c r="H96" s="50"/>
      <c r="I96" s="50"/>
      <c r="J96" s="50"/>
      <c r="K96" s="50"/>
      <c r="M96" s="50"/>
    </row>
    <row r="97" spans="1:16">
      <c r="A97" s="110" t="s">
        <v>150</v>
      </c>
      <c r="E97" s="50"/>
    </row>
    <row r="98" spans="1:16">
      <c r="A98" s="49" t="s">
        <v>109</v>
      </c>
      <c r="B98" s="50">
        <f>'5.3 - 2018'!E99</f>
        <v>178986.03</v>
      </c>
      <c r="C98" s="50"/>
      <c r="D98" s="50"/>
      <c r="E98" s="50">
        <f t="shared" ref="E98:E109" si="8">B98+C98+D98</f>
        <v>178986.03</v>
      </c>
      <c r="F98" s="50"/>
      <c r="G98" s="62" t="s">
        <v>48</v>
      </c>
      <c r="H98" s="50">
        <f>'5.3 - 2018'!K99</f>
        <v>71594.399999999994</v>
      </c>
      <c r="I98" s="54">
        <f>B98/5</f>
        <v>35797.205999999998</v>
      </c>
      <c r="J98" s="54"/>
      <c r="K98" s="50">
        <f t="shared" ref="K98:K109" si="9">H98+I98+J98</f>
        <v>107391.606</v>
      </c>
      <c r="L98" s="50"/>
      <c r="M98" s="50"/>
    </row>
    <row r="99" spans="1:16">
      <c r="A99" s="49" t="s">
        <v>187</v>
      </c>
      <c r="B99" s="50">
        <f>'5.3 - 2018'!E100</f>
        <v>46630.71</v>
      </c>
      <c r="C99" s="50"/>
      <c r="D99" s="50"/>
      <c r="E99" s="50">
        <f t="shared" si="8"/>
        <v>46630.71</v>
      </c>
      <c r="F99" s="50"/>
      <c r="G99" s="62" t="s">
        <v>48</v>
      </c>
      <c r="H99" s="50">
        <f>'5.3 - 2018'!K100</f>
        <v>6217.44</v>
      </c>
      <c r="I99" s="54">
        <f>B99/5</f>
        <v>9326.1419999999998</v>
      </c>
      <c r="J99" s="54"/>
      <c r="K99" s="50">
        <f t="shared" si="9"/>
        <v>15543.581999999999</v>
      </c>
      <c r="L99" s="50"/>
      <c r="M99" s="50"/>
    </row>
    <row r="100" spans="1:16">
      <c r="A100" s="49" t="s">
        <v>68</v>
      </c>
      <c r="B100" s="50">
        <f>'5.3 - 2018'!E101</f>
        <v>3750611.3400000008</v>
      </c>
      <c r="C100" s="50">
        <f>-D115</f>
        <v>14284.74</v>
      </c>
      <c r="D100" s="50"/>
      <c r="E100" s="50">
        <f t="shared" si="8"/>
        <v>3764896.080000001</v>
      </c>
      <c r="F100" s="50"/>
      <c r="G100" s="62" t="s">
        <v>47</v>
      </c>
      <c r="H100" s="50">
        <f>'5.3 - 2018'!K101</f>
        <v>677582.27999999991</v>
      </c>
      <c r="I100" s="54">
        <v>401116.34</v>
      </c>
      <c r="J100" s="54"/>
      <c r="K100" s="50">
        <f t="shared" si="9"/>
        <v>1078698.6199999999</v>
      </c>
      <c r="L100" s="50"/>
      <c r="M100" s="50"/>
    </row>
    <row r="101" spans="1:16">
      <c r="A101" s="49" t="s">
        <v>189</v>
      </c>
      <c r="B101" s="50">
        <f>'5.3 - 2018'!E102</f>
        <v>-974548.54</v>
      </c>
      <c r="C101" s="50"/>
      <c r="D101" s="50"/>
      <c r="E101" s="50">
        <f t="shared" si="8"/>
        <v>-974548.54</v>
      </c>
      <c r="F101" s="50"/>
      <c r="G101" s="62" t="s">
        <v>47</v>
      </c>
      <c r="H101" s="50">
        <f>'5.3 - 2018'!K102</f>
        <v>-194909.7</v>
      </c>
      <c r="I101" s="54">
        <f>B101/10</f>
        <v>-97454.854000000007</v>
      </c>
      <c r="J101" s="54"/>
      <c r="K101" s="50">
        <f t="shared" si="9"/>
        <v>-292364.554</v>
      </c>
      <c r="L101" s="50"/>
      <c r="M101" s="50"/>
    </row>
    <row r="102" spans="1:16">
      <c r="A102" s="49" t="s">
        <v>112</v>
      </c>
      <c r="B102" s="50">
        <v>0</v>
      </c>
      <c r="C102" s="50">
        <f>-D116</f>
        <v>385009.15</v>
      </c>
      <c r="D102" s="50"/>
      <c r="E102" s="50">
        <f t="shared" si="8"/>
        <v>385009.15</v>
      </c>
      <c r="F102" s="50"/>
      <c r="G102" s="62" t="s">
        <v>47</v>
      </c>
      <c r="H102" s="50">
        <v>0</v>
      </c>
      <c r="I102" s="54">
        <v>0</v>
      </c>
      <c r="J102" s="54"/>
      <c r="K102" s="50">
        <f t="shared" si="9"/>
        <v>0</v>
      </c>
      <c r="L102" s="50"/>
      <c r="M102" s="50"/>
    </row>
    <row r="103" spans="1:16">
      <c r="A103" s="49" t="s">
        <v>186</v>
      </c>
      <c r="B103" s="50">
        <f>'5.3 - 2018'!E103</f>
        <v>181080.11</v>
      </c>
      <c r="C103" s="50"/>
      <c r="D103" s="50"/>
      <c r="E103" s="50">
        <f t="shared" si="8"/>
        <v>181080.11</v>
      </c>
      <c r="F103" s="50"/>
      <c r="G103" s="62" t="s">
        <v>48</v>
      </c>
      <c r="H103" s="50">
        <f>'5.3 - 2018'!K103</f>
        <v>72432</v>
      </c>
      <c r="I103" s="54">
        <f>B103/5</f>
        <v>36216.021999999997</v>
      </c>
      <c r="J103" s="54"/>
      <c r="K103" s="50">
        <f t="shared" si="9"/>
        <v>108648.022</v>
      </c>
      <c r="L103" s="50"/>
      <c r="M103" s="50"/>
    </row>
    <row r="104" spans="1:16">
      <c r="A104" s="49" t="s">
        <v>125</v>
      </c>
      <c r="B104" s="50">
        <f>'5.3 - 2018'!E104</f>
        <v>244223.27</v>
      </c>
      <c r="C104" s="50"/>
      <c r="D104" s="50"/>
      <c r="E104" s="50">
        <f t="shared" si="8"/>
        <v>244223.27</v>
      </c>
      <c r="F104" s="50"/>
      <c r="G104" s="62" t="s">
        <v>48</v>
      </c>
      <c r="H104" s="50">
        <f>'5.3 - 2018'!K104</f>
        <v>97689.36</v>
      </c>
      <c r="I104" s="54">
        <f>B104/5</f>
        <v>48844.653999999995</v>
      </c>
      <c r="J104" s="54"/>
      <c r="K104" s="50">
        <f t="shared" si="9"/>
        <v>146534.014</v>
      </c>
      <c r="L104" s="50"/>
      <c r="M104" s="50"/>
    </row>
    <row r="105" spans="1:16">
      <c r="A105" s="49" t="s">
        <v>190</v>
      </c>
      <c r="B105" s="50">
        <f>'5.3 - 2018'!E105</f>
        <v>-6000</v>
      </c>
      <c r="C105" s="50"/>
      <c r="D105" s="50"/>
      <c r="E105" s="50">
        <f t="shared" si="8"/>
        <v>-6000</v>
      </c>
      <c r="F105" s="50"/>
      <c r="G105" s="62" t="s">
        <v>48</v>
      </c>
      <c r="H105" s="50">
        <f>'5.3 - 2018'!K105</f>
        <v>-2400</v>
      </c>
      <c r="I105" s="54">
        <f>B105/5</f>
        <v>-1200</v>
      </c>
      <c r="J105" s="54"/>
      <c r="K105" s="50">
        <f t="shared" si="9"/>
        <v>-3600</v>
      </c>
      <c r="L105" s="50"/>
      <c r="M105" s="50"/>
    </row>
    <row r="106" spans="1:16">
      <c r="A106" s="49" t="s">
        <v>173</v>
      </c>
      <c r="B106" s="50">
        <f>'5.3 - 2018'!E106</f>
        <v>141600.43</v>
      </c>
      <c r="C106" s="50"/>
      <c r="D106" s="50"/>
      <c r="E106" s="50">
        <f t="shared" si="8"/>
        <v>141600.43</v>
      </c>
      <c r="F106" s="50"/>
      <c r="G106" s="62" t="s">
        <v>48</v>
      </c>
      <c r="H106" s="50">
        <f>'5.3 - 2018'!K106</f>
        <v>11800.05</v>
      </c>
      <c r="I106" s="54">
        <f>B106/5</f>
        <v>28320.085999999999</v>
      </c>
      <c r="J106" s="54"/>
      <c r="K106" s="50">
        <f t="shared" si="9"/>
        <v>40120.135999999999</v>
      </c>
      <c r="L106" s="50"/>
      <c r="M106" s="50"/>
    </row>
    <row r="107" spans="1:16">
      <c r="A107" s="49" t="s">
        <v>188</v>
      </c>
      <c r="B107" s="50">
        <f>'5.3 - 2018'!E107</f>
        <v>-100000</v>
      </c>
      <c r="C107" s="50"/>
      <c r="D107" s="50"/>
      <c r="E107" s="50">
        <f t="shared" si="8"/>
        <v>-100000</v>
      </c>
      <c r="F107" s="50"/>
      <c r="G107" s="62" t="s">
        <v>48</v>
      </c>
      <c r="H107" s="50">
        <f>'5.3 - 2018'!K107</f>
        <v>-8383.56</v>
      </c>
      <c r="I107" s="54">
        <f>B107/5</f>
        <v>-20000</v>
      </c>
      <c r="J107" s="54"/>
      <c r="K107" s="50">
        <f t="shared" si="9"/>
        <v>-28383.559999999998</v>
      </c>
      <c r="L107" s="50"/>
      <c r="M107" s="50"/>
    </row>
    <row r="108" spans="1:16">
      <c r="A108" s="30" t="s">
        <v>57</v>
      </c>
      <c r="B108" s="50">
        <f>'5.3 - 2018'!E108</f>
        <v>243044.71</v>
      </c>
      <c r="C108" s="50"/>
      <c r="D108" s="50">
        <v>-243044.71</v>
      </c>
      <c r="E108" s="50">
        <f t="shared" si="8"/>
        <v>0</v>
      </c>
      <c r="F108" s="50"/>
      <c r="G108" s="62" t="s">
        <v>49</v>
      </c>
      <c r="H108" s="50">
        <f>'5.3 - 2018'!K108</f>
        <v>222790.93</v>
      </c>
      <c r="I108" s="54">
        <f>B108/12</f>
        <v>20253.725833333334</v>
      </c>
      <c r="J108" s="54">
        <v>-243044.71</v>
      </c>
      <c r="K108" s="50">
        <f t="shared" si="9"/>
        <v>-5.4166666668606922E-2</v>
      </c>
      <c r="L108" s="50"/>
    </row>
    <row r="109" spans="1:16">
      <c r="A109" s="30" t="s">
        <v>58</v>
      </c>
      <c r="B109" s="50">
        <f>'5.3 - 2018'!E109</f>
        <v>185010.89</v>
      </c>
      <c r="C109" s="50"/>
      <c r="D109" s="50"/>
      <c r="E109" s="50">
        <f t="shared" si="8"/>
        <v>185010.89</v>
      </c>
      <c r="F109" s="50"/>
      <c r="G109" s="62" t="s">
        <v>69</v>
      </c>
      <c r="H109" s="50">
        <f>'5.3 - 2018'!K109</f>
        <v>45224.55</v>
      </c>
      <c r="I109" s="54">
        <f>B109/45</f>
        <v>4111.3531111111115</v>
      </c>
      <c r="J109" s="54"/>
      <c r="K109" s="50">
        <f t="shared" si="9"/>
        <v>49335.903111111111</v>
      </c>
      <c r="L109" s="50"/>
    </row>
    <row r="110" spans="1:16">
      <c r="A110" s="49"/>
      <c r="B110" s="50"/>
      <c r="C110" s="50"/>
      <c r="D110" s="50"/>
      <c r="E110" s="50"/>
      <c r="F110" s="50"/>
      <c r="G110" s="62"/>
      <c r="H110" s="50"/>
      <c r="I110" s="50"/>
      <c r="J110" s="50"/>
      <c r="K110" s="54"/>
      <c r="M110" s="50"/>
    </row>
    <row r="111" spans="1:16">
      <c r="A111" s="33" t="s">
        <v>160</v>
      </c>
      <c r="B111" s="50">
        <f>SUM(B97:B110)</f>
        <v>3890638.9500000011</v>
      </c>
      <c r="C111" s="50">
        <f>SUM(C97:C110)</f>
        <v>399293.89</v>
      </c>
      <c r="D111" s="50">
        <f>SUM(D97:D110)</f>
        <v>-243044.71</v>
      </c>
      <c r="E111" s="50">
        <f>SUM(E97:E110)</f>
        <v>4046888.1300000013</v>
      </c>
      <c r="F111" s="50"/>
      <c r="G111" s="50"/>
      <c r="H111" s="50">
        <f>SUM(H97:H110)</f>
        <v>999637.75</v>
      </c>
      <c r="I111" s="50">
        <f>SUM(I97:I110)</f>
        <v>465330.67494444444</v>
      </c>
      <c r="J111" s="50">
        <f>SUM(J97:J110)</f>
        <v>-243044.71</v>
      </c>
      <c r="K111" s="50">
        <f>SUM(K97:K110)</f>
        <v>1221923.7149444444</v>
      </c>
      <c r="L111" s="50"/>
      <c r="M111" s="50"/>
      <c r="N111" s="50"/>
      <c r="O111" s="50"/>
      <c r="P111" s="50"/>
    </row>
    <row r="112" spans="1:16">
      <c r="A112" s="49"/>
      <c r="B112" s="50"/>
      <c r="C112" s="50"/>
      <c r="D112" s="50"/>
      <c r="E112" s="50"/>
      <c r="F112" s="50"/>
      <c r="G112" s="62"/>
      <c r="H112" s="50"/>
      <c r="I112" s="50"/>
      <c r="J112" s="50"/>
      <c r="K112" s="54"/>
      <c r="L112" s="50"/>
    </row>
    <row r="113" spans="1:14">
      <c r="A113" s="33" t="s">
        <v>149</v>
      </c>
      <c r="B113" s="50"/>
      <c r="C113" s="50"/>
      <c r="D113" s="50"/>
      <c r="E113" s="50"/>
      <c r="F113" s="50"/>
      <c r="G113" s="50"/>
      <c r="H113" s="50"/>
      <c r="I113" s="50"/>
      <c r="J113" s="50"/>
      <c r="K113" s="50"/>
    </row>
    <row r="114" spans="1:14">
      <c r="A114" s="49" t="s">
        <v>193</v>
      </c>
      <c r="B114" s="50">
        <v>0</v>
      </c>
      <c r="C114" s="50">
        <v>310842.18</v>
      </c>
      <c r="D114" s="54"/>
      <c r="E114" s="50">
        <f t="shared" ref="E114:E120" si="10">B114+C114+D114</f>
        <v>310842.18</v>
      </c>
      <c r="F114" s="50"/>
      <c r="G114" s="50"/>
      <c r="H114" s="50"/>
      <c r="I114" s="50"/>
      <c r="J114" s="50"/>
      <c r="K114" s="50"/>
    </row>
    <row r="115" spans="1:14">
      <c r="A115" s="49" t="s">
        <v>68</v>
      </c>
      <c r="B115" s="50">
        <f>'5.3 - 2018'!E116</f>
        <v>0</v>
      </c>
      <c r="C115" s="50">
        <v>14284.74</v>
      </c>
      <c r="D115" s="54">
        <f>-B115-C115</f>
        <v>-14284.74</v>
      </c>
      <c r="E115" s="50">
        <f t="shared" si="10"/>
        <v>0</v>
      </c>
      <c r="F115" s="50"/>
      <c r="G115" s="50"/>
      <c r="H115" s="50"/>
      <c r="I115" s="50"/>
      <c r="J115" s="50"/>
      <c r="K115" s="50"/>
    </row>
    <row r="116" spans="1:14">
      <c r="A116" s="49" t="s">
        <v>112</v>
      </c>
      <c r="B116" s="50">
        <f>'5.3 - 2018'!E117</f>
        <v>257478.16</v>
      </c>
      <c r="C116" s="50">
        <v>127530.99</v>
      </c>
      <c r="D116" s="54">
        <f>-B116-C116</f>
        <v>-385009.15</v>
      </c>
      <c r="E116" s="50">
        <f t="shared" si="10"/>
        <v>0</v>
      </c>
      <c r="F116" s="50"/>
      <c r="G116" s="50"/>
      <c r="H116" s="50"/>
      <c r="I116" s="50"/>
      <c r="J116" s="50"/>
      <c r="K116" s="50"/>
    </row>
    <row r="117" spans="1:14">
      <c r="A117" s="49" t="s">
        <v>244</v>
      </c>
      <c r="B117" s="50">
        <v>0</v>
      </c>
      <c r="C117" s="50">
        <f>433612.2</f>
        <v>433612.2</v>
      </c>
      <c r="D117" s="54"/>
      <c r="E117" s="50">
        <f t="shared" si="10"/>
        <v>433612.2</v>
      </c>
      <c r="F117" s="50"/>
      <c r="G117" s="50"/>
      <c r="H117" s="50"/>
      <c r="I117" s="50"/>
      <c r="J117" s="50"/>
      <c r="K117" s="50"/>
    </row>
    <row r="118" spans="1:14">
      <c r="A118" s="49" t="s">
        <v>245</v>
      </c>
      <c r="B118" s="50">
        <v>0</v>
      </c>
      <c r="C118" s="50">
        <v>-365315.28</v>
      </c>
      <c r="D118" s="54"/>
      <c r="E118" s="50">
        <f t="shared" si="10"/>
        <v>-365315.28</v>
      </c>
      <c r="F118" s="50"/>
      <c r="G118" s="50"/>
      <c r="H118" s="50"/>
      <c r="I118" s="50"/>
      <c r="J118" s="50"/>
      <c r="K118" s="50"/>
    </row>
    <row r="119" spans="1:14">
      <c r="A119" s="49" t="s">
        <v>157</v>
      </c>
      <c r="B119" s="50">
        <f>'5.3 - 2018'!E118</f>
        <v>925038.39000000013</v>
      </c>
      <c r="C119" s="50">
        <v>43549.19</v>
      </c>
      <c r="D119" s="54">
        <v>-834879.17</v>
      </c>
      <c r="E119" s="50">
        <f t="shared" si="10"/>
        <v>133708.41000000003</v>
      </c>
      <c r="F119" s="50"/>
      <c r="G119" s="50"/>
      <c r="H119" s="50"/>
      <c r="I119" s="50"/>
      <c r="J119" s="50"/>
      <c r="K119" s="50"/>
    </row>
    <row r="120" spans="1:14">
      <c r="A120" s="49" t="s">
        <v>252</v>
      </c>
      <c r="B120" s="50">
        <f>'5.3 - 2018'!E119</f>
        <v>0</v>
      </c>
      <c r="C120" s="50">
        <v>154874.89000000001</v>
      </c>
      <c r="D120" s="54"/>
      <c r="E120" s="50">
        <f t="shared" si="10"/>
        <v>154874.89000000001</v>
      </c>
      <c r="F120" s="50"/>
      <c r="G120" s="50"/>
      <c r="H120" s="50"/>
      <c r="I120" s="50"/>
      <c r="J120" s="50"/>
      <c r="K120" s="50"/>
    </row>
    <row r="121" spans="1:14">
      <c r="A121" s="49"/>
      <c r="B121" s="50"/>
      <c r="C121" s="50"/>
      <c r="D121" s="50"/>
      <c r="E121" s="50"/>
      <c r="F121" s="50"/>
      <c r="G121" s="50"/>
      <c r="H121" s="50"/>
      <c r="I121" s="50"/>
      <c r="J121" s="50"/>
      <c r="K121" s="50"/>
      <c r="M121" s="50"/>
    </row>
    <row r="122" spans="1:14">
      <c r="A122" s="33" t="s">
        <v>161</v>
      </c>
      <c r="B122" s="50">
        <f>SUM(B114:B121)</f>
        <v>1182516.55</v>
      </c>
      <c r="C122" s="50">
        <f>SUM(C114:C121)</f>
        <v>719378.91</v>
      </c>
      <c r="D122" s="50">
        <f>SUM(D114:D121)</f>
        <v>-1234173.06</v>
      </c>
      <c r="E122" s="50">
        <f>SUM(E114:E121)</f>
        <v>667722.4</v>
      </c>
      <c r="F122" s="50"/>
      <c r="G122" s="50"/>
      <c r="H122" s="50"/>
      <c r="I122" s="50"/>
      <c r="J122" s="50"/>
      <c r="K122" s="50"/>
      <c r="M122" s="50"/>
      <c r="N122" s="50"/>
    </row>
    <row r="123" spans="1:14">
      <c r="B123" s="50"/>
      <c r="C123" s="50"/>
      <c r="D123" s="50"/>
      <c r="E123" s="50"/>
      <c r="F123" s="50"/>
      <c r="G123" s="50"/>
      <c r="H123" s="50"/>
      <c r="I123" s="50"/>
      <c r="J123" s="50"/>
      <c r="K123" s="50"/>
    </row>
    <row r="124" spans="1:14">
      <c r="A124" s="109" t="s">
        <v>162</v>
      </c>
      <c r="B124" s="51">
        <f>B111+B122</f>
        <v>5073155.5000000009</v>
      </c>
      <c r="C124" s="51">
        <f>C111+C122</f>
        <v>1118672.8</v>
      </c>
      <c r="D124" s="51">
        <f>D111+D122</f>
        <v>-1477217.77</v>
      </c>
      <c r="E124" s="51">
        <f>E111+E122</f>
        <v>4714610.5300000012</v>
      </c>
      <c r="F124" s="51"/>
      <c r="G124" s="51"/>
      <c r="H124" s="51">
        <f>H111+H122</f>
        <v>999637.75</v>
      </c>
      <c r="I124" s="51">
        <f>I111+I122</f>
        <v>465330.67494444444</v>
      </c>
      <c r="J124" s="51">
        <f>J111+J122</f>
        <v>-243044.71</v>
      </c>
      <c r="K124" s="51">
        <f>K111+K122</f>
        <v>1221923.7149444444</v>
      </c>
      <c r="L124" s="50"/>
      <c r="M124" s="50"/>
      <c r="N124" s="50"/>
    </row>
    <row r="125" spans="1:14">
      <c r="B125" s="50"/>
      <c r="C125" s="50"/>
      <c r="D125" s="50"/>
      <c r="E125" s="50"/>
      <c r="F125" s="50"/>
      <c r="G125" s="50"/>
      <c r="H125" s="50"/>
      <c r="I125" s="50"/>
      <c r="J125" s="50"/>
      <c r="K125" s="50"/>
    </row>
    <row r="126" spans="1:14">
      <c r="K126" s="50"/>
    </row>
    <row r="127" spans="1:14">
      <c r="A127" s="33" t="s">
        <v>62</v>
      </c>
      <c r="B127" s="50"/>
      <c r="C127" s="50"/>
      <c r="D127" s="50"/>
      <c r="E127" s="50"/>
      <c r="F127" s="50"/>
      <c r="G127" s="50"/>
      <c r="H127" s="50"/>
      <c r="I127" s="50"/>
      <c r="J127" s="50"/>
      <c r="K127" s="50"/>
    </row>
    <row r="128" spans="1:14">
      <c r="A128" s="110" t="s">
        <v>150</v>
      </c>
      <c r="B128" s="50"/>
      <c r="C128" s="50"/>
      <c r="D128" s="50"/>
      <c r="E128" s="50"/>
      <c r="F128" s="50"/>
      <c r="G128" s="50"/>
      <c r="H128" s="50"/>
      <c r="I128" s="50"/>
      <c r="J128" s="50"/>
      <c r="K128" s="50"/>
    </row>
    <row r="129" spans="1:20">
      <c r="A129" s="30" t="s">
        <v>61</v>
      </c>
      <c r="B129" s="50">
        <f>'5.3 - 2018'!E129</f>
        <v>7379361.0699999994</v>
      </c>
      <c r="C129" s="50"/>
      <c r="D129" s="50">
        <v>-7379361.0700000003</v>
      </c>
      <c r="E129" s="50">
        <f>B129+C129+D129</f>
        <v>0</v>
      </c>
      <c r="F129" s="50"/>
      <c r="G129" s="50"/>
      <c r="H129" s="50">
        <f>'5.3 - 2018'!K129</f>
        <v>6985296.9599999981</v>
      </c>
      <c r="I129" s="50">
        <v>394064.11</v>
      </c>
      <c r="J129" s="50">
        <v>-7379361</v>
      </c>
      <c r="K129" s="50">
        <f>H129+I129+J129</f>
        <v>6.9999998435378075E-2</v>
      </c>
      <c r="L129" s="50"/>
    </row>
    <row r="130" spans="1:20">
      <c r="A130" s="30" t="s">
        <v>195</v>
      </c>
      <c r="B130" s="50">
        <v>0</v>
      </c>
      <c r="C130" s="50">
        <f>-D141</f>
        <v>804592.61</v>
      </c>
      <c r="D130" s="50"/>
      <c r="E130" s="50">
        <f>B130+C130+D130</f>
        <v>804592.61</v>
      </c>
      <c r="F130" s="50"/>
      <c r="G130" s="50"/>
      <c r="H130" s="50">
        <v>0</v>
      </c>
      <c r="I130" s="50">
        <v>0</v>
      </c>
      <c r="J130" s="50"/>
      <c r="K130" s="50">
        <f t="shared" ref="K130:K133" si="11">H130+I130+J130</f>
        <v>0</v>
      </c>
      <c r="L130" s="50"/>
    </row>
    <row r="131" spans="1:20">
      <c r="A131" s="30" t="s">
        <v>177</v>
      </c>
      <c r="B131" s="50">
        <v>0</v>
      </c>
      <c r="C131" s="50">
        <f>-D142</f>
        <v>39986.850000000006</v>
      </c>
      <c r="D131" s="50"/>
      <c r="E131" s="50">
        <f>B131+C131+D131</f>
        <v>39986.850000000006</v>
      </c>
      <c r="F131" s="50"/>
      <c r="G131" s="50"/>
      <c r="H131" s="50">
        <v>0</v>
      </c>
      <c r="I131" s="50">
        <v>799.74</v>
      </c>
      <c r="J131" s="50"/>
      <c r="K131" s="50">
        <f t="shared" si="11"/>
        <v>799.74</v>
      </c>
      <c r="L131" s="50"/>
    </row>
    <row r="132" spans="1:20">
      <c r="A132" s="30" t="s">
        <v>63</v>
      </c>
      <c r="B132" s="50">
        <f>'5.3 - 2018'!E130</f>
        <v>285867.32</v>
      </c>
      <c r="C132" s="50"/>
      <c r="D132" s="50"/>
      <c r="E132" s="50">
        <f>B132+C132+D132</f>
        <v>285867.32</v>
      </c>
      <c r="F132" s="50"/>
      <c r="G132" s="50"/>
      <c r="H132" s="50">
        <f>'5.3 - 2018'!K130</f>
        <v>157678.443</v>
      </c>
      <c r="I132" s="50">
        <v>20603.59</v>
      </c>
      <c r="J132" s="50"/>
      <c r="K132" s="50">
        <f t="shared" si="11"/>
        <v>178282.033</v>
      </c>
      <c r="L132" s="50"/>
    </row>
    <row r="133" spans="1:20">
      <c r="A133" s="30" t="s">
        <v>64</v>
      </c>
      <c r="B133" s="50">
        <f>'5.3 - 2018'!E131</f>
        <v>139005.57</v>
      </c>
      <c r="D133" s="50">
        <v>-10203.969999999999</v>
      </c>
      <c r="E133" s="50">
        <f>B133+C133+D133</f>
        <v>128801.60000000001</v>
      </c>
      <c r="F133" s="50"/>
      <c r="G133" s="50"/>
      <c r="H133" s="50">
        <f>'5.3 - 2018'!K131</f>
        <v>61983.14916666667</v>
      </c>
      <c r="I133" s="50">
        <v>11077.02</v>
      </c>
      <c r="J133" s="50">
        <v>-10203.969999999999</v>
      </c>
      <c r="K133" s="50">
        <f t="shared" si="11"/>
        <v>62856.199166666673</v>
      </c>
      <c r="L133" s="50"/>
    </row>
    <row r="134" spans="1:20">
      <c r="B134" s="50"/>
      <c r="C134" s="50"/>
      <c r="D134" s="50"/>
      <c r="E134" s="50"/>
      <c r="F134" s="50"/>
      <c r="G134" s="50"/>
      <c r="H134" s="50"/>
      <c r="I134" s="50"/>
      <c r="J134" s="50"/>
      <c r="K134" s="50"/>
      <c r="M134" s="50"/>
      <c r="R134" s="50"/>
    </row>
    <row r="135" spans="1:20">
      <c r="A135" s="33" t="s">
        <v>65</v>
      </c>
      <c r="B135" s="50">
        <f>SUM(B128:B134)</f>
        <v>7804233.96</v>
      </c>
      <c r="C135" s="50">
        <f>SUM(C128:C134)</f>
        <v>844579.46</v>
      </c>
      <c r="D135" s="50">
        <f>SUM(D128:D134)</f>
        <v>-7389565.04</v>
      </c>
      <c r="E135" s="50">
        <f>SUM(E128:E134)</f>
        <v>1259248.3800000001</v>
      </c>
      <c r="F135" s="50"/>
      <c r="G135" s="50"/>
      <c r="H135" s="50">
        <f>SUM(H128:H134)</f>
        <v>7204958.552166665</v>
      </c>
      <c r="I135" s="50">
        <f>SUM(I128:I134)</f>
        <v>426544.46</v>
      </c>
      <c r="J135" s="50">
        <f>SUM(J128:J134)</f>
        <v>-7389564.9699999997</v>
      </c>
      <c r="K135" s="50">
        <f>SUM(K128:K134)</f>
        <v>241938.04216666508</v>
      </c>
      <c r="L135" s="50"/>
      <c r="M135" s="50"/>
      <c r="N135" s="50"/>
      <c r="O135" s="50"/>
      <c r="P135" s="50"/>
      <c r="S135" s="50"/>
    </row>
    <row r="136" spans="1:20">
      <c r="B136" s="50"/>
      <c r="C136" s="50"/>
      <c r="D136" s="50"/>
      <c r="E136" s="50"/>
      <c r="F136" s="50"/>
      <c r="G136" s="50"/>
      <c r="H136" s="50"/>
      <c r="I136" s="50"/>
      <c r="J136" s="50"/>
      <c r="K136" s="50"/>
      <c r="S136" s="50"/>
    </row>
    <row r="137" spans="1:20">
      <c r="A137" s="33" t="s">
        <v>149</v>
      </c>
      <c r="B137" s="50"/>
      <c r="C137" s="50"/>
      <c r="D137" s="50"/>
      <c r="E137" s="50"/>
      <c r="F137" s="50"/>
      <c r="G137" s="50"/>
      <c r="H137" s="50"/>
      <c r="I137" s="50"/>
      <c r="J137" s="50"/>
      <c r="K137" s="50"/>
    </row>
    <row r="138" spans="1:20">
      <c r="A138" s="30" t="s">
        <v>87</v>
      </c>
      <c r="B138" s="50">
        <v>0</v>
      </c>
      <c r="C138" s="50">
        <v>0</v>
      </c>
      <c r="D138" s="50">
        <f>-D83</f>
        <v>516799.66</v>
      </c>
      <c r="E138" s="50">
        <f>B138+C138+D138</f>
        <v>516799.66</v>
      </c>
      <c r="F138" s="50"/>
      <c r="G138" s="50"/>
      <c r="H138" s="50"/>
      <c r="I138" s="50"/>
      <c r="J138" s="50"/>
      <c r="K138" s="50"/>
      <c r="L138" s="50"/>
    </row>
    <row r="139" spans="1:20">
      <c r="A139" s="30" t="s">
        <v>176</v>
      </c>
      <c r="B139" s="50">
        <f>'5.3 - 2018'!E136</f>
        <v>2868447.25</v>
      </c>
      <c r="C139" s="50">
        <v>250506.94</v>
      </c>
      <c r="D139" s="50"/>
      <c r="E139" s="50">
        <f>B139+C139+D139</f>
        <v>3118954.19</v>
      </c>
      <c r="F139" s="50"/>
      <c r="G139" s="50"/>
      <c r="H139" s="50"/>
      <c r="I139" s="50"/>
      <c r="J139" s="50"/>
      <c r="K139" s="50"/>
      <c r="L139" s="50"/>
    </row>
    <row r="140" spans="1:20">
      <c r="A140" s="30" t="s">
        <v>194</v>
      </c>
      <c r="B140" s="50">
        <f>'5.3 - 2018'!E137</f>
        <v>4957199.0999999996</v>
      </c>
      <c r="C140" s="50">
        <v>512754.81</v>
      </c>
      <c r="D140" s="50"/>
      <c r="E140" s="50">
        <f>B140+C140+D140</f>
        <v>5469953.9099999992</v>
      </c>
      <c r="F140" s="50"/>
      <c r="G140" s="50"/>
      <c r="H140" s="50"/>
      <c r="I140" s="50"/>
      <c r="J140" s="50"/>
      <c r="K140" s="50"/>
      <c r="L140" s="50"/>
    </row>
    <row r="141" spans="1:20">
      <c r="A141" s="30" t="s">
        <v>195</v>
      </c>
      <c r="B141" s="50">
        <v>0</v>
      </c>
      <c r="C141" s="50">
        <v>804592.61</v>
      </c>
      <c r="D141" s="50">
        <f>-B141-C141</f>
        <v>-804592.61</v>
      </c>
      <c r="E141" s="50">
        <f>B141+C141+D141</f>
        <v>0</v>
      </c>
      <c r="F141" s="50"/>
      <c r="G141" s="50"/>
      <c r="H141" s="50"/>
      <c r="I141" s="50"/>
      <c r="J141" s="50"/>
      <c r="K141" s="50"/>
      <c r="L141" s="50"/>
    </row>
    <row r="142" spans="1:20">
      <c r="A142" s="30" t="s">
        <v>177</v>
      </c>
      <c r="B142" s="50">
        <f>'5.3 - 2018'!E138</f>
        <v>22203.040000000001</v>
      </c>
      <c r="C142" s="50">
        <v>17783.810000000001</v>
      </c>
      <c r="D142" s="50">
        <f>-B142-C142</f>
        <v>-39986.850000000006</v>
      </c>
      <c r="E142" s="50">
        <f>B142+C142+D142</f>
        <v>0</v>
      </c>
      <c r="F142" s="50"/>
      <c r="G142" s="50"/>
      <c r="H142" s="50"/>
      <c r="I142" s="50"/>
      <c r="J142" s="50"/>
      <c r="K142" s="50"/>
      <c r="L142" s="50"/>
    </row>
    <row r="143" spans="1:20">
      <c r="B143" s="50"/>
      <c r="C143" s="50"/>
      <c r="D143" s="50"/>
      <c r="E143" s="50"/>
      <c r="F143" s="50"/>
      <c r="G143" s="50"/>
      <c r="H143" s="50"/>
      <c r="I143" s="50"/>
      <c r="J143" s="50"/>
      <c r="K143" s="50"/>
      <c r="L143" s="50"/>
    </row>
    <row r="144" spans="1:20">
      <c r="A144" s="33" t="s">
        <v>66</v>
      </c>
      <c r="B144" s="50">
        <f>SUM(B138:B142)</f>
        <v>7847849.3899999997</v>
      </c>
      <c r="C144" s="50">
        <f t="shared" ref="C144:K144" si="12">SUM(C138:C142)</f>
        <v>1585638.17</v>
      </c>
      <c r="D144" s="50">
        <f t="shared" si="12"/>
        <v>-327779.80000000005</v>
      </c>
      <c r="E144" s="50">
        <f t="shared" si="12"/>
        <v>9105707.7599999998</v>
      </c>
      <c r="F144" s="50"/>
      <c r="G144" s="50">
        <f t="shared" si="12"/>
        <v>0</v>
      </c>
      <c r="H144" s="50">
        <f t="shared" si="12"/>
        <v>0</v>
      </c>
      <c r="I144" s="50">
        <f t="shared" si="12"/>
        <v>0</v>
      </c>
      <c r="J144" s="50">
        <f t="shared" si="12"/>
        <v>0</v>
      </c>
      <c r="K144" s="50">
        <f t="shared" si="12"/>
        <v>0</v>
      </c>
      <c r="L144" s="50"/>
      <c r="M144" s="50"/>
      <c r="N144" s="50"/>
      <c r="T144" s="50"/>
    </row>
    <row r="145" spans="1:24">
      <c r="B145" s="50"/>
      <c r="C145" s="50"/>
      <c r="D145" s="50"/>
      <c r="E145" s="50"/>
      <c r="F145" s="50"/>
      <c r="G145" s="50"/>
      <c r="H145" s="50"/>
      <c r="I145" s="50"/>
      <c r="J145" s="50"/>
      <c r="K145" s="50"/>
      <c r="T145" s="50"/>
    </row>
    <row r="146" spans="1:24">
      <c r="A146" s="109" t="s">
        <v>67</v>
      </c>
      <c r="B146" s="51">
        <f>B135+B144</f>
        <v>15652083.35</v>
      </c>
      <c r="C146" s="51">
        <f t="shared" ref="C146:K146" si="13">C135+C144</f>
        <v>2430217.63</v>
      </c>
      <c r="D146" s="51">
        <f t="shared" si="13"/>
        <v>-7717344.8399999999</v>
      </c>
      <c r="E146" s="51">
        <f t="shared" si="13"/>
        <v>10364956.140000001</v>
      </c>
      <c r="F146" s="51"/>
      <c r="G146" s="51">
        <f t="shared" si="13"/>
        <v>0</v>
      </c>
      <c r="H146" s="51">
        <f t="shared" si="13"/>
        <v>7204958.552166665</v>
      </c>
      <c r="I146" s="51">
        <f t="shared" si="13"/>
        <v>426544.46</v>
      </c>
      <c r="J146" s="51">
        <f t="shared" si="13"/>
        <v>-7389564.9699999997</v>
      </c>
      <c r="K146" s="51">
        <f t="shared" si="13"/>
        <v>241938.04216666508</v>
      </c>
      <c r="L146" s="50"/>
      <c r="M146" s="50"/>
      <c r="N146" s="50"/>
      <c r="S146" s="50"/>
    </row>
    <row r="147" spans="1:24">
      <c r="M147" s="50"/>
    </row>
    <row r="148" spans="1:24">
      <c r="K148" s="50"/>
    </row>
    <row r="149" spans="1:24">
      <c r="A149" s="33" t="s">
        <v>70</v>
      </c>
      <c r="B149" s="50"/>
      <c r="C149" s="50"/>
      <c r="D149" s="50"/>
      <c r="E149" s="50"/>
      <c r="F149" s="50"/>
      <c r="G149" s="50"/>
      <c r="H149" s="50"/>
      <c r="I149" s="50"/>
      <c r="J149" s="50"/>
      <c r="K149" s="50"/>
      <c r="S149" s="50"/>
    </row>
    <row r="150" spans="1:24">
      <c r="A150" s="61" t="s">
        <v>71</v>
      </c>
      <c r="B150" s="50">
        <f>'5.3 - 2018'!E146</f>
        <v>147711.95000000001</v>
      </c>
      <c r="C150" s="50"/>
      <c r="D150" s="50"/>
      <c r="E150" s="50">
        <f>SUM(B150:D150)</f>
        <v>147711.95000000001</v>
      </c>
      <c r="F150" s="50"/>
      <c r="G150" s="62" t="s">
        <v>48</v>
      </c>
      <c r="H150" s="50">
        <f>'5.3 - 2018'!K146</f>
        <v>59084.78</v>
      </c>
      <c r="I150" s="50">
        <f>E150/5</f>
        <v>29542.390000000003</v>
      </c>
      <c r="J150" s="50">
        <v>0</v>
      </c>
      <c r="K150" s="50">
        <f>H150+I150+J150</f>
        <v>88627.17</v>
      </c>
      <c r="S150" s="50"/>
    </row>
    <row r="151" spans="1:24">
      <c r="A151" s="30" t="s">
        <v>60</v>
      </c>
      <c r="B151" s="50">
        <f>'5.3 - 2018'!E147</f>
        <v>0</v>
      </c>
      <c r="C151" s="50"/>
      <c r="D151" s="50"/>
      <c r="E151" s="50">
        <f>SUM(B151:D151)</f>
        <v>0</v>
      </c>
      <c r="F151" s="50"/>
      <c r="G151" s="50"/>
      <c r="H151" s="50"/>
      <c r="I151" s="50"/>
      <c r="J151" s="50"/>
      <c r="K151" s="50"/>
      <c r="S151" s="50"/>
    </row>
    <row r="152" spans="1:24">
      <c r="A152" s="72" t="s">
        <v>120</v>
      </c>
      <c r="B152" s="51">
        <f>'5.3 - 2018'!E148</f>
        <v>147711.95000000001</v>
      </c>
      <c r="C152" s="51">
        <f t="shared" ref="C152:E152" si="14">SUM(C150:C151)</f>
        <v>0</v>
      </c>
      <c r="D152" s="51">
        <f t="shared" si="14"/>
        <v>0</v>
      </c>
      <c r="E152" s="51">
        <f t="shared" si="14"/>
        <v>147711.95000000001</v>
      </c>
      <c r="F152" s="51"/>
      <c r="G152" s="51"/>
      <c r="H152" s="51">
        <f>'5.3 - 2018'!K148</f>
        <v>59084.78</v>
      </c>
      <c r="I152" s="51">
        <f t="shared" ref="I152:K152" si="15">SUM(I150:I151)</f>
        <v>29542.390000000003</v>
      </c>
      <c r="J152" s="51">
        <f t="shared" si="15"/>
        <v>0</v>
      </c>
      <c r="K152" s="51">
        <f t="shared" si="15"/>
        <v>88627.17</v>
      </c>
      <c r="L152" s="50"/>
      <c r="M152" s="50"/>
      <c r="N152" s="50"/>
      <c r="S152" s="50"/>
    </row>
    <row r="154" spans="1:24">
      <c r="A154" s="63"/>
      <c r="B154" s="51"/>
      <c r="C154" s="51"/>
      <c r="D154" s="51"/>
      <c r="E154" s="51"/>
      <c r="F154" s="68"/>
      <c r="G154" s="35"/>
      <c r="H154" s="51"/>
      <c r="I154" s="51"/>
      <c r="J154" s="51"/>
      <c r="K154" s="51"/>
    </row>
    <row r="155" spans="1:24">
      <c r="A155" s="64" t="s">
        <v>73</v>
      </c>
      <c r="B155" s="65">
        <f>B94+B124+B146+B152</f>
        <v>43749126.930000007</v>
      </c>
      <c r="C155" s="65">
        <f>C94+C124+C146+C152</f>
        <v>5235730.47</v>
      </c>
      <c r="D155" s="65">
        <f>D94+D124+D146+D152</f>
        <v>-10051513.17</v>
      </c>
      <c r="E155" s="65">
        <f>E94+E124+E146+E152</f>
        <v>38933344.230000004</v>
      </c>
      <c r="F155" s="68"/>
      <c r="G155" s="35"/>
      <c r="H155" s="65">
        <f>H94+H124+H146+H152</f>
        <v>13341447.812166667</v>
      </c>
      <c r="I155" s="65">
        <f>I94+I124+I146+I152</f>
        <v>2744913.594944444</v>
      </c>
      <c r="J155" s="65">
        <f>J94+J124+J146+J152</f>
        <v>-7668358.79</v>
      </c>
      <c r="K155" s="65">
        <f>K94+K124+K146+K152</f>
        <v>8418002.6171111111</v>
      </c>
      <c r="L155" s="50"/>
      <c r="M155" s="50"/>
      <c r="N155" s="50"/>
      <c r="S155" s="50"/>
      <c r="X155" s="50"/>
    </row>
    <row r="156" spans="1:24">
      <c r="A156" s="66"/>
      <c r="B156" s="67"/>
      <c r="C156" s="67"/>
      <c r="D156" s="67"/>
      <c r="E156" s="67"/>
      <c r="F156" s="68"/>
      <c r="G156" s="35"/>
      <c r="H156" s="68"/>
      <c r="I156" s="68"/>
      <c r="J156" s="68"/>
      <c r="K156" s="68"/>
      <c r="S156" s="50"/>
      <c r="X156" s="50"/>
    </row>
    <row r="157" spans="1:24">
      <c r="A157" s="64" t="s">
        <v>80</v>
      </c>
      <c r="B157" s="67"/>
      <c r="C157" s="67"/>
      <c r="D157" s="67"/>
      <c r="E157" s="69">
        <f>E72+E111+E135+E152</f>
        <v>18996230.649999999</v>
      </c>
      <c r="F157" s="68"/>
      <c r="G157" s="35"/>
      <c r="H157" s="68"/>
      <c r="I157" s="68"/>
      <c r="J157" s="68"/>
      <c r="K157" s="68"/>
      <c r="S157" s="50"/>
    </row>
    <row r="158" spans="1:24">
      <c r="A158" s="64" t="s">
        <v>72</v>
      </c>
      <c r="B158" s="67"/>
      <c r="C158" s="67"/>
      <c r="D158" s="67"/>
      <c r="E158" s="69">
        <f>E92+E122+E144</f>
        <v>19937113.579999998</v>
      </c>
      <c r="F158" s="68"/>
      <c r="G158" s="35"/>
      <c r="H158" s="68"/>
      <c r="I158" s="68"/>
      <c r="J158" s="68"/>
      <c r="K158" s="68"/>
      <c r="M158" s="50"/>
      <c r="N158" s="101"/>
    </row>
    <row r="159" spans="1:24">
      <c r="A159" s="66"/>
      <c r="B159" s="67"/>
      <c r="C159" s="67"/>
      <c r="D159" s="67"/>
      <c r="E159" s="67"/>
      <c r="F159" s="68"/>
      <c r="G159" s="35"/>
      <c r="H159" s="68"/>
      <c r="I159" s="68"/>
      <c r="J159" s="68"/>
      <c r="K159" s="68"/>
      <c r="X159" s="50"/>
    </row>
    <row r="160" spans="1:24">
      <c r="A160" s="64" t="s">
        <v>81</v>
      </c>
      <c r="B160" s="67"/>
      <c r="C160" s="67"/>
      <c r="D160" s="67"/>
      <c r="E160" s="67"/>
      <c r="F160" s="68"/>
      <c r="G160" s="35"/>
      <c r="H160" s="68"/>
      <c r="I160" s="68"/>
      <c r="J160" s="68"/>
      <c r="K160" s="70">
        <f>E157-K155</f>
        <v>10578228.032888887</v>
      </c>
      <c r="L160" s="35"/>
      <c r="X160" s="50"/>
    </row>
    <row r="162" spans="1:11">
      <c r="A162" s="66" t="s">
        <v>79</v>
      </c>
      <c r="B162" s="67"/>
      <c r="C162" s="67"/>
      <c r="D162" s="67"/>
      <c r="E162" s="67"/>
      <c r="F162" s="68"/>
      <c r="G162" s="35"/>
      <c r="H162" s="68"/>
      <c r="I162" s="68"/>
      <c r="J162" s="68"/>
      <c r="K162" s="70"/>
    </row>
    <row r="163" spans="1:11" ht="12.75" customHeight="1">
      <c r="A163" s="66" t="s">
        <v>82</v>
      </c>
      <c r="B163" s="67"/>
      <c r="C163" s="67"/>
      <c r="D163" s="67"/>
      <c r="E163" s="67"/>
      <c r="F163" s="68"/>
      <c r="G163" s="35"/>
      <c r="H163" s="68"/>
      <c r="I163" s="68"/>
      <c r="J163" s="68"/>
      <c r="K163" s="70"/>
    </row>
  </sheetData>
  <mergeCells count="3">
    <mergeCell ref="B5:E5"/>
    <mergeCell ref="H5:K5"/>
    <mergeCell ref="G6:G7"/>
  </mergeCells>
  <conditionalFormatting sqref="A121">
    <cfRule type="expression" dxfId="59" priority="16" stopIfTrue="1">
      <formula>AND(MONTH(#REF!)-MONTH(#REF!)=1,YEAR(#REF!)=YEAR(#REF!),#REF!&gt;0)</formula>
    </cfRule>
    <cfRule type="expression" dxfId="58" priority="17" stopIfTrue="1">
      <formula>AND(MONTH(#REF!)-MONTH(#REF!)=0,YEAR(#REF!)=YEAR(#REF!),#REF!&gt;0)</formula>
    </cfRule>
    <cfRule type="expression" dxfId="57" priority="18" stopIfTrue="1">
      <formula>AND(MONTH(#REF!)-MONTH(#REF!)&lt;0,YEAR(#REF!)=YEAR(#REF!),#REF!&gt;0)</formula>
    </cfRule>
  </conditionalFormatting>
  <conditionalFormatting sqref="A100 A110 A114:A120">
    <cfRule type="expression" dxfId="56" priority="13" stopIfTrue="1">
      <formula>AND(MONTH(#REF!)-MONTH(#REF!)=1,YEAR(#REF!)=YEAR(#REF!),#REF!&gt;0)</formula>
    </cfRule>
    <cfRule type="expression" dxfId="55" priority="14" stopIfTrue="1">
      <formula>AND(MONTH(#REF!)-MONTH(#REF!)=0,YEAR(#REF!)=YEAR(#REF!),#REF!&gt;0)</formula>
    </cfRule>
    <cfRule type="expression" dxfId="54" priority="15" stopIfTrue="1">
      <formula>AND(MONTH(#REF!)-MONTH(#REF!)&lt;0,YEAR(#REF!)=YEAR(#REF!),#REF!&gt;0)</formula>
    </cfRule>
  </conditionalFormatting>
  <conditionalFormatting sqref="A105 A101:A103">
    <cfRule type="expression" dxfId="53" priority="10" stopIfTrue="1">
      <formula>AND(MONTH(#REF!)-MONTH(#REF!)=1,YEAR(#REF!)=YEAR(#REF!),#REF!&gt;0)</formula>
    </cfRule>
    <cfRule type="expression" dxfId="52" priority="11" stopIfTrue="1">
      <formula>AND(MONTH(#REF!)-MONTH(#REF!)=0,YEAR(#REF!)=YEAR(#REF!),#REF!&gt;0)</formula>
    </cfRule>
    <cfRule type="expression" dxfId="51" priority="12" stopIfTrue="1">
      <formula>AND(MONTH(#REF!)-MONTH(#REF!)&lt;0,YEAR(#REF!)=YEAR(#REF!),#REF!&gt;0)</formula>
    </cfRule>
  </conditionalFormatting>
  <conditionalFormatting sqref="A104">
    <cfRule type="expression" dxfId="50" priority="4" stopIfTrue="1">
      <formula>AND(MONTH(#REF!)-MONTH(#REF!)=1,YEAR(#REF!)=YEAR(#REF!),#REF!&gt;0)</formula>
    </cfRule>
    <cfRule type="expression" dxfId="49" priority="5" stopIfTrue="1">
      <formula>AND(MONTH(#REF!)-MONTH(#REF!)=0,YEAR(#REF!)=YEAR(#REF!),#REF!&gt;0)</formula>
    </cfRule>
    <cfRule type="expression" dxfId="48" priority="6" stopIfTrue="1">
      <formula>AND(MONTH(#REF!)-MONTH(#REF!)&lt;0,YEAR(#REF!)=YEAR(#REF!),#REF!&gt;0)</formula>
    </cfRule>
  </conditionalFormatting>
  <conditionalFormatting sqref="A106:A109">
    <cfRule type="expression" dxfId="47" priority="1" stopIfTrue="1">
      <formula>AND(MONTH(#REF!)-MONTH(#REF!)=1,YEAR(#REF!)=YEAR(#REF!),#REF!&gt;0)</formula>
    </cfRule>
    <cfRule type="expression" dxfId="46" priority="2" stopIfTrue="1">
      <formula>AND(MONTH(#REF!)-MONTH(#REF!)=0,YEAR(#REF!)=YEAR(#REF!),#REF!&gt;0)</formula>
    </cfRule>
    <cfRule type="expression" dxfId="45" priority="3" stopIfTrue="1">
      <formula>AND(MONTH(#REF!)-MONTH(#REF!)&lt;0,YEAR(#REF!)=YEAR(#REF!),#REF!&gt;0)</formula>
    </cfRule>
  </conditionalFormatting>
  <conditionalFormatting sqref="A112">
    <cfRule type="expression" dxfId="44" priority="31" stopIfTrue="1">
      <formula>AND(MONTH($E112)-MONTH($B$1)=1,YEAR($E112)=YEAR($B$1),$Y112&gt;0)</formula>
    </cfRule>
    <cfRule type="expression" dxfId="43" priority="32" stopIfTrue="1">
      <formula>AND(MONTH($E112)-MONTH($B$1)=0,YEAR($E112)=YEAR($B$1),$Y112&gt;0)</formula>
    </cfRule>
    <cfRule type="expression" dxfId="42" priority="33" stopIfTrue="1">
      <formula>AND(MONTH($E112)-MONTH($B$1)&lt;0,YEAR($E112)=YEAR($B$1),$Y112&gt;0)</formula>
    </cfRule>
  </conditionalFormatting>
  <dataValidations disablePrompts="1" count="1">
    <dataValidation allowBlank="1" showInputMessage="1" showErrorMessage="1" promptTitle="Change" prompt="Please Open the Regulatory Model before making any changes to this file. It is linked." sqref="K2" xr:uid="{00000000-0002-0000-0300-000000000000}"/>
  </dataValidations>
  <pageMargins left="0.70866141732283472" right="0.70866141732283472" top="0.74803149606299213" bottom="0.74803149606299213" header="0.31496062992125984" footer="0.31496062992125984"/>
  <pageSetup scale="49" fitToHeight="2" orientation="portrait" r:id="rId1"/>
  <rowBreaks count="1" manualBreakCount="1">
    <brk id="94"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68"/>
  <sheetViews>
    <sheetView view="pageBreakPreview" zoomScaleSheetLayoutView="100" workbookViewId="0">
      <pane ySplit="7" topLeftCell="A100" activePane="bottomLeft" state="frozen"/>
      <selection activeCell="A199" sqref="A199:E199"/>
      <selection pane="bottomLeft" activeCell="B121" sqref="B121"/>
    </sheetView>
  </sheetViews>
  <sheetFormatPr defaultColWidth="9.109375" defaultRowHeight="13.2"/>
  <cols>
    <col min="1" max="1" width="48.44140625" style="30" customWidth="1"/>
    <col min="2" max="2" width="13" style="30" bestFit="1" customWidth="1"/>
    <col min="3" max="3" width="12.5546875" style="30" customWidth="1"/>
    <col min="4" max="4" width="12.21875" style="30" customWidth="1"/>
    <col min="5" max="5" width="12.44140625" style="30" customWidth="1"/>
    <col min="6" max="6" width="4.5546875" style="30" customWidth="1"/>
    <col min="7" max="7" width="11.6640625" style="30" customWidth="1"/>
    <col min="8" max="8" width="11.88671875" style="30" bestFit="1" customWidth="1"/>
    <col min="9" max="10" width="12.6640625" style="30" customWidth="1"/>
    <col min="11" max="11" width="11.5546875" style="30" bestFit="1" customWidth="1"/>
    <col min="12" max="12" width="11.33203125" style="30" bestFit="1" customWidth="1"/>
    <col min="13" max="13" width="12" style="30" customWidth="1"/>
    <col min="14" max="15" width="14" style="30" bestFit="1" customWidth="1"/>
    <col min="16" max="16" width="13.6640625" style="30" customWidth="1"/>
    <col min="17" max="18" width="9.109375" style="30"/>
    <col min="19" max="19" width="11.33203125" style="30" bestFit="1" customWidth="1"/>
    <col min="20" max="23" width="9.109375" style="30"/>
    <col min="24" max="24" width="10.33203125" style="30" bestFit="1" customWidth="1"/>
    <col min="25" max="16384" width="9.109375" style="30"/>
  </cols>
  <sheetData>
    <row r="1" spans="1:16">
      <c r="A1" s="12" t="s">
        <v>15</v>
      </c>
      <c r="B1" s="12"/>
      <c r="C1" s="5"/>
      <c r="D1" s="5"/>
      <c r="E1" s="5"/>
      <c r="F1" s="5"/>
      <c r="G1" s="5"/>
      <c r="H1" s="5"/>
      <c r="I1" s="5"/>
      <c r="J1" s="5"/>
      <c r="K1" s="79" t="s">
        <v>76</v>
      </c>
    </row>
    <row r="2" spans="1:16" ht="15" customHeight="1">
      <c r="A2" s="12" t="s">
        <v>196</v>
      </c>
      <c r="B2" s="12"/>
      <c r="C2" s="5"/>
      <c r="D2" s="5"/>
      <c r="E2" s="5"/>
      <c r="F2" s="5"/>
      <c r="G2" s="5"/>
      <c r="H2" s="5"/>
      <c r="I2" s="5"/>
      <c r="J2" s="5"/>
      <c r="K2" s="14" t="str">
        <f>'5.1'!F2</f>
        <v>November 2020</v>
      </c>
    </row>
    <row r="3" spans="1:16" ht="15.75" customHeight="1" thickBot="1">
      <c r="A3" s="15" t="s">
        <v>308</v>
      </c>
      <c r="B3" s="15"/>
      <c r="C3" s="80"/>
      <c r="D3" s="80"/>
      <c r="E3" s="80"/>
      <c r="F3" s="80"/>
      <c r="G3" s="80"/>
      <c r="H3" s="80"/>
      <c r="I3" s="80"/>
      <c r="J3" s="80"/>
      <c r="K3" s="80"/>
    </row>
    <row r="4" spans="1:16" ht="13.8" thickBot="1">
      <c r="A4" s="16"/>
      <c r="B4" s="15"/>
      <c r="C4" s="80"/>
      <c r="D4" s="80"/>
      <c r="E4" s="80"/>
      <c r="F4" s="81"/>
      <c r="G4" s="81"/>
      <c r="H4" s="80"/>
      <c r="I4" s="80"/>
      <c r="J4" s="80"/>
      <c r="K4" s="80"/>
    </row>
    <row r="5" spans="1:16" ht="13.8" thickBot="1">
      <c r="A5" s="16"/>
      <c r="B5" s="136" t="s">
        <v>84</v>
      </c>
      <c r="C5" s="137"/>
      <c r="D5" s="137"/>
      <c r="E5" s="137"/>
      <c r="F5" s="82"/>
      <c r="G5" s="5"/>
      <c r="H5" s="138" t="s">
        <v>42</v>
      </c>
      <c r="I5" s="138"/>
      <c r="J5" s="138"/>
      <c r="K5" s="138"/>
    </row>
    <row r="6" spans="1:16" ht="18" customHeight="1">
      <c r="A6" s="16"/>
      <c r="B6" s="57" t="s">
        <v>43</v>
      </c>
      <c r="C6" s="116" t="s">
        <v>197</v>
      </c>
      <c r="D6" s="117"/>
      <c r="E6" s="57" t="s">
        <v>43</v>
      </c>
      <c r="F6" s="83"/>
      <c r="G6" s="139" t="s">
        <v>44</v>
      </c>
      <c r="H6" s="57" t="s">
        <v>43</v>
      </c>
      <c r="I6" s="116" t="s">
        <v>197</v>
      </c>
      <c r="J6" s="116"/>
      <c r="K6" s="57" t="s">
        <v>43</v>
      </c>
    </row>
    <row r="7" spans="1:16" ht="31.5" customHeight="1" thickBot="1">
      <c r="A7" s="16"/>
      <c r="B7" s="58">
        <f>'5.4 - 2019'!B7+1</f>
        <v>2019</v>
      </c>
      <c r="C7" s="84" t="s">
        <v>45</v>
      </c>
      <c r="D7" s="85" t="s">
        <v>123</v>
      </c>
      <c r="E7" s="86">
        <f>B7+1</f>
        <v>2020</v>
      </c>
      <c r="F7" s="86"/>
      <c r="G7" s="140"/>
      <c r="H7" s="59">
        <f>B7</f>
        <v>2019</v>
      </c>
      <c r="I7" s="85" t="s">
        <v>159</v>
      </c>
      <c r="J7" s="85" t="s">
        <v>246</v>
      </c>
      <c r="K7" s="86">
        <f>E7</f>
        <v>2020</v>
      </c>
    </row>
    <row r="8" spans="1:16">
      <c r="A8" s="33" t="s">
        <v>59</v>
      </c>
    </row>
    <row r="9" spans="1:16">
      <c r="A9" s="61" t="s">
        <v>150</v>
      </c>
      <c r="G9" s="62"/>
    </row>
    <row r="10" spans="1:16">
      <c r="A10" s="30" t="s">
        <v>198</v>
      </c>
      <c r="B10" s="54">
        <v>0</v>
      </c>
      <c r="C10" s="54">
        <f>-D81</f>
        <v>15000</v>
      </c>
      <c r="D10" s="54"/>
      <c r="E10" s="54">
        <f t="shared" ref="E10:E41" si="0">B10+C10+D10</f>
        <v>15000</v>
      </c>
      <c r="G10" s="62" t="s">
        <v>48</v>
      </c>
      <c r="H10" s="54">
        <v>0</v>
      </c>
      <c r="I10" s="54">
        <f>B10/5</f>
        <v>0</v>
      </c>
      <c r="J10" s="54"/>
      <c r="K10" s="54">
        <f>H10+I10+J10</f>
        <v>0</v>
      </c>
      <c r="L10" s="50"/>
      <c r="M10" s="50"/>
      <c r="N10" s="50"/>
      <c r="O10" s="50"/>
      <c r="P10" s="50"/>
    </row>
    <row r="11" spans="1:16">
      <c r="A11" s="30" t="s">
        <v>155</v>
      </c>
      <c r="B11" s="54">
        <f>'5.4 - 2019'!E10</f>
        <v>115894.04</v>
      </c>
      <c r="C11" s="54"/>
      <c r="D11" s="54"/>
      <c r="E11" s="54">
        <f t="shared" si="0"/>
        <v>115894.04</v>
      </c>
      <c r="G11" s="62" t="s">
        <v>48</v>
      </c>
      <c r="H11" s="54">
        <f>'5.4 - 2019'!K10</f>
        <v>69536.487999999998</v>
      </c>
      <c r="I11" s="54">
        <f>B11/5</f>
        <v>23178.807999999997</v>
      </c>
      <c r="J11" s="54"/>
      <c r="K11" s="54">
        <f t="shared" ref="K11:K73" si="1">H11+I11+J11</f>
        <v>92715.296000000002</v>
      </c>
      <c r="L11" s="50"/>
      <c r="M11" s="50"/>
      <c r="N11" s="50"/>
      <c r="O11" s="50"/>
      <c r="P11" s="50"/>
    </row>
    <row r="12" spans="1:16">
      <c r="A12" s="30" t="s">
        <v>118</v>
      </c>
      <c r="B12" s="54">
        <f>'5.4 - 2019'!E11</f>
        <v>127545.07</v>
      </c>
      <c r="C12" s="54"/>
      <c r="D12" s="54"/>
      <c r="E12" s="54">
        <f t="shared" si="0"/>
        <v>127545.07</v>
      </c>
      <c r="G12" s="62" t="s">
        <v>48</v>
      </c>
      <c r="H12" s="54">
        <f>'5.4 - 2019'!K11</f>
        <v>76527.013999999996</v>
      </c>
      <c r="I12" s="54">
        <f>B12/5</f>
        <v>25509.014000000003</v>
      </c>
      <c r="J12" s="54"/>
      <c r="K12" s="54">
        <f t="shared" si="1"/>
        <v>102036.02799999999</v>
      </c>
      <c r="L12" s="50"/>
      <c r="P12" s="50"/>
    </row>
    <row r="13" spans="1:16">
      <c r="A13" s="30" t="s">
        <v>182</v>
      </c>
      <c r="B13" s="54">
        <f>'5.4 - 2019'!E12</f>
        <v>417641.32</v>
      </c>
      <c r="C13" s="54"/>
      <c r="D13" s="54"/>
      <c r="E13" s="54">
        <f t="shared" si="0"/>
        <v>417641.32</v>
      </c>
      <c r="G13" s="62" t="s">
        <v>48</v>
      </c>
      <c r="H13" s="54">
        <f>'5.4 - 2019'!K12</f>
        <v>167056.54399999999</v>
      </c>
      <c r="I13" s="54">
        <f>B13/5</f>
        <v>83528.263999999996</v>
      </c>
      <c r="J13" s="54"/>
      <c r="K13" s="54">
        <f t="shared" si="1"/>
        <v>250584.80799999999</v>
      </c>
      <c r="L13" s="50"/>
      <c r="P13" s="50"/>
    </row>
    <row r="14" spans="1:16">
      <c r="A14" s="30" t="s">
        <v>134</v>
      </c>
      <c r="B14" s="54">
        <f>'5.4 - 2019'!E13</f>
        <v>2230652.33</v>
      </c>
      <c r="C14" s="54"/>
      <c r="D14" s="54"/>
      <c r="E14" s="54">
        <f t="shared" si="0"/>
        <v>2230652.33</v>
      </c>
      <c r="G14" s="62" t="s">
        <v>47</v>
      </c>
      <c r="H14" s="54">
        <f>'5.4 - 2019'!K13</f>
        <v>1784523.3030000001</v>
      </c>
      <c r="I14" s="54">
        <f>B14/10</f>
        <v>223065.23300000001</v>
      </c>
      <c r="J14" s="54"/>
      <c r="K14" s="54">
        <f t="shared" si="1"/>
        <v>2007588.5360000001</v>
      </c>
      <c r="L14" s="50"/>
      <c r="P14" s="50"/>
    </row>
    <row r="15" spans="1:16">
      <c r="A15" s="30" t="s">
        <v>153</v>
      </c>
      <c r="B15" s="54">
        <f>'5.4 - 2019'!E14</f>
        <v>-16500</v>
      </c>
      <c r="C15" s="54"/>
      <c r="D15" s="54"/>
      <c r="E15" s="54">
        <f t="shared" si="0"/>
        <v>-16500</v>
      </c>
      <c r="G15" s="62" t="s">
        <v>48</v>
      </c>
      <c r="H15" s="54">
        <f>'5.4 - 2019'!K14</f>
        <v>-12925</v>
      </c>
      <c r="I15" s="54">
        <f>B15/5</f>
        <v>-3300</v>
      </c>
      <c r="J15" s="54"/>
      <c r="K15" s="54">
        <f t="shared" si="1"/>
        <v>-16225</v>
      </c>
      <c r="L15" s="50"/>
      <c r="P15" s="50"/>
    </row>
    <row r="16" spans="1:16">
      <c r="A16" s="30" t="s">
        <v>90</v>
      </c>
      <c r="B16" s="54">
        <f>'5.4 - 2019'!E15</f>
        <v>71818.66</v>
      </c>
      <c r="C16" s="54"/>
      <c r="D16" s="54"/>
      <c r="E16" s="54">
        <f t="shared" si="0"/>
        <v>71818.66</v>
      </c>
      <c r="G16" s="62" t="s">
        <v>48</v>
      </c>
      <c r="H16" s="54">
        <f>'5.4 - 2019'!K15</f>
        <v>56258.072</v>
      </c>
      <c r="I16" s="54">
        <f>B16/5</f>
        <v>14363.732</v>
      </c>
      <c r="J16" s="54"/>
      <c r="K16" s="54">
        <f t="shared" si="1"/>
        <v>70621.804000000004</v>
      </c>
      <c r="L16" s="50"/>
      <c r="P16" s="50"/>
    </row>
    <row r="17" spans="1:24">
      <c r="A17" s="30" t="s">
        <v>129</v>
      </c>
      <c r="B17" s="54">
        <f>'5.4 - 2019'!E17</f>
        <v>104405.24</v>
      </c>
      <c r="C17" s="54"/>
      <c r="D17" s="54"/>
      <c r="E17" s="54">
        <f t="shared" si="0"/>
        <v>104405.24</v>
      </c>
      <c r="G17" s="62" t="s">
        <v>48</v>
      </c>
      <c r="H17" s="54">
        <f>'5.4 - 2019'!K17</f>
        <v>62643.207999999999</v>
      </c>
      <c r="I17" s="54">
        <f>B17/5</f>
        <v>20881.048000000003</v>
      </c>
      <c r="J17" s="54"/>
      <c r="K17" s="54">
        <f t="shared" si="1"/>
        <v>83524.255999999994</v>
      </c>
      <c r="L17" s="50"/>
      <c r="P17" s="50"/>
    </row>
    <row r="18" spans="1:24">
      <c r="A18" s="30" t="s">
        <v>250</v>
      </c>
      <c r="B18" s="54">
        <v>0</v>
      </c>
      <c r="C18" s="54">
        <f>-D82</f>
        <v>80000</v>
      </c>
      <c r="D18" s="54"/>
      <c r="E18" s="54">
        <f t="shared" si="0"/>
        <v>80000</v>
      </c>
      <c r="G18" s="62" t="s">
        <v>48</v>
      </c>
      <c r="H18" s="54">
        <v>0</v>
      </c>
      <c r="I18" s="54">
        <f>B18/5</f>
        <v>0</v>
      </c>
      <c r="J18" s="54"/>
      <c r="K18" s="54">
        <f t="shared" si="1"/>
        <v>0</v>
      </c>
      <c r="L18" s="50"/>
      <c r="P18" s="50"/>
    </row>
    <row r="19" spans="1:24">
      <c r="A19" s="30" t="s">
        <v>91</v>
      </c>
      <c r="B19" s="54">
        <f>'5.4 - 2019'!E18</f>
        <v>50626.91</v>
      </c>
      <c r="C19" s="54"/>
      <c r="D19" s="54">
        <v>-50626.91</v>
      </c>
      <c r="E19" s="54">
        <f t="shared" si="0"/>
        <v>0</v>
      </c>
      <c r="G19" s="62" t="s">
        <v>48</v>
      </c>
      <c r="H19" s="54">
        <f>'5.4 - 2019'!K18</f>
        <v>41316.482000000004</v>
      </c>
      <c r="I19" s="54">
        <v>9310.4500000000007</v>
      </c>
      <c r="J19" s="54">
        <v>-50626.91</v>
      </c>
      <c r="K19" s="54">
        <f t="shared" si="1"/>
        <v>2.1999999997206032E-2</v>
      </c>
      <c r="L19" s="50"/>
      <c r="P19" s="50"/>
    </row>
    <row r="20" spans="1:24">
      <c r="A20" s="30" t="s">
        <v>56</v>
      </c>
      <c r="B20" s="54">
        <f>'5.4 - 2019'!E19</f>
        <v>604376.64</v>
      </c>
      <c r="C20" s="54"/>
      <c r="D20" s="54"/>
      <c r="E20" s="54">
        <f t="shared" si="0"/>
        <v>604376.64</v>
      </c>
      <c r="G20" s="62" t="s">
        <v>48</v>
      </c>
      <c r="H20" s="54">
        <f>'5.4 - 2019'!K19</f>
        <v>332407.06800000003</v>
      </c>
      <c r="I20" s="54">
        <f t="shared" ref="I20:I35" si="2">B20/5</f>
        <v>120875.32800000001</v>
      </c>
      <c r="J20" s="54"/>
      <c r="K20" s="54">
        <f t="shared" si="1"/>
        <v>453282.39600000007</v>
      </c>
      <c r="L20" s="50"/>
      <c r="P20" s="50"/>
      <c r="X20" s="50">
        <f>C20</f>
        <v>0</v>
      </c>
    </row>
    <row r="21" spans="1:24">
      <c r="A21" s="30" t="s">
        <v>128</v>
      </c>
      <c r="B21" s="54">
        <f>'5.4 - 2019'!E20</f>
        <v>230631.12</v>
      </c>
      <c r="C21" s="54"/>
      <c r="D21" s="54"/>
      <c r="E21" s="54">
        <f t="shared" si="0"/>
        <v>230631.12</v>
      </c>
      <c r="G21" s="62" t="s">
        <v>48</v>
      </c>
      <c r="H21" s="54">
        <f>'5.4 - 2019'!K20</f>
        <v>138378.62399999998</v>
      </c>
      <c r="I21" s="54">
        <f t="shared" si="2"/>
        <v>46126.224000000002</v>
      </c>
      <c r="J21" s="54"/>
      <c r="K21" s="54">
        <f t="shared" si="1"/>
        <v>184504.848</v>
      </c>
      <c r="L21" s="50"/>
      <c r="P21" s="50"/>
    </row>
    <row r="22" spans="1:24">
      <c r="A22" s="30" t="s">
        <v>130</v>
      </c>
      <c r="B22" s="54">
        <f>'5.4 - 2019'!E21</f>
        <v>227969.33</v>
      </c>
      <c r="C22" s="54"/>
      <c r="D22" s="54"/>
      <c r="E22" s="54">
        <f t="shared" si="0"/>
        <v>227969.33</v>
      </c>
      <c r="G22" s="62" t="s">
        <v>48</v>
      </c>
      <c r="H22" s="54">
        <f>'5.4 - 2019'!K21</f>
        <v>136781.62599999996</v>
      </c>
      <c r="I22" s="54">
        <f t="shared" si="2"/>
        <v>45593.865999999995</v>
      </c>
      <c r="J22" s="54"/>
      <c r="K22" s="54">
        <f t="shared" si="1"/>
        <v>182375.49199999997</v>
      </c>
      <c r="L22" s="50"/>
      <c r="P22" s="50"/>
      <c r="X22" s="50">
        <f>C22</f>
        <v>0</v>
      </c>
    </row>
    <row r="23" spans="1:24">
      <c r="A23" s="30" t="s">
        <v>132</v>
      </c>
      <c r="B23" s="54">
        <f>'5.4 - 2019'!E22</f>
        <v>189613.55</v>
      </c>
      <c r="C23" s="54"/>
      <c r="D23" s="54"/>
      <c r="E23" s="54">
        <f t="shared" si="0"/>
        <v>189613.55</v>
      </c>
      <c r="G23" s="62" t="s">
        <v>48</v>
      </c>
      <c r="H23" s="54">
        <f>'5.4 - 2019'!K22</f>
        <v>113768.23000000001</v>
      </c>
      <c r="I23" s="54">
        <f t="shared" si="2"/>
        <v>37922.71</v>
      </c>
      <c r="J23" s="54"/>
      <c r="K23" s="54">
        <f t="shared" si="1"/>
        <v>151690.94</v>
      </c>
      <c r="L23" s="50"/>
      <c r="P23" s="50"/>
    </row>
    <row r="24" spans="1:24">
      <c r="A24" s="30" t="s">
        <v>179</v>
      </c>
      <c r="B24" s="54">
        <f>'5.4 - 2019'!E23</f>
        <v>4121.7</v>
      </c>
      <c r="C24" s="54"/>
      <c r="D24" s="54"/>
      <c r="E24" s="54">
        <f t="shared" si="0"/>
        <v>4121.7</v>
      </c>
      <c r="G24" s="62" t="s">
        <v>48</v>
      </c>
      <c r="H24" s="54">
        <f>'5.4 - 2019'!K23</f>
        <v>2473.1400000000003</v>
      </c>
      <c r="I24" s="54">
        <f t="shared" si="2"/>
        <v>824.33999999999992</v>
      </c>
      <c r="J24" s="54"/>
      <c r="K24" s="54">
        <f t="shared" si="1"/>
        <v>3297.4800000000005</v>
      </c>
      <c r="L24" s="50"/>
      <c r="P24" s="50"/>
    </row>
    <row r="25" spans="1:24">
      <c r="A25" s="30" t="s">
        <v>124</v>
      </c>
      <c r="B25" s="54">
        <f>'5.4 - 2019'!E24</f>
        <v>78648.45</v>
      </c>
      <c r="C25" s="54"/>
      <c r="D25" s="54"/>
      <c r="E25" s="54">
        <f t="shared" si="0"/>
        <v>78648.45</v>
      </c>
      <c r="G25" s="62" t="s">
        <v>48</v>
      </c>
      <c r="H25" s="54">
        <f>'5.4 - 2019'!K24</f>
        <v>0</v>
      </c>
      <c r="I25" s="54">
        <f t="shared" si="2"/>
        <v>15729.689999999999</v>
      </c>
      <c r="J25" s="54"/>
      <c r="K25" s="54">
        <f t="shared" si="1"/>
        <v>15729.689999999999</v>
      </c>
      <c r="L25" s="50"/>
      <c r="P25" s="50"/>
    </row>
    <row r="26" spans="1:24">
      <c r="A26" s="30" t="s">
        <v>184</v>
      </c>
      <c r="B26" s="54">
        <f>'5.4 - 2019'!E25</f>
        <v>231146.42</v>
      </c>
      <c r="C26" s="54"/>
      <c r="D26" s="54"/>
      <c r="E26" s="54">
        <f t="shared" si="0"/>
        <v>231146.42</v>
      </c>
      <c r="G26" s="62" t="s">
        <v>48</v>
      </c>
      <c r="H26" s="54">
        <f>'5.4 - 2019'!K25</f>
        <v>92458.564000000013</v>
      </c>
      <c r="I26" s="54">
        <f t="shared" si="2"/>
        <v>46229.284</v>
      </c>
      <c r="J26" s="54"/>
      <c r="K26" s="54">
        <f t="shared" si="1"/>
        <v>138687.848</v>
      </c>
      <c r="L26" s="50"/>
      <c r="P26" s="50"/>
    </row>
    <row r="27" spans="1:24">
      <c r="A27" s="30" t="s">
        <v>117</v>
      </c>
      <c r="B27" s="54">
        <f>'5.4 - 2019'!E26</f>
        <v>34475.839999999997</v>
      </c>
      <c r="C27" s="54"/>
      <c r="D27" s="54"/>
      <c r="E27" s="54">
        <f t="shared" si="0"/>
        <v>34475.839999999997</v>
      </c>
      <c r="G27" s="62" t="s">
        <v>48</v>
      </c>
      <c r="H27" s="54">
        <f>'5.4 - 2019'!K26</f>
        <v>14364.968000000001</v>
      </c>
      <c r="I27" s="54">
        <f t="shared" si="2"/>
        <v>6895.1679999999997</v>
      </c>
      <c r="J27" s="107"/>
      <c r="K27" s="54">
        <f t="shared" si="1"/>
        <v>21260.135999999999</v>
      </c>
      <c r="L27" s="50"/>
      <c r="P27" s="50"/>
    </row>
    <row r="28" spans="1:24">
      <c r="A28" s="30" t="s">
        <v>165</v>
      </c>
      <c r="B28" s="54">
        <f>'5.4 - 2019'!E27</f>
        <v>3756.44</v>
      </c>
      <c r="C28" s="54"/>
      <c r="D28" s="54"/>
      <c r="E28" s="54">
        <f t="shared" si="0"/>
        <v>3756.44</v>
      </c>
      <c r="G28" s="62" t="s">
        <v>48</v>
      </c>
      <c r="H28" s="54">
        <f>'5.4 - 2019'!K27</f>
        <v>1473.998</v>
      </c>
      <c r="I28" s="54">
        <f t="shared" si="2"/>
        <v>751.28800000000001</v>
      </c>
      <c r="J28" s="54"/>
      <c r="K28" s="54">
        <f t="shared" si="1"/>
        <v>2225.2860000000001</v>
      </c>
      <c r="L28" s="50"/>
      <c r="P28" s="50"/>
    </row>
    <row r="29" spans="1:24">
      <c r="A29" s="30" t="s">
        <v>167</v>
      </c>
      <c r="B29" s="54">
        <f>'5.4 - 2019'!E28</f>
        <v>68263.350000000006</v>
      </c>
      <c r="C29" s="54"/>
      <c r="D29" s="54"/>
      <c r="E29" s="54">
        <f t="shared" si="0"/>
        <v>68263.350000000006</v>
      </c>
      <c r="G29" s="62" t="s">
        <v>48</v>
      </c>
      <c r="H29" s="54">
        <f>'5.4 - 2019'!K28</f>
        <v>3413.16</v>
      </c>
      <c r="I29" s="54">
        <f t="shared" si="2"/>
        <v>13652.670000000002</v>
      </c>
      <c r="J29" s="54"/>
      <c r="K29" s="54">
        <f t="shared" si="1"/>
        <v>17065.830000000002</v>
      </c>
      <c r="L29" s="50"/>
      <c r="P29" s="50"/>
    </row>
    <row r="30" spans="1:24">
      <c r="A30" s="30" t="s">
        <v>152</v>
      </c>
      <c r="B30" s="54">
        <f>'5.4 - 2019'!E29</f>
        <v>67919.3</v>
      </c>
      <c r="C30" s="54"/>
      <c r="D30" s="54"/>
      <c r="E30" s="54">
        <f t="shared" si="0"/>
        <v>67919.3</v>
      </c>
      <c r="G30" s="62" t="s">
        <v>48</v>
      </c>
      <c r="H30" s="54">
        <f>'5.4 - 2019'!K29</f>
        <v>49807.54</v>
      </c>
      <c r="I30" s="54">
        <f t="shared" si="2"/>
        <v>13583.86</v>
      </c>
      <c r="J30" s="54"/>
      <c r="K30" s="54">
        <f t="shared" si="1"/>
        <v>63391.4</v>
      </c>
      <c r="L30" s="50"/>
      <c r="P30" s="50"/>
    </row>
    <row r="31" spans="1:24">
      <c r="A31" s="30" t="s">
        <v>158</v>
      </c>
      <c r="B31" s="54">
        <f>'5.4 - 2019'!E30</f>
        <v>-3500</v>
      </c>
      <c r="C31" s="54"/>
      <c r="D31" s="54"/>
      <c r="E31" s="54">
        <f t="shared" si="0"/>
        <v>-3500</v>
      </c>
      <c r="G31" s="62" t="s">
        <v>48</v>
      </c>
      <c r="H31" s="54">
        <f>'5.4 - 2019'!K30</f>
        <v>-2566.56</v>
      </c>
      <c r="I31" s="54">
        <f t="shared" si="2"/>
        <v>-700</v>
      </c>
      <c r="J31" s="54"/>
      <c r="K31" s="54">
        <f t="shared" si="1"/>
        <v>-3266.56</v>
      </c>
      <c r="L31" s="50"/>
      <c r="P31" s="50"/>
    </row>
    <row r="32" spans="1:24">
      <c r="A32" s="30" t="s">
        <v>171</v>
      </c>
      <c r="B32" s="54">
        <f>'5.4 - 2019'!E31</f>
        <v>75010.989999999991</v>
      </c>
      <c r="C32" s="54"/>
      <c r="D32" s="54"/>
      <c r="E32" s="54">
        <f t="shared" si="0"/>
        <v>75010.989999999991</v>
      </c>
      <c r="G32" s="62" t="s">
        <v>48</v>
      </c>
      <c r="H32" s="54">
        <f>'5.4 - 2019'!K31</f>
        <v>0</v>
      </c>
      <c r="I32" s="54">
        <f t="shared" si="2"/>
        <v>15002.197999999999</v>
      </c>
      <c r="J32" s="54"/>
      <c r="K32" s="54">
        <f t="shared" si="1"/>
        <v>15002.197999999999</v>
      </c>
      <c r="L32" s="50"/>
      <c r="P32" s="50"/>
    </row>
    <row r="33" spans="1:24">
      <c r="A33" s="30" t="s">
        <v>96</v>
      </c>
      <c r="B33" s="54">
        <f>'5.4 - 2019'!E32</f>
        <v>169398.09</v>
      </c>
      <c r="C33" s="54"/>
      <c r="D33" s="54"/>
      <c r="E33" s="54">
        <f t="shared" si="0"/>
        <v>169398.09</v>
      </c>
      <c r="G33" s="62" t="s">
        <v>48</v>
      </c>
      <c r="H33" s="54">
        <f>'5.4 - 2019'!K32</f>
        <v>101638.818</v>
      </c>
      <c r="I33" s="54">
        <f t="shared" si="2"/>
        <v>33879.618000000002</v>
      </c>
      <c r="J33" s="54"/>
      <c r="K33" s="54">
        <f t="shared" si="1"/>
        <v>135518.43599999999</v>
      </c>
      <c r="L33" s="50"/>
      <c r="P33" s="50"/>
      <c r="X33" s="50">
        <f>C33</f>
        <v>0</v>
      </c>
    </row>
    <row r="34" spans="1:24">
      <c r="A34" s="30" t="s">
        <v>113</v>
      </c>
      <c r="B34" s="54">
        <f>'5.4 - 2019'!E33</f>
        <v>26112.799999999999</v>
      </c>
      <c r="C34" s="54"/>
      <c r="D34" s="54"/>
      <c r="E34" s="54">
        <f t="shared" si="0"/>
        <v>26112.799999999999</v>
      </c>
      <c r="G34" s="62" t="s">
        <v>48</v>
      </c>
      <c r="H34" s="54">
        <f>'5.4 - 2019'!K33</f>
        <v>10445.079999999998</v>
      </c>
      <c r="I34" s="54">
        <f t="shared" si="2"/>
        <v>5222.5599999999995</v>
      </c>
      <c r="J34" s="54"/>
      <c r="K34" s="54">
        <f t="shared" si="1"/>
        <v>15667.639999999998</v>
      </c>
      <c r="L34" s="50"/>
      <c r="P34" s="50"/>
    </row>
    <row r="35" spans="1:24">
      <c r="A35" s="30" t="s">
        <v>95</v>
      </c>
      <c r="B35" s="54">
        <f>'5.4 - 2019'!E34</f>
        <v>21634.44</v>
      </c>
      <c r="C35" s="54"/>
      <c r="D35" s="54">
        <v>-21634.44</v>
      </c>
      <c r="E35" s="54">
        <f t="shared" si="0"/>
        <v>0</v>
      </c>
      <c r="G35" s="62" t="s">
        <v>48</v>
      </c>
      <c r="H35" s="54">
        <f>'5.4 - 2019'!K34</f>
        <v>17307.408000000003</v>
      </c>
      <c r="I35" s="54">
        <f t="shared" si="2"/>
        <v>4326.8879999999999</v>
      </c>
      <c r="J35" s="54">
        <v>-21634.44</v>
      </c>
      <c r="K35" s="54">
        <f t="shared" si="1"/>
        <v>-0.14399999999659485</v>
      </c>
      <c r="L35" s="50"/>
      <c r="P35" s="50"/>
    </row>
    <row r="36" spans="1:24">
      <c r="A36" s="30" t="s">
        <v>136</v>
      </c>
      <c r="B36" s="54">
        <f>'5.4 - 2019'!E35</f>
        <v>1947411.04</v>
      </c>
      <c r="C36" s="54"/>
      <c r="D36" s="54"/>
      <c r="E36" s="54">
        <f t="shared" si="0"/>
        <v>1947411.04</v>
      </c>
      <c r="G36" s="62" t="s">
        <v>47</v>
      </c>
      <c r="H36" s="54">
        <f>'5.4 - 2019'!K35</f>
        <v>1557929.1399999997</v>
      </c>
      <c r="I36" s="54">
        <f>B36/10</f>
        <v>194741.10399999999</v>
      </c>
      <c r="J36" s="54"/>
      <c r="K36" s="54">
        <f t="shared" si="1"/>
        <v>1752670.2439999997</v>
      </c>
      <c r="L36" s="50"/>
      <c r="P36" s="50"/>
    </row>
    <row r="37" spans="1:24">
      <c r="A37" s="30" t="s">
        <v>126</v>
      </c>
      <c r="B37" s="54">
        <f>'5.4 - 2019'!E36</f>
        <v>4521264.92</v>
      </c>
      <c r="C37" s="54"/>
      <c r="D37" s="54"/>
      <c r="E37" s="54">
        <f t="shared" si="0"/>
        <v>4521264.92</v>
      </c>
      <c r="G37" s="62" t="s">
        <v>47</v>
      </c>
      <c r="H37" s="54">
        <f>'5.4 - 2019'!K36</f>
        <v>1356379.5320000001</v>
      </c>
      <c r="I37" s="54">
        <f>B37/10</f>
        <v>452126.49199999997</v>
      </c>
      <c r="J37" s="54"/>
      <c r="K37" s="54">
        <f t="shared" si="1"/>
        <v>1808506.0240000002</v>
      </c>
      <c r="L37" s="50"/>
      <c r="P37" s="50"/>
    </row>
    <row r="38" spans="1:24">
      <c r="A38" s="30" t="s">
        <v>102</v>
      </c>
      <c r="B38" s="54">
        <f>'5.4 - 2019'!E37</f>
        <v>9683.98</v>
      </c>
      <c r="C38" s="54"/>
      <c r="D38" s="54"/>
      <c r="E38" s="54">
        <f t="shared" si="0"/>
        <v>9683.98</v>
      </c>
      <c r="G38" s="62" t="s">
        <v>48</v>
      </c>
      <c r="H38" s="54">
        <f>'5.4 - 2019'!K37</f>
        <v>6940.1959999999999</v>
      </c>
      <c r="I38" s="54">
        <f t="shared" ref="I38:I68" si="3">B38/5</f>
        <v>1936.7959999999998</v>
      </c>
      <c r="J38" s="54"/>
      <c r="K38" s="54">
        <f t="shared" si="1"/>
        <v>8876.9920000000002</v>
      </c>
      <c r="L38" s="50"/>
      <c r="P38" s="50"/>
    </row>
    <row r="39" spans="1:24">
      <c r="A39" s="30" t="s">
        <v>93</v>
      </c>
      <c r="B39" s="54">
        <f>'5.4 - 2019'!E38</f>
        <v>40844.76</v>
      </c>
      <c r="C39" s="54"/>
      <c r="D39" s="54">
        <v>-40844.76</v>
      </c>
      <c r="E39" s="54">
        <f t="shared" si="0"/>
        <v>0</v>
      </c>
      <c r="G39" s="62" t="s">
        <v>48</v>
      </c>
      <c r="H39" s="54">
        <f>'5.4 - 2019'!K38</f>
        <v>32675.952000000001</v>
      </c>
      <c r="I39" s="54">
        <f t="shared" si="3"/>
        <v>8168.9520000000002</v>
      </c>
      <c r="J39" s="54">
        <v>-40844.76</v>
      </c>
      <c r="K39" s="54">
        <f t="shared" si="1"/>
        <v>0.14400000000023283</v>
      </c>
      <c r="L39" s="50"/>
      <c r="P39" s="50"/>
    </row>
    <row r="40" spans="1:24">
      <c r="A40" s="30" t="s">
        <v>183</v>
      </c>
      <c r="B40" s="54">
        <f>'5.4 - 2019'!E39</f>
        <v>72592.490000000005</v>
      </c>
      <c r="C40" s="54"/>
      <c r="D40" s="54"/>
      <c r="E40" s="54">
        <f t="shared" si="0"/>
        <v>72592.490000000005</v>
      </c>
      <c r="G40" s="62" t="s">
        <v>48</v>
      </c>
      <c r="H40" s="54">
        <f>'5.4 - 2019'!K39</f>
        <v>29036.937999999995</v>
      </c>
      <c r="I40" s="54">
        <f t="shared" si="3"/>
        <v>14518.498000000001</v>
      </c>
      <c r="J40" s="54"/>
      <c r="K40" s="54">
        <f t="shared" si="1"/>
        <v>43555.435999999994</v>
      </c>
      <c r="L40" s="50"/>
      <c r="P40" s="50"/>
    </row>
    <row r="41" spans="1:24">
      <c r="A41" s="30" t="s">
        <v>172</v>
      </c>
      <c r="B41" s="54">
        <v>0</v>
      </c>
      <c r="C41" s="54">
        <f>-D84</f>
        <v>232038.96000000002</v>
      </c>
      <c r="D41" s="54"/>
      <c r="E41" s="54">
        <f t="shared" si="0"/>
        <v>232038.96000000002</v>
      </c>
      <c r="G41" s="62" t="s">
        <v>48</v>
      </c>
      <c r="H41" s="54">
        <v>0</v>
      </c>
      <c r="I41" s="54">
        <f t="shared" si="3"/>
        <v>0</v>
      </c>
      <c r="J41" s="54"/>
      <c r="K41" s="54">
        <f t="shared" si="1"/>
        <v>0</v>
      </c>
      <c r="L41" s="50"/>
      <c r="P41" s="50"/>
    </row>
    <row r="42" spans="1:24">
      <c r="A42" s="30" t="s">
        <v>46</v>
      </c>
      <c r="B42" s="54">
        <f>'5.4 - 2019'!E41</f>
        <v>291236.94</v>
      </c>
      <c r="C42" s="54"/>
      <c r="D42" s="54"/>
      <c r="E42" s="54">
        <f t="shared" ref="E42:E73" si="4">B42+C42+D42</f>
        <v>291236.94</v>
      </c>
      <c r="G42" s="62" t="s">
        <v>48</v>
      </c>
      <c r="H42" s="54">
        <f>'5.4 - 2019'!K41</f>
        <v>174742.18799999997</v>
      </c>
      <c r="I42" s="54">
        <f t="shared" si="3"/>
        <v>58247.387999999999</v>
      </c>
      <c r="J42" s="54"/>
      <c r="K42" s="54">
        <f t="shared" si="1"/>
        <v>232989.57599999997</v>
      </c>
      <c r="L42" s="50"/>
      <c r="P42" s="50"/>
    </row>
    <row r="43" spans="1:24">
      <c r="A43" s="30" t="s">
        <v>131</v>
      </c>
      <c r="B43" s="54">
        <f>'5.4 - 2019'!E42</f>
        <v>118035.9</v>
      </c>
      <c r="C43" s="54"/>
      <c r="D43" s="54"/>
      <c r="E43" s="54">
        <f t="shared" si="4"/>
        <v>118035.9</v>
      </c>
      <c r="G43" s="62" t="s">
        <v>48</v>
      </c>
      <c r="H43" s="54">
        <f>'5.4 - 2019'!K42</f>
        <v>70821.66</v>
      </c>
      <c r="I43" s="54">
        <f t="shared" si="3"/>
        <v>23607.18</v>
      </c>
      <c r="J43" s="54"/>
      <c r="K43" s="54">
        <f t="shared" si="1"/>
        <v>94428.84</v>
      </c>
      <c r="L43" s="50"/>
      <c r="P43" s="50"/>
    </row>
    <row r="44" spans="1:24">
      <c r="A44" s="30" t="s">
        <v>119</v>
      </c>
      <c r="B44" s="54">
        <f>'5.4 - 2019'!E43</f>
        <v>46316.97</v>
      </c>
      <c r="C44" s="54"/>
      <c r="D44" s="54"/>
      <c r="E44" s="54">
        <f t="shared" si="4"/>
        <v>46316.97</v>
      </c>
      <c r="G44" s="62" t="s">
        <v>48</v>
      </c>
      <c r="H44" s="54">
        <f>'5.4 - 2019'!K43</f>
        <v>27790.194</v>
      </c>
      <c r="I44" s="54">
        <f t="shared" si="3"/>
        <v>9263.3940000000002</v>
      </c>
      <c r="J44" s="54"/>
      <c r="K44" s="54">
        <f t="shared" si="1"/>
        <v>37053.588000000003</v>
      </c>
      <c r="L44" s="50"/>
      <c r="P44" s="50"/>
    </row>
    <row r="45" spans="1:24">
      <c r="A45" s="30" t="s">
        <v>104</v>
      </c>
      <c r="B45" s="54">
        <f>'5.4 - 2019'!E44</f>
        <v>-150000</v>
      </c>
      <c r="C45" s="54"/>
      <c r="D45" s="54"/>
      <c r="E45" s="54">
        <f t="shared" si="4"/>
        <v>-150000</v>
      </c>
      <c r="G45" s="62" t="s">
        <v>48</v>
      </c>
      <c r="H45" s="54">
        <f>'5.4 - 2019'!K44</f>
        <v>-90000</v>
      </c>
      <c r="I45" s="54">
        <f t="shared" si="3"/>
        <v>-30000</v>
      </c>
      <c r="J45" s="54"/>
      <c r="K45" s="54">
        <f t="shared" si="1"/>
        <v>-120000</v>
      </c>
      <c r="L45" s="50"/>
      <c r="P45" s="50"/>
    </row>
    <row r="46" spans="1:24">
      <c r="A46" s="30" t="s">
        <v>97</v>
      </c>
      <c r="B46" s="54">
        <f>'5.4 - 2019'!E45</f>
        <v>273095.39</v>
      </c>
      <c r="C46" s="54"/>
      <c r="D46" s="54"/>
      <c r="E46" s="54">
        <f t="shared" si="4"/>
        <v>273095.39</v>
      </c>
      <c r="G46" s="62" t="s">
        <v>48</v>
      </c>
      <c r="H46" s="54">
        <f>'5.4 - 2019'!K45</f>
        <v>163857.23799999998</v>
      </c>
      <c r="I46" s="54">
        <f t="shared" si="3"/>
        <v>54619.078000000001</v>
      </c>
      <c r="J46" s="54"/>
      <c r="K46" s="54">
        <f t="shared" si="1"/>
        <v>218476.31599999999</v>
      </c>
      <c r="L46" s="50"/>
      <c r="P46" s="50"/>
    </row>
    <row r="47" spans="1:24">
      <c r="A47" s="30" t="s">
        <v>115</v>
      </c>
      <c r="B47" s="54">
        <f>'5.4 - 2019'!E46</f>
        <v>47081.440000000002</v>
      </c>
      <c r="C47" s="54"/>
      <c r="D47" s="54"/>
      <c r="E47" s="54">
        <f t="shared" si="4"/>
        <v>47081.440000000002</v>
      </c>
      <c r="G47" s="62" t="s">
        <v>48</v>
      </c>
      <c r="H47" s="54">
        <f>'5.4 - 2019'!K46</f>
        <v>18832.568000000003</v>
      </c>
      <c r="I47" s="54">
        <f t="shared" si="3"/>
        <v>9416.2880000000005</v>
      </c>
      <c r="J47" s="54"/>
      <c r="K47" s="54">
        <f t="shared" si="1"/>
        <v>28248.856000000003</v>
      </c>
      <c r="L47" s="50"/>
      <c r="P47" s="50"/>
    </row>
    <row r="48" spans="1:24">
      <c r="A48" s="30" t="s">
        <v>98</v>
      </c>
      <c r="B48" s="54">
        <f>'5.4 - 2019'!E47</f>
        <v>277699.90000000002</v>
      </c>
      <c r="C48" s="54"/>
      <c r="D48" s="54"/>
      <c r="E48" s="54">
        <f t="shared" si="4"/>
        <v>277699.90000000002</v>
      </c>
      <c r="G48" s="62" t="s">
        <v>48</v>
      </c>
      <c r="H48" s="54">
        <f>'5.4 - 2019'!K47</f>
        <v>166619.90000000002</v>
      </c>
      <c r="I48" s="54">
        <f t="shared" si="3"/>
        <v>55539.98</v>
      </c>
      <c r="J48" s="54"/>
      <c r="K48" s="54">
        <f t="shared" si="1"/>
        <v>222159.88000000003</v>
      </c>
      <c r="L48" s="50"/>
      <c r="P48" s="50"/>
    </row>
    <row r="49" spans="1:17">
      <c r="A49" s="30" t="s">
        <v>156</v>
      </c>
      <c r="B49" s="54">
        <f>'5.4 - 2019'!E48</f>
        <v>-15000</v>
      </c>
      <c r="C49" s="54"/>
      <c r="D49" s="54"/>
      <c r="E49" s="54">
        <f t="shared" si="4"/>
        <v>-15000</v>
      </c>
      <c r="G49" s="62" t="s">
        <v>48</v>
      </c>
      <c r="H49" s="54">
        <f>'5.4 - 2019'!K48</f>
        <v>-9000</v>
      </c>
      <c r="I49" s="54">
        <f t="shared" si="3"/>
        <v>-3000</v>
      </c>
      <c r="J49" s="107"/>
      <c r="K49" s="54">
        <f t="shared" si="1"/>
        <v>-12000</v>
      </c>
      <c r="L49" s="50"/>
      <c r="P49" s="50"/>
    </row>
    <row r="50" spans="1:17">
      <c r="A50" s="30" t="s">
        <v>94</v>
      </c>
      <c r="B50" s="54">
        <f>'5.4 - 2019'!E49</f>
        <v>17147.61</v>
      </c>
      <c r="C50" s="54"/>
      <c r="D50" s="54">
        <v>-17147.61</v>
      </c>
      <c r="E50" s="54">
        <f t="shared" si="4"/>
        <v>0</v>
      </c>
      <c r="G50" s="62" t="s">
        <v>48</v>
      </c>
      <c r="H50" s="54">
        <f>'5.4 - 2019'!K49</f>
        <v>13717.962</v>
      </c>
      <c r="I50" s="54">
        <f t="shared" si="3"/>
        <v>3429.5219999999999</v>
      </c>
      <c r="J50" s="54">
        <v>-17147.61</v>
      </c>
      <c r="K50" s="54">
        <f t="shared" si="1"/>
        <v>-0.12600000000020373</v>
      </c>
      <c r="L50" s="50"/>
      <c r="P50" s="50"/>
    </row>
    <row r="51" spans="1:17">
      <c r="A51" s="30" t="s">
        <v>110</v>
      </c>
      <c r="B51" s="54">
        <f>'5.4 - 2019'!E50</f>
        <v>95037.97</v>
      </c>
      <c r="D51" s="54"/>
      <c r="E51" s="54">
        <f t="shared" si="4"/>
        <v>95037.97</v>
      </c>
      <c r="G51" s="62" t="s">
        <v>48</v>
      </c>
      <c r="H51" s="54">
        <f>'5.4 - 2019'!K50</f>
        <v>63358.754000000001</v>
      </c>
      <c r="I51" s="54">
        <f t="shared" si="3"/>
        <v>19007.594000000001</v>
      </c>
      <c r="J51" s="54"/>
      <c r="K51" s="54">
        <f t="shared" si="1"/>
        <v>82366.347999999998</v>
      </c>
      <c r="L51" s="50"/>
      <c r="P51" s="50"/>
    </row>
    <row r="52" spans="1:17">
      <c r="A52" s="30" t="s">
        <v>243</v>
      </c>
      <c r="B52" s="54">
        <f>'5.4 - 2019'!E51</f>
        <v>14510.37</v>
      </c>
      <c r="C52" s="50"/>
      <c r="D52" s="54"/>
      <c r="E52" s="54">
        <f t="shared" si="4"/>
        <v>14510.37</v>
      </c>
      <c r="G52" s="62" t="s">
        <v>48</v>
      </c>
      <c r="H52" s="54">
        <f>'5.4 - 2019'!K51</f>
        <v>1451.04</v>
      </c>
      <c r="I52" s="54">
        <f t="shared" si="3"/>
        <v>2902.0740000000001</v>
      </c>
      <c r="J52" s="54"/>
      <c r="K52" s="54">
        <f t="shared" si="1"/>
        <v>4353.1139999999996</v>
      </c>
      <c r="L52" s="50"/>
      <c r="P52" s="50"/>
    </row>
    <row r="53" spans="1:17">
      <c r="A53" s="30" t="s">
        <v>99</v>
      </c>
      <c r="B53" s="54">
        <v>0</v>
      </c>
      <c r="C53" s="50">
        <f>-D85</f>
        <v>638562.46</v>
      </c>
      <c r="D53" s="54"/>
      <c r="E53" s="54">
        <f t="shared" si="4"/>
        <v>638562.46</v>
      </c>
      <c r="G53" s="62" t="s">
        <v>48</v>
      </c>
      <c r="H53" s="54">
        <v>0</v>
      </c>
      <c r="I53" s="54">
        <f t="shared" si="3"/>
        <v>0</v>
      </c>
      <c r="J53" s="54"/>
      <c r="K53" s="54">
        <f t="shared" si="1"/>
        <v>0</v>
      </c>
      <c r="L53" s="50"/>
      <c r="P53" s="50"/>
    </row>
    <row r="54" spans="1:17">
      <c r="A54" s="30" t="s">
        <v>101</v>
      </c>
      <c r="B54" s="54">
        <f>'5.4 - 2019'!E53</f>
        <v>170667.19</v>
      </c>
      <c r="C54" s="54"/>
      <c r="D54" s="54"/>
      <c r="E54" s="54">
        <f t="shared" si="4"/>
        <v>170667.19</v>
      </c>
      <c r="G54" s="62" t="s">
        <v>48</v>
      </c>
      <c r="H54" s="54">
        <f>'5.4 - 2019'!K53</f>
        <v>68266.838000000003</v>
      </c>
      <c r="I54" s="54">
        <f t="shared" si="3"/>
        <v>34133.438000000002</v>
      </c>
      <c r="J54" s="54"/>
      <c r="K54" s="54">
        <f t="shared" si="1"/>
        <v>102400.27600000001</v>
      </c>
      <c r="L54" s="50"/>
      <c r="P54" s="50"/>
    </row>
    <row r="55" spans="1:17">
      <c r="A55" s="30" t="s">
        <v>151</v>
      </c>
      <c r="B55" s="54"/>
      <c r="C55" s="54">
        <f>-D86</f>
        <v>775580.82</v>
      </c>
      <c r="D55" s="54"/>
      <c r="E55" s="54">
        <f t="shared" si="4"/>
        <v>775580.82</v>
      </c>
      <c r="G55" s="62" t="s">
        <v>48</v>
      </c>
      <c r="H55" s="54">
        <v>0</v>
      </c>
      <c r="I55" s="54">
        <f t="shared" si="3"/>
        <v>0</v>
      </c>
      <c r="J55" s="54"/>
      <c r="K55" s="54">
        <f t="shared" si="1"/>
        <v>0</v>
      </c>
      <c r="L55" s="50"/>
      <c r="P55" s="50"/>
    </row>
    <row r="56" spans="1:17">
      <c r="A56" s="30" t="s">
        <v>166</v>
      </c>
      <c r="B56" s="54">
        <f>'5.4 - 2019'!E54</f>
        <v>128910.98</v>
      </c>
      <c r="C56" s="54"/>
      <c r="D56" s="54"/>
      <c r="E56" s="54">
        <f t="shared" si="4"/>
        <v>128910.98</v>
      </c>
      <c r="G56" s="62" t="s">
        <v>48</v>
      </c>
      <c r="H56" s="54">
        <f>'5.4 - 2019'!K54</f>
        <v>25782.196</v>
      </c>
      <c r="I56" s="54">
        <f t="shared" si="3"/>
        <v>25782.196</v>
      </c>
      <c r="J56" s="54"/>
      <c r="K56" s="54">
        <f t="shared" si="1"/>
        <v>51564.392</v>
      </c>
      <c r="L56" s="50"/>
      <c r="P56" s="50"/>
    </row>
    <row r="57" spans="1:17">
      <c r="A57" s="30" t="s">
        <v>199</v>
      </c>
      <c r="B57" s="54">
        <v>0</v>
      </c>
      <c r="C57" s="54">
        <f>-D87</f>
        <v>50000</v>
      </c>
      <c r="D57" s="54"/>
      <c r="E57" s="54">
        <f t="shared" si="4"/>
        <v>50000</v>
      </c>
      <c r="G57" s="62" t="s">
        <v>48</v>
      </c>
      <c r="H57" s="54">
        <v>0</v>
      </c>
      <c r="I57" s="54">
        <f t="shared" si="3"/>
        <v>0</v>
      </c>
      <c r="J57" s="54"/>
      <c r="K57" s="54">
        <f t="shared" si="1"/>
        <v>0</v>
      </c>
      <c r="L57" s="50"/>
      <c r="P57" s="50"/>
    </row>
    <row r="58" spans="1:17">
      <c r="A58" s="30" t="s">
        <v>125</v>
      </c>
      <c r="B58" s="54">
        <f>'5.4 - 2019'!E55</f>
        <v>2015083.44</v>
      </c>
      <c r="C58" s="54"/>
      <c r="D58" s="54"/>
      <c r="E58" s="54">
        <f t="shared" si="4"/>
        <v>2015083.44</v>
      </c>
      <c r="G58" s="62" t="s">
        <v>48</v>
      </c>
      <c r="H58" s="54">
        <f>'5.4 - 2019'!K55</f>
        <v>973956.92799999984</v>
      </c>
      <c r="I58" s="54">
        <f t="shared" si="3"/>
        <v>403016.68799999997</v>
      </c>
      <c r="J58" s="54"/>
      <c r="K58" s="54">
        <f t="shared" si="1"/>
        <v>1376973.6159999999</v>
      </c>
      <c r="L58" s="50"/>
      <c r="P58" s="50"/>
    </row>
    <row r="59" spans="1:17">
      <c r="A59" s="30" t="s">
        <v>181</v>
      </c>
      <c r="B59" s="54">
        <f>'5.4 - 2019'!E56</f>
        <v>3389993</v>
      </c>
      <c r="C59" s="54"/>
      <c r="D59" s="54"/>
      <c r="E59" s="54">
        <f t="shared" si="4"/>
        <v>3389993</v>
      </c>
      <c r="G59" s="62" t="s">
        <v>48</v>
      </c>
      <c r="H59" s="54">
        <f>'5.4 - 2019'!K56</f>
        <v>1864496.08</v>
      </c>
      <c r="I59" s="54">
        <f t="shared" si="3"/>
        <v>677998.6</v>
      </c>
      <c r="J59" s="54"/>
      <c r="K59" s="54">
        <f t="shared" si="1"/>
        <v>2542494.6800000002</v>
      </c>
      <c r="L59" s="50"/>
    </row>
    <row r="60" spans="1:17">
      <c r="A60" s="30" t="s">
        <v>100</v>
      </c>
      <c r="B60" s="54">
        <f>'5.4 - 2019'!E57</f>
        <v>-3389993</v>
      </c>
      <c r="C60" s="54"/>
      <c r="D60" s="54"/>
      <c r="E60" s="54">
        <f t="shared" si="4"/>
        <v>-3389993</v>
      </c>
      <c r="G60" s="62" t="s">
        <v>48</v>
      </c>
      <c r="H60" s="54">
        <f>'5.4 - 2019'!K57</f>
        <v>-1864496.08</v>
      </c>
      <c r="I60" s="54">
        <f t="shared" si="3"/>
        <v>-677998.6</v>
      </c>
      <c r="J60" s="54"/>
      <c r="K60" s="54">
        <f t="shared" si="1"/>
        <v>-2542494.6800000002</v>
      </c>
      <c r="L60" s="50"/>
    </row>
    <row r="61" spans="1:17">
      <c r="A61" s="30" t="s">
        <v>242</v>
      </c>
      <c r="B61" s="54">
        <v>0</v>
      </c>
      <c r="C61" s="54">
        <f>-D88</f>
        <v>16028.09</v>
      </c>
      <c r="D61" s="54"/>
      <c r="E61" s="54">
        <f t="shared" si="4"/>
        <v>16028.09</v>
      </c>
      <c r="G61" s="62" t="s">
        <v>48</v>
      </c>
      <c r="H61" s="54">
        <v>0</v>
      </c>
      <c r="I61" s="54">
        <f t="shared" si="3"/>
        <v>0</v>
      </c>
      <c r="J61" s="54"/>
      <c r="K61" s="54">
        <f t="shared" si="1"/>
        <v>0</v>
      </c>
      <c r="L61" s="50"/>
    </row>
    <row r="62" spans="1:17">
      <c r="A62" s="30" t="s">
        <v>92</v>
      </c>
      <c r="B62" s="54">
        <f>'5.4 - 2019'!E58</f>
        <v>48901.33</v>
      </c>
      <c r="C62" s="54"/>
      <c r="D62" s="54">
        <v>-48901.33</v>
      </c>
      <c r="E62" s="54">
        <f t="shared" si="4"/>
        <v>0</v>
      </c>
      <c r="G62" s="62" t="s">
        <v>48</v>
      </c>
      <c r="H62" s="54">
        <f>'5.4 - 2019'!K58</f>
        <v>39120.986000000004</v>
      </c>
      <c r="I62" s="54">
        <f t="shared" si="3"/>
        <v>9780.2659999999996</v>
      </c>
      <c r="J62" s="54">
        <v>-48901.33</v>
      </c>
      <c r="K62" s="54">
        <f t="shared" si="1"/>
        <v>-7.7999999994062819E-2</v>
      </c>
      <c r="L62" s="50"/>
    </row>
    <row r="63" spans="1:17">
      <c r="A63" s="30" t="s">
        <v>180</v>
      </c>
      <c r="B63" s="54">
        <f>'5.4 - 2019'!E60</f>
        <v>105340.92</v>
      </c>
      <c r="C63" s="54"/>
      <c r="D63" s="54"/>
      <c r="E63" s="54">
        <f t="shared" si="4"/>
        <v>105340.92</v>
      </c>
      <c r="G63" s="62" t="s">
        <v>48</v>
      </c>
      <c r="H63" s="54">
        <f>'5.4 - 2019'!K60</f>
        <v>63204.504000000001</v>
      </c>
      <c r="I63" s="54">
        <f t="shared" si="3"/>
        <v>21068.184000000001</v>
      </c>
      <c r="J63" s="54"/>
      <c r="K63" s="54">
        <f t="shared" si="1"/>
        <v>84272.687999999995</v>
      </c>
      <c r="L63" s="50"/>
      <c r="P63" s="50"/>
    </row>
    <row r="64" spans="1:17">
      <c r="A64" s="30" t="s">
        <v>202</v>
      </c>
      <c r="B64" s="54">
        <v>0</v>
      </c>
      <c r="C64" s="54">
        <f>-D90</f>
        <v>132787</v>
      </c>
      <c r="D64" s="54"/>
      <c r="E64" s="54">
        <f t="shared" si="4"/>
        <v>132787</v>
      </c>
      <c r="G64" s="62" t="s">
        <v>48</v>
      </c>
      <c r="H64" s="54">
        <v>0</v>
      </c>
      <c r="I64" s="54">
        <f t="shared" si="3"/>
        <v>0</v>
      </c>
      <c r="J64" s="54">
        <f>B64/5</f>
        <v>0</v>
      </c>
      <c r="K64" s="54">
        <f t="shared" si="1"/>
        <v>0</v>
      </c>
      <c r="L64" s="54"/>
      <c r="M64" s="50"/>
      <c r="Q64" s="50"/>
    </row>
    <row r="65" spans="1:24">
      <c r="A65" s="30" t="s">
        <v>200</v>
      </c>
      <c r="B65" s="54">
        <v>0</v>
      </c>
      <c r="C65" s="54">
        <f>-D91</f>
        <v>90000</v>
      </c>
      <c r="D65" s="54"/>
      <c r="E65" s="54">
        <f t="shared" si="4"/>
        <v>90000</v>
      </c>
      <c r="G65" s="62" t="s">
        <v>48</v>
      </c>
      <c r="H65" s="54">
        <v>0</v>
      </c>
      <c r="I65" s="54">
        <f t="shared" si="3"/>
        <v>0</v>
      </c>
      <c r="J65" s="54">
        <f>B65/5</f>
        <v>0</v>
      </c>
      <c r="K65" s="54">
        <f t="shared" si="1"/>
        <v>0</v>
      </c>
      <c r="L65" s="54"/>
      <c r="M65" s="50"/>
      <c r="Q65" s="50"/>
    </row>
    <row r="66" spans="1:24">
      <c r="A66" s="30" t="s">
        <v>185</v>
      </c>
      <c r="B66" s="54">
        <f>'5.4 - 2019'!E61</f>
        <v>87336.03</v>
      </c>
      <c r="C66" s="54"/>
      <c r="D66" s="54"/>
      <c r="E66" s="54">
        <f t="shared" si="4"/>
        <v>87336.03</v>
      </c>
      <c r="G66" s="62" t="s">
        <v>48</v>
      </c>
      <c r="H66" s="54">
        <f>'5.4 - 2019'!K61</f>
        <v>34934.406000000003</v>
      </c>
      <c r="I66" s="54">
        <f t="shared" si="3"/>
        <v>17467.205999999998</v>
      </c>
      <c r="J66" s="54"/>
      <c r="K66" s="54">
        <f t="shared" si="1"/>
        <v>52401.612000000001</v>
      </c>
      <c r="L66" s="50"/>
      <c r="P66" s="50"/>
    </row>
    <row r="67" spans="1:24">
      <c r="A67" s="30" t="s">
        <v>111</v>
      </c>
      <c r="B67" s="54">
        <f>'5.4 - 2019'!E62</f>
        <v>47421.46</v>
      </c>
      <c r="C67" s="54"/>
      <c r="D67" s="54"/>
      <c r="E67" s="54">
        <f t="shared" si="4"/>
        <v>47421.46</v>
      </c>
      <c r="G67" s="62" t="s">
        <v>48</v>
      </c>
      <c r="H67" s="54">
        <f>'5.4 - 2019'!K62</f>
        <v>21339.691999999999</v>
      </c>
      <c r="I67" s="54">
        <f t="shared" si="3"/>
        <v>9484.2919999999995</v>
      </c>
      <c r="J67" s="54"/>
      <c r="K67" s="54">
        <f t="shared" si="1"/>
        <v>30823.983999999997</v>
      </c>
      <c r="L67" s="50"/>
      <c r="P67" s="50"/>
    </row>
    <row r="68" spans="1:24">
      <c r="A68" s="30" t="s">
        <v>169</v>
      </c>
      <c r="B68" s="54">
        <v>0</v>
      </c>
      <c r="C68" s="54">
        <f>-D92</f>
        <v>49881.909999999996</v>
      </c>
      <c r="D68" s="54"/>
      <c r="E68" s="54">
        <f t="shared" si="4"/>
        <v>49881.909999999996</v>
      </c>
      <c r="G68" s="62" t="s">
        <v>48</v>
      </c>
      <c r="H68" s="54">
        <v>0</v>
      </c>
      <c r="I68" s="54">
        <f t="shared" si="3"/>
        <v>0</v>
      </c>
      <c r="J68" s="54"/>
      <c r="K68" s="54">
        <f t="shared" si="1"/>
        <v>0</v>
      </c>
      <c r="L68" s="50"/>
      <c r="P68" s="50"/>
    </row>
    <row r="69" spans="1:24">
      <c r="A69" s="30" t="s">
        <v>53</v>
      </c>
      <c r="B69" s="54">
        <f>'5.4 - 2019'!E63</f>
        <v>1667371.55</v>
      </c>
      <c r="C69" s="54"/>
      <c r="D69" s="54"/>
      <c r="E69" s="54">
        <f t="shared" si="4"/>
        <v>1667371.55</v>
      </c>
      <c r="G69" s="62" t="s">
        <v>47</v>
      </c>
      <c r="H69" s="54">
        <f>'5.4 - 2019'!K63</f>
        <v>1159951.5650000002</v>
      </c>
      <c r="I69" s="54">
        <f>B69/10</f>
        <v>166737.155</v>
      </c>
      <c r="J69" s="54"/>
      <c r="K69" s="54">
        <f t="shared" si="1"/>
        <v>1326688.7200000002</v>
      </c>
      <c r="L69" s="50"/>
      <c r="P69" s="50"/>
    </row>
    <row r="70" spans="1:24">
      <c r="A70" s="30" t="s">
        <v>144</v>
      </c>
      <c r="B70" s="54">
        <f>'5.4 - 2019'!E64</f>
        <v>-782591</v>
      </c>
      <c r="C70" s="50"/>
      <c r="D70" s="54"/>
      <c r="E70" s="54">
        <f t="shared" si="4"/>
        <v>-782591</v>
      </c>
      <c r="G70" s="62" t="s">
        <v>47</v>
      </c>
      <c r="H70" s="54">
        <f>'5.4 - 2019'!K64</f>
        <v>-541123.79</v>
      </c>
      <c r="I70" s="54">
        <f>B70/10</f>
        <v>-78259.100000000006</v>
      </c>
      <c r="J70" s="54"/>
      <c r="K70" s="54">
        <f t="shared" si="1"/>
        <v>-619382.89</v>
      </c>
      <c r="L70" s="50"/>
      <c r="X70" s="50">
        <f>C70</f>
        <v>0</v>
      </c>
    </row>
    <row r="71" spans="1:24">
      <c r="A71" s="30" t="s">
        <v>170</v>
      </c>
      <c r="B71" s="54">
        <f>'5.4 - 2019'!E65</f>
        <v>13408.71</v>
      </c>
      <c r="C71" s="54"/>
      <c r="D71" s="54"/>
      <c r="E71" s="54">
        <f t="shared" si="4"/>
        <v>13408.71</v>
      </c>
      <c r="G71" s="62" t="s">
        <v>48</v>
      </c>
      <c r="H71" s="54">
        <f>'5.4 - 2019'!K65</f>
        <v>1340.88</v>
      </c>
      <c r="I71" s="54">
        <f>B71/5</f>
        <v>2681.7419999999997</v>
      </c>
      <c r="J71" s="54"/>
      <c r="K71" s="54">
        <f t="shared" si="1"/>
        <v>4022.6219999999998</v>
      </c>
      <c r="L71" s="50"/>
    </row>
    <row r="72" spans="1:24">
      <c r="A72" s="30" t="s">
        <v>146</v>
      </c>
      <c r="B72" s="54">
        <f>'5.4 - 2019'!E66</f>
        <v>318813.90999999997</v>
      </c>
      <c r="C72" s="54"/>
      <c r="D72" s="54"/>
      <c r="E72" s="54">
        <f t="shared" si="4"/>
        <v>318813.90999999997</v>
      </c>
      <c r="G72" s="62" t="s">
        <v>48</v>
      </c>
      <c r="H72" s="54">
        <f>'5.4 - 2019'!K66</f>
        <v>191288.462</v>
      </c>
      <c r="I72" s="54">
        <f>B72/5</f>
        <v>63762.781999999992</v>
      </c>
      <c r="J72" s="54"/>
      <c r="K72" s="54">
        <f t="shared" si="1"/>
        <v>255051.24400000001</v>
      </c>
      <c r="L72" s="50"/>
    </row>
    <row r="73" spans="1:24">
      <c r="A73" s="30" t="s">
        <v>154</v>
      </c>
      <c r="B73" s="54">
        <f>'5.4 - 2019'!E67</f>
        <v>164133.69</v>
      </c>
      <c r="C73" s="54"/>
      <c r="D73" s="54"/>
      <c r="E73" s="54">
        <f t="shared" si="4"/>
        <v>164133.69</v>
      </c>
      <c r="G73" s="62" t="s">
        <v>48</v>
      </c>
      <c r="H73" s="54">
        <f>'5.4 - 2019'!K67</f>
        <v>79413.708000000013</v>
      </c>
      <c r="I73" s="54">
        <f>B73/5</f>
        <v>32826.737999999998</v>
      </c>
      <c r="J73" s="54"/>
      <c r="K73" s="54">
        <f t="shared" si="1"/>
        <v>112240.44600000001</v>
      </c>
      <c r="L73" s="50"/>
    </row>
    <row r="74" spans="1:24">
      <c r="A74" s="30" t="s">
        <v>251</v>
      </c>
      <c r="B74" s="54">
        <v>0</v>
      </c>
      <c r="C74" s="54">
        <f>-D94</f>
        <v>70000</v>
      </c>
      <c r="D74" s="54"/>
      <c r="E74" s="54">
        <f t="shared" ref="E74:E105" si="5">B74+C74+D74</f>
        <v>70000</v>
      </c>
      <c r="G74" s="62" t="s">
        <v>48</v>
      </c>
      <c r="H74" s="54">
        <v>0</v>
      </c>
      <c r="I74" s="54">
        <f>B74/5</f>
        <v>0</v>
      </c>
      <c r="J74" s="54"/>
      <c r="K74" s="54">
        <f t="shared" ref="K74:K76" si="6">H74+I74+J74</f>
        <v>0</v>
      </c>
      <c r="L74" s="50"/>
    </row>
    <row r="75" spans="1:24">
      <c r="A75" s="30" t="s">
        <v>127</v>
      </c>
      <c r="B75" s="54">
        <f>'5.4 - 2019'!E68</f>
        <v>118743.17</v>
      </c>
      <c r="C75" s="54"/>
      <c r="D75" s="54"/>
      <c r="E75" s="54">
        <f t="shared" si="5"/>
        <v>118743.17</v>
      </c>
      <c r="G75" s="62" t="s">
        <v>48</v>
      </c>
      <c r="H75" s="54">
        <f>'5.4 - 2019'!K68</f>
        <v>71245.833999999988</v>
      </c>
      <c r="I75" s="54">
        <f>B75/5</f>
        <v>23748.633999999998</v>
      </c>
      <c r="J75" s="54"/>
      <c r="K75" s="54">
        <f t="shared" si="6"/>
        <v>94994.467999999993</v>
      </c>
      <c r="L75" s="50"/>
    </row>
    <row r="76" spans="1:24">
      <c r="A76" s="30" t="s">
        <v>135</v>
      </c>
      <c r="B76" s="54">
        <f>'5.4 - 2019'!E70</f>
        <v>-3299780.9</v>
      </c>
      <c r="E76" s="54">
        <f t="shared" si="5"/>
        <v>-3299780.9</v>
      </c>
      <c r="G76" s="62" t="s">
        <v>48</v>
      </c>
      <c r="H76" s="54">
        <f>'5.4 - 2019'!K70</f>
        <v>-2165449.5399999996</v>
      </c>
      <c r="I76" s="54">
        <v>-540558.86</v>
      </c>
      <c r="J76" s="54"/>
      <c r="K76" s="54">
        <f t="shared" si="6"/>
        <v>-2706008.3999999994</v>
      </c>
      <c r="L76" s="50"/>
    </row>
    <row r="77" spans="1:24">
      <c r="B77" s="54"/>
      <c r="C77" s="54"/>
      <c r="D77" s="54"/>
      <c r="E77" s="54"/>
      <c r="G77" s="62"/>
      <c r="H77" s="54"/>
      <c r="I77" s="54"/>
      <c r="J77" s="54"/>
      <c r="K77" s="54"/>
      <c r="L77" s="50"/>
      <c r="P77" s="50"/>
    </row>
    <row r="78" spans="1:24">
      <c r="A78" s="33" t="s">
        <v>51</v>
      </c>
      <c r="B78" s="50">
        <f>SUM(B10:B77)</f>
        <v>13542382.189999999</v>
      </c>
      <c r="C78" s="50">
        <f>SUM(C10:C77)</f>
        <v>2149879.2399999998</v>
      </c>
      <c r="D78" s="50">
        <f>SUM(D10:D77)</f>
        <v>-179155.05000000002</v>
      </c>
      <c r="E78" s="50">
        <f>SUM(E10:E77)</f>
        <v>15513106.380000012</v>
      </c>
      <c r="G78" s="62"/>
      <c r="H78" s="50">
        <f>SUM(H10:H77)</f>
        <v>6865513.7060000021</v>
      </c>
      <c r="I78" s="50">
        <f>SUM(I10:I77)</f>
        <v>1868647.9419999993</v>
      </c>
      <c r="J78" s="50">
        <f>SUM(J10:J77)</f>
        <v>-179155.05000000002</v>
      </c>
      <c r="K78" s="50">
        <f>SUM(K10:K77)</f>
        <v>8555006.5980000012</v>
      </c>
      <c r="L78" s="50"/>
      <c r="M78" s="50"/>
      <c r="N78" s="50"/>
      <c r="O78" s="50"/>
      <c r="P78" s="50"/>
    </row>
    <row r="79" spans="1:24">
      <c r="G79" s="62"/>
    </row>
    <row r="80" spans="1:24">
      <c r="A80" s="33" t="s">
        <v>149</v>
      </c>
      <c r="G80" s="62"/>
    </row>
    <row r="81" spans="1:20">
      <c r="A81" s="30" t="s">
        <v>198</v>
      </c>
      <c r="B81" s="54">
        <v>0</v>
      </c>
      <c r="C81" s="54">
        <v>15000</v>
      </c>
      <c r="D81" s="54">
        <f>-B81-C81</f>
        <v>-15000</v>
      </c>
      <c r="E81" s="54">
        <f t="shared" ref="E81:E94" si="7">B81+C81+D81</f>
        <v>0</v>
      </c>
      <c r="G81" s="62"/>
      <c r="L81" s="50"/>
    </row>
    <row r="82" spans="1:20">
      <c r="A82" s="30" t="s">
        <v>250</v>
      </c>
      <c r="B82" s="54">
        <v>0</v>
      </c>
      <c r="C82" s="54">
        <v>80000</v>
      </c>
      <c r="D82" s="54">
        <f>-B82-C82</f>
        <v>-80000</v>
      </c>
      <c r="E82" s="54">
        <f t="shared" si="7"/>
        <v>0</v>
      </c>
      <c r="G82" s="62"/>
      <c r="L82" s="50"/>
    </row>
    <row r="83" spans="1:20">
      <c r="A83" s="30" t="s">
        <v>249</v>
      </c>
      <c r="B83" s="54">
        <v>595230.53</v>
      </c>
      <c r="C83" s="54">
        <v>800000</v>
      </c>
      <c r="D83" s="54"/>
      <c r="E83" s="54">
        <f t="shared" si="7"/>
        <v>1395230.53</v>
      </c>
      <c r="G83" s="62"/>
      <c r="L83" s="50"/>
    </row>
    <row r="84" spans="1:20">
      <c r="A84" s="30" t="s">
        <v>172</v>
      </c>
      <c r="B84" s="54">
        <v>232038.96000000002</v>
      </c>
      <c r="C84" s="54"/>
      <c r="D84" s="54">
        <f>-B84-C84</f>
        <v>-232038.96000000002</v>
      </c>
      <c r="E84" s="54">
        <f t="shared" si="7"/>
        <v>0</v>
      </c>
      <c r="G84" s="62"/>
      <c r="L84" s="50"/>
    </row>
    <row r="85" spans="1:20">
      <c r="A85" s="30" t="s">
        <v>99</v>
      </c>
      <c r="B85" s="54">
        <v>598562.46</v>
      </c>
      <c r="C85" s="54">
        <v>40000</v>
      </c>
      <c r="D85" s="54">
        <f>-B85-C85</f>
        <v>-638562.46</v>
      </c>
      <c r="E85" s="54">
        <f t="shared" si="7"/>
        <v>0</v>
      </c>
      <c r="G85" s="62"/>
      <c r="L85" s="50"/>
    </row>
    <row r="86" spans="1:20">
      <c r="A86" s="30" t="s">
        <v>151</v>
      </c>
      <c r="B86" s="54">
        <v>725580.82</v>
      </c>
      <c r="C86" s="54">
        <v>50000</v>
      </c>
      <c r="D86" s="54">
        <f>-B86-C86</f>
        <v>-775580.82</v>
      </c>
      <c r="E86" s="54">
        <f t="shared" si="7"/>
        <v>0</v>
      </c>
      <c r="G86" s="62"/>
      <c r="L86" s="50"/>
    </row>
    <row r="87" spans="1:20">
      <c r="A87" s="30" t="s">
        <v>199</v>
      </c>
      <c r="B87" s="54">
        <v>0</v>
      </c>
      <c r="C87" s="54">
        <v>50000</v>
      </c>
      <c r="D87" s="54">
        <f>-B87-C87</f>
        <v>-50000</v>
      </c>
      <c r="E87" s="54">
        <f t="shared" si="7"/>
        <v>0</v>
      </c>
      <c r="L87" s="50"/>
    </row>
    <row r="88" spans="1:20">
      <c r="A88" s="30" t="s">
        <v>242</v>
      </c>
      <c r="B88" s="54">
        <v>16028.09</v>
      </c>
      <c r="C88" s="54"/>
      <c r="D88" s="54">
        <f>-B88-C88</f>
        <v>-16028.09</v>
      </c>
      <c r="E88" s="54">
        <f t="shared" si="7"/>
        <v>0</v>
      </c>
      <c r="L88" s="50"/>
    </row>
    <row r="89" spans="1:20">
      <c r="A89" s="30" t="s">
        <v>163</v>
      </c>
      <c r="B89" s="54">
        <v>7693968</v>
      </c>
      <c r="C89" s="54">
        <v>485000</v>
      </c>
      <c r="D89" s="54"/>
      <c r="E89" s="54">
        <f t="shared" si="7"/>
        <v>8178968</v>
      </c>
      <c r="L89" s="50"/>
    </row>
    <row r="90" spans="1:20">
      <c r="A90" s="30" t="s">
        <v>202</v>
      </c>
      <c r="B90" s="54">
        <v>0</v>
      </c>
      <c r="C90" s="54">
        <v>132787</v>
      </c>
      <c r="D90" s="54">
        <f>-B90-C90</f>
        <v>-132787</v>
      </c>
      <c r="E90" s="54">
        <f t="shared" si="7"/>
        <v>0</v>
      </c>
      <c r="L90" s="50"/>
    </row>
    <row r="91" spans="1:20">
      <c r="A91" s="30" t="s">
        <v>200</v>
      </c>
      <c r="B91" s="54">
        <v>0</v>
      </c>
      <c r="C91" s="54">
        <v>90000</v>
      </c>
      <c r="D91" s="54">
        <f>-B91-C91</f>
        <v>-90000</v>
      </c>
      <c r="E91" s="54">
        <f t="shared" si="7"/>
        <v>0</v>
      </c>
      <c r="L91" s="50"/>
    </row>
    <row r="92" spans="1:20">
      <c r="A92" s="30" t="s">
        <v>169</v>
      </c>
      <c r="B92" s="54">
        <v>49881.909999999996</v>
      </c>
      <c r="C92" s="54"/>
      <c r="D92" s="54">
        <f>-B92-C92</f>
        <v>-49881.909999999996</v>
      </c>
      <c r="E92" s="54">
        <f t="shared" si="7"/>
        <v>0</v>
      </c>
      <c r="L92" s="50"/>
    </row>
    <row r="93" spans="1:20">
      <c r="A93" s="30" t="s">
        <v>168</v>
      </c>
      <c r="B93" s="54">
        <v>252392.65</v>
      </c>
      <c r="C93" s="54">
        <v>6679</v>
      </c>
      <c r="D93" s="54"/>
      <c r="E93" s="54">
        <f t="shared" si="7"/>
        <v>259071.65</v>
      </c>
      <c r="L93" s="50"/>
    </row>
    <row r="94" spans="1:20">
      <c r="A94" s="30" t="s">
        <v>251</v>
      </c>
      <c r="B94" s="54">
        <v>0</v>
      </c>
      <c r="C94" s="54">
        <v>70000</v>
      </c>
      <c r="D94" s="54">
        <f>-B94-C94</f>
        <v>-70000</v>
      </c>
      <c r="E94" s="54">
        <f t="shared" si="7"/>
        <v>0</v>
      </c>
      <c r="L94" s="50"/>
    </row>
    <row r="95" spans="1:20">
      <c r="B95" s="54"/>
      <c r="C95" s="50"/>
      <c r="D95" s="50"/>
      <c r="E95" s="54"/>
    </row>
    <row r="96" spans="1:20">
      <c r="A96" s="33" t="s">
        <v>50</v>
      </c>
      <c r="B96" s="50">
        <f>SUM(B80:B95)</f>
        <v>10163683.42</v>
      </c>
      <c r="C96" s="50">
        <f>SUM(C80:C95)</f>
        <v>1819466</v>
      </c>
      <c r="D96" s="50">
        <f>SUM(D80:D95)</f>
        <v>-2149879.2399999998</v>
      </c>
      <c r="E96" s="50">
        <f>SUM(E80:E95)</f>
        <v>9833270.1799999997</v>
      </c>
      <c r="H96" s="50"/>
      <c r="I96" s="50"/>
      <c r="J96" s="50"/>
      <c r="K96" s="50"/>
      <c r="L96" s="50"/>
      <c r="M96" s="50"/>
      <c r="N96" s="50"/>
      <c r="T96" s="50"/>
    </row>
    <row r="97" spans="1:19">
      <c r="B97" s="50"/>
      <c r="C97" s="50"/>
      <c r="D97" s="50"/>
      <c r="E97" s="50"/>
      <c r="H97" s="50"/>
      <c r="I97" s="50"/>
      <c r="J97" s="50"/>
      <c r="K97" s="50"/>
      <c r="L97" s="50"/>
    </row>
    <row r="98" spans="1:19">
      <c r="A98" s="109" t="s">
        <v>52</v>
      </c>
      <c r="B98" s="51">
        <f>B78+B96</f>
        <v>23706065.609999999</v>
      </c>
      <c r="C98" s="51">
        <f>C78+C96</f>
        <v>3969345.2399999998</v>
      </c>
      <c r="D98" s="51">
        <f>D78+D96</f>
        <v>-2329034.2899999996</v>
      </c>
      <c r="E98" s="51">
        <f>E78+E96</f>
        <v>25346376.56000001</v>
      </c>
      <c r="F98" s="51"/>
      <c r="H98" s="51">
        <f>H78+H96</f>
        <v>6865513.7060000021</v>
      </c>
      <c r="I98" s="51">
        <f>I78+I96</f>
        <v>1868647.9419999993</v>
      </c>
      <c r="J98" s="51"/>
      <c r="K98" s="51">
        <f>K78+K96</f>
        <v>8555006.5980000012</v>
      </c>
      <c r="L98" s="50"/>
      <c r="M98" s="50"/>
      <c r="N98" s="50"/>
      <c r="S98" s="50"/>
    </row>
    <row r="99" spans="1:19">
      <c r="E99" s="50"/>
    </row>
    <row r="100" spans="1:19">
      <c r="A100" s="33" t="s">
        <v>107</v>
      </c>
      <c r="B100" s="50"/>
      <c r="C100" s="50"/>
      <c r="D100" s="50"/>
      <c r="E100" s="50"/>
      <c r="H100" s="50"/>
      <c r="I100" s="50"/>
      <c r="J100" s="50"/>
      <c r="K100" s="50"/>
      <c r="M100" s="50"/>
    </row>
    <row r="101" spans="1:19">
      <c r="A101" s="110" t="s">
        <v>150</v>
      </c>
      <c r="E101" s="50"/>
    </row>
    <row r="102" spans="1:19">
      <c r="A102" s="49" t="s">
        <v>193</v>
      </c>
      <c r="B102" s="50">
        <v>0</v>
      </c>
      <c r="C102" s="50">
        <f>-D121</f>
        <v>712967.17999999993</v>
      </c>
      <c r="D102" s="50"/>
      <c r="E102" s="50">
        <f t="shared" ref="E102:E116" si="8">B102+C102+D102</f>
        <v>712967.17999999993</v>
      </c>
      <c r="F102" s="50"/>
      <c r="G102" s="62" t="s">
        <v>48</v>
      </c>
      <c r="H102" s="50">
        <v>0</v>
      </c>
      <c r="I102" s="54">
        <f>B102/5</f>
        <v>0</v>
      </c>
      <c r="J102" s="54"/>
      <c r="K102" s="54">
        <f t="shared" ref="K102:K116" si="9">H102+I102+J102</f>
        <v>0</v>
      </c>
      <c r="L102" s="50"/>
      <c r="M102" s="50"/>
    </row>
    <row r="103" spans="1:19">
      <c r="A103" s="49" t="s">
        <v>109</v>
      </c>
      <c r="B103" s="50">
        <f>'5.4 - 2019'!E98</f>
        <v>178986.03</v>
      </c>
      <c r="C103" s="50"/>
      <c r="D103" s="50"/>
      <c r="E103" s="50">
        <f t="shared" si="8"/>
        <v>178986.03</v>
      </c>
      <c r="F103" s="50"/>
      <c r="G103" s="62" t="s">
        <v>48</v>
      </c>
      <c r="H103" s="50">
        <f>'5.4 - 2019'!K98</f>
        <v>107391.606</v>
      </c>
      <c r="I103" s="54">
        <f>B103/5</f>
        <v>35797.205999999998</v>
      </c>
      <c r="J103" s="54"/>
      <c r="K103" s="54">
        <f t="shared" si="9"/>
        <v>143188.81200000001</v>
      </c>
      <c r="L103" s="50"/>
      <c r="M103" s="50"/>
    </row>
    <row r="104" spans="1:19">
      <c r="A104" s="49" t="s">
        <v>187</v>
      </c>
      <c r="B104" s="50">
        <f>'5.4 - 2019'!E99</f>
        <v>46630.71</v>
      </c>
      <c r="C104" s="50"/>
      <c r="D104" s="50"/>
      <c r="E104" s="50">
        <f t="shared" si="8"/>
        <v>46630.71</v>
      </c>
      <c r="F104" s="50"/>
      <c r="G104" s="62" t="s">
        <v>48</v>
      </c>
      <c r="H104" s="50">
        <f>'5.4 - 2019'!K99</f>
        <v>15543.581999999999</v>
      </c>
      <c r="I104" s="54">
        <f>B104/5</f>
        <v>9326.1419999999998</v>
      </c>
      <c r="J104" s="54"/>
      <c r="K104" s="54">
        <f t="shared" si="9"/>
        <v>24869.723999999998</v>
      </c>
      <c r="L104" s="50"/>
      <c r="M104" s="50"/>
    </row>
    <row r="105" spans="1:19">
      <c r="A105" s="49" t="s">
        <v>254</v>
      </c>
      <c r="B105" s="50">
        <v>0</v>
      </c>
      <c r="C105" s="50">
        <f>-D123</f>
        <v>200000</v>
      </c>
      <c r="D105" s="50"/>
      <c r="E105" s="50">
        <f t="shared" si="8"/>
        <v>200000</v>
      </c>
      <c r="F105" s="50"/>
      <c r="G105" s="62" t="s">
        <v>48</v>
      </c>
      <c r="H105" s="50">
        <v>0</v>
      </c>
      <c r="I105" s="54">
        <f>B105/5</f>
        <v>0</v>
      </c>
      <c r="J105" s="54"/>
      <c r="K105" s="54">
        <f t="shared" ref="K105" si="10">H105+I105+J105</f>
        <v>0</v>
      </c>
      <c r="L105" s="50"/>
      <c r="M105" s="50"/>
    </row>
    <row r="106" spans="1:19">
      <c r="A106" s="49" t="s">
        <v>68</v>
      </c>
      <c r="B106" s="50">
        <f>'5.4 - 2019'!E100</f>
        <v>3764896.080000001</v>
      </c>
      <c r="C106" s="50"/>
      <c r="D106" s="50"/>
      <c r="E106" s="50">
        <f t="shared" si="8"/>
        <v>3764896.080000001</v>
      </c>
      <c r="F106" s="50"/>
      <c r="G106" s="62" t="s">
        <v>47</v>
      </c>
      <c r="H106" s="50">
        <f>'5.4 - 2019'!K100</f>
        <v>1078698.6199999999</v>
      </c>
      <c r="I106" s="54">
        <v>402545</v>
      </c>
      <c r="J106" s="54"/>
      <c r="K106" s="54">
        <f t="shared" si="9"/>
        <v>1481243.6199999999</v>
      </c>
      <c r="L106" s="50"/>
      <c r="M106" s="50"/>
    </row>
    <row r="107" spans="1:19">
      <c r="A107" s="49" t="s">
        <v>189</v>
      </c>
      <c r="B107" s="50">
        <f>'5.4 - 2019'!E101</f>
        <v>-974548.54</v>
      </c>
      <c r="C107" s="50"/>
      <c r="D107" s="50"/>
      <c r="E107" s="50">
        <f t="shared" si="8"/>
        <v>-974548.54</v>
      </c>
      <c r="F107" s="50"/>
      <c r="G107" s="62" t="s">
        <v>47</v>
      </c>
      <c r="H107" s="50">
        <f>'5.4 - 2019'!K101</f>
        <v>-292364.554</v>
      </c>
      <c r="I107" s="54">
        <f>B107/10</f>
        <v>-97454.854000000007</v>
      </c>
      <c r="J107" s="54"/>
      <c r="K107" s="54">
        <f t="shared" si="9"/>
        <v>-389819.408</v>
      </c>
      <c r="L107" s="50"/>
      <c r="M107" s="50"/>
    </row>
    <row r="108" spans="1:19">
      <c r="A108" s="49" t="s">
        <v>112</v>
      </c>
      <c r="B108" s="50">
        <f>'5.4 - 2019'!E102</f>
        <v>385009.15</v>
      </c>
      <c r="C108" s="50"/>
      <c r="D108" s="50"/>
      <c r="E108" s="50">
        <f t="shared" si="8"/>
        <v>385009.15</v>
      </c>
      <c r="F108" s="50"/>
      <c r="G108" s="62" t="s">
        <v>47</v>
      </c>
      <c r="H108" s="50">
        <f>'5.4 - 2019'!K102</f>
        <v>0</v>
      </c>
      <c r="I108" s="54">
        <f>B108/10</f>
        <v>38500.915000000001</v>
      </c>
      <c r="J108" s="54"/>
      <c r="K108" s="54">
        <f t="shared" si="9"/>
        <v>38500.915000000001</v>
      </c>
      <c r="L108" s="50"/>
      <c r="M108" s="50"/>
    </row>
    <row r="109" spans="1:19">
      <c r="A109" s="49" t="s">
        <v>244</v>
      </c>
      <c r="B109" s="50">
        <v>0</v>
      </c>
      <c r="C109" s="50">
        <f>-D124</f>
        <v>808612.2</v>
      </c>
      <c r="D109" s="50"/>
      <c r="E109" s="50">
        <f t="shared" si="8"/>
        <v>808612.2</v>
      </c>
      <c r="F109" s="50"/>
      <c r="G109" s="62" t="s">
        <v>47</v>
      </c>
      <c r="H109" s="50">
        <v>0</v>
      </c>
      <c r="I109" s="54">
        <f>B109/10</f>
        <v>0</v>
      </c>
      <c r="J109" s="54"/>
      <c r="K109" s="54">
        <f t="shared" ref="K109:K110" si="11">H109+I109+J109</f>
        <v>0</v>
      </c>
      <c r="L109" s="50"/>
      <c r="M109" s="50"/>
    </row>
    <row r="110" spans="1:19">
      <c r="A110" s="49" t="s">
        <v>245</v>
      </c>
      <c r="B110" s="50">
        <v>0</v>
      </c>
      <c r="C110" s="50">
        <f>-D125</f>
        <v>-365315.28</v>
      </c>
      <c r="D110" s="50"/>
      <c r="E110" s="50">
        <f t="shared" si="8"/>
        <v>-365315.28</v>
      </c>
      <c r="F110" s="50"/>
      <c r="G110" s="62" t="s">
        <v>47</v>
      </c>
      <c r="H110" s="50">
        <v>0</v>
      </c>
      <c r="I110" s="54">
        <f>B110/10</f>
        <v>0</v>
      </c>
      <c r="J110" s="54"/>
      <c r="K110" s="54">
        <f t="shared" si="11"/>
        <v>0</v>
      </c>
      <c r="L110" s="50"/>
      <c r="M110" s="50"/>
    </row>
    <row r="111" spans="1:19">
      <c r="A111" s="49" t="s">
        <v>186</v>
      </c>
      <c r="B111" s="50">
        <f>'5.4 - 2019'!E103</f>
        <v>181080.11</v>
      </c>
      <c r="C111" s="50"/>
      <c r="D111" s="50"/>
      <c r="E111" s="50">
        <f t="shared" si="8"/>
        <v>181080.11</v>
      </c>
      <c r="F111" s="50"/>
      <c r="G111" s="62" t="s">
        <v>48</v>
      </c>
      <c r="H111" s="50">
        <f>'5.4 - 2019'!K103</f>
        <v>108648.022</v>
      </c>
      <c r="I111" s="54">
        <f>B111/5</f>
        <v>36216.021999999997</v>
      </c>
      <c r="J111" s="54"/>
      <c r="K111" s="54">
        <f t="shared" si="9"/>
        <v>144864.04399999999</v>
      </c>
      <c r="L111" s="50"/>
      <c r="M111" s="50"/>
    </row>
    <row r="112" spans="1:19">
      <c r="A112" s="49" t="s">
        <v>125</v>
      </c>
      <c r="B112" s="50">
        <f>'5.4 - 2019'!E104</f>
        <v>244223.27</v>
      </c>
      <c r="C112" s="50"/>
      <c r="D112" s="50"/>
      <c r="E112" s="50">
        <f t="shared" si="8"/>
        <v>244223.27</v>
      </c>
      <c r="F112" s="50"/>
      <c r="G112" s="62" t="s">
        <v>48</v>
      </c>
      <c r="H112" s="50">
        <f>'5.4 - 2019'!K104</f>
        <v>146534.014</v>
      </c>
      <c r="I112" s="54">
        <f>B112/5</f>
        <v>48844.653999999995</v>
      </c>
      <c r="J112" s="54"/>
      <c r="K112" s="54">
        <f t="shared" si="9"/>
        <v>195378.66800000001</v>
      </c>
      <c r="L112" s="50"/>
      <c r="M112" s="50"/>
    </row>
    <row r="113" spans="1:16">
      <c r="A113" s="49" t="s">
        <v>190</v>
      </c>
      <c r="B113" s="50">
        <f>'5.4 - 2019'!E105</f>
        <v>-6000</v>
      </c>
      <c r="C113" s="50"/>
      <c r="D113" s="50"/>
      <c r="E113" s="50">
        <f t="shared" si="8"/>
        <v>-6000</v>
      </c>
      <c r="F113" s="50"/>
      <c r="G113" s="62" t="s">
        <v>48</v>
      </c>
      <c r="H113" s="50">
        <f>'5.4 - 2019'!K105</f>
        <v>-3600</v>
      </c>
      <c r="I113" s="54">
        <f>B113/5</f>
        <v>-1200</v>
      </c>
      <c r="J113" s="54"/>
      <c r="K113" s="54">
        <f t="shared" si="9"/>
        <v>-4800</v>
      </c>
      <c r="L113" s="50"/>
      <c r="M113" s="50"/>
    </row>
    <row r="114" spans="1:16">
      <c r="A114" s="49" t="s">
        <v>173</v>
      </c>
      <c r="B114" s="50">
        <f>'5.4 - 2019'!E106</f>
        <v>141600.43</v>
      </c>
      <c r="C114" s="50"/>
      <c r="D114" s="50"/>
      <c r="E114" s="50">
        <f t="shared" si="8"/>
        <v>141600.43</v>
      </c>
      <c r="F114" s="50"/>
      <c r="G114" s="62" t="s">
        <v>48</v>
      </c>
      <c r="H114" s="50">
        <f>'5.4 - 2019'!K106</f>
        <v>40120.135999999999</v>
      </c>
      <c r="I114" s="54">
        <f>B114/5</f>
        <v>28320.085999999999</v>
      </c>
      <c r="J114" s="54"/>
      <c r="K114" s="54">
        <f t="shared" si="9"/>
        <v>68440.221999999994</v>
      </c>
      <c r="L114" s="50"/>
      <c r="M114" s="50"/>
    </row>
    <row r="115" spans="1:16">
      <c r="A115" s="49" t="s">
        <v>188</v>
      </c>
      <c r="B115" s="50">
        <f>'5.4 - 2019'!E107</f>
        <v>-100000</v>
      </c>
      <c r="C115" s="50"/>
      <c r="D115" s="50"/>
      <c r="E115" s="50">
        <f t="shared" si="8"/>
        <v>-100000</v>
      </c>
      <c r="F115" s="50"/>
      <c r="G115" s="62" t="s">
        <v>48</v>
      </c>
      <c r="H115" s="50">
        <f>'5.4 - 2019'!K107</f>
        <v>-28383.559999999998</v>
      </c>
      <c r="I115" s="54">
        <f>B115/5</f>
        <v>-20000</v>
      </c>
      <c r="J115" s="54"/>
      <c r="K115" s="54">
        <f t="shared" si="9"/>
        <v>-48383.56</v>
      </c>
      <c r="L115" s="50"/>
      <c r="M115" s="50"/>
    </row>
    <row r="116" spans="1:16">
      <c r="A116" s="30" t="s">
        <v>58</v>
      </c>
      <c r="B116" s="50">
        <f>'5.4 - 2019'!E109</f>
        <v>185010.89</v>
      </c>
      <c r="C116" s="50"/>
      <c r="D116" s="50"/>
      <c r="E116" s="50">
        <f t="shared" si="8"/>
        <v>185010.89</v>
      </c>
      <c r="F116" s="50"/>
      <c r="G116" s="62" t="s">
        <v>69</v>
      </c>
      <c r="H116" s="50">
        <f>'5.4 - 2019'!K109</f>
        <v>49335.903111111111</v>
      </c>
      <c r="I116" s="54">
        <f>B116/45</f>
        <v>4111.3531111111115</v>
      </c>
      <c r="J116" s="54"/>
      <c r="K116" s="54">
        <f t="shared" si="9"/>
        <v>53447.256222222219</v>
      </c>
      <c r="L116" s="50"/>
    </row>
    <row r="117" spans="1:16">
      <c r="A117" s="49"/>
      <c r="B117" s="50"/>
      <c r="C117" s="50"/>
      <c r="D117" s="50"/>
      <c r="E117" s="50"/>
      <c r="F117" s="50"/>
      <c r="G117" s="62"/>
      <c r="H117" s="50"/>
      <c r="I117" s="50"/>
      <c r="J117" s="50"/>
      <c r="K117" s="54"/>
      <c r="M117" s="50"/>
    </row>
    <row r="118" spans="1:16">
      <c r="A118" s="33" t="s">
        <v>160</v>
      </c>
      <c r="B118" s="50">
        <f>SUM(B101:B117)</f>
        <v>4046888.1300000013</v>
      </c>
      <c r="C118" s="50">
        <f>SUM(C101:C117)</f>
        <v>1356264.0999999999</v>
      </c>
      <c r="D118" s="50">
        <f>SUM(D101:D117)</f>
        <v>0</v>
      </c>
      <c r="E118" s="50">
        <f>SUM(E101:E117)</f>
        <v>5403152.2300000004</v>
      </c>
      <c r="F118" s="50"/>
      <c r="G118" s="50"/>
      <c r="H118" s="50">
        <f>SUM(H101:H117)</f>
        <v>1221923.7691111111</v>
      </c>
      <c r="I118" s="50">
        <f>SUM(I101:I117)</f>
        <v>485006.52411111107</v>
      </c>
      <c r="J118" s="50"/>
      <c r="K118" s="50">
        <f>SUM(K101:K117)</f>
        <v>1706930.2932222222</v>
      </c>
      <c r="L118" s="50"/>
      <c r="M118" s="50"/>
      <c r="N118" s="50"/>
      <c r="O118" s="50"/>
      <c r="P118" s="50"/>
    </row>
    <row r="119" spans="1:16">
      <c r="A119" s="49"/>
      <c r="B119" s="50"/>
      <c r="C119" s="50"/>
      <c r="D119" s="50"/>
      <c r="E119" s="50"/>
      <c r="F119" s="50"/>
      <c r="G119" s="62"/>
      <c r="H119" s="50"/>
      <c r="I119" s="50"/>
      <c r="J119" s="50"/>
      <c r="K119" s="54"/>
      <c r="L119" s="50"/>
    </row>
    <row r="120" spans="1:16">
      <c r="A120" s="33" t="s">
        <v>149</v>
      </c>
      <c r="B120" s="50"/>
      <c r="C120" s="50"/>
      <c r="D120" s="50"/>
      <c r="E120" s="50"/>
      <c r="F120" s="50"/>
      <c r="G120" s="50"/>
      <c r="H120" s="50"/>
      <c r="I120" s="50"/>
      <c r="J120" s="50"/>
      <c r="K120" s="50"/>
    </row>
    <row r="121" spans="1:16">
      <c r="A121" s="49" t="s">
        <v>193</v>
      </c>
      <c r="B121" s="50">
        <f>'5.4 - 2019'!E114</f>
        <v>310842.18</v>
      </c>
      <c r="C121" s="50">
        <v>402125</v>
      </c>
      <c r="D121" s="54">
        <f>-B121-C121</f>
        <v>-712967.17999999993</v>
      </c>
      <c r="E121" s="50">
        <f t="shared" ref="E121:E127" si="12">B121+C121+D121</f>
        <v>0</v>
      </c>
      <c r="F121" s="50"/>
      <c r="G121" s="50"/>
      <c r="H121" s="50"/>
      <c r="I121" s="50"/>
      <c r="J121" s="50"/>
      <c r="K121" s="50"/>
    </row>
    <row r="122" spans="1:16">
      <c r="A122" s="49" t="s">
        <v>253</v>
      </c>
      <c r="B122" s="50">
        <v>0</v>
      </c>
      <c r="C122" s="50"/>
      <c r="D122" s="54"/>
      <c r="E122" s="50">
        <f t="shared" si="12"/>
        <v>0</v>
      </c>
      <c r="F122" s="50"/>
      <c r="G122" s="50"/>
      <c r="H122" s="50"/>
      <c r="I122" s="50"/>
      <c r="J122" s="50"/>
      <c r="K122" s="50"/>
    </row>
    <row r="123" spans="1:16">
      <c r="A123" s="49" t="s">
        <v>254</v>
      </c>
      <c r="B123" s="50">
        <v>0</v>
      </c>
      <c r="C123" s="50">
        <v>200000</v>
      </c>
      <c r="D123" s="54">
        <f>-B123-C123</f>
        <v>-200000</v>
      </c>
      <c r="E123" s="50">
        <f t="shared" si="12"/>
        <v>0</v>
      </c>
      <c r="F123" s="50"/>
      <c r="G123" s="50"/>
      <c r="H123" s="50"/>
      <c r="I123" s="50"/>
      <c r="J123" s="50"/>
      <c r="K123" s="50"/>
    </row>
    <row r="124" spans="1:16">
      <c r="A124" s="49" t="s">
        <v>244</v>
      </c>
      <c r="B124" s="50">
        <f>'5.4 - 2019'!E117</f>
        <v>433612.2</v>
      </c>
      <c r="C124" s="50">
        <v>375000</v>
      </c>
      <c r="D124" s="54">
        <f>-B124-C124</f>
        <v>-808612.2</v>
      </c>
      <c r="E124" s="50">
        <f t="shared" si="12"/>
        <v>0</v>
      </c>
      <c r="F124" s="50"/>
      <c r="G124" s="50"/>
      <c r="H124" s="50"/>
      <c r="I124" s="50"/>
      <c r="J124" s="50"/>
      <c r="K124" s="50"/>
    </row>
    <row r="125" spans="1:16">
      <c r="A125" s="49" t="s">
        <v>245</v>
      </c>
      <c r="B125" s="50">
        <f>'5.4 - 2019'!E118</f>
        <v>-365315.28</v>
      </c>
      <c r="C125" s="50"/>
      <c r="D125" s="54">
        <f>-B125-C125</f>
        <v>365315.28</v>
      </c>
      <c r="E125" s="50">
        <f t="shared" si="12"/>
        <v>0</v>
      </c>
      <c r="F125" s="50"/>
      <c r="G125" s="50"/>
      <c r="H125" s="50"/>
      <c r="I125" s="50"/>
      <c r="J125" s="50"/>
      <c r="K125" s="50"/>
    </row>
    <row r="126" spans="1:16">
      <c r="A126" s="49" t="s">
        <v>157</v>
      </c>
      <c r="B126" s="50">
        <f>'5.4 - 2019'!E119</f>
        <v>133708.41000000003</v>
      </c>
      <c r="C126" s="50">
        <v>-88979</v>
      </c>
      <c r="D126" s="54">
        <v>0</v>
      </c>
      <c r="E126" s="50">
        <f t="shared" si="12"/>
        <v>44729.410000000033</v>
      </c>
      <c r="F126" s="50"/>
      <c r="G126" s="50"/>
      <c r="H126" s="50"/>
      <c r="I126" s="50"/>
      <c r="J126" s="50"/>
      <c r="K126" s="50"/>
    </row>
    <row r="127" spans="1:16">
      <c r="A127" s="49" t="s">
        <v>252</v>
      </c>
      <c r="B127" s="50">
        <f>'5.4 - 2019'!E120</f>
        <v>154874.89000000001</v>
      </c>
      <c r="C127" s="50">
        <v>250000</v>
      </c>
      <c r="D127" s="54"/>
      <c r="E127" s="50">
        <f t="shared" si="12"/>
        <v>404874.89</v>
      </c>
      <c r="F127" s="50"/>
      <c r="G127" s="50"/>
      <c r="H127" s="50"/>
      <c r="I127" s="50"/>
      <c r="J127" s="50"/>
      <c r="K127" s="50"/>
    </row>
    <row r="128" spans="1:16">
      <c r="A128" s="49"/>
      <c r="B128" s="50"/>
      <c r="C128" s="50"/>
      <c r="D128" s="50"/>
      <c r="E128" s="50"/>
      <c r="F128" s="50"/>
      <c r="G128" s="50"/>
      <c r="H128" s="50"/>
      <c r="I128" s="50"/>
      <c r="J128" s="50"/>
      <c r="K128" s="50"/>
      <c r="M128" s="50"/>
    </row>
    <row r="129" spans="1:19">
      <c r="A129" s="33" t="s">
        <v>161</v>
      </c>
      <c r="B129" s="50">
        <f>SUM(B121:B128)</f>
        <v>667722.4</v>
      </c>
      <c r="C129" s="50">
        <f>SUM(C121:C128)</f>
        <v>1138146</v>
      </c>
      <c r="D129" s="50">
        <f>SUM(D121:D128)</f>
        <v>-1356264.0999999999</v>
      </c>
      <c r="E129" s="50">
        <f>SUM(E121:E128)</f>
        <v>449604.30000000005</v>
      </c>
      <c r="F129" s="50"/>
      <c r="G129" s="50"/>
      <c r="H129" s="50"/>
      <c r="I129" s="50"/>
      <c r="J129" s="50"/>
      <c r="K129" s="50"/>
      <c r="M129" s="50"/>
      <c r="N129" s="50"/>
    </row>
    <row r="130" spans="1:19">
      <c r="B130" s="50"/>
      <c r="C130" s="50"/>
      <c r="D130" s="50"/>
      <c r="E130" s="50"/>
      <c r="F130" s="50"/>
      <c r="G130" s="50"/>
      <c r="H130" s="50"/>
      <c r="I130" s="50"/>
      <c r="J130" s="50"/>
      <c r="K130" s="50"/>
    </row>
    <row r="131" spans="1:19">
      <c r="A131" s="109" t="s">
        <v>162</v>
      </c>
      <c r="B131" s="51">
        <f>B118+B129</f>
        <v>4714610.5300000012</v>
      </c>
      <c r="C131" s="51">
        <f>C118+C129</f>
        <v>2494410.0999999996</v>
      </c>
      <c r="D131" s="51">
        <f>D118+D129</f>
        <v>-1356264.0999999999</v>
      </c>
      <c r="E131" s="51">
        <f>E118+E129</f>
        <v>5852756.5300000003</v>
      </c>
      <c r="F131" s="51"/>
      <c r="G131" s="51"/>
      <c r="H131" s="51">
        <f>H118+H129</f>
        <v>1221923.7691111111</v>
      </c>
      <c r="I131" s="51">
        <f>I118+I129</f>
        <v>485006.52411111107</v>
      </c>
      <c r="J131" s="51"/>
      <c r="K131" s="51">
        <f>K118+K129</f>
        <v>1706930.2932222222</v>
      </c>
      <c r="L131" s="50"/>
      <c r="M131" s="50"/>
      <c r="N131" s="50"/>
    </row>
    <row r="132" spans="1:19">
      <c r="B132" s="50"/>
      <c r="C132" s="50"/>
      <c r="D132" s="50"/>
      <c r="E132" s="50"/>
      <c r="F132" s="50"/>
      <c r="G132" s="50"/>
      <c r="H132" s="50"/>
      <c r="I132" s="50"/>
      <c r="J132" s="50"/>
      <c r="K132" s="50"/>
    </row>
    <row r="133" spans="1:19">
      <c r="K133" s="50"/>
    </row>
    <row r="134" spans="1:19">
      <c r="A134" s="33" t="s">
        <v>62</v>
      </c>
      <c r="B134" s="50"/>
      <c r="C134" s="50"/>
      <c r="D134" s="50"/>
      <c r="E134" s="50"/>
      <c r="F134" s="50"/>
      <c r="G134" s="50"/>
      <c r="H134" s="50"/>
      <c r="I134" s="50"/>
      <c r="J134" s="50"/>
      <c r="K134" s="50"/>
    </row>
    <row r="135" spans="1:19">
      <c r="A135" s="110" t="s">
        <v>150</v>
      </c>
      <c r="B135" s="50"/>
      <c r="C135" s="50"/>
      <c r="D135" s="50"/>
      <c r="E135" s="50"/>
      <c r="F135" s="50"/>
      <c r="G135" s="50"/>
      <c r="H135" s="50"/>
      <c r="I135" s="50"/>
      <c r="J135" s="50"/>
      <c r="K135" s="50"/>
    </row>
    <row r="136" spans="1:19">
      <c r="A136" s="30" t="s">
        <v>195</v>
      </c>
      <c r="B136" s="50">
        <f>'5.4 - 2019'!E130</f>
        <v>804592.61</v>
      </c>
      <c r="C136" s="50">
        <f>-D147</f>
        <v>200000</v>
      </c>
      <c r="D136" s="50"/>
      <c r="E136" s="50">
        <f>B136+C136+D136</f>
        <v>1004592.61</v>
      </c>
      <c r="F136" s="50"/>
      <c r="G136" s="50"/>
      <c r="H136" s="50">
        <f>'5.4 - 2019'!K130</f>
        <v>0</v>
      </c>
      <c r="I136" s="50">
        <f>B136/3</f>
        <v>268197.53666666668</v>
      </c>
      <c r="J136" s="50"/>
      <c r="K136" s="50">
        <f t="shared" ref="K136:K137" si="13">H136+I136</f>
        <v>268197.53666666668</v>
      </c>
      <c r="L136" s="50"/>
    </row>
    <row r="137" spans="1:19">
      <c r="A137" s="30" t="s">
        <v>177</v>
      </c>
      <c r="B137" s="50">
        <f>'5.4 - 2019'!E131</f>
        <v>39986.850000000006</v>
      </c>
      <c r="C137" s="50"/>
      <c r="D137" s="50"/>
      <c r="E137" s="50">
        <f>B137+C137+D137</f>
        <v>39986.850000000006</v>
      </c>
      <c r="F137" s="50"/>
      <c r="G137" s="50"/>
      <c r="H137" s="50">
        <f>'5.4 - 2019'!K131</f>
        <v>799.74</v>
      </c>
      <c r="I137" s="50">
        <f>B137/25</f>
        <v>1599.4740000000002</v>
      </c>
      <c r="J137" s="50"/>
      <c r="K137" s="50">
        <f t="shared" si="13"/>
        <v>2399.2139999999999</v>
      </c>
      <c r="L137" s="50"/>
    </row>
    <row r="138" spans="1:19">
      <c r="A138" s="30" t="s">
        <v>63</v>
      </c>
      <c r="B138" s="50">
        <f>'5.4 - 2019'!E132</f>
        <v>285867.32</v>
      </c>
      <c r="C138" s="50"/>
      <c r="D138" s="50"/>
      <c r="E138" s="50">
        <f>B138+C138+D138</f>
        <v>285867.32</v>
      </c>
      <c r="F138" s="50"/>
      <c r="G138" s="50"/>
      <c r="H138" s="50">
        <f>'5.4 - 2019'!K132</f>
        <v>178282.033</v>
      </c>
      <c r="I138" s="50">
        <v>20603.540000000005</v>
      </c>
      <c r="J138" s="50"/>
      <c r="K138" s="50">
        <f>H138+I138</f>
        <v>198885.573</v>
      </c>
      <c r="L138" s="50"/>
    </row>
    <row r="139" spans="1:19">
      <c r="A139" s="30" t="s">
        <v>64</v>
      </c>
      <c r="B139" s="50">
        <f>'5.4 - 2019'!E133</f>
        <v>128801.60000000001</v>
      </c>
      <c r="D139" s="50"/>
      <c r="E139" s="50">
        <f>B139+C139+D139</f>
        <v>128801.60000000001</v>
      </c>
      <c r="F139" s="50"/>
      <c r="G139" s="50"/>
      <c r="H139" s="50">
        <f>'5.4 - 2019'!K133</f>
        <v>62856.199166666673</v>
      </c>
      <c r="I139" s="50">
        <v>10938.365833333335</v>
      </c>
      <c r="J139" s="50"/>
      <c r="K139" s="50">
        <f>H139+I139</f>
        <v>73794.565000000002</v>
      </c>
      <c r="L139" s="50"/>
    </row>
    <row r="140" spans="1:19">
      <c r="B140" s="50"/>
      <c r="C140" s="50"/>
      <c r="D140" s="50"/>
      <c r="E140" s="50"/>
      <c r="F140" s="50"/>
      <c r="G140" s="50"/>
      <c r="H140" s="50"/>
      <c r="I140" s="50"/>
      <c r="J140" s="50"/>
      <c r="K140" s="50"/>
      <c r="M140" s="50"/>
      <c r="R140" s="50"/>
    </row>
    <row r="141" spans="1:19">
      <c r="A141" s="33" t="s">
        <v>65</v>
      </c>
      <c r="B141" s="50">
        <f>SUM(B135:B140)</f>
        <v>1259248.3800000001</v>
      </c>
      <c r="C141" s="50">
        <f>SUM(C135:C140)</f>
        <v>200000</v>
      </c>
      <c r="D141" s="50">
        <f>SUM(D135:D140)</f>
        <v>0</v>
      </c>
      <c r="E141" s="50">
        <f>SUM(E135:E140)</f>
        <v>1459248.3800000001</v>
      </c>
      <c r="F141" s="50"/>
      <c r="G141" s="50"/>
      <c r="H141" s="50">
        <f>SUM(H135:H140)</f>
        <v>241937.97216666664</v>
      </c>
      <c r="I141" s="50">
        <f>SUM(I135:I140)</f>
        <v>301338.91649999999</v>
      </c>
      <c r="J141" s="50"/>
      <c r="K141" s="50">
        <f>SUM(K135:K140)</f>
        <v>543276.88866666658</v>
      </c>
      <c r="L141" s="50"/>
      <c r="M141" s="50"/>
      <c r="N141" s="50"/>
      <c r="O141" s="50"/>
      <c r="P141" s="50"/>
      <c r="S141" s="50"/>
    </row>
    <row r="142" spans="1:19">
      <c r="B142" s="50"/>
      <c r="C142" s="50"/>
      <c r="D142" s="50"/>
      <c r="E142" s="50"/>
      <c r="F142" s="50"/>
      <c r="G142" s="50"/>
      <c r="H142" s="50"/>
      <c r="I142" s="50"/>
      <c r="J142" s="50"/>
      <c r="K142" s="50"/>
      <c r="S142" s="50"/>
    </row>
    <row r="143" spans="1:19">
      <c r="A143" s="33" t="s">
        <v>149</v>
      </c>
      <c r="B143" s="50"/>
      <c r="C143" s="50"/>
      <c r="D143" s="50"/>
      <c r="E143" s="50"/>
      <c r="F143" s="50"/>
      <c r="G143" s="50"/>
      <c r="H143" s="50"/>
      <c r="I143" s="50"/>
      <c r="J143" s="50"/>
      <c r="K143" s="50"/>
    </row>
    <row r="144" spans="1:19">
      <c r="A144" s="30" t="s">
        <v>87</v>
      </c>
      <c r="B144" s="50">
        <f>'5.4 - 2019'!E138</f>
        <v>516799.66</v>
      </c>
      <c r="C144" s="50"/>
      <c r="D144" s="50"/>
      <c r="E144" s="50">
        <f>B144+C144+D144</f>
        <v>516799.66</v>
      </c>
      <c r="F144" s="50"/>
      <c r="G144" s="50"/>
      <c r="H144" s="50"/>
      <c r="I144" s="50"/>
      <c r="J144" s="50"/>
      <c r="K144" s="50"/>
      <c r="L144" s="50"/>
    </row>
    <row r="145" spans="1:24">
      <c r="A145" s="30" t="s">
        <v>176</v>
      </c>
      <c r="B145" s="50">
        <f>'5.4 - 2019'!E139</f>
        <v>3118954.19</v>
      </c>
      <c r="C145" s="50">
        <v>460000</v>
      </c>
      <c r="D145" s="50"/>
      <c r="E145" s="50">
        <f>B145+C145+D145</f>
        <v>3578954.19</v>
      </c>
      <c r="F145" s="50"/>
      <c r="G145" s="50"/>
      <c r="H145" s="50"/>
      <c r="I145" s="50"/>
      <c r="J145" s="50"/>
      <c r="K145" s="50"/>
      <c r="L145" s="50"/>
    </row>
    <row r="146" spans="1:24">
      <c r="A146" s="30" t="s">
        <v>194</v>
      </c>
      <c r="B146" s="50">
        <f>'5.4 - 2019'!E140</f>
        <v>5469953.9099999992</v>
      </c>
      <c r="C146" s="50">
        <v>1488000</v>
      </c>
      <c r="D146" s="50"/>
      <c r="E146" s="50">
        <f>B146+C146+D146</f>
        <v>6957953.9099999992</v>
      </c>
      <c r="F146" s="50"/>
      <c r="G146" s="50"/>
      <c r="H146" s="50"/>
      <c r="I146" s="50"/>
      <c r="J146" s="50"/>
      <c r="K146" s="50"/>
      <c r="L146" s="50"/>
    </row>
    <row r="147" spans="1:24">
      <c r="A147" s="30" t="s">
        <v>195</v>
      </c>
      <c r="B147" s="50">
        <f>'5.4 - 2019'!E141</f>
        <v>0</v>
      </c>
      <c r="C147" s="50">
        <v>200000</v>
      </c>
      <c r="D147" s="50">
        <f>-B147-C147</f>
        <v>-200000</v>
      </c>
      <c r="E147" s="50">
        <f>B147+C147+D147</f>
        <v>0</v>
      </c>
      <c r="F147" s="50"/>
      <c r="G147" s="50"/>
      <c r="H147" s="50"/>
      <c r="I147" s="50"/>
      <c r="J147" s="50"/>
      <c r="K147" s="50"/>
      <c r="L147" s="50"/>
    </row>
    <row r="148" spans="1:24">
      <c r="B148" s="50"/>
      <c r="C148" s="50"/>
      <c r="D148" s="50"/>
      <c r="E148" s="50"/>
      <c r="F148" s="50"/>
      <c r="G148" s="50"/>
      <c r="H148" s="50"/>
      <c r="I148" s="50"/>
      <c r="J148" s="50"/>
      <c r="K148" s="50"/>
      <c r="L148" s="50"/>
    </row>
    <row r="149" spans="1:24">
      <c r="A149" s="33" t="s">
        <v>66</v>
      </c>
      <c r="B149" s="50">
        <f>SUM(B144:B147)</f>
        <v>9105707.7599999998</v>
      </c>
      <c r="C149" s="50">
        <f t="shared" ref="C149:E149" si="14">SUM(C144:C147)</f>
        <v>2148000</v>
      </c>
      <c r="D149" s="50">
        <f t="shared" si="14"/>
        <v>-200000</v>
      </c>
      <c r="E149" s="50">
        <f t="shared" si="14"/>
        <v>11053707.76</v>
      </c>
      <c r="F149" s="50"/>
      <c r="G149" s="50">
        <f>SUM(G145:G147)</f>
        <v>0</v>
      </c>
      <c r="H149" s="50">
        <f>SUM(H145:H147)</f>
        <v>0</v>
      </c>
      <c r="I149" s="50">
        <f>SUM(I145:I147)</f>
        <v>0</v>
      </c>
      <c r="J149" s="50"/>
      <c r="K149" s="50">
        <f>SUM(K145:K147)</f>
        <v>0</v>
      </c>
      <c r="L149" s="50"/>
      <c r="M149" s="50"/>
      <c r="N149" s="50"/>
      <c r="T149" s="50"/>
    </row>
    <row r="150" spans="1:24">
      <c r="B150" s="50"/>
      <c r="C150" s="50"/>
      <c r="D150" s="50"/>
      <c r="E150" s="50"/>
      <c r="F150" s="50"/>
      <c r="G150" s="50"/>
      <c r="H150" s="50"/>
      <c r="I150" s="50"/>
      <c r="J150" s="50"/>
      <c r="K150" s="50"/>
      <c r="T150" s="50"/>
    </row>
    <row r="151" spans="1:24">
      <c r="A151" s="109" t="s">
        <v>67</v>
      </c>
      <c r="B151" s="51">
        <f>B141+B149</f>
        <v>10364956.140000001</v>
      </c>
      <c r="C151" s="51">
        <f>C141+C149</f>
        <v>2348000</v>
      </c>
      <c r="D151" s="51">
        <f t="shared" ref="D151:K151" si="15">D141+D149</f>
        <v>-200000</v>
      </c>
      <c r="E151" s="51">
        <f t="shared" si="15"/>
        <v>12512956.140000001</v>
      </c>
      <c r="F151" s="51"/>
      <c r="G151" s="51">
        <f t="shared" si="15"/>
        <v>0</v>
      </c>
      <c r="H151" s="51">
        <f t="shared" si="15"/>
        <v>241937.97216666664</v>
      </c>
      <c r="I151" s="51">
        <f t="shared" si="15"/>
        <v>301338.91649999999</v>
      </c>
      <c r="J151" s="51"/>
      <c r="K151" s="51">
        <f t="shared" si="15"/>
        <v>543276.88866666658</v>
      </c>
      <c r="L151" s="50"/>
      <c r="M151" s="50"/>
      <c r="N151" s="50"/>
      <c r="S151" s="50"/>
    </row>
    <row r="152" spans="1:24">
      <c r="M152" s="50"/>
    </row>
    <row r="153" spans="1:24">
      <c r="K153" s="50"/>
    </row>
    <row r="154" spans="1:24">
      <c r="A154" s="33" t="s">
        <v>70</v>
      </c>
      <c r="B154" s="50"/>
      <c r="C154" s="50"/>
      <c r="D154" s="50"/>
      <c r="E154" s="50"/>
      <c r="F154" s="50"/>
      <c r="G154" s="50"/>
      <c r="H154" s="50"/>
      <c r="I154" s="50"/>
      <c r="J154" s="50"/>
      <c r="K154" s="50"/>
      <c r="S154" s="50"/>
    </row>
    <row r="155" spans="1:24">
      <c r="A155" s="61" t="s">
        <v>71</v>
      </c>
      <c r="B155" s="50">
        <f>'5.4 - 2019'!E150</f>
        <v>147711.95000000001</v>
      </c>
      <c r="C155" s="50">
        <f>-D156</f>
        <v>315000</v>
      </c>
      <c r="D155" s="50"/>
      <c r="E155" s="50">
        <f>SUM(B155:D155)</f>
        <v>462711.95</v>
      </c>
      <c r="F155" s="50"/>
      <c r="G155" s="62" t="s">
        <v>48</v>
      </c>
      <c r="H155" s="50">
        <f>'5.4 - 2019'!K150</f>
        <v>88627.17</v>
      </c>
      <c r="I155" s="87">
        <f>B155/5</f>
        <v>29542.390000000003</v>
      </c>
      <c r="J155" s="87"/>
      <c r="K155" s="50">
        <f t="shared" ref="K155" si="16">H155+I155</f>
        <v>118169.56</v>
      </c>
      <c r="S155" s="50"/>
    </row>
    <row r="156" spans="1:24">
      <c r="A156" s="30" t="s">
        <v>60</v>
      </c>
      <c r="B156" s="50">
        <f>'5.4 - 2019'!E151</f>
        <v>0</v>
      </c>
      <c r="C156" s="50">
        <v>315000</v>
      </c>
      <c r="D156" s="50">
        <f>-B156-C156</f>
        <v>-315000</v>
      </c>
      <c r="E156" s="50">
        <f>SUM(B156:D156)</f>
        <v>0</v>
      </c>
      <c r="F156" s="50"/>
      <c r="G156" s="50"/>
      <c r="H156" s="50"/>
      <c r="I156" s="50"/>
      <c r="J156" s="50"/>
      <c r="K156" s="50"/>
      <c r="S156" s="50"/>
    </row>
    <row r="157" spans="1:24">
      <c r="A157" s="72" t="s">
        <v>120</v>
      </c>
      <c r="B157" s="51">
        <f>'5.4 - 2019'!E152</f>
        <v>147711.95000000001</v>
      </c>
      <c r="C157" s="51">
        <f t="shared" ref="C157:E157" si="17">SUM(C155:C156)</f>
        <v>630000</v>
      </c>
      <c r="D157" s="51">
        <f t="shared" si="17"/>
        <v>-315000</v>
      </c>
      <c r="E157" s="51">
        <f t="shared" si="17"/>
        <v>462711.95</v>
      </c>
      <c r="F157" s="51"/>
      <c r="G157" s="51"/>
      <c r="H157" s="51">
        <f>'5.4 - 2019'!K152</f>
        <v>88627.17</v>
      </c>
      <c r="I157" s="51">
        <f t="shared" ref="I157:K157" si="18">SUM(I155:I156)</f>
        <v>29542.390000000003</v>
      </c>
      <c r="J157" s="51"/>
      <c r="K157" s="51">
        <f t="shared" si="18"/>
        <v>118169.56</v>
      </c>
      <c r="L157" s="50"/>
      <c r="M157" s="50"/>
      <c r="N157" s="50"/>
      <c r="S157" s="50"/>
    </row>
    <row r="159" spans="1:24">
      <c r="A159" s="63"/>
      <c r="B159" s="51"/>
      <c r="C159" s="51"/>
      <c r="D159" s="51"/>
      <c r="E159" s="51"/>
      <c r="F159" s="68"/>
      <c r="G159" s="35"/>
      <c r="H159" s="51"/>
      <c r="I159" s="51"/>
      <c r="J159" s="51"/>
      <c r="K159" s="51"/>
    </row>
    <row r="160" spans="1:24">
      <c r="A160" s="64" t="s">
        <v>73</v>
      </c>
      <c r="B160" s="65">
        <f>B98+B131+B151+B157</f>
        <v>38933344.230000004</v>
      </c>
      <c r="C160" s="65">
        <f>C98+C131+C151+C157</f>
        <v>9441755.3399999999</v>
      </c>
      <c r="D160" s="65">
        <f>D98+D131+D151+D157</f>
        <v>-4200298.3899999997</v>
      </c>
      <c r="E160" s="65">
        <f>E98+E131+E151+E157</f>
        <v>44174801.180000015</v>
      </c>
      <c r="F160" s="68"/>
      <c r="G160" s="35"/>
      <c r="H160" s="65">
        <f>H98+H131+H151+H157</f>
        <v>8418002.6172777805</v>
      </c>
      <c r="I160" s="65">
        <f>I98+I131+I151+I157</f>
        <v>2684535.7726111105</v>
      </c>
      <c r="J160" s="65"/>
      <c r="K160" s="65">
        <f>K98+K131+K151+K157</f>
        <v>10923383.339888891</v>
      </c>
      <c r="L160" s="50"/>
      <c r="M160" s="50"/>
      <c r="N160" s="50"/>
      <c r="S160" s="50"/>
      <c r="X160" s="50"/>
    </row>
    <row r="161" spans="1:24">
      <c r="A161" s="66"/>
      <c r="B161" s="67"/>
      <c r="C161" s="67"/>
      <c r="D161" s="67"/>
      <c r="E161" s="67"/>
      <c r="F161" s="68"/>
      <c r="G161" s="35"/>
      <c r="H161" s="68"/>
      <c r="I161" s="68"/>
      <c r="J161" s="68"/>
      <c r="K161" s="68"/>
      <c r="S161" s="50"/>
      <c r="X161" s="50"/>
    </row>
    <row r="162" spans="1:24">
      <c r="A162" s="64" t="s">
        <v>80</v>
      </c>
      <c r="B162" s="67"/>
      <c r="C162" s="67"/>
      <c r="D162" s="67"/>
      <c r="E162" s="69">
        <f>E78+E118+E141+E157</f>
        <v>22838218.940000013</v>
      </c>
      <c r="F162" s="68"/>
      <c r="G162" s="35"/>
      <c r="H162" s="68"/>
      <c r="I162" s="68"/>
      <c r="J162" s="68"/>
      <c r="K162" s="68"/>
      <c r="S162" s="50"/>
    </row>
    <row r="163" spans="1:24">
      <c r="A163" s="64" t="s">
        <v>72</v>
      </c>
      <c r="B163" s="67"/>
      <c r="C163" s="67"/>
      <c r="D163" s="67"/>
      <c r="E163" s="69">
        <f>E96+E129+E149</f>
        <v>21336582.240000002</v>
      </c>
      <c r="F163" s="68"/>
      <c r="G163" s="35"/>
      <c r="H163" s="68"/>
      <c r="I163" s="68"/>
      <c r="J163" s="68"/>
      <c r="K163" s="68"/>
      <c r="M163" s="50"/>
      <c r="N163" s="101"/>
    </row>
    <row r="164" spans="1:24">
      <c r="A164" s="66"/>
      <c r="B164" s="67"/>
      <c r="C164" s="67"/>
      <c r="D164" s="67"/>
      <c r="E164" s="67"/>
      <c r="F164" s="68"/>
      <c r="G164" s="35"/>
      <c r="H164" s="68"/>
      <c r="I164" s="68"/>
      <c r="J164" s="68"/>
      <c r="K164" s="68"/>
      <c r="X164" s="50"/>
    </row>
    <row r="165" spans="1:24">
      <c r="A165" s="64" t="s">
        <v>81</v>
      </c>
      <c r="B165" s="67"/>
      <c r="C165" s="67"/>
      <c r="D165" s="67"/>
      <c r="E165" s="67"/>
      <c r="F165" s="68"/>
      <c r="G165" s="35"/>
      <c r="H165" s="68"/>
      <c r="I165" s="68"/>
      <c r="J165" s="68"/>
      <c r="K165" s="70">
        <f>E162-K160</f>
        <v>11914835.600111121</v>
      </c>
      <c r="L165" s="35"/>
      <c r="X165" s="50"/>
    </row>
    <row r="167" spans="1:24">
      <c r="A167" s="66" t="s">
        <v>79</v>
      </c>
      <c r="B167" s="67"/>
      <c r="C167" s="67"/>
      <c r="D167" s="67"/>
      <c r="E167" s="67"/>
      <c r="F167" s="68"/>
      <c r="G167" s="35"/>
      <c r="H167" s="68"/>
      <c r="I167" s="68"/>
      <c r="J167" s="68"/>
      <c r="K167" s="70"/>
    </row>
    <row r="168" spans="1:24" ht="12.75" customHeight="1">
      <c r="A168" s="66" t="s">
        <v>82</v>
      </c>
      <c r="B168" s="67"/>
      <c r="C168" s="67"/>
      <c r="D168" s="67"/>
      <c r="E168" s="67"/>
      <c r="F168" s="68"/>
      <c r="G168" s="35"/>
      <c r="H168" s="68"/>
      <c r="I168" s="68"/>
      <c r="J168" s="68"/>
      <c r="K168" s="70"/>
    </row>
  </sheetData>
  <sortState xmlns:xlrd2="http://schemas.microsoft.com/office/spreadsheetml/2017/richdata2" ref="A90:Y101">
    <sortCondition ref="A90:A101"/>
  </sortState>
  <mergeCells count="3">
    <mergeCell ref="B5:E5"/>
    <mergeCell ref="H5:K5"/>
    <mergeCell ref="G6:G7"/>
  </mergeCells>
  <phoneticPr fontId="22" type="noConversion"/>
  <conditionalFormatting sqref="A128">
    <cfRule type="expression" dxfId="41" priority="19" stopIfTrue="1">
      <formula>AND(MONTH(#REF!)-MONTH(#REF!)=1,YEAR(#REF!)=YEAR(#REF!),#REF!&gt;0)</formula>
    </cfRule>
    <cfRule type="expression" dxfId="40" priority="20" stopIfTrue="1">
      <formula>AND(MONTH(#REF!)-MONTH(#REF!)=0,YEAR(#REF!)=YEAR(#REF!),#REF!&gt;0)</formula>
    </cfRule>
    <cfRule type="expression" dxfId="39" priority="21" stopIfTrue="1">
      <formula>AND(MONTH(#REF!)-MONTH(#REF!)&lt;0,YEAR(#REF!)=YEAR(#REF!),#REF!&gt;0)</formula>
    </cfRule>
  </conditionalFormatting>
  <conditionalFormatting sqref="A106 A114:A117 A121:A127">
    <cfRule type="expression" dxfId="38" priority="16" stopIfTrue="1">
      <formula>AND(MONTH(#REF!)-MONTH(#REF!)=1,YEAR(#REF!)=YEAR(#REF!),#REF!&gt;0)</formula>
    </cfRule>
    <cfRule type="expression" dxfId="37" priority="17" stopIfTrue="1">
      <formula>AND(MONTH(#REF!)-MONTH(#REF!)=0,YEAR(#REF!)=YEAR(#REF!),#REF!&gt;0)</formula>
    </cfRule>
    <cfRule type="expression" dxfId="36" priority="18" stopIfTrue="1">
      <formula>AND(MONTH(#REF!)-MONTH(#REF!)&lt;0,YEAR(#REF!)=YEAR(#REF!),#REF!&gt;0)</formula>
    </cfRule>
  </conditionalFormatting>
  <conditionalFormatting sqref="A113 A107:A108 A111">
    <cfRule type="expression" dxfId="35" priority="13" stopIfTrue="1">
      <formula>AND(MONTH(#REF!)-MONTH(#REF!)=1,YEAR(#REF!)=YEAR(#REF!),#REF!&gt;0)</formula>
    </cfRule>
    <cfRule type="expression" dxfId="34" priority="14" stopIfTrue="1">
      <formula>AND(MONTH(#REF!)-MONTH(#REF!)=0,YEAR(#REF!)=YEAR(#REF!),#REF!&gt;0)</formula>
    </cfRule>
    <cfRule type="expression" dxfId="33" priority="15" stopIfTrue="1">
      <formula>AND(MONTH(#REF!)-MONTH(#REF!)&lt;0,YEAR(#REF!)=YEAR(#REF!),#REF!&gt;0)</formula>
    </cfRule>
  </conditionalFormatting>
  <conditionalFormatting sqref="A112">
    <cfRule type="expression" dxfId="32" priority="10" stopIfTrue="1">
      <formula>AND(MONTH(#REF!)-MONTH(#REF!)=1,YEAR(#REF!)=YEAR(#REF!),#REF!&gt;0)</formula>
    </cfRule>
    <cfRule type="expression" dxfId="31" priority="11" stopIfTrue="1">
      <formula>AND(MONTH(#REF!)-MONTH(#REF!)=0,YEAR(#REF!)=YEAR(#REF!),#REF!&gt;0)</formula>
    </cfRule>
    <cfRule type="expression" dxfId="30" priority="12" stopIfTrue="1">
      <formula>AND(MONTH(#REF!)-MONTH(#REF!)&lt;0,YEAR(#REF!)=YEAR(#REF!),#REF!&gt;0)</formula>
    </cfRule>
  </conditionalFormatting>
  <conditionalFormatting sqref="A102">
    <cfRule type="expression" dxfId="29" priority="4" stopIfTrue="1">
      <formula>AND(MONTH(#REF!)-MONTH(#REF!)=1,YEAR(#REF!)=YEAR(#REF!),#REF!&gt;0)</formula>
    </cfRule>
    <cfRule type="expression" dxfId="28" priority="5" stopIfTrue="1">
      <formula>AND(MONTH(#REF!)-MONTH(#REF!)=0,YEAR(#REF!)=YEAR(#REF!),#REF!&gt;0)</formula>
    </cfRule>
    <cfRule type="expression" dxfId="27" priority="6" stopIfTrue="1">
      <formula>AND(MONTH(#REF!)-MONTH(#REF!)&lt;0,YEAR(#REF!)=YEAR(#REF!),#REF!&gt;0)</formula>
    </cfRule>
  </conditionalFormatting>
  <conditionalFormatting sqref="A109:A110">
    <cfRule type="expression" dxfId="26" priority="1" stopIfTrue="1">
      <formula>AND(MONTH(#REF!)-MONTH(#REF!)=1,YEAR(#REF!)=YEAR(#REF!),#REF!&gt;0)</formula>
    </cfRule>
    <cfRule type="expression" dxfId="25" priority="2" stopIfTrue="1">
      <formula>AND(MONTH(#REF!)-MONTH(#REF!)=0,YEAR(#REF!)=YEAR(#REF!),#REF!&gt;0)</formula>
    </cfRule>
    <cfRule type="expression" dxfId="24" priority="3" stopIfTrue="1">
      <formula>AND(MONTH(#REF!)-MONTH(#REF!)&lt;0,YEAR(#REF!)=YEAR(#REF!),#REF!&gt;0)</formula>
    </cfRule>
  </conditionalFormatting>
  <conditionalFormatting sqref="A119">
    <cfRule type="expression" dxfId="23" priority="34" stopIfTrue="1">
      <formula>AND(MONTH($E119)-MONTH($B$1)=1,YEAR($E119)=YEAR($B$1),$Y119&gt;0)</formula>
    </cfRule>
    <cfRule type="expression" dxfId="22" priority="35" stopIfTrue="1">
      <formula>AND(MONTH($E119)-MONTH($B$1)=0,YEAR($E119)=YEAR($B$1),$Y119&gt;0)</formula>
    </cfRule>
    <cfRule type="expression" dxfId="21" priority="36" stopIfTrue="1">
      <formula>AND(MONTH($E119)-MONTH($B$1)&lt;0,YEAR($E119)=YEAR($B$1),$Y119&gt;0)</formula>
    </cfRule>
  </conditionalFormatting>
  <dataValidations count="1">
    <dataValidation allowBlank="1" showInputMessage="1" showErrorMessage="1" promptTitle="Change" prompt="Please Open the Regulatory Model before making any changes to this file. It is linked." sqref="K2" xr:uid="{00000000-0002-0000-0400-000000000000}"/>
  </dataValidations>
  <pageMargins left="0.70866141732283472" right="0.70866141732283472" top="0.74803149606299213" bottom="0.74803149606299213" header="0.31496062992125984" footer="0.31496062992125984"/>
  <pageSetup scale="47" fitToHeight="2" orientation="portrait" r:id="rId1"/>
  <rowBreaks count="1" manualBreakCount="1">
    <brk id="98"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D8BA-3FC7-4C1A-806C-B240E86B5E01}">
  <dimension ref="A1:X174"/>
  <sheetViews>
    <sheetView view="pageBreakPreview" zoomScaleSheetLayoutView="100" workbookViewId="0">
      <pane ySplit="7" topLeftCell="A8" activePane="bottomLeft" state="frozen"/>
      <selection activeCell="A199" sqref="A199:E199"/>
      <selection pane="bottomLeft" activeCell="A29" sqref="A29"/>
    </sheetView>
  </sheetViews>
  <sheetFormatPr defaultColWidth="9.109375" defaultRowHeight="13.2"/>
  <cols>
    <col min="1" max="1" width="48.44140625" style="30" customWidth="1"/>
    <col min="2" max="2" width="13" style="30" bestFit="1" customWidth="1"/>
    <col min="3" max="3" width="12.5546875" style="30" customWidth="1"/>
    <col min="4" max="4" width="11.6640625" style="30" customWidth="1"/>
    <col min="5" max="5" width="12.44140625" style="30" customWidth="1"/>
    <col min="6" max="6" width="4.5546875" style="30" customWidth="1"/>
    <col min="7" max="7" width="11.6640625" style="30" customWidth="1"/>
    <col min="8" max="8" width="11.88671875" style="30" bestFit="1" customWidth="1"/>
    <col min="9" max="10" width="12.6640625" style="30" customWidth="1"/>
    <col min="11" max="11" width="11.5546875" style="30" bestFit="1" customWidth="1"/>
    <col min="12" max="12" width="11.33203125" style="30" bestFit="1" customWidth="1"/>
    <col min="13" max="13" width="12" style="30" customWidth="1"/>
    <col min="14" max="15" width="14" style="30" bestFit="1" customWidth="1"/>
    <col min="16" max="16" width="13.6640625" style="30" customWidth="1"/>
    <col min="17" max="18" width="9.109375" style="30"/>
    <col min="19" max="19" width="11.33203125" style="30" bestFit="1" customWidth="1"/>
    <col min="20" max="23" width="9.109375" style="30"/>
    <col min="24" max="24" width="10.33203125" style="30" bestFit="1" customWidth="1"/>
    <col min="25" max="16384" width="9.109375" style="30"/>
  </cols>
  <sheetData>
    <row r="1" spans="1:16">
      <c r="A1" s="12" t="s">
        <v>15</v>
      </c>
      <c r="B1" s="12"/>
      <c r="C1" s="5"/>
      <c r="D1" s="5"/>
      <c r="E1" s="5"/>
      <c r="F1" s="5"/>
      <c r="G1" s="5"/>
      <c r="H1" s="5"/>
      <c r="I1" s="5"/>
      <c r="J1" s="5"/>
      <c r="K1" s="79" t="s">
        <v>256</v>
      </c>
    </row>
    <row r="2" spans="1:16" ht="15" customHeight="1">
      <c r="A2" s="12" t="s">
        <v>255</v>
      </c>
      <c r="B2" s="12"/>
      <c r="C2" s="5"/>
      <c r="D2" s="5"/>
      <c r="E2" s="5"/>
      <c r="F2" s="5"/>
      <c r="G2" s="5"/>
      <c r="H2" s="5"/>
      <c r="I2" s="5"/>
      <c r="J2" s="5"/>
      <c r="K2" s="14" t="str">
        <f>'5.1'!F2</f>
        <v>November 2020</v>
      </c>
    </row>
    <row r="3" spans="1:16" ht="15.75" customHeight="1" thickBot="1">
      <c r="A3" s="15" t="s">
        <v>308</v>
      </c>
      <c r="B3" s="15"/>
      <c r="C3" s="80"/>
      <c r="D3" s="80"/>
      <c r="E3" s="80"/>
      <c r="F3" s="80"/>
      <c r="G3" s="80"/>
      <c r="H3" s="80"/>
      <c r="I3" s="80"/>
      <c r="J3" s="80"/>
      <c r="K3" s="80"/>
    </row>
    <row r="4" spans="1:16" ht="13.8" thickBot="1">
      <c r="A4" s="16"/>
      <c r="B4" s="15"/>
      <c r="C4" s="80"/>
      <c r="D4" s="80"/>
      <c r="E4" s="80"/>
      <c r="F4" s="81"/>
      <c r="G4" s="81"/>
      <c r="H4" s="80"/>
      <c r="I4" s="80"/>
      <c r="J4" s="80"/>
      <c r="K4" s="80"/>
    </row>
    <row r="5" spans="1:16" ht="13.8" thickBot="1">
      <c r="A5" s="16"/>
      <c r="B5" s="136" t="s">
        <v>84</v>
      </c>
      <c r="C5" s="137"/>
      <c r="D5" s="137"/>
      <c r="E5" s="137"/>
      <c r="F5" s="82"/>
      <c r="G5" s="5"/>
      <c r="H5" s="138" t="s">
        <v>42</v>
      </c>
      <c r="I5" s="138"/>
      <c r="J5" s="138"/>
      <c r="K5" s="138"/>
    </row>
    <row r="6" spans="1:16" ht="18" customHeight="1">
      <c r="A6" s="16"/>
      <c r="B6" s="57" t="s">
        <v>43</v>
      </c>
      <c r="C6" s="116" t="s">
        <v>257</v>
      </c>
      <c r="D6" s="117"/>
      <c r="E6" s="57" t="s">
        <v>43</v>
      </c>
      <c r="F6" s="83"/>
      <c r="G6" s="139" t="s">
        <v>44</v>
      </c>
      <c r="H6" s="57" t="s">
        <v>43</v>
      </c>
      <c r="I6" s="116" t="str">
        <f>C6</f>
        <v>2021 Forecast</v>
      </c>
      <c r="J6" s="116"/>
      <c r="K6" s="57" t="s">
        <v>43</v>
      </c>
    </row>
    <row r="7" spans="1:16" ht="31.5" customHeight="1" thickBot="1">
      <c r="A7" s="16"/>
      <c r="B7" s="58">
        <f>'5.5 - 2020'!B7+1</f>
        <v>2020</v>
      </c>
      <c r="C7" s="84" t="s">
        <v>45</v>
      </c>
      <c r="D7" s="85" t="s">
        <v>123</v>
      </c>
      <c r="E7" s="86">
        <f>B7+1</f>
        <v>2021</v>
      </c>
      <c r="F7" s="86"/>
      <c r="G7" s="140"/>
      <c r="H7" s="59">
        <f>B7</f>
        <v>2020</v>
      </c>
      <c r="I7" s="85" t="s">
        <v>159</v>
      </c>
      <c r="J7" s="85" t="s">
        <v>246</v>
      </c>
      <c r="K7" s="86">
        <f>E7</f>
        <v>2021</v>
      </c>
    </row>
    <row r="8" spans="1:16">
      <c r="A8" s="33" t="s">
        <v>59</v>
      </c>
    </row>
    <row r="9" spans="1:16">
      <c r="A9" s="61" t="s">
        <v>150</v>
      </c>
      <c r="G9" s="62"/>
    </row>
    <row r="10" spans="1:16">
      <c r="A10" s="30" t="s">
        <v>198</v>
      </c>
      <c r="B10" s="54">
        <f>'5.5 - 2020'!E10</f>
        <v>15000</v>
      </c>
      <c r="C10" s="54"/>
      <c r="D10" s="54"/>
      <c r="E10" s="54">
        <f t="shared" ref="E10:E41" si="0">B10+C10+D10</f>
        <v>15000</v>
      </c>
      <c r="G10" s="62" t="s">
        <v>48</v>
      </c>
      <c r="H10" s="54">
        <f>'5.5 - 2020'!K10</f>
        <v>0</v>
      </c>
      <c r="I10" s="54">
        <f>B10/5</f>
        <v>3000</v>
      </c>
      <c r="J10" s="54"/>
      <c r="K10" s="54">
        <f>H10+I10+J10</f>
        <v>3000</v>
      </c>
      <c r="L10" s="50"/>
      <c r="M10" s="50"/>
      <c r="N10" s="50"/>
      <c r="O10" s="50"/>
      <c r="P10" s="50"/>
    </row>
    <row r="11" spans="1:16">
      <c r="A11" s="30" t="s">
        <v>155</v>
      </c>
      <c r="B11" s="54">
        <f>'5.5 - 2020'!E11</f>
        <v>115894.04</v>
      </c>
      <c r="C11" s="54"/>
      <c r="D11" s="54">
        <v>-115894.04</v>
      </c>
      <c r="E11" s="54">
        <f t="shared" si="0"/>
        <v>0</v>
      </c>
      <c r="G11" s="62" t="s">
        <v>48</v>
      </c>
      <c r="H11" s="54">
        <f>'5.5 - 2020'!K11</f>
        <v>92715.296000000002</v>
      </c>
      <c r="I11" s="54">
        <f>B11/5</f>
        <v>23178.807999999997</v>
      </c>
      <c r="J11" s="54">
        <v>-115894.04</v>
      </c>
      <c r="K11" s="54">
        <f t="shared" ref="K11:K72" si="1">H11+I11+J11</f>
        <v>6.3999999998486601E-2</v>
      </c>
      <c r="L11" s="50"/>
      <c r="M11" s="50"/>
      <c r="N11" s="50"/>
      <c r="O11" s="50"/>
      <c r="P11" s="50"/>
    </row>
    <row r="12" spans="1:16">
      <c r="A12" s="30" t="s">
        <v>118</v>
      </c>
      <c r="B12" s="54">
        <f>'5.5 - 2020'!E12</f>
        <v>127545.07</v>
      </c>
      <c r="C12" s="54"/>
      <c r="D12" s="54">
        <v>-127545.07</v>
      </c>
      <c r="E12" s="54">
        <f t="shared" si="0"/>
        <v>0</v>
      </c>
      <c r="G12" s="62" t="s">
        <v>48</v>
      </c>
      <c r="H12" s="54">
        <f>'5.5 - 2020'!K12</f>
        <v>102036.02799999999</v>
      </c>
      <c r="I12" s="54">
        <f>B12/5</f>
        <v>25509.014000000003</v>
      </c>
      <c r="J12" s="54">
        <v>-127545.07</v>
      </c>
      <c r="K12" s="54">
        <f t="shared" si="1"/>
        <v>-2.8000000020256266E-2</v>
      </c>
      <c r="L12" s="50"/>
      <c r="P12" s="50"/>
    </row>
    <row r="13" spans="1:16">
      <c r="A13" s="30" t="s">
        <v>182</v>
      </c>
      <c r="B13" s="54">
        <f>'5.5 - 2020'!E13</f>
        <v>417641.32</v>
      </c>
      <c r="C13" s="54"/>
      <c r="D13" s="54"/>
      <c r="E13" s="54">
        <f t="shared" si="0"/>
        <v>417641.32</v>
      </c>
      <c r="G13" s="62" t="s">
        <v>48</v>
      </c>
      <c r="H13" s="54">
        <f>'5.5 - 2020'!K13</f>
        <v>250584.80799999999</v>
      </c>
      <c r="I13" s="54">
        <f>B13/5</f>
        <v>83528.263999999996</v>
      </c>
      <c r="J13" s="54"/>
      <c r="K13" s="54">
        <f t="shared" si="1"/>
        <v>334113.07199999999</v>
      </c>
      <c r="L13" s="50"/>
      <c r="P13" s="50"/>
    </row>
    <row r="14" spans="1:16">
      <c r="A14" s="30" t="s">
        <v>134</v>
      </c>
      <c r="B14" s="54">
        <f>'5.5 - 2020'!E14</f>
        <v>2230652.33</v>
      </c>
      <c r="C14" s="54"/>
      <c r="D14" s="54">
        <v>-2230652.33</v>
      </c>
      <c r="E14" s="54">
        <f t="shared" si="0"/>
        <v>0</v>
      </c>
      <c r="G14" s="62" t="s">
        <v>47</v>
      </c>
      <c r="H14" s="54">
        <f>'5.5 - 2020'!K14</f>
        <v>2007588.5360000001</v>
      </c>
      <c r="I14" s="54">
        <f>B14/10</f>
        <v>223065.23300000001</v>
      </c>
      <c r="J14" s="54">
        <f>-H14-I14</f>
        <v>-2230653.7690000003</v>
      </c>
      <c r="K14" s="54">
        <f t="shared" si="1"/>
        <v>0</v>
      </c>
      <c r="L14" s="50"/>
      <c r="P14" s="50"/>
    </row>
    <row r="15" spans="1:16">
      <c r="A15" s="30" t="s">
        <v>153</v>
      </c>
      <c r="B15" s="54">
        <f>'5.5 - 2020'!E15</f>
        <v>-16500</v>
      </c>
      <c r="C15" s="54"/>
      <c r="D15" s="54">
        <v>-16500</v>
      </c>
      <c r="E15" s="54">
        <f t="shared" si="0"/>
        <v>-33000</v>
      </c>
      <c r="G15" s="62" t="s">
        <v>48</v>
      </c>
      <c r="H15" s="54">
        <f>'5.5 - 2020'!K15</f>
        <v>-16225</v>
      </c>
      <c r="I15" s="54">
        <v>-275</v>
      </c>
      <c r="J15" s="54">
        <v>-16500</v>
      </c>
      <c r="K15" s="54">
        <f t="shared" si="1"/>
        <v>-33000</v>
      </c>
      <c r="L15" s="50"/>
      <c r="P15" s="50"/>
    </row>
    <row r="16" spans="1:16">
      <c r="A16" s="30" t="s">
        <v>90</v>
      </c>
      <c r="B16" s="54">
        <f>'5.5 - 2020'!E16</f>
        <v>71818.66</v>
      </c>
      <c r="C16" s="54"/>
      <c r="D16" s="54">
        <v>-71818.66</v>
      </c>
      <c r="E16" s="54">
        <f t="shared" si="0"/>
        <v>0</v>
      </c>
      <c r="G16" s="62" t="s">
        <v>48</v>
      </c>
      <c r="H16" s="54">
        <f>'5.5 - 2020'!K16</f>
        <v>70621.804000000004</v>
      </c>
      <c r="I16" s="54">
        <v>1196.8559999999998</v>
      </c>
      <c r="J16" s="54">
        <f>-H16-I16</f>
        <v>-71818.66</v>
      </c>
      <c r="K16" s="54">
        <f t="shared" si="1"/>
        <v>0</v>
      </c>
      <c r="L16" s="50"/>
      <c r="P16" s="50"/>
    </row>
    <row r="17" spans="1:24">
      <c r="A17" s="30" t="s">
        <v>129</v>
      </c>
      <c r="B17" s="54">
        <f>'5.5 - 2020'!E17</f>
        <v>104405.24</v>
      </c>
      <c r="C17" s="54"/>
      <c r="D17" s="54">
        <v>-104405.304</v>
      </c>
      <c r="E17" s="54">
        <f t="shared" si="0"/>
        <v>-6.3999999998486601E-2</v>
      </c>
      <c r="G17" s="62" t="s">
        <v>48</v>
      </c>
      <c r="H17" s="54">
        <f>'5.5 - 2020'!K17</f>
        <v>83524.255999999994</v>
      </c>
      <c r="I17" s="54">
        <f t="shared" ref="I17:I29" si="2">B17/5</f>
        <v>20881.048000000003</v>
      </c>
      <c r="J17" s="54">
        <f>-H17-I17</f>
        <v>-104405.304</v>
      </c>
      <c r="K17" s="54">
        <f t="shared" si="1"/>
        <v>0</v>
      </c>
      <c r="L17" s="50"/>
      <c r="P17" s="50"/>
    </row>
    <row r="18" spans="1:24">
      <c r="A18" s="30" t="s">
        <v>259</v>
      </c>
      <c r="B18" s="54">
        <v>0</v>
      </c>
      <c r="C18" s="54">
        <f>-D82</f>
        <v>175000</v>
      </c>
      <c r="D18" s="54"/>
      <c r="E18" s="54">
        <f t="shared" si="0"/>
        <v>175000</v>
      </c>
      <c r="G18" s="62" t="s">
        <v>48</v>
      </c>
      <c r="H18" s="54">
        <v>0</v>
      </c>
      <c r="I18" s="54">
        <f t="shared" si="2"/>
        <v>0</v>
      </c>
      <c r="J18" s="54"/>
      <c r="K18" s="54">
        <f t="shared" ref="K18" si="3">H18+I18+J18</f>
        <v>0</v>
      </c>
      <c r="L18" s="50"/>
      <c r="P18" s="50"/>
    </row>
    <row r="19" spans="1:24">
      <c r="A19" s="30" t="s">
        <v>250</v>
      </c>
      <c r="B19" s="54">
        <f>'5.5 - 2020'!E18</f>
        <v>80000</v>
      </c>
      <c r="C19" s="54">
        <f>-D83</f>
        <v>75000</v>
      </c>
      <c r="D19" s="54"/>
      <c r="E19" s="54">
        <f t="shared" si="0"/>
        <v>155000</v>
      </c>
      <c r="G19" s="62" t="s">
        <v>48</v>
      </c>
      <c r="H19" s="54">
        <f>'5.5 - 2020'!K18</f>
        <v>0</v>
      </c>
      <c r="I19" s="54">
        <f t="shared" si="2"/>
        <v>16000</v>
      </c>
      <c r="J19" s="54"/>
      <c r="K19" s="54">
        <f t="shared" si="1"/>
        <v>16000</v>
      </c>
      <c r="L19" s="50"/>
      <c r="P19" s="50"/>
    </row>
    <row r="20" spans="1:24">
      <c r="A20" s="30" t="s">
        <v>56</v>
      </c>
      <c r="B20" s="54">
        <f>'5.5 - 2020'!E20</f>
        <v>604376.64</v>
      </c>
      <c r="C20" s="54"/>
      <c r="D20" s="54"/>
      <c r="E20" s="54">
        <f t="shared" si="0"/>
        <v>604376.64</v>
      </c>
      <c r="G20" s="62" t="s">
        <v>48</v>
      </c>
      <c r="H20" s="54">
        <f>'5.5 - 2020'!K20</f>
        <v>453282.39600000007</v>
      </c>
      <c r="I20" s="54">
        <f t="shared" si="2"/>
        <v>120875.32800000001</v>
      </c>
      <c r="J20" s="54"/>
      <c r="K20" s="54">
        <f t="shared" si="1"/>
        <v>574157.72400000005</v>
      </c>
      <c r="L20" s="50"/>
      <c r="P20" s="50"/>
      <c r="X20" s="50">
        <f>C20</f>
        <v>0</v>
      </c>
    </row>
    <row r="21" spans="1:24">
      <c r="A21" s="30" t="s">
        <v>128</v>
      </c>
      <c r="B21" s="54">
        <f>'5.5 - 2020'!E21</f>
        <v>230631.12</v>
      </c>
      <c r="C21" s="54"/>
      <c r="D21" s="54">
        <v>-230631.07199999999</v>
      </c>
      <c r="E21" s="54">
        <f t="shared" si="0"/>
        <v>4.8000000009778887E-2</v>
      </c>
      <c r="G21" s="62" t="s">
        <v>48</v>
      </c>
      <c r="H21" s="54">
        <f>'5.5 - 2020'!K21</f>
        <v>184504.848</v>
      </c>
      <c r="I21" s="54">
        <f t="shared" si="2"/>
        <v>46126.224000000002</v>
      </c>
      <c r="J21" s="54">
        <f t="shared" ref="J21:J24" si="4">-H21-I21</f>
        <v>-230631.07199999999</v>
      </c>
      <c r="K21" s="54">
        <f t="shared" si="1"/>
        <v>0</v>
      </c>
      <c r="L21" s="50"/>
      <c r="P21" s="50"/>
    </row>
    <row r="22" spans="1:24">
      <c r="A22" s="30" t="s">
        <v>130</v>
      </c>
      <c r="B22" s="54">
        <f>'5.5 - 2020'!E22</f>
        <v>227969.33</v>
      </c>
      <c r="C22" s="54"/>
      <c r="D22" s="54">
        <v>-227969.35799999995</v>
      </c>
      <c r="E22" s="54">
        <f t="shared" si="0"/>
        <v>-2.7999999962048605E-2</v>
      </c>
      <c r="G22" s="62" t="s">
        <v>48</v>
      </c>
      <c r="H22" s="54">
        <f>'5.5 - 2020'!K22</f>
        <v>182375.49199999997</v>
      </c>
      <c r="I22" s="54">
        <f t="shared" si="2"/>
        <v>45593.865999999995</v>
      </c>
      <c r="J22" s="54">
        <f t="shared" si="4"/>
        <v>-227969.35799999995</v>
      </c>
      <c r="K22" s="54">
        <f t="shared" si="1"/>
        <v>0</v>
      </c>
      <c r="L22" s="50"/>
      <c r="P22" s="50"/>
      <c r="X22" s="50">
        <f>C22</f>
        <v>0</v>
      </c>
    </row>
    <row r="23" spans="1:24">
      <c r="A23" s="30" t="s">
        <v>132</v>
      </c>
      <c r="B23" s="54">
        <f>'5.5 - 2020'!E23</f>
        <v>189613.55</v>
      </c>
      <c r="C23" s="54"/>
      <c r="D23" s="54">
        <v>-189613.65</v>
      </c>
      <c r="E23" s="54">
        <f t="shared" si="0"/>
        <v>-0.10000000000582077</v>
      </c>
      <c r="G23" s="62" t="s">
        <v>48</v>
      </c>
      <c r="H23" s="54">
        <f>'5.5 - 2020'!K23</f>
        <v>151690.94</v>
      </c>
      <c r="I23" s="54">
        <f t="shared" si="2"/>
        <v>37922.71</v>
      </c>
      <c r="J23" s="54">
        <f t="shared" si="4"/>
        <v>-189613.65</v>
      </c>
      <c r="K23" s="54">
        <f t="shared" si="1"/>
        <v>0</v>
      </c>
      <c r="L23" s="50"/>
      <c r="P23" s="50"/>
    </row>
    <row r="24" spans="1:24">
      <c r="A24" s="30" t="s">
        <v>179</v>
      </c>
      <c r="B24" s="54">
        <f>'5.5 - 2020'!E24</f>
        <v>4121.7</v>
      </c>
      <c r="C24" s="54"/>
      <c r="D24" s="54">
        <v>-4121.8200000000006</v>
      </c>
      <c r="E24" s="54">
        <f t="shared" si="0"/>
        <v>-0.12000000000080036</v>
      </c>
      <c r="G24" s="62" t="s">
        <v>48</v>
      </c>
      <c r="H24" s="54">
        <f>'5.5 - 2020'!K24</f>
        <v>3297.4800000000005</v>
      </c>
      <c r="I24" s="54">
        <f t="shared" si="2"/>
        <v>824.33999999999992</v>
      </c>
      <c r="J24" s="54">
        <f t="shared" si="4"/>
        <v>-4121.8200000000006</v>
      </c>
      <c r="K24" s="54">
        <f t="shared" si="1"/>
        <v>0</v>
      </c>
      <c r="L24" s="50"/>
      <c r="P24" s="50"/>
    </row>
    <row r="25" spans="1:24">
      <c r="A25" s="30" t="s">
        <v>124</v>
      </c>
      <c r="B25" s="54">
        <f>'5.5 - 2020'!E25</f>
        <v>78648.45</v>
      </c>
      <c r="C25" s="54"/>
      <c r="D25" s="54"/>
      <c r="E25" s="54">
        <f t="shared" si="0"/>
        <v>78648.45</v>
      </c>
      <c r="G25" s="62" t="s">
        <v>48</v>
      </c>
      <c r="H25" s="54">
        <f>'5.5 - 2020'!K25</f>
        <v>15729.689999999999</v>
      </c>
      <c r="I25" s="54">
        <f t="shared" si="2"/>
        <v>15729.689999999999</v>
      </c>
      <c r="J25" s="54"/>
      <c r="K25" s="54">
        <f t="shared" si="1"/>
        <v>31459.379999999997</v>
      </c>
      <c r="L25" s="50"/>
      <c r="P25" s="50"/>
    </row>
    <row r="26" spans="1:24">
      <c r="A26" s="30" t="s">
        <v>184</v>
      </c>
      <c r="B26" s="54">
        <f>'5.5 - 2020'!E26</f>
        <v>231146.42</v>
      </c>
      <c r="C26" s="54"/>
      <c r="D26" s="54"/>
      <c r="E26" s="54">
        <f t="shared" si="0"/>
        <v>231146.42</v>
      </c>
      <c r="G26" s="62" t="s">
        <v>48</v>
      </c>
      <c r="H26" s="54">
        <f>'5.5 - 2020'!K26</f>
        <v>138687.848</v>
      </c>
      <c r="I26" s="54">
        <f t="shared" si="2"/>
        <v>46229.284</v>
      </c>
      <c r="J26" s="54"/>
      <c r="K26" s="54">
        <f t="shared" si="1"/>
        <v>184917.13199999998</v>
      </c>
      <c r="L26" s="50"/>
      <c r="P26" s="50"/>
    </row>
    <row r="27" spans="1:24">
      <c r="A27" s="30" t="s">
        <v>117</v>
      </c>
      <c r="B27" s="54">
        <f>'5.5 - 2020'!E27</f>
        <v>34475.839999999997</v>
      </c>
      <c r="C27" s="54"/>
      <c r="D27" s="54"/>
      <c r="E27" s="54">
        <f t="shared" si="0"/>
        <v>34475.839999999997</v>
      </c>
      <c r="G27" s="62" t="s">
        <v>48</v>
      </c>
      <c r="H27" s="54">
        <f>'5.5 - 2020'!K27</f>
        <v>21260.135999999999</v>
      </c>
      <c r="I27" s="54">
        <f t="shared" si="2"/>
        <v>6895.1679999999997</v>
      </c>
      <c r="J27" s="107"/>
      <c r="K27" s="54">
        <f t="shared" si="1"/>
        <v>28155.303999999996</v>
      </c>
      <c r="L27" s="50"/>
      <c r="P27" s="50"/>
    </row>
    <row r="28" spans="1:24">
      <c r="A28" s="30" t="s">
        <v>165</v>
      </c>
      <c r="B28" s="54">
        <f>'5.5 - 2020'!E28</f>
        <v>3756.44</v>
      </c>
      <c r="C28" s="54"/>
      <c r="D28" s="54"/>
      <c r="E28" s="54">
        <f t="shared" si="0"/>
        <v>3756.44</v>
      </c>
      <c r="G28" s="62" t="s">
        <v>48</v>
      </c>
      <c r="H28" s="54">
        <f>'5.5 - 2020'!K28</f>
        <v>2225.2860000000001</v>
      </c>
      <c r="I28" s="54">
        <f t="shared" si="2"/>
        <v>751.28800000000001</v>
      </c>
      <c r="J28" s="54"/>
      <c r="K28" s="54">
        <f t="shared" si="1"/>
        <v>2976.5740000000001</v>
      </c>
      <c r="L28" s="50"/>
      <c r="P28" s="50"/>
    </row>
    <row r="29" spans="1:24">
      <c r="A29" s="30" t="s">
        <v>167</v>
      </c>
      <c r="B29" s="54">
        <f>'5.5 - 2020'!E29</f>
        <v>68263.350000000006</v>
      </c>
      <c r="C29" s="54"/>
      <c r="D29" s="54"/>
      <c r="E29" s="54">
        <f t="shared" si="0"/>
        <v>68263.350000000006</v>
      </c>
      <c r="G29" s="62" t="s">
        <v>48</v>
      </c>
      <c r="H29" s="54">
        <f>'5.5 - 2020'!K29</f>
        <v>17065.830000000002</v>
      </c>
      <c r="I29" s="54">
        <f t="shared" si="2"/>
        <v>13652.670000000002</v>
      </c>
      <c r="J29" s="54"/>
      <c r="K29" s="54">
        <f t="shared" si="1"/>
        <v>30718.500000000004</v>
      </c>
      <c r="L29" s="50"/>
      <c r="P29" s="50"/>
    </row>
    <row r="30" spans="1:24">
      <c r="A30" s="30" t="s">
        <v>152</v>
      </c>
      <c r="B30" s="54">
        <f>'5.5 - 2020'!E30</f>
        <v>67919.3</v>
      </c>
      <c r="C30" s="54"/>
      <c r="D30" s="54">
        <v>-67919.3</v>
      </c>
      <c r="E30" s="54">
        <f t="shared" si="0"/>
        <v>0</v>
      </c>
      <c r="G30" s="62" t="s">
        <v>48</v>
      </c>
      <c r="H30" s="54">
        <f>'5.5 - 2020'!K30</f>
        <v>63391.4</v>
      </c>
      <c r="I30" s="54">
        <v>4527.9000000000015</v>
      </c>
      <c r="J30" s="54">
        <f t="shared" ref="J30" si="5">-H30-I30</f>
        <v>-67919.3</v>
      </c>
      <c r="K30" s="54">
        <f t="shared" si="1"/>
        <v>0</v>
      </c>
      <c r="L30" s="50"/>
      <c r="P30" s="50"/>
    </row>
    <row r="31" spans="1:24">
      <c r="A31" s="30" t="s">
        <v>158</v>
      </c>
      <c r="B31" s="54">
        <f>'5.5 - 2020'!E31</f>
        <v>-3500</v>
      </c>
      <c r="C31" s="54"/>
      <c r="D31" s="54">
        <v>3500</v>
      </c>
      <c r="E31" s="54">
        <f t="shared" si="0"/>
        <v>0</v>
      </c>
      <c r="G31" s="62" t="s">
        <v>48</v>
      </c>
      <c r="H31" s="54">
        <f>'5.5 - 2020'!K31</f>
        <v>-3266.56</v>
      </c>
      <c r="I31" s="54">
        <v>-233</v>
      </c>
      <c r="J31" s="54">
        <f>-H31-I31</f>
        <v>3499.56</v>
      </c>
      <c r="K31" s="54">
        <f t="shared" si="1"/>
        <v>0</v>
      </c>
      <c r="L31" s="50"/>
      <c r="P31" s="50"/>
    </row>
    <row r="32" spans="1:24">
      <c r="A32" s="30" t="s">
        <v>171</v>
      </c>
      <c r="B32" s="54">
        <f>'5.5 - 2020'!E32</f>
        <v>75010.989999999991</v>
      </c>
      <c r="C32" s="54"/>
      <c r="D32" s="54"/>
      <c r="E32" s="54">
        <f t="shared" si="0"/>
        <v>75010.989999999991</v>
      </c>
      <c r="G32" s="62" t="s">
        <v>48</v>
      </c>
      <c r="H32" s="54">
        <f>'5.5 - 2020'!K32</f>
        <v>15002.197999999999</v>
      </c>
      <c r="I32" s="54">
        <f>B32/5</f>
        <v>15002.197999999999</v>
      </c>
      <c r="J32" s="54"/>
      <c r="K32" s="54">
        <f t="shared" si="1"/>
        <v>30004.395999999997</v>
      </c>
      <c r="L32" s="50"/>
      <c r="P32" s="50"/>
    </row>
    <row r="33" spans="1:24">
      <c r="A33" s="30" t="s">
        <v>96</v>
      </c>
      <c r="B33" s="54">
        <f>'5.5 - 2020'!E33</f>
        <v>169398.09</v>
      </c>
      <c r="C33" s="54"/>
      <c r="D33" s="54">
        <v>-169398.09</v>
      </c>
      <c r="E33" s="54">
        <f t="shared" si="0"/>
        <v>0</v>
      </c>
      <c r="G33" s="62" t="s">
        <v>48</v>
      </c>
      <c r="H33" s="54">
        <f>'5.5 - 2020'!K33</f>
        <v>135518.43599999999</v>
      </c>
      <c r="I33" s="54">
        <f>B33/5</f>
        <v>33879.618000000002</v>
      </c>
      <c r="J33" s="54">
        <v>-169398.09</v>
      </c>
      <c r="K33" s="54">
        <f t="shared" si="1"/>
        <v>-3.599999999278225E-2</v>
      </c>
      <c r="L33" s="50"/>
      <c r="P33" s="50"/>
      <c r="X33" s="50">
        <f>C33</f>
        <v>0</v>
      </c>
    </row>
    <row r="34" spans="1:24">
      <c r="A34" s="30" t="s">
        <v>113</v>
      </c>
      <c r="B34" s="54">
        <f>'5.5 - 2020'!E34</f>
        <v>26112.799999999999</v>
      </c>
      <c r="C34" s="54"/>
      <c r="D34" s="54"/>
      <c r="E34" s="54">
        <f t="shared" si="0"/>
        <v>26112.799999999999</v>
      </c>
      <c r="G34" s="62" t="s">
        <v>48</v>
      </c>
      <c r="H34" s="54">
        <f>'5.5 - 2020'!K34</f>
        <v>15667.639999999998</v>
      </c>
      <c r="I34" s="54">
        <f>B34/5</f>
        <v>5222.5599999999995</v>
      </c>
      <c r="J34" s="54"/>
      <c r="K34" s="54">
        <f t="shared" si="1"/>
        <v>20890.199999999997</v>
      </c>
      <c r="L34" s="50"/>
      <c r="P34" s="50"/>
    </row>
    <row r="35" spans="1:24">
      <c r="A35" s="30" t="s">
        <v>136</v>
      </c>
      <c r="B35" s="54">
        <f>'5.5 - 2020'!E36</f>
        <v>1947411.04</v>
      </c>
      <c r="C35" s="54"/>
      <c r="D35" s="54">
        <v>-1947411.04</v>
      </c>
      <c r="E35" s="54">
        <f t="shared" si="0"/>
        <v>0</v>
      </c>
      <c r="G35" s="62" t="s">
        <v>47</v>
      </c>
      <c r="H35" s="54">
        <f>'5.5 - 2020'!K36</f>
        <v>1752670.2439999997</v>
      </c>
      <c r="I35" s="54">
        <f>B35/10</f>
        <v>194741.10399999999</v>
      </c>
      <c r="J35" s="54">
        <f>-B35</f>
        <v>-1947411.04</v>
      </c>
      <c r="K35" s="54">
        <f t="shared" si="1"/>
        <v>0.30799999972805381</v>
      </c>
      <c r="L35" s="50"/>
      <c r="P35" s="50"/>
    </row>
    <row r="36" spans="1:24">
      <c r="A36" s="30" t="s">
        <v>126</v>
      </c>
      <c r="B36" s="54">
        <f>'5.5 - 2020'!E37</f>
        <v>4521264.92</v>
      </c>
      <c r="C36" s="54"/>
      <c r="D36" s="54"/>
      <c r="E36" s="54">
        <f t="shared" si="0"/>
        <v>4521264.92</v>
      </c>
      <c r="G36" s="62" t="s">
        <v>47</v>
      </c>
      <c r="H36" s="54">
        <f>'5.5 - 2020'!K37</f>
        <v>1808506.0240000002</v>
      </c>
      <c r="I36" s="54">
        <f>B36/10</f>
        <v>452126.49199999997</v>
      </c>
      <c r="J36" s="54"/>
      <c r="K36" s="54">
        <f t="shared" si="1"/>
        <v>2260632.5160000003</v>
      </c>
      <c r="L36" s="50"/>
      <c r="P36" s="50"/>
    </row>
    <row r="37" spans="1:24">
      <c r="A37" s="30" t="s">
        <v>102</v>
      </c>
      <c r="B37" s="54">
        <f>'5.5 - 2020'!E38</f>
        <v>9683.98</v>
      </c>
      <c r="C37" s="54"/>
      <c r="D37" s="54">
        <v>-9683.98</v>
      </c>
      <c r="E37" s="54">
        <f t="shared" si="0"/>
        <v>0</v>
      </c>
      <c r="G37" s="62" t="s">
        <v>48</v>
      </c>
      <c r="H37" s="54">
        <f>'5.5 - 2020'!K38</f>
        <v>8876.9920000000002</v>
      </c>
      <c r="I37" s="54">
        <v>806.98799999999937</v>
      </c>
      <c r="J37" s="54">
        <f>-B37</f>
        <v>-9683.98</v>
      </c>
      <c r="K37" s="54">
        <f t="shared" si="1"/>
        <v>0</v>
      </c>
      <c r="L37" s="50"/>
      <c r="P37" s="50"/>
    </row>
    <row r="38" spans="1:24">
      <c r="A38" s="30" t="s">
        <v>183</v>
      </c>
      <c r="B38" s="54">
        <f>'5.5 - 2020'!E40</f>
        <v>72592.490000000005</v>
      </c>
      <c r="C38" s="54"/>
      <c r="D38" s="54"/>
      <c r="E38" s="54">
        <f t="shared" si="0"/>
        <v>72592.490000000005</v>
      </c>
      <c r="G38" s="62" t="s">
        <v>48</v>
      </c>
      <c r="H38" s="54">
        <f>'5.5 - 2020'!K40</f>
        <v>43555.435999999994</v>
      </c>
      <c r="I38" s="54">
        <f t="shared" ref="I38:I47" si="6">B38/5</f>
        <v>14518.498000000001</v>
      </c>
      <c r="J38" s="54"/>
      <c r="K38" s="54">
        <f t="shared" si="1"/>
        <v>58073.933999999994</v>
      </c>
      <c r="L38" s="50"/>
      <c r="P38" s="50"/>
    </row>
    <row r="39" spans="1:24">
      <c r="A39" s="30" t="s">
        <v>172</v>
      </c>
      <c r="B39" s="54">
        <f>'5.5 - 2020'!E41</f>
        <v>232038.96000000002</v>
      </c>
      <c r="C39" s="54"/>
      <c r="D39" s="54"/>
      <c r="E39" s="54">
        <f t="shared" si="0"/>
        <v>232038.96000000002</v>
      </c>
      <c r="G39" s="62" t="s">
        <v>48</v>
      </c>
      <c r="H39" s="54">
        <f>'5.5 - 2020'!K41</f>
        <v>0</v>
      </c>
      <c r="I39" s="54">
        <f t="shared" si="6"/>
        <v>46407.792000000001</v>
      </c>
      <c r="J39" s="54"/>
      <c r="K39" s="54">
        <f t="shared" si="1"/>
        <v>46407.792000000001</v>
      </c>
      <c r="L39" s="50"/>
      <c r="P39" s="50"/>
    </row>
    <row r="40" spans="1:24">
      <c r="A40" s="30" t="s">
        <v>46</v>
      </c>
      <c r="B40" s="54">
        <f>'5.5 - 2020'!E42</f>
        <v>291236.94</v>
      </c>
      <c r="C40" s="54"/>
      <c r="D40" s="54">
        <v>-291236.94</v>
      </c>
      <c r="E40" s="54">
        <f t="shared" si="0"/>
        <v>0</v>
      </c>
      <c r="G40" s="62" t="s">
        <v>48</v>
      </c>
      <c r="H40" s="54">
        <f>'5.5 - 2020'!K42</f>
        <v>232989.57599999997</v>
      </c>
      <c r="I40" s="54">
        <f t="shared" si="6"/>
        <v>58247.387999999999</v>
      </c>
      <c r="J40" s="54">
        <f>-B40</f>
        <v>-291236.94</v>
      </c>
      <c r="K40" s="54">
        <f t="shared" si="1"/>
        <v>2.3999999975785613E-2</v>
      </c>
      <c r="L40" s="50"/>
      <c r="P40" s="50"/>
    </row>
    <row r="41" spans="1:24">
      <c r="A41" s="30" t="s">
        <v>131</v>
      </c>
      <c r="B41" s="54">
        <f>'5.5 - 2020'!E43</f>
        <v>118035.9</v>
      </c>
      <c r="C41" s="54"/>
      <c r="D41" s="54">
        <v>-118035.9</v>
      </c>
      <c r="E41" s="54">
        <f t="shared" si="0"/>
        <v>0</v>
      </c>
      <c r="G41" s="62" t="s">
        <v>48</v>
      </c>
      <c r="H41" s="54">
        <f>'5.5 - 2020'!K43</f>
        <v>94428.84</v>
      </c>
      <c r="I41" s="54">
        <f t="shared" si="6"/>
        <v>23607.18</v>
      </c>
      <c r="J41" s="54">
        <f>-B41</f>
        <v>-118035.9</v>
      </c>
      <c r="K41" s="54">
        <f t="shared" si="1"/>
        <v>0.11999999999534339</v>
      </c>
      <c r="L41" s="50"/>
      <c r="P41" s="50"/>
    </row>
    <row r="42" spans="1:24">
      <c r="A42" s="30" t="s">
        <v>119</v>
      </c>
      <c r="B42" s="54">
        <f>'5.5 - 2020'!E44</f>
        <v>46316.97</v>
      </c>
      <c r="C42" s="54"/>
      <c r="D42" s="54">
        <v>-46316.97</v>
      </c>
      <c r="E42" s="54">
        <f t="shared" ref="E42:E73" si="7">B42+C42+D42</f>
        <v>0</v>
      </c>
      <c r="G42" s="62" t="s">
        <v>48</v>
      </c>
      <c r="H42" s="54">
        <f>'5.5 - 2020'!K44</f>
        <v>37053.588000000003</v>
      </c>
      <c r="I42" s="54">
        <f t="shared" si="6"/>
        <v>9263.3940000000002</v>
      </c>
      <c r="J42" s="54">
        <f>-B42</f>
        <v>-46316.97</v>
      </c>
      <c r="K42" s="54">
        <f t="shared" si="1"/>
        <v>1.2000000002444722E-2</v>
      </c>
      <c r="L42" s="50"/>
      <c r="P42" s="50"/>
    </row>
    <row r="43" spans="1:24">
      <c r="A43" s="30" t="s">
        <v>104</v>
      </c>
      <c r="B43" s="54">
        <f>'5.5 - 2020'!E45</f>
        <v>-150000</v>
      </c>
      <c r="C43" s="54"/>
      <c r="D43" s="54">
        <v>150000</v>
      </c>
      <c r="E43" s="54">
        <f t="shared" si="7"/>
        <v>0</v>
      </c>
      <c r="G43" s="62" t="s">
        <v>48</v>
      </c>
      <c r="H43" s="54">
        <f>'5.5 - 2020'!K45</f>
        <v>-120000</v>
      </c>
      <c r="I43" s="54">
        <f t="shared" si="6"/>
        <v>-30000</v>
      </c>
      <c r="J43" s="54">
        <f>-B43</f>
        <v>150000</v>
      </c>
      <c r="K43" s="54">
        <f t="shared" si="1"/>
        <v>0</v>
      </c>
      <c r="L43" s="50"/>
      <c r="P43" s="50"/>
    </row>
    <row r="44" spans="1:24">
      <c r="A44" s="30" t="s">
        <v>97</v>
      </c>
      <c r="B44" s="54">
        <f>'5.5 - 2020'!E46</f>
        <v>273095.39</v>
      </c>
      <c r="C44" s="54"/>
      <c r="D44" s="54">
        <v>-273095.39</v>
      </c>
      <c r="E44" s="54">
        <f t="shared" si="7"/>
        <v>0</v>
      </c>
      <c r="G44" s="62" t="s">
        <v>48</v>
      </c>
      <c r="H44" s="54">
        <f>'5.5 - 2020'!K46</f>
        <v>218476.31599999999</v>
      </c>
      <c r="I44" s="54">
        <f t="shared" si="6"/>
        <v>54619.078000000001</v>
      </c>
      <c r="J44" s="54">
        <f>-B44</f>
        <v>-273095.39</v>
      </c>
      <c r="K44" s="54">
        <f t="shared" si="1"/>
        <v>3.9999999571591616E-3</v>
      </c>
      <c r="L44" s="50"/>
      <c r="P44" s="50"/>
    </row>
    <row r="45" spans="1:24">
      <c r="A45" s="30" t="s">
        <v>115</v>
      </c>
      <c r="B45" s="54">
        <f>'5.5 - 2020'!E47</f>
        <v>47081.440000000002</v>
      </c>
      <c r="C45" s="54"/>
      <c r="D45" s="54"/>
      <c r="E45" s="54">
        <f t="shared" si="7"/>
        <v>47081.440000000002</v>
      </c>
      <c r="G45" s="62" t="s">
        <v>48</v>
      </c>
      <c r="H45" s="54">
        <f>'5.5 - 2020'!K47</f>
        <v>28248.856000000003</v>
      </c>
      <c r="I45" s="54">
        <f t="shared" si="6"/>
        <v>9416.2880000000005</v>
      </c>
      <c r="J45" s="54"/>
      <c r="K45" s="54">
        <f t="shared" si="1"/>
        <v>37665.144</v>
      </c>
      <c r="L45" s="50"/>
      <c r="P45" s="50"/>
    </row>
    <row r="46" spans="1:24">
      <c r="A46" s="30" t="s">
        <v>98</v>
      </c>
      <c r="B46" s="54">
        <f>'5.5 - 2020'!E48</f>
        <v>277699.90000000002</v>
      </c>
      <c r="C46" s="54"/>
      <c r="D46" s="54">
        <v>-277699.90000000002</v>
      </c>
      <c r="E46" s="54">
        <f t="shared" si="7"/>
        <v>0</v>
      </c>
      <c r="G46" s="62" t="s">
        <v>48</v>
      </c>
      <c r="H46" s="54">
        <f>'5.5 - 2020'!K48</f>
        <v>222159.88000000003</v>
      </c>
      <c r="I46" s="54">
        <f t="shared" si="6"/>
        <v>55539.98</v>
      </c>
      <c r="J46" s="54">
        <f>-B46</f>
        <v>-277699.90000000002</v>
      </c>
      <c r="K46" s="54">
        <f t="shared" si="1"/>
        <v>-3.9999999979045242E-2</v>
      </c>
      <c r="L46" s="50"/>
      <c r="P46" s="50"/>
    </row>
    <row r="47" spans="1:24">
      <c r="A47" s="30" t="s">
        <v>156</v>
      </c>
      <c r="B47" s="54">
        <f>'5.5 - 2020'!E49</f>
        <v>-15000</v>
      </c>
      <c r="C47" s="54"/>
      <c r="D47" s="54">
        <v>15000</v>
      </c>
      <c r="E47" s="54">
        <f t="shared" si="7"/>
        <v>0</v>
      </c>
      <c r="G47" s="62" t="s">
        <v>48</v>
      </c>
      <c r="H47" s="54">
        <f>'5.5 - 2020'!K49</f>
        <v>-12000</v>
      </c>
      <c r="I47" s="54">
        <f t="shared" si="6"/>
        <v>-3000</v>
      </c>
      <c r="J47" s="54">
        <f>-B47</f>
        <v>15000</v>
      </c>
      <c r="K47" s="54">
        <f t="shared" si="1"/>
        <v>0</v>
      </c>
      <c r="L47" s="50"/>
      <c r="P47" s="50"/>
    </row>
    <row r="48" spans="1:24">
      <c r="A48" s="30" t="s">
        <v>110</v>
      </c>
      <c r="B48" s="54">
        <f>'5.5 - 2020'!E51</f>
        <v>95037.97</v>
      </c>
      <c r="D48" s="54">
        <v>-95037.97</v>
      </c>
      <c r="E48" s="54">
        <f t="shared" si="7"/>
        <v>0</v>
      </c>
      <c r="G48" s="62" t="s">
        <v>48</v>
      </c>
      <c r="H48" s="54">
        <f>'5.5 - 2020'!K51</f>
        <v>82366.347999999998</v>
      </c>
      <c r="I48" s="54">
        <v>12671.622000000003</v>
      </c>
      <c r="J48" s="54">
        <f>-B48</f>
        <v>-95037.97</v>
      </c>
      <c r="K48" s="54">
        <f t="shared" si="1"/>
        <v>0</v>
      </c>
      <c r="L48" s="50"/>
      <c r="P48" s="50"/>
    </row>
    <row r="49" spans="1:17">
      <c r="A49" s="30" t="s">
        <v>243</v>
      </c>
      <c r="B49" s="54">
        <f>'5.5 - 2020'!E52</f>
        <v>14510.37</v>
      </c>
      <c r="C49" s="50"/>
      <c r="D49" s="54"/>
      <c r="E49" s="54">
        <f t="shared" si="7"/>
        <v>14510.37</v>
      </c>
      <c r="G49" s="62" t="s">
        <v>48</v>
      </c>
      <c r="H49" s="54">
        <f>'5.5 - 2020'!K52</f>
        <v>4353.1139999999996</v>
      </c>
      <c r="I49" s="54">
        <f t="shared" ref="I49:I65" si="8">B49/5</f>
        <v>2902.0740000000001</v>
      </c>
      <c r="J49" s="54"/>
      <c r="K49" s="54">
        <f t="shared" si="1"/>
        <v>7255.1880000000001</v>
      </c>
      <c r="L49" s="50"/>
      <c r="P49" s="50"/>
    </row>
    <row r="50" spans="1:17">
      <c r="A50" s="30" t="s">
        <v>99</v>
      </c>
      <c r="B50" s="54">
        <f>'5.5 - 2020'!E53</f>
        <v>638562.46</v>
      </c>
      <c r="C50" s="50"/>
      <c r="D50" s="54"/>
      <c r="E50" s="54">
        <f t="shared" si="7"/>
        <v>638562.46</v>
      </c>
      <c r="G50" s="62" t="s">
        <v>48</v>
      </c>
      <c r="H50" s="54">
        <f>'5.5 - 2020'!K53</f>
        <v>0</v>
      </c>
      <c r="I50" s="54">
        <f t="shared" si="8"/>
        <v>127712.492</v>
      </c>
      <c r="J50" s="54"/>
      <c r="K50" s="54">
        <f t="shared" si="1"/>
        <v>127712.492</v>
      </c>
      <c r="L50" s="50"/>
      <c r="P50" s="50"/>
    </row>
    <row r="51" spans="1:17">
      <c r="A51" s="30" t="s">
        <v>101</v>
      </c>
      <c r="B51" s="54">
        <f>'5.5 - 2020'!E54</f>
        <v>170667.19</v>
      </c>
      <c r="C51" s="54"/>
      <c r="D51" s="54"/>
      <c r="E51" s="54">
        <f t="shared" si="7"/>
        <v>170667.19</v>
      </c>
      <c r="G51" s="62" t="s">
        <v>48</v>
      </c>
      <c r="H51" s="54">
        <f>'5.5 - 2020'!K54</f>
        <v>102400.27600000001</v>
      </c>
      <c r="I51" s="54">
        <f t="shared" si="8"/>
        <v>34133.438000000002</v>
      </c>
      <c r="J51" s="54"/>
      <c r="K51" s="54">
        <f t="shared" si="1"/>
        <v>136533.71400000001</v>
      </c>
      <c r="L51" s="50"/>
      <c r="P51" s="50"/>
    </row>
    <row r="52" spans="1:17">
      <c r="A52" s="30" t="s">
        <v>151</v>
      </c>
      <c r="B52" s="54">
        <f>'5.5 - 2020'!E55</f>
        <v>775580.82</v>
      </c>
      <c r="C52" s="54"/>
      <c r="D52" s="54"/>
      <c r="E52" s="54">
        <f t="shared" si="7"/>
        <v>775580.82</v>
      </c>
      <c r="G52" s="62" t="s">
        <v>48</v>
      </c>
      <c r="H52" s="54">
        <f>'5.5 - 2020'!K55</f>
        <v>0</v>
      </c>
      <c r="I52" s="54">
        <f t="shared" si="8"/>
        <v>155116.16399999999</v>
      </c>
      <c r="J52" s="54"/>
      <c r="K52" s="54">
        <f t="shared" si="1"/>
        <v>155116.16399999999</v>
      </c>
      <c r="L52" s="50"/>
      <c r="P52" s="50"/>
    </row>
    <row r="53" spans="1:17">
      <c r="A53" s="30" t="s">
        <v>166</v>
      </c>
      <c r="B53" s="54">
        <f>'5.5 - 2020'!E56</f>
        <v>128910.98</v>
      </c>
      <c r="C53" s="54"/>
      <c r="D53" s="54"/>
      <c r="E53" s="54">
        <f t="shared" si="7"/>
        <v>128910.98</v>
      </c>
      <c r="G53" s="62" t="s">
        <v>48</v>
      </c>
      <c r="H53" s="54">
        <f>'5.5 - 2020'!K56</f>
        <v>51564.392</v>
      </c>
      <c r="I53" s="54">
        <f t="shared" si="8"/>
        <v>25782.196</v>
      </c>
      <c r="J53" s="54"/>
      <c r="K53" s="54">
        <f t="shared" si="1"/>
        <v>77346.588000000003</v>
      </c>
      <c r="L53" s="50"/>
      <c r="P53" s="50"/>
    </row>
    <row r="54" spans="1:17">
      <c r="A54" s="30" t="s">
        <v>203</v>
      </c>
      <c r="B54" s="54">
        <v>0</v>
      </c>
      <c r="C54" s="54">
        <f>-D88</f>
        <v>150000</v>
      </c>
      <c r="D54" s="54"/>
      <c r="E54" s="54">
        <f t="shared" si="7"/>
        <v>150000</v>
      </c>
      <c r="G54" s="62" t="s">
        <v>48</v>
      </c>
      <c r="H54" s="54">
        <v>0</v>
      </c>
      <c r="I54" s="54">
        <f t="shared" si="8"/>
        <v>0</v>
      </c>
      <c r="J54" s="54"/>
      <c r="K54" s="54">
        <f t="shared" ref="K54" si="9">H54+I54+J54</f>
        <v>0</v>
      </c>
      <c r="L54" s="50"/>
      <c r="P54" s="50"/>
    </row>
    <row r="55" spans="1:17">
      <c r="A55" s="30" t="s">
        <v>199</v>
      </c>
      <c r="B55" s="54">
        <f>'5.5 - 2020'!E57</f>
        <v>50000</v>
      </c>
      <c r="C55" s="54"/>
      <c r="D55" s="54"/>
      <c r="E55" s="54">
        <f t="shared" si="7"/>
        <v>50000</v>
      </c>
      <c r="G55" s="62" t="s">
        <v>48</v>
      </c>
      <c r="H55" s="54">
        <f>'5.5 - 2020'!K57</f>
        <v>0</v>
      </c>
      <c r="I55" s="54">
        <f t="shared" si="8"/>
        <v>10000</v>
      </c>
      <c r="J55" s="54"/>
      <c r="K55" s="54">
        <f t="shared" si="1"/>
        <v>10000</v>
      </c>
      <c r="L55" s="50"/>
      <c r="P55" s="50"/>
    </row>
    <row r="56" spans="1:17">
      <c r="A56" s="30" t="s">
        <v>125</v>
      </c>
      <c r="B56" s="54">
        <f>'5.5 - 2020'!E58</f>
        <v>2015083.44</v>
      </c>
      <c r="C56" s="54"/>
      <c r="D56" s="54"/>
      <c r="E56" s="54">
        <f t="shared" si="7"/>
        <v>2015083.44</v>
      </c>
      <c r="G56" s="62" t="s">
        <v>48</v>
      </c>
      <c r="H56" s="54">
        <f>'5.5 - 2020'!K58</f>
        <v>1376973.6159999999</v>
      </c>
      <c r="I56" s="54">
        <f t="shared" si="8"/>
        <v>403016.68799999997</v>
      </c>
      <c r="J56" s="54"/>
      <c r="K56" s="54">
        <f t="shared" si="1"/>
        <v>1779990.304</v>
      </c>
      <c r="L56" s="50"/>
      <c r="P56" s="50"/>
    </row>
    <row r="57" spans="1:17">
      <c r="A57" s="30" t="s">
        <v>181</v>
      </c>
      <c r="B57" s="54">
        <f>'5.5 - 2020'!E59</f>
        <v>3389993</v>
      </c>
      <c r="C57" s="54"/>
      <c r="D57" s="54"/>
      <c r="E57" s="54">
        <f t="shared" si="7"/>
        <v>3389993</v>
      </c>
      <c r="G57" s="62" t="s">
        <v>48</v>
      </c>
      <c r="H57" s="54">
        <f>'5.5 - 2020'!K59</f>
        <v>2542494.6800000002</v>
      </c>
      <c r="I57" s="54">
        <f t="shared" si="8"/>
        <v>677998.6</v>
      </c>
      <c r="J57" s="54"/>
      <c r="K57" s="54">
        <f t="shared" si="1"/>
        <v>3220493.2800000003</v>
      </c>
      <c r="L57" s="50"/>
    </row>
    <row r="58" spans="1:17">
      <c r="A58" s="30" t="s">
        <v>100</v>
      </c>
      <c r="B58" s="54">
        <f>'5.5 - 2020'!E60</f>
        <v>-3389993</v>
      </c>
      <c r="C58" s="54"/>
      <c r="D58" s="54"/>
      <c r="E58" s="54">
        <f t="shared" si="7"/>
        <v>-3389993</v>
      </c>
      <c r="G58" s="62" t="s">
        <v>48</v>
      </c>
      <c r="H58" s="54">
        <f>'5.5 - 2020'!K60</f>
        <v>-2542494.6800000002</v>
      </c>
      <c r="I58" s="54">
        <f t="shared" si="8"/>
        <v>-677998.6</v>
      </c>
      <c r="J58" s="54"/>
      <c r="K58" s="54">
        <f t="shared" si="1"/>
        <v>-3220493.2800000003</v>
      </c>
      <c r="L58" s="50"/>
    </row>
    <row r="59" spans="1:17">
      <c r="A59" s="30" t="s">
        <v>242</v>
      </c>
      <c r="B59" s="54">
        <f>'5.5 - 2020'!E61</f>
        <v>16028.09</v>
      </c>
      <c r="C59" s="54"/>
      <c r="D59" s="54"/>
      <c r="E59" s="54">
        <f t="shared" si="7"/>
        <v>16028.09</v>
      </c>
      <c r="G59" s="62" t="s">
        <v>48</v>
      </c>
      <c r="H59" s="54">
        <f>'5.5 - 2020'!K61</f>
        <v>0</v>
      </c>
      <c r="I59" s="54">
        <f t="shared" si="8"/>
        <v>3205.6179999999999</v>
      </c>
      <c r="J59" s="54"/>
      <c r="K59" s="54">
        <f t="shared" si="1"/>
        <v>3205.6179999999999</v>
      </c>
      <c r="L59" s="50"/>
    </row>
    <row r="60" spans="1:17">
      <c r="A60" s="30" t="s">
        <v>180</v>
      </c>
      <c r="B60" s="54">
        <f>'5.5 - 2020'!E63</f>
        <v>105340.92</v>
      </c>
      <c r="C60" s="54"/>
      <c r="D60" s="54">
        <v>-105340.92</v>
      </c>
      <c r="E60" s="54">
        <f t="shared" si="7"/>
        <v>0</v>
      </c>
      <c r="G60" s="62" t="s">
        <v>48</v>
      </c>
      <c r="H60" s="54">
        <f>'5.5 - 2020'!K63</f>
        <v>84272.687999999995</v>
      </c>
      <c r="I60" s="54">
        <f t="shared" si="8"/>
        <v>21068.184000000001</v>
      </c>
      <c r="J60" s="54">
        <f>-B60</f>
        <v>-105340.92</v>
      </c>
      <c r="K60" s="54">
        <f t="shared" si="1"/>
        <v>-4.7999999995226972E-2</v>
      </c>
      <c r="L60" s="50"/>
      <c r="P60" s="50"/>
    </row>
    <row r="61" spans="1:17">
      <c r="A61" s="30" t="s">
        <v>202</v>
      </c>
      <c r="B61" s="54">
        <f>'5.5 - 2020'!E64</f>
        <v>132787</v>
      </c>
      <c r="C61" s="54">
        <f>-D90</f>
        <v>200000</v>
      </c>
      <c r="D61" s="54"/>
      <c r="E61" s="54">
        <f t="shared" si="7"/>
        <v>332787</v>
      </c>
      <c r="G61" s="62" t="s">
        <v>48</v>
      </c>
      <c r="H61" s="54">
        <f>'5.5 - 2020'!K64</f>
        <v>0</v>
      </c>
      <c r="I61" s="54">
        <f t="shared" si="8"/>
        <v>26557.4</v>
      </c>
      <c r="J61" s="54"/>
      <c r="K61" s="54">
        <f t="shared" si="1"/>
        <v>26557.4</v>
      </c>
      <c r="L61" s="54"/>
      <c r="M61" s="50"/>
      <c r="Q61" s="50"/>
    </row>
    <row r="62" spans="1:17">
      <c r="A62" s="30" t="s">
        <v>200</v>
      </c>
      <c r="B62" s="54">
        <f>'5.5 - 2020'!E65</f>
        <v>90000</v>
      </c>
      <c r="C62" s="54"/>
      <c r="D62" s="54"/>
      <c r="E62" s="54">
        <f t="shared" si="7"/>
        <v>90000</v>
      </c>
      <c r="G62" s="62" t="s">
        <v>48</v>
      </c>
      <c r="H62" s="54">
        <f>'5.5 - 2020'!K65</f>
        <v>0</v>
      </c>
      <c r="I62" s="54">
        <f t="shared" si="8"/>
        <v>18000</v>
      </c>
      <c r="J62" s="54"/>
      <c r="K62" s="54">
        <f t="shared" si="1"/>
        <v>18000</v>
      </c>
      <c r="L62" s="54"/>
      <c r="M62" s="50"/>
      <c r="Q62" s="50"/>
    </row>
    <row r="63" spans="1:17">
      <c r="A63" s="30" t="s">
        <v>185</v>
      </c>
      <c r="B63" s="54">
        <f>'5.5 - 2020'!E66</f>
        <v>87336.03</v>
      </c>
      <c r="C63" s="54"/>
      <c r="D63" s="54"/>
      <c r="E63" s="54">
        <f t="shared" si="7"/>
        <v>87336.03</v>
      </c>
      <c r="G63" s="62" t="s">
        <v>48</v>
      </c>
      <c r="H63" s="54">
        <f>'5.5 - 2020'!K66</f>
        <v>52401.612000000001</v>
      </c>
      <c r="I63" s="54">
        <f t="shared" si="8"/>
        <v>17467.205999999998</v>
      </c>
      <c r="J63" s="54"/>
      <c r="K63" s="54">
        <f t="shared" si="1"/>
        <v>69868.817999999999</v>
      </c>
      <c r="L63" s="50"/>
      <c r="P63" s="50"/>
    </row>
    <row r="64" spans="1:17">
      <c r="A64" s="30" t="s">
        <v>111</v>
      </c>
      <c r="B64" s="54">
        <f>'5.5 - 2020'!E67</f>
        <v>47421.46</v>
      </c>
      <c r="C64" s="54"/>
      <c r="D64" s="54"/>
      <c r="E64" s="54">
        <f t="shared" si="7"/>
        <v>47421.46</v>
      </c>
      <c r="G64" s="62" t="s">
        <v>48</v>
      </c>
      <c r="H64" s="54">
        <f>'5.5 - 2020'!K67</f>
        <v>30823.983999999997</v>
      </c>
      <c r="I64" s="54">
        <f t="shared" si="8"/>
        <v>9484.2919999999995</v>
      </c>
      <c r="J64" s="54"/>
      <c r="K64" s="54">
        <f t="shared" si="1"/>
        <v>40308.275999999998</v>
      </c>
      <c r="L64" s="50"/>
      <c r="P64" s="50"/>
    </row>
    <row r="65" spans="1:24">
      <c r="A65" s="30" t="s">
        <v>169</v>
      </c>
      <c r="B65" s="54">
        <f>'5.5 - 2020'!E68</f>
        <v>49881.909999999996</v>
      </c>
      <c r="C65" s="54"/>
      <c r="D65" s="54"/>
      <c r="E65" s="54">
        <f t="shared" si="7"/>
        <v>49881.909999999996</v>
      </c>
      <c r="G65" s="62" t="s">
        <v>48</v>
      </c>
      <c r="H65" s="54">
        <f>'5.5 - 2020'!K68</f>
        <v>0</v>
      </c>
      <c r="I65" s="54">
        <f t="shared" si="8"/>
        <v>9976.3819999999996</v>
      </c>
      <c r="J65" s="54"/>
      <c r="K65" s="54">
        <f t="shared" si="1"/>
        <v>9976.3819999999996</v>
      </c>
      <c r="L65" s="50"/>
      <c r="P65" s="50"/>
    </row>
    <row r="66" spans="1:24">
      <c r="A66" s="30" t="s">
        <v>53</v>
      </c>
      <c r="B66" s="54">
        <f>'5.5 - 2020'!E69</f>
        <v>1667371.55</v>
      </c>
      <c r="C66" s="54"/>
      <c r="D66" s="54"/>
      <c r="E66" s="54">
        <f t="shared" si="7"/>
        <v>1667371.55</v>
      </c>
      <c r="G66" s="62" t="s">
        <v>47</v>
      </c>
      <c r="H66" s="54">
        <f>'5.5 - 2020'!K69</f>
        <v>1326688.7200000002</v>
      </c>
      <c r="I66" s="54">
        <f>B66/10</f>
        <v>166737.155</v>
      </c>
      <c r="J66" s="54"/>
      <c r="K66" s="54">
        <f t="shared" si="1"/>
        <v>1493425.8750000002</v>
      </c>
      <c r="L66" s="50"/>
      <c r="P66" s="50"/>
    </row>
    <row r="67" spans="1:24">
      <c r="A67" s="30" t="s">
        <v>144</v>
      </c>
      <c r="B67" s="54">
        <f>'5.5 - 2020'!E70</f>
        <v>-782591</v>
      </c>
      <c r="C67" s="50"/>
      <c r="D67" s="54"/>
      <c r="E67" s="54">
        <f t="shared" si="7"/>
        <v>-782591</v>
      </c>
      <c r="G67" s="62" t="s">
        <v>47</v>
      </c>
      <c r="H67" s="54">
        <f>'5.5 - 2020'!K70</f>
        <v>-619382.89</v>
      </c>
      <c r="I67" s="54">
        <f>B67/10</f>
        <v>-78259.100000000006</v>
      </c>
      <c r="J67" s="54"/>
      <c r="K67" s="54">
        <f t="shared" si="1"/>
        <v>-697641.99</v>
      </c>
      <c r="L67" s="50"/>
      <c r="X67" s="50">
        <f>C67</f>
        <v>0</v>
      </c>
    </row>
    <row r="68" spans="1:24">
      <c r="A68" s="30" t="s">
        <v>170</v>
      </c>
      <c r="B68" s="54">
        <f>'5.5 - 2020'!E71</f>
        <v>13408.71</v>
      </c>
      <c r="C68" s="54"/>
      <c r="D68" s="54"/>
      <c r="E68" s="54">
        <f t="shared" si="7"/>
        <v>13408.71</v>
      </c>
      <c r="G68" s="62" t="s">
        <v>48</v>
      </c>
      <c r="H68" s="54">
        <f>'5.5 - 2020'!K71</f>
        <v>4022.6219999999998</v>
      </c>
      <c r="I68" s="54">
        <f t="shared" ref="I68:I75" si="10">B68/5</f>
        <v>2681.7419999999997</v>
      </c>
      <c r="J68" s="54"/>
      <c r="K68" s="54">
        <f t="shared" si="1"/>
        <v>6704.3639999999996</v>
      </c>
      <c r="L68" s="50"/>
    </row>
    <row r="69" spans="1:24">
      <c r="A69" s="30" t="s">
        <v>146</v>
      </c>
      <c r="B69" s="54">
        <f>'5.5 - 2020'!E72</f>
        <v>318813.90999999997</v>
      </c>
      <c r="C69" s="54"/>
      <c r="D69" s="54">
        <v>-318813.90999999997</v>
      </c>
      <c r="E69" s="54">
        <f t="shared" si="7"/>
        <v>0</v>
      </c>
      <c r="G69" s="62" t="s">
        <v>48</v>
      </c>
      <c r="H69" s="54">
        <f>'5.5 - 2020'!K72</f>
        <v>255051.24400000001</v>
      </c>
      <c r="I69" s="54">
        <f t="shared" si="10"/>
        <v>63762.781999999992</v>
      </c>
      <c r="J69" s="54">
        <v>-318813.90999999997</v>
      </c>
      <c r="K69" s="54">
        <f t="shared" si="1"/>
        <v>0.11600000003818423</v>
      </c>
      <c r="L69" s="50"/>
    </row>
    <row r="70" spans="1:24">
      <c r="A70" s="30" t="s">
        <v>154</v>
      </c>
      <c r="B70" s="54">
        <f>'5.5 - 2020'!E73</f>
        <v>164133.69</v>
      </c>
      <c r="C70" s="54"/>
      <c r="D70" s="54"/>
      <c r="E70" s="54">
        <f t="shared" si="7"/>
        <v>164133.69</v>
      </c>
      <c r="G70" s="62" t="s">
        <v>48</v>
      </c>
      <c r="H70" s="54">
        <f>'5.5 - 2020'!K73</f>
        <v>112240.44600000001</v>
      </c>
      <c r="I70" s="54">
        <f t="shared" si="10"/>
        <v>32826.737999999998</v>
      </c>
      <c r="J70" s="54"/>
      <c r="K70" s="54">
        <f t="shared" si="1"/>
        <v>145067.18400000001</v>
      </c>
      <c r="L70" s="50"/>
    </row>
    <row r="71" spans="1:24">
      <c r="A71" s="30" t="s">
        <v>168</v>
      </c>
      <c r="B71" s="54">
        <v>0</v>
      </c>
      <c r="C71" s="54">
        <f>-D91</f>
        <v>259071.65</v>
      </c>
      <c r="D71" s="54"/>
      <c r="E71" s="54">
        <f t="shared" si="7"/>
        <v>259071.65</v>
      </c>
      <c r="G71" s="62" t="s">
        <v>313</v>
      </c>
      <c r="H71" s="54">
        <v>0</v>
      </c>
      <c r="I71" s="54">
        <f t="shared" si="10"/>
        <v>0</v>
      </c>
      <c r="J71" s="54"/>
      <c r="K71" s="54">
        <f t="shared" ref="K71" si="11">H71+I71+J71</f>
        <v>0</v>
      </c>
      <c r="L71" s="50"/>
    </row>
    <row r="72" spans="1:24">
      <c r="A72" s="30" t="s">
        <v>251</v>
      </c>
      <c r="B72" s="54">
        <f>'5.5 - 2020'!E74</f>
        <v>70000</v>
      </c>
      <c r="C72" s="54"/>
      <c r="D72" s="54"/>
      <c r="E72" s="54">
        <f t="shared" si="7"/>
        <v>70000</v>
      </c>
      <c r="G72" s="62" t="s">
        <v>48</v>
      </c>
      <c r="H72" s="54">
        <f>'5.5 - 2020'!K74</f>
        <v>0</v>
      </c>
      <c r="I72" s="54">
        <f t="shared" si="10"/>
        <v>14000</v>
      </c>
      <c r="J72" s="54"/>
      <c r="K72" s="54">
        <f t="shared" si="1"/>
        <v>14000</v>
      </c>
      <c r="L72" s="50"/>
    </row>
    <row r="73" spans="1:24">
      <c r="A73" s="30" t="s">
        <v>261</v>
      </c>
      <c r="B73" s="54">
        <v>0</v>
      </c>
      <c r="C73" s="54">
        <f>-D93</f>
        <v>100000</v>
      </c>
      <c r="D73" s="54"/>
      <c r="E73" s="54">
        <f t="shared" si="7"/>
        <v>100000</v>
      </c>
      <c r="G73" s="62" t="s">
        <v>48</v>
      </c>
      <c r="H73" s="54">
        <v>0</v>
      </c>
      <c r="I73" s="54">
        <f t="shared" si="10"/>
        <v>0</v>
      </c>
      <c r="J73" s="54"/>
      <c r="K73" s="54">
        <f t="shared" ref="K73:K74" si="12">H73+I73+J73</f>
        <v>0</v>
      </c>
      <c r="L73" s="50"/>
    </row>
    <row r="74" spans="1:24">
      <c r="A74" s="30" t="s">
        <v>262</v>
      </c>
      <c r="B74" s="54">
        <v>0</v>
      </c>
      <c r="C74" s="54">
        <f>-D94</f>
        <v>20000</v>
      </c>
      <c r="D74" s="54"/>
      <c r="E74" s="54">
        <f t="shared" ref="E74:E105" si="13">B74+C74+D74</f>
        <v>20000</v>
      </c>
      <c r="G74" s="62" t="s">
        <v>48</v>
      </c>
      <c r="H74" s="54">
        <v>0</v>
      </c>
      <c r="I74" s="54">
        <f t="shared" si="10"/>
        <v>0</v>
      </c>
      <c r="J74" s="54"/>
      <c r="K74" s="54">
        <f t="shared" si="12"/>
        <v>0</v>
      </c>
      <c r="L74" s="50"/>
    </row>
    <row r="75" spans="1:24">
      <c r="A75" s="30" t="s">
        <v>127</v>
      </c>
      <c r="B75" s="54">
        <f>'5.5 - 2020'!E75</f>
        <v>118743.17</v>
      </c>
      <c r="C75" s="54"/>
      <c r="D75" s="54">
        <v>-118743.17</v>
      </c>
      <c r="E75" s="54">
        <f t="shared" si="13"/>
        <v>0</v>
      </c>
      <c r="G75" s="62" t="s">
        <v>48</v>
      </c>
      <c r="H75" s="54">
        <f>'5.5 - 2020'!K75</f>
        <v>94994.467999999993</v>
      </c>
      <c r="I75" s="54">
        <f t="shared" si="10"/>
        <v>23748.633999999998</v>
      </c>
      <c r="J75" s="54">
        <v>-118743.17</v>
      </c>
      <c r="K75" s="54">
        <f t="shared" ref="K75:K76" si="14">H75+I75+J75</f>
        <v>-6.8000000013853423E-2</v>
      </c>
      <c r="L75" s="50"/>
    </row>
    <row r="76" spans="1:24">
      <c r="A76" s="30" t="s">
        <v>135</v>
      </c>
      <c r="B76" s="54">
        <f>'5.5 - 2020'!E76</f>
        <v>-3299780.9</v>
      </c>
      <c r="E76" s="54">
        <f t="shared" si="13"/>
        <v>-3299780.9</v>
      </c>
      <c r="G76" s="62" t="s">
        <v>48</v>
      </c>
      <c r="H76" s="54">
        <f>'5.5 - 2020'!K76</f>
        <v>-2706008.3999999994</v>
      </c>
      <c r="I76" s="54">
        <v>-505533.6</v>
      </c>
      <c r="J76" s="54"/>
      <c r="K76" s="54">
        <f t="shared" si="14"/>
        <v>-3211541.9999999995</v>
      </c>
      <c r="L76" s="50"/>
    </row>
    <row r="77" spans="1:24">
      <c r="B77" s="54"/>
      <c r="C77" s="54"/>
      <c r="D77" s="54"/>
      <c r="E77" s="54"/>
      <c r="G77" s="62"/>
      <c r="H77" s="54"/>
      <c r="I77" s="54"/>
      <c r="J77" s="54"/>
      <c r="K77" s="54"/>
      <c r="L77" s="50"/>
      <c r="P77" s="50"/>
    </row>
    <row r="78" spans="1:24">
      <c r="A78" s="33" t="s">
        <v>51</v>
      </c>
      <c r="B78" s="50">
        <f>SUM(B10:B77)</f>
        <v>15513106.380000012</v>
      </c>
      <c r="C78" s="50">
        <f>SUM(C10:C77)</f>
        <v>979071.65</v>
      </c>
      <c r="D78" s="50">
        <f>SUM(D10:D77)</f>
        <v>-6989384.784</v>
      </c>
      <c r="E78" s="50">
        <f>SUM(E10:E77)</f>
        <v>9502793.2460000012</v>
      </c>
      <c r="G78" s="62"/>
      <c r="H78" s="50">
        <f>SUM(H10:H77)</f>
        <v>8555006.7800000012</v>
      </c>
      <c r="I78" s="50">
        <f>SUM(I10:I77)</f>
        <v>2272436.3559999992</v>
      </c>
      <c r="J78" s="50">
        <f>SUM(J10:J77)</f>
        <v>-6989386.6630000006</v>
      </c>
      <c r="K78" s="50">
        <f>SUM(K10:K77)</f>
        <v>3838056.4730000016</v>
      </c>
      <c r="L78" s="50"/>
      <c r="M78" s="50"/>
      <c r="N78" s="50"/>
      <c r="O78" s="50"/>
      <c r="P78" s="50"/>
    </row>
    <row r="79" spans="1:24">
      <c r="G79" s="62"/>
    </row>
    <row r="80" spans="1:24">
      <c r="A80" s="33" t="s">
        <v>149</v>
      </c>
      <c r="G80" s="62"/>
    </row>
    <row r="81" spans="1:20">
      <c r="A81" s="30" t="s">
        <v>198</v>
      </c>
      <c r="B81" s="54">
        <f>'5.5 - 2020'!E81</f>
        <v>0</v>
      </c>
      <c r="C81" s="54"/>
      <c r="D81" s="54"/>
      <c r="E81" s="54">
        <f t="shared" ref="E81:E94" si="15">B81+C81+D81</f>
        <v>0</v>
      </c>
      <c r="G81" s="62"/>
      <c r="L81" s="50"/>
    </row>
    <row r="82" spans="1:20">
      <c r="A82" s="30" t="s">
        <v>259</v>
      </c>
      <c r="B82" s="54">
        <v>0</v>
      </c>
      <c r="C82" s="54">
        <v>175000</v>
      </c>
      <c r="D82" s="54">
        <f>-B82-C82</f>
        <v>-175000</v>
      </c>
      <c r="E82" s="54">
        <f t="shared" si="15"/>
        <v>0</v>
      </c>
      <c r="G82" s="62"/>
      <c r="L82" s="50"/>
    </row>
    <row r="83" spans="1:20">
      <c r="A83" s="30" t="s">
        <v>250</v>
      </c>
      <c r="B83" s="54">
        <f>'5.5 - 2020'!E82</f>
        <v>0</v>
      </c>
      <c r="C83" s="54">
        <v>75000</v>
      </c>
      <c r="D83" s="54">
        <f>-B83-C83</f>
        <v>-75000</v>
      </c>
      <c r="E83" s="54">
        <f t="shared" si="15"/>
        <v>0</v>
      </c>
      <c r="G83" s="62"/>
      <c r="L83" s="50"/>
    </row>
    <row r="84" spans="1:20">
      <c r="A84" s="30" t="s">
        <v>258</v>
      </c>
      <c r="B84" s="54">
        <v>0</v>
      </c>
      <c r="C84" s="54">
        <v>50000</v>
      </c>
      <c r="D84" s="54"/>
      <c r="E84" s="54">
        <f t="shared" si="15"/>
        <v>50000</v>
      </c>
      <c r="G84" s="62"/>
      <c r="L84" s="50"/>
    </row>
    <row r="85" spans="1:20">
      <c r="A85" s="30" t="s">
        <v>249</v>
      </c>
      <c r="B85" s="54">
        <f>'5.5 - 2020'!E83</f>
        <v>1395230.53</v>
      </c>
      <c r="C85" s="54">
        <v>5000000</v>
      </c>
      <c r="D85" s="54"/>
      <c r="E85" s="54">
        <f t="shared" si="15"/>
        <v>6395230.5300000003</v>
      </c>
      <c r="G85" s="62"/>
      <c r="L85" s="50"/>
    </row>
    <row r="86" spans="1:20">
      <c r="A86" s="30" t="s">
        <v>201</v>
      </c>
      <c r="B86" s="54">
        <f>'5.5 - 2020'!E84</f>
        <v>0</v>
      </c>
      <c r="C86" s="54">
        <v>200000</v>
      </c>
      <c r="D86" s="54"/>
      <c r="E86" s="54">
        <f t="shared" si="15"/>
        <v>200000</v>
      </c>
      <c r="G86" s="62"/>
      <c r="L86" s="50"/>
    </row>
    <row r="87" spans="1:20">
      <c r="A87" s="30" t="s">
        <v>260</v>
      </c>
      <c r="B87" s="54">
        <v>0</v>
      </c>
      <c r="C87" s="54">
        <v>200000</v>
      </c>
      <c r="D87" s="54"/>
      <c r="E87" s="54">
        <f t="shared" si="15"/>
        <v>200000</v>
      </c>
      <c r="G87" s="62"/>
      <c r="L87" s="50"/>
    </row>
    <row r="88" spans="1:20">
      <c r="A88" s="30" t="s">
        <v>203</v>
      </c>
      <c r="B88" s="54">
        <f>'5.5 - 2020'!E87</f>
        <v>0</v>
      </c>
      <c r="C88" s="54">
        <v>150000</v>
      </c>
      <c r="D88" s="54">
        <f>-B88-C88</f>
        <v>-150000</v>
      </c>
      <c r="E88" s="54">
        <f t="shared" si="15"/>
        <v>0</v>
      </c>
      <c r="L88" s="50"/>
    </row>
    <row r="89" spans="1:20">
      <c r="A89" s="30" t="s">
        <v>163</v>
      </c>
      <c r="B89" s="54">
        <f>'5.5 - 2020'!E89</f>
        <v>8178968</v>
      </c>
      <c r="C89" s="54">
        <v>1200000</v>
      </c>
      <c r="D89" s="54"/>
      <c r="E89" s="54">
        <f t="shared" si="15"/>
        <v>9378968</v>
      </c>
      <c r="L89" s="50"/>
    </row>
    <row r="90" spans="1:20">
      <c r="A90" s="30" t="s">
        <v>202</v>
      </c>
      <c r="B90" s="54">
        <f>'5.5 - 2020'!E90</f>
        <v>0</v>
      </c>
      <c r="C90" s="54">
        <v>200000</v>
      </c>
      <c r="D90" s="54">
        <f>-B90-C90</f>
        <v>-200000</v>
      </c>
      <c r="E90" s="54">
        <f t="shared" si="15"/>
        <v>0</v>
      </c>
      <c r="L90" s="50"/>
    </row>
    <row r="91" spans="1:20">
      <c r="A91" s="30" t="s">
        <v>168</v>
      </c>
      <c r="B91" s="54">
        <f>'5.5 - 2020'!E93</f>
        <v>259071.65</v>
      </c>
      <c r="C91" s="54"/>
      <c r="D91" s="54">
        <f>-B91-C91</f>
        <v>-259071.65</v>
      </c>
      <c r="E91" s="54">
        <f t="shared" si="15"/>
        <v>0</v>
      </c>
      <c r="L91" s="50"/>
    </row>
    <row r="92" spans="1:20">
      <c r="A92" s="30" t="s">
        <v>251</v>
      </c>
      <c r="B92" s="54">
        <f>'5.5 - 2020'!E94</f>
        <v>0</v>
      </c>
      <c r="C92" s="54"/>
      <c r="D92" s="54"/>
      <c r="E92" s="54">
        <f t="shared" si="15"/>
        <v>0</v>
      </c>
      <c r="L92" s="50"/>
    </row>
    <row r="93" spans="1:20">
      <c r="A93" s="30" t="s">
        <v>261</v>
      </c>
      <c r="B93" s="54">
        <v>0</v>
      </c>
      <c r="C93" s="54">
        <v>100000</v>
      </c>
      <c r="D93" s="54">
        <f>-B93-C93</f>
        <v>-100000</v>
      </c>
      <c r="E93" s="54">
        <f t="shared" si="15"/>
        <v>0</v>
      </c>
      <c r="L93" s="50"/>
    </row>
    <row r="94" spans="1:20">
      <c r="A94" s="30" t="s">
        <v>262</v>
      </c>
      <c r="B94" s="54">
        <v>0</v>
      </c>
      <c r="C94" s="54">
        <v>20000</v>
      </c>
      <c r="D94" s="54">
        <f>-B94-C94</f>
        <v>-20000</v>
      </c>
      <c r="E94" s="54">
        <f t="shared" si="15"/>
        <v>0</v>
      </c>
      <c r="L94" s="50"/>
    </row>
    <row r="95" spans="1:20">
      <c r="B95" s="54"/>
      <c r="C95" s="50"/>
      <c r="D95" s="50"/>
      <c r="E95" s="54"/>
    </row>
    <row r="96" spans="1:20">
      <c r="A96" s="33" t="s">
        <v>50</v>
      </c>
      <c r="B96" s="50">
        <f>SUM(B80:B95)</f>
        <v>9833270.1799999997</v>
      </c>
      <c r="C96" s="50">
        <f>SUM(C80:C95)</f>
        <v>7370000</v>
      </c>
      <c r="D96" s="50">
        <f>SUM(D80:D95)</f>
        <v>-979071.65</v>
      </c>
      <c r="E96" s="50">
        <f>SUM(E80:E95)</f>
        <v>16224198.530000001</v>
      </c>
      <c r="H96" s="50"/>
      <c r="I96" s="50"/>
      <c r="J96" s="50"/>
      <c r="K96" s="50"/>
      <c r="L96" s="50"/>
      <c r="M96" s="50"/>
      <c r="N96" s="50"/>
      <c r="T96" s="50"/>
    </row>
    <row r="97" spans="1:19">
      <c r="B97" s="50"/>
      <c r="C97" s="50"/>
      <c r="D97" s="50"/>
      <c r="E97" s="50"/>
      <c r="H97" s="50"/>
      <c r="I97" s="50"/>
      <c r="J97" s="50"/>
      <c r="K97" s="50"/>
      <c r="L97" s="50"/>
    </row>
    <row r="98" spans="1:19">
      <c r="A98" s="109" t="s">
        <v>52</v>
      </c>
      <c r="B98" s="51">
        <f>B78+B96</f>
        <v>25346376.56000001</v>
      </c>
      <c r="C98" s="51">
        <f>C78+C96</f>
        <v>8349071.6500000004</v>
      </c>
      <c r="D98" s="51">
        <f>D78+D96</f>
        <v>-7968456.4340000004</v>
      </c>
      <c r="E98" s="51">
        <f>E78+E96</f>
        <v>25726991.776000001</v>
      </c>
      <c r="F98" s="51"/>
      <c r="H98" s="51">
        <f>H78+H96</f>
        <v>8555006.7800000012</v>
      </c>
      <c r="I98" s="51">
        <f>I78+I96</f>
        <v>2272436.3559999992</v>
      </c>
      <c r="J98" s="51"/>
      <c r="K98" s="51">
        <f>K78+K96</f>
        <v>3838056.4730000016</v>
      </c>
      <c r="L98" s="50"/>
      <c r="M98" s="50"/>
      <c r="N98" s="50"/>
      <c r="S98" s="50"/>
    </row>
    <row r="99" spans="1:19">
      <c r="E99" s="50"/>
    </row>
    <row r="100" spans="1:19">
      <c r="A100" s="33" t="s">
        <v>107</v>
      </c>
      <c r="B100" s="50"/>
      <c r="C100" s="50"/>
      <c r="D100" s="50"/>
      <c r="E100" s="50"/>
      <c r="H100" s="50"/>
      <c r="I100" s="50"/>
      <c r="J100" s="50"/>
      <c r="K100" s="50"/>
      <c r="M100" s="50"/>
    </row>
    <row r="101" spans="1:19">
      <c r="A101" s="110" t="s">
        <v>150</v>
      </c>
      <c r="E101" s="50"/>
    </row>
    <row r="102" spans="1:19">
      <c r="A102" s="49" t="s">
        <v>193</v>
      </c>
      <c r="B102" s="50">
        <v>712967.17999999993</v>
      </c>
      <c r="C102" s="50"/>
      <c r="D102" s="50"/>
      <c r="E102" s="50">
        <f t="shared" ref="E102:E116" si="16">B102+C102+D102</f>
        <v>712967.17999999993</v>
      </c>
      <c r="F102" s="50"/>
      <c r="G102" s="62" t="s">
        <v>48</v>
      </c>
      <c r="H102" s="50">
        <v>0</v>
      </c>
      <c r="I102" s="54">
        <f>B102/5</f>
        <v>142593.43599999999</v>
      </c>
      <c r="J102" s="54"/>
      <c r="K102" s="54">
        <f t="shared" ref="K102:K116" si="17">H102+I102+J102</f>
        <v>142593.43599999999</v>
      </c>
      <c r="L102" s="50"/>
      <c r="M102" s="50"/>
    </row>
    <row r="103" spans="1:19">
      <c r="A103" s="49" t="s">
        <v>109</v>
      </c>
      <c r="B103" s="50">
        <v>178986.03</v>
      </c>
      <c r="C103" s="50"/>
      <c r="D103" s="50"/>
      <c r="E103" s="50">
        <f t="shared" si="16"/>
        <v>178986.03</v>
      </c>
      <c r="F103" s="50"/>
      <c r="G103" s="62" t="s">
        <v>48</v>
      </c>
      <c r="H103" s="50">
        <v>143188.81200000001</v>
      </c>
      <c r="I103" s="54">
        <f>B103/5</f>
        <v>35797.205999999998</v>
      </c>
      <c r="J103" s="54"/>
      <c r="K103" s="54">
        <f t="shared" si="17"/>
        <v>178986.01800000001</v>
      </c>
      <c r="L103" s="50"/>
      <c r="M103" s="50"/>
    </row>
    <row r="104" spans="1:19">
      <c r="A104" s="49" t="s">
        <v>187</v>
      </c>
      <c r="B104" s="50">
        <v>46630.71</v>
      </c>
      <c r="C104" s="50"/>
      <c r="D104" s="50"/>
      <c r="E104" s="50">
        <f t="shared" si="16"/>
        <v>46630.71</v>
      </c>
      <c r="F104" s="50"/>
      <c r="G104" s="62" t="s">
        <v>48</v>
      </c>
      <c r="H104" s="50">
        <v>24869.723999999998</v>
      </c>
      <c r="I104" s="54">
        <f>B104/5</f>
        <v>9326.1419999999998</v>
      </c>
      <c r="J104" s="54"/>
      <c r="K104" s="54">
        <f t="shared" si="17"/>
        <v>34195.865999999995</v>
      </c>
      <c r="L104" s="50"/>
      <c r="M104" s="50"/>
    </row>
    <row r="105" spans="1:19">
      <c r="A105" s="49" t="s">
        <v>254</v>
      </c>
      <c r="B105" s="50">
        <v>200000</v>
      </c>
      <c r="C105" s="50"/>
      <c r="D105" s="50"/>
      <c r="E105" s="50">
        <f t="shared" si="16"/>
        <v>200000</v>
      </c>
      <c r="F105" s="50"/>
      <c r="G105" s="62" t="s">
        <v>48</v>
      </c>
      <c r="H105" s="50">
        <v>0</v>
      </c>
      <c r="I105" s="54">
        <f>B105/5</f>
        <v>40000</v>
      </c>
      <c r="J105" s="54"/>
      <c r="K105" s="54">
        <f t="shared" si="17"/>
        <v>40000</v>
      </c>
      <c r="L105" s="50"/>
      <c r="M105" s="50"/>
    </row>
    <row r="106" spans="1:19">
      <c r="A106" s="49" t="s">
        <v>68</v>
      </c>
      <c r="B106" s="50">
        <v>3764896.080000001</v>
      </c>
      <c r="C106" s="50"/>
      <c r="D106" s="50"/>
      <c r="E106" s="50">
        <f t="shared" si="16"/>
        <v>3764896.080000001</v>
      </c>
      <c r="F106" s="50"/>
      <c r="G106" s="62" t="s">
        <v>47</v>
      </c>
      <c r="H106" s="50">
        <v>1481243.6199999999</v>
      </c>
      <c r="I106" s="54">
        <v>402544.80999999994</v>
      </c>
      <c r="J106" s="54"/>
      <c r="K106" s="54">
        <f t="shared" si="17"/>
        <v>1883788.4299999997</v>
      </c>
      <c r="L106" s="50"/>
      <c r="M106" s="50"/>
    </row>
    <row r="107" spans="1:19">
      <c r="A107" s="49" t="s">
        <v>189</v>
      </c>
      <c r="B107" s="50">
        <v>-974548.54</v>
      </c>
      <c r="C107" s="50"/>
      <c r="D107" s="50"/>
      <c r="E107" s="50">
        <f t="shared" si="16"/>
        <v>-974548.54</v>
      </c>
      <c r="F107" s="50"/>
      <c r="G107" s="62" t="s">
        <v>47</v>
      </c>
      <c r="H107" s="50">
        <v>-389819.408</v>
      </c>
      <c r="I107" s="54">
        <f>B107/10</f>
        <v>-97454.854000000007</v>
      </c>
      <c r="J107" s="54"/>
      <c r="K107" s="54">
        <f t="shared" si="17"/>
        <v>-487274.26199999999</v>
      </c>
      <c r="L107" s="50"/>
      <c r="M107" s="50"/>
    </row>
    <row r="108" spans="1:19">
      <c r="A108" s="49" t="s">
        <v>112</v>
      </c>
      <c r="B108" s="50">
        <v>385009.15</v>
      </c>
      <c r="C108" s="50">
        <f>-D121</f>
        <v>894000</v>
      </c>
      <c r="D108" s="50"/>
      <c r="E108" s="50">
        <f t="shared" si="16"/>
        <v>1279009.1499999999</v>
      </c>
      <c r="F108" s="50"/>
      <c r="G108" s="62" t="s">
        <v>47</v>
      </c>
      <c r="H108" s="50">
        <v>38500.915000000001</v>
      </c>
      <c r="I108" s="54">
        <f>B108/10</f>
        <v>38500.915000000001</v>
      </c>
      <c r="J108" s="54"/>
      <c r="K108" s="54">
        <f t="shared" si="17"/>
        <v>77001.83</v>
      </c>
      <c r="L108" s="50"/>
      <c r="M108" s="50"/>
    </row>
    <row r="109" spans="1:19">
      <c r="A109" s="49" t="s">
        <v>244</v>
      </c>
      <c r="B109" s="50">
        <v>808612.2</v>
      </c>
      <c r="C109" s="50"/>
      <c r="D109" s="50"/>
      <c r="E109" s="50">
        <f t="shared" si="16"/>
        <v>808612.2</v>
      </c>
      <c r="F109" s="50"/>
      <c r="G109" s="62" t="s">
        <v>47</v>
      </c>
      <c r="H109" s="50">
        <v>0</v>
      </c>
      <c r="I109" s="54">
        <f>B109/10</f>
        <v>80861.22</v>
      </c>
      <c r="J109" s="54"/>
      <c r="K109" s="54">
        <f t="shared" si="17"/>
        <v>80861.22</v>
      </c>
      <c r="L109" s="50"/>
      <c r="M109" s="50"/>
    </row>
    <row r="110" spans="1:19">
      <c r="A110" s="49" t="s">
        <v>245</v>
      </c>
      <c r="B110" s="50">
        <v>-365315.28</v>
      </c>
      <c r="C110" s="50"/>
      <c r="D110" s="50"/>
      <c r="E110" s="50">
        <f t="shared" si="16"/>
        <v>-365315.28</v>
      </c>
      <c r="F110" s="50"/>
      <c r="G110" s="62" t="s">
        <v>47</v>
      </c>
      <c r="H110" s="50">
        <v>0</v>
      </c>
      <c r="I110" s="54">
        <f>B110/10</f>
        <v>-36531.528000000006</v>
      </c>
      <c r="J110" s="54"/>
      <c r="K110" s="54">
        <f t="shared" si="17"/>
        <v>-36531.528000000006</v>
      </c>
      <c r="L110" s="50"/>
      <c r="M110" s="50"/>
    </row>
    <row r="111" spans="1:19">
      <c r="A111" s="49" t="s">
        <v>186</v>
      </c>
      <c r="B111" s="50">
        <v>181080.11</v>
      </c>
      <c r="C111" s="50"/>
      <c r="D111" s="50"/>
      <c r="E111" s="50">
        <f t="shared" si="16"/>
        <v>181080.11</v>
      </c>
      <c r="F111" s="50"/>
      <c r="G111" s="62" t="s">
        <v>48</v>
      </c>
      <c r="H111" s="50">
        <v>144864.04399999999</v>
      </c>
      <c r="I111" s="54">
        <f>B111/5</f>
        <v>36216.021999999997</v>
      </c>
      <c r="J111" s="54"/>
      <c r="K111" s="54">
        <f t="shared" si="17"/>
        <v>181080.06599999999</v>
      </c>
      <c r="L111" s="50"/>
      <c r="M111" s="50"/>
    </row>
    <row r="112" spans="1:19">
      <c r="A112" s="49" t="s">
        <v>125</v>
      </c>
      <c r="B112" s="50">
        <v>244223.27</v>
      </c>
      <c r="C112" s="50"/>
      <c r="D112" s="50"/>
      <c r="E112" s="50">
        <f t="shared" si="16"/>
        <v>244223.27</v>
      </c>
      <c r="F112" s="50"/>
      <c r="G112" s="62" t="s">
        <v>48</v>
      </c>
      <c r="H112" s="50">
        <v>195378.66800000001</v>
      </c>
      <c r="I112" s="54">
        <f>B112/5</f>
        <v>48844.653999999995</v>
      </c>
      <c r="J112" s="54"/>
      <c r="K112" s="54">
        <f t="shared" si="17"/>
        <v>244223.32199999999</v>
      </c>
      <c r="L112" s="50"/>
      <c r="M112" s="50"/>
    </row>
    <row r="113" spans="1:16">
      <c r="A113" s="49" t="s">
        <v>190</v>
      </c>
      <c r="B113" s="50">
        <v>-6000</v>
      </c>
      <c r="C113" s="50"/>
      <c r="D113" s="50"/>
      <c r="E113" s="50">
        <f t="shared" si="16"/>
        <v>-6000</v>
      </c>
      <c r="F113" s="50"/>
      <c r="G113" s="62" t="s">
        <v>48</v>
      </c>
      <c r="H113" s="50">
        <v>-4800</v>
      </c>
      <c r="I113" s="54">
        <f>B113/5</f>
        <v>-1200</v>
      </c>
      <c r="J113" s="54"/>
      <c r="K113" s="54">
        <f t="shared" si="17"/>
        <v>-6000</v>
      </c>
      <c r="L113" s="50"/>
      <c r="M113" s="50"/>
    </row>
    <row r="114" spans="1:16">
      <c r="A114" s="49" t="s">
        <v>173</v>
      </c>
      <c r="B114" s="50">
        <v>141600.43</v>
      </c>
      <c r="C114" s="50"/>
      <c r="D114" s="50"/>
      <c r="E114" s="50">
        <f t="shared" si="16"/>
        <v>141600.43</v>
      </c>
      <c r="F114" s="50"/>
      <c r="G114" s="62" t="s">
        <v>48</v>
      </c>
      <c r="H114" s="50">
        <v>68440.221999999994</v>
      </c>
      <c r="I114" s="54">
        <f>B114/5</f>
        <v>28320.085999999999</v>
      </c>
      <c r="J114" s="54"/>
      <c r="K114" s="54">
        <f t="shared" si="17"/>
        <v>96760.30799999999</v>
      </c>
      <c r="L114" s="50"/>
      <c r="M114" s="50"/>
    </row>
    <row r="115" spans="1:16">
      <c r="A115" s="49" t="s">
        <v>188</v>
      </c>
      <c r="B115" s="50">
        <v>-100000</v>
      </c>
      <c r="C115" s="50"/>
      <c r="D115" s="50"/>
      <c r="E115" s="50">
        <f t="shared" si="16"/>
        <v>-100000</v>
      </c>
      <c r="F115" s="50"/>
      <c r="G115" s="62" t="s">
        <v>48</v>
      </c>
      <c r="H115" s="50">
        <v>-48383.56</v>
      </c>
      <c r="I115" s="54">
        <f>B115/5</f>
        <v>-20000</v>
      </c>
      <c r="J115" s="54"/>
      <c r="K115" s="54">
        <f t="shared" si="17"/>
        <v>-68383.56</v>
      </c>
      <c r="L115" s="50"/>
      <c r="M115" s="50"/>
    </row>
    <row r="116" spans="1:16">
      <c r="A116" s="30" t="s">
        <v>58</v>
      </c>
      <c r="B116" s="50">
        <v>185010.89</v>
      </c>
      <c r="C116" s="50"/>
      <c r="D116" s="50"/>
      <c r="E116" s="50">
        <f t="shared" si="16"/>
        <v>185010.89</v>
      </c>
      <c r="F116" s="50"/>
      <c r="G116" s="62" t="s">
        <v>69</v>
      </c>
      <c r="H116" s="50">
        <v>53447.256222222219</v>
      </c>
      <c r="I116" s="54">
        <f>B116/45</f>
        <v>4111.3531111111115</v>
      </c>
      <c r="J116" s="54"/>
      <c r="K116" s="54">
        <f t="shared" si="17"/>
        <v>57558.609333333327</v>
      </c>
      <c r="L116" s="50"/>
    </row>
    <row r="117" spans="1:16">
      <c r="A117" s="49"/>
      <c r="B117" s="50"/>
      <c r="C117" s="50"/>
      <c r="D117" s="50"/>
      <c r="E117" s="50"/>
      <c r="F117" s="50"/>
      <c r="G117" s="62"/>
      <c r="H117" s="50"/>
      <c r="I117" s="50"/>
      <c r="J117" s="50"/>
      <c r="K117" s="54"/>
      <c r="M117" s="50"/>
    </row>
    <row r="118" spans="1:16">
      <c r="A118" s="33" t="s">
        <v>160</v>
      </c>
      <c r="B118" s="50">
        <f>SUM(B101:B117)</f>
        <v>5403152.2300000004</v>
      </c>
      <c r="C118" s="50">
        <f>SUM(C101:C117)</f>
        <v>894000</v>
      </c>
      <c r="D118" s="50">
        <f>SUM(D101:D117)</f>
        <v>0</v>
      </c>
      <c r="E118" s="50">
        <f>SUM(E101:E117)</f>
        <v>6297152.2300000004</v>
      </c>
      <c r="F118" s="50"/>
      <c r="G118" s="50"/>
      <c r="H118" s="50">
        <f>SUM(H101:H117)</f>
        <v>1706930.2932222222</v>
      </c>
      <c r="I118" s="50">
        <f>SUM(I101:I117)</f>
        <v>711929.46211111092</v>
      </c>
      <c r="J118" s="50"/>
      <c r="K118" s="50">
        <f>SUM(K101:K117)</f>
        <v>2418859.7553333333</v>
      </c>
      <c r="L118" s="50"/>
      <c r="M118" s="50"/>
      <c r="N118" s="50"/>
      <c r="O118" s="50"/>
      <c r="P118" s="50"/>
    </row>
    <row r="119" spans="1:16">
      <c r="A119" s="49"/>
      <c r="B119" s="50"/>
      <c r="C119" s="50"/>
      <c r="D119" s="50"/>
      <c r="E119" s="50"/>
      <c r="F119" s="50"/>
      <c r="G119" s="62"/>
      <c r="H119" s="50"/>
      <c r="I119" s="50"/>
      <c r="J119" s="50"/>
      <c r="K119" s="54"/>
      <c r="L119" s="50"/>
    </row>
    <row r="120" spans="1:16">
      <c r="A120" s="33" t="s">
        <v>149</v>
      </c>
      <c r="B120" s="50"/>
      <c r="C120" s="50"/>
      <c r="D120" s="50"/>
      <c r="E120" s="50"/>
      <c r="F120" s="50"/>
      <c r="G120" s="50"/>
      <c r="H120" s="50"/>
      <c r="I120" s="50"/>
      <c r="J120" s="50"/>
      <c r="K120" s="50"/>
    </row>
    <row r="121" spans="1:16">
      <c r="A121" s="49" t="s">
        <v>112</v>
      </c>
      <c r="B121" s="50">
        <v>0</v>
      </c>
      <c r="C121" s="50">
        <v>894000</v>
      </c>
      <c r="D121" s="54">
        <f>-B121-C121</f>
        <v>-894000</v>
      </c>
      <c r="E121" s="50">
        <f>B121+C121+D121</f>
        <v>0</v>
      </c>
      <c r="F121" s="50"/>
      <c r="G121" s="50"/>
      <c r="H121" s="50"/>
      <c r="I121" s="50"/>
      <c r="J121" s="50"/>
      <c r="K121" s="50"/>
    </row>
    <row r="122" spans="1:16">
      <c r="A122" s="49" t="s">
        <v>157</v>
      </c>
      <c r="B122" s="50">
        <v>44729.410000000033</v>
      </c>
      <c r="C122" s="50"/>
      <c r="D122" s="54"/>
      <c r="E122" s="50">
        <f>B122+C122+D122</f>
        <v>44729.410000000033</v>
      </c>
      <c r="F122" s="50"/>
      <c r="G122" s="50"/>
      <c r="H122" s="50"/>
      <c r="I122" s="50"/>
      <c r="J122" s="50"/>
      <c r="K122" s="50"/>
    </row>
    <row r="123" spans="1:16">
      <c r="A123" s="49" t="s">
        <v>252</v>
      </c>
      <c r="B123" s="50">
        <v>404874.89</v>
      </c>
      <c r="C123" s="50">
        <v>500000</v>
      </c>
      <c r="D123" s="54"/>
      <c r="E123" s="50">
        <f>B123+C123+D123</f>
        <v>904874.89</v>
      </c>
      <c r="F123" s="50"/>
      <c r="G123" s="50"/>
      <c r="H123" s="50"/>
      <c r="I123" s="50"/>
      <c r="J123" s="50"/>
      <c r="K123" s="50"/>
    </row>
    <row r="124" spans="1:16">
      <c r="A124" s="49"/>
      <c r="B124" s="50"/>
      <c r="C124" s="50"/>
      <c r="D124" s="50"/>
      <c r="E124" s="50"/>
      <c r="F124" s="50"/>
      <c r="G124" s="50"/>
      <c r="H124" s="50"/>
      <c r="I124" s="50"/>
      <c r="J124" s="50"/>
      <c r="K124" s="50"/>
      <c r="M124" s="50"/>
    </row>
    <row r="125" spans="1:16">
      <c r="A125" s="33" t="s">
        <v>161</v>
      </c>
      <c r="B125" s="50">
        <f>SUM(B121:B124)</f>
        <v>449604.30000000005</v>
      </c>
      <c r="C125" s="50">
        <f>SUM(C121:C124)</f>
        <v>1394000</v>
      </c>
      <c r="D125" s="50">
        <f>SUM(D121:D124)</f>
        <v>-894000</v>
      </c>
      <c r="E125" s="50">
        <f>SUM(E121:E124)</f>
        <v>949604.3</v>
      </c>
      <c r="F125" s="50"/>
      <c r="G125" s="50"/>
      <c r="H125" s="50"/>
      <c r="I125" s="50"/>
      <c r="J125" s="50"/>
      <c r="K125" s="50"/>
      <c r="M125" s="50"/>
      <c r="N125" s="50"/>
    </row>
    <row r="126" spans="1:16">
      <c r="B126" s="50"/>
      <c r="C126" s="50"/>
      <c r="D126" s="50"/>
      <c r="E126" s="50"/>
      <c r="F126" s="50"/>
      <c r="G126" s="50"/>
      <c r="H126" s="50"/>
      <c r="I126" s="50"/>
      <c r="J126" s="50"/>
      <c r="K126" s="50"/>
    </row>
    <row r="127" spans="1:16">
      <c r="A127" s="109" t="s">
        <v>162</v>
      </c>
      <c r="B127" s="51">
        <f>B118+B125</f>
        <v>5852756.5300000003</v>
      </c>
      <c r="C127" s="51">
        <f>C118+C125</f>
        <v>2288000</v>
      </c>
      <c r="D127" s="51">
        <f>D118+D125</f>
        <v>-894000</v>
      </c>
      <c r="E127" s="51">
        <f>E118+E125</f>
        <v>7246756.5300000003</v>
      </c>
      <c r="F127" s="51"/>
      <c r="G127" s="51"/>
      <c r="H127" s="51">
        <f>H118+H125</f>
        <v>1706930.2932222222</v>
      </c>
      <c r="I127" s="51">
        <f>I118+I125</f>
        <v>711929.46211111092</v>
      </c>
      <c r="J127" s="51"/>
      <c r="K127" s="51">
        <f>K118+K125</f>
        <v>2418859.7553333333</v>
      </c>
      <c r="L127" s="50"/>
      <c r="M127" s="50"/>
      <c r="N127" s="50"/>
    </row>
    <row r="128" spans="1:16">
      <c r="B128" s="50"/>
      <c r="C128" s="50"/>
      <c r="D128" s="50"/>
      <c r="E128" s="50"/>
      <c r="F128" s="50"/>
      <c r="G128" s="50"/>
      <c r="H128" s="50"/>
      <c r="I128" s="50"/>
      <c r="J128" s="50"/>
      <c r="K128" s="50"/>
    </row>
    <row r="129" spans="1:19">
      <c r="K129" s="50"/>
    </row>
    <row r="130" spans="1:19">
      <c r="A130" s="33" t="s">
        <v>62</v>
      </c>
      <c r="B130" s="50"/>
      <c r="C130" s="50"/>
      <c r="D130" s="50"/>
      <c r="E130" s="50"/>
      <c r="F130" s="50"/>
      <c r="G130" s="50"/>
      <c r="H130" s="50"/>
      <c r="I130" s="50"/>
      <c r="J130" s="50"/>
      <c r="K130" s="50"/>
    </row>
    <row r="131" spans="1:19">
      <c r="A131" s="110" t="s">
        <v>150</v>
      </c>
      <c r="B131" s="50"/>
      <c r="C131" s="50"/>
      <c r="D131" s="50"/>
      <c r="E131" s="50"/>
      <c r="F131" s="50"/>
      <c r="G131" s="50"/>
      <c r="H131" s="50"/>
      <c r="I131" s="50"/>
      <c r="J131" s="50"/>
      <c r="K131" s="50"/>
    </row>
    <row r="132" spans="1:19">
      <c r="A132" s="30" t="s">
        <v>195</v>
      </c>
      <c r="B132" s="50">
        <v>1004592.61</v>
      </c>
      <c r="C132" s="50"/>
      <c r="D132" s="50"/>
      <c r="E132" s="50">
        <f>B132+C132+D132</f>
        <v>1004592.61</v>
      </c>
      <c r="F132" s="50"/>
      <c r="G132" s="50"/>
      <c r="H132" s="50">
        <v>268197.53666666668</v>
      </c>
      <c r="I132" s="50">
        <f>B132/3</f>
        <v>334864.20333333331</v>
      </c>
      <c r="J132" s="50"/>
      <c r="K132" s="50">
        <f t="shared" ref="K132:K133" si="18">H132+I132</f>
        <v>603061.74</v>
      </c>
      <c r="L132" s="50"/>
    </row>
    <row r="133" spans="1:19">
      <c r="A133" s="30" t="s">
        <v>177</v>
      </c>
      <c r="B133" s="50">
        <v>39986.850000000006</v>
      </c>
      <c r="C133" s="50"/>
      <c r="D133" s="50"/>
      <c r="E133" s="50">
        <f>B133+C133+D133</f>
        <v>39986.850000000006</v>
      </c>
      <c r="F133" s="50"/>
      <c r="G133" s="50"/>
      <c r="H133" s="50">
        <v>2399.2139999999999</v>
      </c>
      <c r="I133" s="50">
        <f>B133/25</f>
        <v>1599.4740000000002</v>
      </c>
      <c r="J133" s="50"/>
      <c r="K133" s="50">
        <f t="shared" si="18"/>
        <v>3998.6880000000001</v>
      </c>
      <c r="L133" s="50"/>
    </row>
    <row r="134" spans="1:19">
      <c r="A134" s="30" t="s">
        <v>63</v>
      </c>
      <c r="B134" s="50">
        <v>285867.32</v>
      </c>
      <c r="C134" s="50"/>
      <c r="D134" s="50"/>
      <c r="E134" s="50">
        <f>B134+C134+D134</f>
        <v>285867.32</v>
      </c>
      <c r="F134" s="50"/>
      <c r="G134" s="50"/>
      <c r="H134" s="50">
        <v>198885.573</v>
      </c>
      <c r="I134" s="50">
        <v>20603.540000000005</v>
      </c>
      <c r="J134" s="50"/>
      <c r="K134" s="50">
        <f>H134+I134</f>
        <v>219489.11300000001</v>
      </c>
      <c r="L134" s="50"/>
    </row>
    <row r="135" spans="1:19">
      <c r="A135" s="30" t="s">
        <v>64</v>
      </c>
      <c r="B135" s="50">
        <v>128801.60000000001</v>
      </c>
      <c r="D135" s="50"/>
      <c r="E135" s="50">
        <f>B135+C135+D135</f>
        <v>128801.60000000001</v>
      </c>
      <c r="F135" s="50"/>
      <c r="G135" s="50"/>
      <c r="H135" s="50">
        <v>73794.565000000002</v>
      </c>
      <c r="I135" s="50">
        <v>10938.365833333335</v>
      </c>
      <c r="J135" s="50"/>
      <c r="K135" s="50">
        <f>H135+I135</f>
        <v>84732.930833333332</v>
      </c>
      <c r="L135" s="50"/>
    </row>
    <row r="136" spans="1:19">
      <c r="B136" s="50"/>
      <c r="C136" s="50"/>
      <c r="D136" s="50"/>
      <c r="E136" s="50"/>
      <c r="F136" s="50"/>
      <c r="G136" s="50"/>
      <c r="H136" s="50"/>
      <c r="I136" s="50"/>
      <c r="J136" s="50"/>
      <c r="K136" s="50"/>
      <c r="M136" s="50"/>
      <c r="R136" s="50"/>
    </row>
    <row r="137" spans="1:19">
      <c r="A137" s="33" t="s">
        <v>65</v>
      </c>
      <c r="B137" s="50">
        <f>SUM(B131:B136)</f>
        <v>1459248.3800000001</v>
      </c>
      <c r="C137" s="50">
        <f>SUM(C131:C136)</f>
        <v>0</v>
      </c>
      <c r="D137" s="50">
        <f>SUM(D131:D136)</f>
        <v>0</v>
      </c>
      <c r="E137" s="50">
        <f>SUM(E131:E136)</f>
        <v>1459248.3800000001</v>
      </c>
      <c r="F137" s="50"/>
      <c r="G137" s="50"/>
      <c r="H137" s="50">
        <f>SUM(H131:H136)</f>
        <v>543276.88866666658</v>
      </c>
      <c r="I137" s="50">
        <f>SUM(I131:I136)</f>
        <v>368005.58316666662</v>
      </c>
      <c r="J137" s="50"/>
      <c r="K137" s="50">
        <f>SUM(K131:K136)</f>
        <v>911282.47183333326</v>
      </c>
      <c r="L137" s="50"/>
      <c r="M137" s="50"/>
      <c r="N137" s="50"/>
      <c r="O137" s="50"/>
      <c r="P137" s="50"/>
      <c r="S137" s="50"/>
    </row>
    <row r="138" spans="1:19">
      <c r="B138" s="50"/>
      <c r="C138" s="50"/>
      <c r="D138" s="50"/>
      <c r="E138" s="50"/>
      <c r="F138" s="50"/>
      <c r="G138" s="50"/>
      <c r="H138" s="50"/>
      <c r="I138" s="50"/>
      <c r="J138" s="50"/>
      <c r="K138" s="50"/>
      <c r="S138" s="50"/>
    </row>
    <row r="139" spans="1:19">
      <c r="A139" s="33" t="s">
        <v>149</v>
      </c>
      <c r="B139" s="50"/>
      <c r="C139" s="50"/>
      <c r="D139" s="50"/>
      <c r="E139" s="50"/>
      <c r="F139" s="50"/>
      <c r="G139" s="50"/>
      <c r="H139" s="50"/>
      <c r="I139" s="50"/>
      <c r="J139" s="50"/>
      <c r="K139" s="50"/>
    </row>
    <row r="140" spans="1:19">
      <c r="A140" s="30" t="s">
        <v>87</v>
      </c>
      <c r="B140" s="50">
        <v>516799.66</v>
      </c>
      <c r="C140" s="50"/>
      <c r="D140" s="50"/>
      <c r="E140" s="50">
        <f>B140+C140+D140</f>
        <v>516799.66</v>
      </c>
      <c r="F140" s="50"/>
      <c r="G140" s="50"/>
      <c r="H140" s="50"/>
      <c r="I140" s="50"/>
      <c r="J140" s="50"/>
      <c r="K140" s="50"/>
      <c r="L140" s="50"/>
    </row>
    <row r="141" spans="1:19">
      <c r="A141" s="30" t="s">
        <v>176</v>
      </c>
      <c r="B141" s="50">
        <v>3578954.19</v>
      </c>
      <c r="C141" s="50">
        <v>525000</v>
      </c>
      <c r="D141" s="50"/>
      <c r="E141" s="50">
        <f>B141+C141+D141</f>
        <v>4103954.19</v>
      </c>
      <c r="F141" s="50"/>
      <c r="G141" s="50"/>
      <c r="H141" s="50"/>
      <c r="I141" s="50"/>
      <c r="J141" s="50"/>
      <c r="K141" s="50"/>
      <c r="L141" s="50"/>
    </row>
    <row r="142" spans="1:19">
      <c r="A142" s="30" t="s">
        <v>194</v>
      </c>
      <c r="B142" s="50">
        <v>6957953.9099999992</v>
      </c>
      <c r="C142" s="50">
        <v>960000</v>
      </c>
      <c r="D142" s="50"/>
      <c r="E142" s="50">
        <f>B142+C142+D142</f>
        <v>7917953.9099999992</v>
      </c>
      <c r="F142" s="50"/>
      <c r="G142" s="50"/>
      <c r="H142" s="50"/>
      <c r="I142" s="50"/>
      <c r="J142" s="50"/>
      <c r="K142" s="50"/>
      <c r="L142" s="50"/>
    </row>
    <row r="143" spans="1:19">
      <c r="A143" s="30" t="s">
        <v>63</v>
      </c>
      <c r="B143" s="50">
        <v>0</v>
      </c>
      <c r="C143" s="50">
        <v>260000</v>
      </c>
      <c r="D143" s="50"/>
      <c r="E143" s="50">
        <f>B143+C143+D143</f>
        <v>260000</v>
      </c>
      <c r="F143" s="50"/>
      <c r="G143" s="50"/>
      <c r="H143" s="50"/>
      <c r="I143" s="50"/>
      <c r="J143" s="50"/>
      <c r="K143" s="50"/>
      <c r="L143" s="50"/>
    </row>
    <row r="144" spans="1:19">
      <c r="B144" s="50"/>
      <c r="C144" s="50"/>
      <c r="D144" s="50"/>
      <c r="E144" s="50"/>
      <c r="F144" s="50"/>
      <c r="G144" s="50"/>
      <c r="H144" s="50"/>
      <c r="I144" s="50"/>
      <c r="J144" s="50"/>
      <c r="K144" s="50"/>
      <c r="L144" s="50"/>
    </row>
    <row r="145" spans="1:24">
      <c r="A145" s="33" t="s">
        <v>66</v>
      </c>
      <c r="B145" s="50">
        <f>SUM(B140:B143)</f>
        <v>11053707.76</v>
      </c>
      <c r="C145" s="50">
        <f t="shared" ref="C145:E145" si="19">SUM(C140:C143)</f>
        <v>1745000</v>
      </c>
      <c r="D145" s="50">
        <f t="shared" si="19"/>
        <v>0</v>
      </c>
      <c r="E145" s="50">
        <f t="shared" si="19"/>
        <v>12798707.759999998</v>
      </c>
      <c r="F145" s="50"/>
      <c r="G145" s="50">
        <f>SUM(G141:G143)</f>
        <v>0</v>
      </c>
      <c r="H145" s="50">
        <f>SUM(H141:H143)</f>
        <v>0</v>
      </c>
      <c r="I145" s="50">
        <f>SUM(I141:I143)</f>
        <v>0</v>
      </c>
      <c r="J145" s="50"/>
      <c r="K145" s="50">
        <f>SUM(K141:K143)</f>
        <v>0</v>
      </c>
      <c r="L145" s="50"/>
      <c r="M145" s="50"/>
      <c r="N145" s="50"/>
      <c r="T145" s="50"/>
    </row>
    <row r="146" spans="1:24">
      <c r="B146" s="50"/>
      <c r="C146" s="50"/>
      <c r="D146" s="50"/>
      <c r="E146" s="50"/>
      <c r="F146" s="50"/>
      <c r="G146" s="50"/>
      <c r="H146" s="50"/>
      <c r="I146" s="50"/>
      <c r="J146" s="50"/>
      <c r="K146" s="50"/>
      <c r="T146" s="50"/>
    </row>
    <row r="147" spans="1:24">
      <c r="A147" s="109" t="s">
        <v>67</v>
      </c>
      <c r="B147" s="51">
        <f>B137+B145</f>
        <v>12512956.140000001</v>
      </c>
      <c r="C147" s="51">
        <f>C137+C145</f>
        <v>1745000</v>
      </c>
      <c r="D147" s="51">
        <f t="shared" ref="D147:K147" si="20">D137+D145</f>
        <v>0</v>
      </c>
      <c r="E147" s="51">
        <f t="shared" si="20"/>
        <v>14257956.139999999</v>
      </c>
      <c r="F147" s="51"/>
      <c r="G147" s="51">
        <f t="shared" si="20"/>
        <v>0</v>
      </c>
      <c r="H147" s="51">
        <f t="shared" si="20"/>
        <v>543276.88866666658</v>
      </c>
      <c r="I147" s="51">
        <f t="shared" si="20"/>
        <v>368005.58316666662</v>
      </c>
      <c r="J147" s="51"/>
      <c r="K147" s="51">
        <f t="shared" si="20"/>
        <v>911282.47183333326</v>
      </c>
      <c r="L147" s="50"/>
      <c r="M147" s="50"/>
      <c r="N147" s="50"/>
      <c r="S147" s="50"/>
    </row>
    <row r="148" spans="1:24">
      <c r="M148" s="50"/>
    </row>
    <row r="149" spans="1:24">
      <c r="K149" s="50"/>
    </row>
    <row r="150" spans="1:24">
      <c r="A150" s="33" t="s">
        <v>70</v>
      </c>
      <c r="B150" s="50"/>
      <c r="C150" s="50"/>
      <c r="D150" s="50"/>
      <c r="E150" s="50"/>
      <c r="F150" s="50"/>
      <c r="G150" s="50"/>
      <c r="H150" s="50"/>
      <c r="I150" s="50"/>
      <c r="J150" s="50"/>
      <c r="K150" s="50"/>
      <c r="S150" s="50"/>
    </row>
    <row r="151" spans="1:24">
      <c r="A151" s="61" t="s">
        <v>71</v>
      </c>
      <c r="B151" s="50">
        <v>462711.95</v>
      </c>
      <c r="C151" s="50"/>
      <c r="D151" s="50"/>
      <c r="E151" s="50">
        <f>SUM(B151:D151)</f>
        <v>462711.95</v>
      </c>
      <c r="F151" s="50"/>
      <c r="G151" s="62" t="s">
        <v>48</v>
      </c>
      <c r="H151" s="50">
        <v>118169.56</v>
      </c>
      <c r="I151" s="88">
        <f>B151/5</f>
        <v>92542.39</v>
      </c>
      <c r="J151" s="87"/>
      <c r="K151" s="50">
        <f t="shared" ref="K151" si="21">H151+I151</f>
        <v>210711.95</v>
      </c>
      <c r="S151" s="50"/>
    </row>
    <row r="152" spans="1:24">
      <c r="A152" s="30" t="s">
        <v>60</v>
      </c>
      <c r="B152" s="50">
        <v>0</v>
      </c>
      <c r="C152" s="50"/>
      <c r="D152" s="50"/>
      <c r="E152" s="50">
        <f>SUM(B152:D152)</f>
        <v>0</v>
      </c>
      <c r="F152" s="50"/>
      <c r="G152" s="50"/>
      <c r="H152" s="50"/>
      <c r="I152" s="50"/>
      <c r="J152" s="50"/>
      <c r="K152" s="50"/>
      <c r="S152" s="50"/>
    </row>
    <row r="153" spans="1:24">
      <c r="A153" s="72" t="s">
        <v>120</v>
      </c>
      <c r="B153" s="51">
        <f>'5.4 - 2019'!E152</f>
        <v>147711.95000000001</v>
      </c>
      <c r="C153" s="51">
        <f t="shared" ref="C153:E153" si="22">SUM(C151:C152)</f>
        <v>0</v>
      </c>
      <c r="D153" s="51">
        <f t="shared" si="22"/>
        <v>0</v>
      </c>
      <c r="E153" s="51">
        <f t="shared" si="22"/>
        <v>462711.95</v>
      </c>
      <c r="F153" s="51"/>
      <c r="G153" s="51"/>
      <c r="H153" s="51">
        <f>'5.4 - 2019'!K152</f>
        <v>88627.17</v>
      </c>
      <c r="I153" s="51">
        <f t="shared" ref="I153:K153" si="23">SUM(I151:I152)</f>
        <v>92542.39</v>
      </c>
      <c r="J153" s="51"/>
      <c r="K153" s="51">
        <f t="shared" si="23"/>
        <v>210711.95</v>
      </c>
      <c r="L153" s="50"/>
      <c r="M153" s="50"/>
      <c r="N153" s="50"/>
      <c r="S153" s="50"/>
    </row>
    <row r="155" spans="1:24">
      <c r="A155" s="63"/>
      <c r="B155" s="51"/>
      <c r="C155" s="51"/>
      <c r="D155" s="51"/>
      <c r="E155" s="51"/>
      <c r="F155" s="68"/>
      <c r="G155" s="35"/>
      <c r="H155" s="51"/>
      <c r="I155" s="51"/>
      <c r="J155" s="51"/>
      <c r="K155" s="51"/>
    </row>
    <row r="156" spans="1:24">
      <c r="A156" s="64" t="s">
        <v>73</v>
      </c>
      <c r="B156" s="65">
        <f>B98+B127+B147+B153</f>
        <v>43859801.180000015</v>
      </c>
      <c r="C156" s="65">
        <f>C98+C127+C147+C153</f>
        <v>12382071.65</v>
      </c>
      <c r="D156" s="65">
        <f>D98+D127+D147+D153</f>
        <v>-8862456.4340000004</v>
      </c>
      <c r="E156" s="65">
        <f>E98+E127+E147+E153</f>
        <v>47694416.396000005</v>
      </c>
      <c r="F156" s="68"/>
      <c r="G156" s="35"/>
      <c r="H156" s="65">
        <f>H98+H127+H147+H153</f>
        <v>10893841.131888891</v>
      </c>
      <c r="I156" s="65">
        <f>I98+I127+I147+I153</f>
        <v>3444913.7912777769</v>
      </c>
      <c r="J156" s="65"/>
      <c r="K156" s="65">
        <f>K98+K127+K147+K153</f>
        <v>7378910.6501666689</v>
      </c>
      <c r="L156" s="50"/>
      <c r="M156" s="50"/>
      <c r="N156" s="50"/>
      <c r="S156" s="50"/>
      <c r="X156" s="50"/>
    </row>
    <row r="157" spans="1:24">
      <c r="A157" s="66"/>
      <c r="B157" s="67"/>
      <c r="C157" s="67"/>
      <c r="D157" s="67"/>
      <c r="E157" s="67"/>
      <c r="F157" s="68"/>
      <c r="G157" s="35"/>
      <c r="H157" s="68"/>
      <c r="I157" s="68"/>
      <c r="J157" s="68"/>
      <c r="K157" s="68"/>
      <c r="S157" s="50"/>
      <c r="X157" s="50"/>
    </row>
    <row r="158" spans="1:24">
      <c r="A158" s="64" t="s">
        <v>80</v>
      </c>
      <c r="B158" s="67"/>
      <c r="C158" s="67"/>
      <c r="D158" s="67"/>
      <c r="E158" s="69">
        <f>E78+E118+E137+E153</f>
        <v>17721905.806000002</v>
      </c>
      <c r="F158" s="68"/>
      <c r="G158" s="35"/>
      <c r="H158" s="68"/>
      <c r="I158" s="68"/>
      <c r="J158" s="68"/>
      <c r="K158" s="68"/>
      <c r="S158" s="50"/>
    </row>
    <row r="159" spans="1:24">
      <c r="A159" s="64" t="s">
        <v>72</v>
      </c>
      <c r="B159" s="67"/>
      <c r="C159" s="67"/>
      <c r="D159" s="67"/>
      <c r="E159" s="69">
        <f>E96+E125+E145</f>
        <v>29972510.59</v>
      </c>
      <c r="F159" s="68"/>
      <c r="G159" s="35"/>
      <c r="H159" s="68"/>
      <c r="I159" s="68"/>
      <c r="J159" s="68"/>
      <c r="K159" s="68"/>
      <c r="M159" s="50"/>
      <c r="N159" s="101"/>
    </row>
    <row r="160" spans="1:24">
      <c r="A160" s="66"/>
      <c r="B160" s="67"/>
      <c r="C160" s="67"/>
      <c r="D160" s="67"/>
      <c r="E160" s="67"/>
      <c r="F160" s="68"/>
      <c r="G160" s="35"/>
      <c r="H160" s="68"/>
      <c r="I160" s="68"/>
      <c r="J160" s="68"/>
      <c r="K160" s="68"/>
      <c r="X160" s="50"/>
    </row>
    <row r="161" spans="1:24">
      <c r="A161" s="64" t="s">
        <v>81</v>
      </c>
      <c r="B161" s="67"/>
      <c r="C161" s="67"/>
      <c r="D161" s="67"/>
      <c r="E161" s="67"/>
      <c r="F161" s="68"/>
      <c r="G161" s="35"/>
      <c r="H161" s="68"/>
      <c r="I161" s="68"/>
      <c r="J161" s="68"/>
      <c r="K161" s="70">
        <f>E158-K156</f>
        <v>10342995.155833334</v>
      </c>
      <c r="L161" s="35"/>
      <c r="X161" s="50"/>
    </row>
    <row r="163" spans="1:24">
      <c r="A163" s="66" t="s">
        <v>79</v>
      </c>
      <c r="B163" s="67"/>
      <c r="C163" s="67"/>
      <c r="D163" s="67"/>
      <c r="E163" s="67"/>
      <c r="F163" s="68"/>
      <c r="G163" s="35"/>
      <c r="H163" s="68"/>
      <c r="I163" s="68"/>
      <c r="J163" s="68"/>
      <c r="K163" s="70"/>
    </row>
    <row r="164" spans="1:24" ht="12.75" customHeight="1">
      <c r="A164" s="66" t="s">
        <v>82</v>
      </c>
      <c r="B164" s="67"/>
      <c r="C164" s="67"/>
      <c r="D164" s="67"/>
      <c r="E164" s="67"/>
      <c r="F164" s="68"/>
      <c r="G164" s="35"/>
      <c r="H164" s="68"/>
      <c r="I164" s="68"/>
      <c r="J164" s="68"/>
      <c r="K164" s="70"/>
    </row>
    <row r="165" spans="1:24">
      <c r="A165" s="66" t="s">
        <v>314</v>
      </c>
    </row>
    <row r="168" spans="1:24">
      <c r="C168" s="50"/>
      <c r="D168" s="88"/>
    </row>
    <row r="169" spans="1:24">
      <c r="D169" s="88"/>
      <c r="K169" s="88"/>
      <c r="M169" s="90"/>
    </row>
    <row r="170" spans="1:24">
      <c r="D170" s="88"/>
      <c r="E170" s="88"/>
      <c r="F170" s="88"/>
      <c r="G170" s="88"/>
      <c r="H170" s="88"/>
      <c r="I170" s="88"/>
      <c r="J170" s="88"/>
      <c r="K170" s="88"/>
      <c r="L170" s="90"/>
    </row>
    <row r="173" spans="1:24">
      <c r="C173" s="50"/>
      <c r="D173" s="88"/>
    </row>
    <row r="174" spans="1:24">
      <c r="D174" s="88"/>
      <c r="E174" s="88"/>
      <c r="G174" s="90"/>
    </row>
  </sheetData>
  <mergeCells count="3">
    <mergeCell ref="B5:E5"/>
    <mergeCell ref="H5:K5"/>
    <mergeCell ref="G6:G7"/>
  </mergeCells>
  <conditionalFormatting sqref="A124">
    <cfRule type="expression" dxfId="20" priority="16" stopIfTrue="1">
      <formula>AND(MONTH(#REF!)-MONTH(#REF!)=1,YEAR(#REF!)=YEAR(#REF!),#REF!&gt;0)</formula>
    </cfRule>
    <cfRule type="expression" dxfId="19" priority="17" stopIfTrue="1">
      <formula>AND(MONTH(#REF!)-MONTH(#REF!)=0,YEAR(#REF!)=YEAR(#REF!),#REF!&gt;0)</formula>
    </cfRule>
    <cfRule type="expression" dxfId="18" priority="18" stopIfTrue="1">
      <formula>AND(MONTH(#REF!)-MONTH(#REF!)&lt;0,YEAR(#REF!)=YEAR(#REF!),#REF!&gt;0)</formula>
    </cfRule>
  </conditionalFormatting>
  <conditionalFormatting sqref="A106 A114:A117 A121:A123">
    <cfRule type="expression" dxfId="17" priority="13" stopIfTrue="1">
      <formula>AND(MONTH(#REF!)-MONTH(#REF!)=1,YEAR(#REF!)=YEAR(#REF!),#REF!&gt;0)</formula>
    </cfRule>
    <cfRule type="expression" dxfId="16" priority="14" stopIfTrue="1">
      <formula>AND(MONTH(#REF!)-MONTH(#REF!)=0,YEAR(#REF!)=YEAR(#REF!),#REF!&gt;0)</formula>
    </cfRule>
    <cfRule type="expression" dxfId="15" priority="15" stopIfTrue="1">
      <formula>AND(MONTH(#REF!)-MONTH(#REF!)&lt;0,YEAR(#REF!)=YEAR(#REF!),#REF!&gt;0)</formula>
    </cfRule>
  </conditionalFormatting>
  <conditionalFormatting sqref="A113 A107:A108 A111">
    <cfRule type="expression" dxfId="14" priority="10" stopIfTrue="1">
      <formula>AND(MONTH(#REF!)-MONTH(#REF!)=1,YEAR(#REF!)=YEAR(#REF!),#REF!&gt;0)</formula>
    </cfRule>
    <cfRule type="expression" dxfId="13" priority="11" stopIfTrue="1">
      <formula>AND(MONTH(#REF!)-MONTH(#REF!)=0,YEAR(#REF!)=YEAR(#REF!),#REF!&gt;0)</formula>
    </cfRule>
    <cfRule type="expression" dxfId="12" priority="12" stopIfTrue="1">
      <formula>AND(MONTH(#REF!)-MONTH(#REF!)&lt;0,YEAR(#REF!)=YEAR(#REF!),#REF!&gt;0)</formula>
    </cfRule>
  </conditionalFormatting>
  <conditionalFormatting sqref="A112">
    <cfRule type="expression" dxfId="11" priority="7" stopIfTrue="1">
      <formula>AND(MONTH(#REF!)-MONTH(#REF!)=1,YEAR(#REF!)=YEAR(#REF!),#REF!&gt;0)</formula>
    </cfRule>
    <cfRule type="expression" dxfId="10" priority="8" stopIfTrue="1">
      <formula>AND(MONTH(#REF!)-MONTH(#REF!)=0,YEAR(#REF!)=YEAR(#REF!),#REF!&gt;0)</formula>
    </cfRule>
    <cfRule type="expression" dxfId="9" priority="9" stopIfTrue="1">
      <formula>AND(MONTH(#REF!)-MONTH(#REF!)&lt;0,YEAR(#REF!)=YEAR(#REF!),#REF!&gt;0)</formula>
    </cfRule>
  </conditionalFormatting>
  <conditionalFormatting sqref="A102">
    <cfRule type="expression" dxfId="8" priority="4" stopIfTrue="1">
      <formula>AND(MONTH(#REF!)-MONTH(#REF!)=1,YEAR(#REF!)=YEAR(#REF!),#REF!&gt;0)</formula>
    </cfRule>
    <cfRule type="expression" dxfId="7" priority="5" stopIfTrue="1">
      <formula>AND(MONTH(#REF!)-MONTH(#REF!)=0,YEAR(#REF!)=YEAR(#REF!),#REF!&gt;0)</formula>
    </cfRule>
    <cfRule type="expression" dxfId="6" priority="6" stopIfTrue="1">
      <formula>AND(MONTH(#REF!)-MONTH(#REF!)&lt;0,YEAR(#REF!)=YEAR(#REF!),#REF!&gt;0)</formula>
    </cfRule>
  </conditionalFormatting>
  <conditionalFormatting sqref="A109:A110">
    <cfRule type="expression" dxfId="5" priority="1" stopIfTrue="1">
      <formula>AND(MONTH(#REF!)-MONTH(#REF!)=1,YEAR(#REF!)=YEAR(#REF!),#REF!&gt;0)</formula>
    </cfRule>
    <cfRule type="expression" dxfId="4" priority="2" stopIfTrue="1">
      <formula>AND(MONTH(#REF!)-MONTH(#REF!)=0,YEAR(#REF!)=YEAR(#REF!),#REF!&gt;0)</formula>
    </cfRule>
    <cfRule type="expression" dxfId="3" priority="3" stopIfTrue="1">
      <formula>AND(MONTH(#REF!)-MONTH(#REF!)&lt;0,YEAR(#REF!)=YEAR(#REF!),#REF!&gt;0)</formula>
    </cfRule>
  </conditionalFormatting>
  <conditionalFormatting sqref="A119">
    <cfRule type="expression" dxfId="2" priority="37" stopIfTrue="1">
      <formula>AND(MONTH($E119)-MONTH($B$1)=1,YEAR($E119)=YEAR($B$1),$Y119&gt;0)</formula>
    </cfRule>
    <cfRule type="expression" dxfId="1" priority="38" stopIfTrue="1">
      <formula>AND(MONTH($E119)-MONTH($B$1)=0,YEAR($E119)=YEAR($B$1),$Y119&gt;0)</formula>
    </cfRule>
    <cfRule type="expression" dxfId="0" priority="39" stopIfTrue="1">
      <formula>AND(MONTH($E119)-MONTH($B$1)&lt;0,YEAR($E119)=YEAR($B$1),$Y119&gt;0)</formula>
    </cfRule>
  </conditionalFormatting>
  <dataValidations count="1">
    <dataValidation allowBlank="1" showInputMessage="1" showErrorMessage="1" promptTitle="Change" prompt="Please Open the Regulatory Model before making any changes to this file. It is linked." sqref="K2" xr:uid="{CA0A14D3-81C9-461D-B135-DDA5949487C1}"/>
  </dataValidations>
  <pageMargins left="0.70866141732283472" right="0.70866141732283472" top="0.74803149606299213" bottom="0.74803149606299213" header="0.31496062992125984" footer="0.31496062992125984"/>
  <pageSetup scale="47" fitToHeight="2" orientation="portrait" r:id="rId1"/>
  <rowBreaks count="1" manualBreakCount="1">
    <brk id="98"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28211-9981-4A6E-AFF8-64C801C66DFC}">
  <sheetPr>
    <pageSetUpPr fitToPage="1"/>
  </sheetPr>
  <dimension ref="A1:M51"/>
  <sheetViews>
    <sheetView view="pageBreakPreview" zoomScale="110" zoomScaleSheetLayoutView="110" workbookViewId="0">
      <pane ySplit="6" topLeftCell="A7" activePane="bottomLeft" state="frozen"/>
      <selection activeCell="A199" sqref="A199:E199"/>
      <selection pane="bottomLeft" activeCell="A17" sqref="A17"/>
    </sheetView>
  </sheetViews>
  <sheetFormatPr defaultColWidth="9.109375" defaultRowHeight="13.2"/>
  <cols>
    <col min="1" max="1" width="50" style="13" customWidth="1"/>
    <col min="2" max="2" width="1.44140625" style="13" customWidth="1"/>
    <col min="3" max="4" width="9.88671875" style="13" customWidth="1"/>
    <col min="5" max="6" width="10.33203125" style="13" bestFit="1" customWidth="1"/>
    <col min="7" max="7" width="10.109375" style="13" bestFit="1" customWidth="1"/>
    <col min="8" max="16384" width="9.109375" style="13"/>
  </cols>
  <sheetData>
    <row r="1" spans="1:13">
      <c r="A1" s="121" t="s">
        <v>15</v>
      </c>
      <c r="B1" s="121"/>
      <c r="C1" s="121"/>
      <c r="D1" s="121"/>
      <c r="E1" s="121"/>
      <c r="F1" s="111" t="s">
        <v>299</v>
      </c>
    </row>
    <row r="2" spans="1:13">
      <c r="A2" s="17" t="s">
        <v>298</v>
      </c>
      <c r="B2" s="17"/>
      <c r="C2" s="17"/>
      <c r="D2" s="17"/>
      <c r="E2" s="102"/>
      <c r="F2" s="14" t="str">
        <f>'5.6 - 2021'!K2</f>
        <v>November 2020</v>
      </c>
    </row>
    <row r="3" spans="1:13">
      <c r="A3" s="131" t="s">
        <v>16</v>
      </c>
      <c r="B3" s="131"/>
      <c r="C3" s="131"/>
      <c r="D3" s="131"/>
      <c r="E3" s="131"/>
      <c r="F3" s="131"/>
    </row>
    <row r="5" spans="1:13">
      <c r="B5" s="91"/>
      <c r="C5" s="18" t="s">
        <v>29</v>
      </c>
      <c r="D5" s="18" t="s">
        <v>29</v>
      </c>
      <c r="E5" s="18" t="s">
        <v>54</v>
      </c>
      <c r="F5" s="18" t="s">
        <v>54</v>
      </c>
    </row>
    <row r="6" spans="1:13">
      <c r="A6" s="7" t="s">
        <v>17</v>
      </c>
      <c r="B6" s="7"/>
      <c r="C6" s="78">
        <v>2018</v>
      </c>
      <c r="D6" s="78">
        <v>2019</v>
      </c>
      <c r="E6" s="78">
        <v>2020</v>
      </c>
      <c r="F6" s="78">
        <v>2021</v>
      </c>
    </row>
    <row r="8" spans="1:13">
      <c r="A8" s="125" t="s">
        <v>26</v>
      </c>
      <c r="B8" s="126"/>
      <c r="C8" s="124">
        <v>0</v>
      </c>
      <c r="D8" s="124">
        <f>C19</f>
        <v>76864.350000000006</v>
      </c>
      <c r="E8" s="124">
        <f>D19</f>
        <v>944156.96</v>
      </c>
      <c r="F8" s="124">
        <f>E19</f>
        <v>4728474.5199999996</v>
      </c>
    </row>
    <row r="9" spans="1:13" ht="4.2" customHeight="1">
      <c r="A9" s="4"/>
      <c r="C9" s="19"/>
      <c r="D9" s="19"/>
      <c r="E9" s="19"/>
      <c r="F9" s="19"/>
    </row>
    <row r="10" spans="1:13">
      <c r="A10" s="4" t="s">
        <v>300</v>
      </c>
      <c r="C10" s="21"/>
      <c r="D10" s="19"/>
      <c r="E10" s="19"/>
      <c r="F10" s="19"/>
    </row>
    <row r="11" spans="1:13">
      <c r="A11" s="11" t="s">
        <v>209</v>
      </c>
      <c r="C11" s="20">
        <v>0</v>
      </c>
      <c r="D11" s="20">
        <v>809191.6399999999</v>
      </c>
      <c r="E11" s="20">
        <v>3853514</v>
      </c>
      <c r="F11" s="20">
        <v>275000</v>
      </c>
    </row>
    <row r="12" spans="1:13">
      <c r="A12" s="11" t="s">
        <v>311</v>
      </c>
      <c r="C12" s="20"/>
      <c r="D12" s="20"/>
      <c r="E12" s="20">
        <v>200000</v>
      </c>
      <c r="F12" s="20"/>
    </row>
    <row r="13" spans="1:13">
      <c r="A13" s="11" t="s">
        <v>312</v>
      </c>
      <c r="C13" s="20">
        <v>307566.14</v>
      </c>
      <c r="D13" s="20">
        <v>211505.51</v>
      </c>
      <c r="E13" s="20">
        <v>185000</v>
      </c>
      <c r="F13" s="20">
        <v>220000</v>
      </c>
    </row>
    <row r="14" spans="1:13" ht="4.2" customHeight="1">
      <c r="A14" s="8"/>
      <c r="B14" s="23"/>
      <c r="C14" s="22"/>
      <c r="D14" s="22"/>
      <c r="E14" s="22"/>
      <c r="F14" s="22"/>
    </row>
    <row r="15" spans="1:13">
      <c r="A15" s="11" t="s">
        <v>40</v>
      </c>
      <c r="B15" s="19">
        <f>SUM(B10:B11)</f>
        <v>0</v>
      </c>
      <c r="C15" s="20">
        <f>SUM(C11:C13)</f>
        <v>307566.14</v>
      </c>
      <c r="D15" s="20">
        <f t="shared" ref="D15:F15" si="0">SUM(D11:D13)</f>
        <v>1020697.1499999999</v>
      </c>
      <c r="E15" s="20">
        <f t="shared" si="0"/>
        <v>4238514</v>
      </c>
      <c r="F15" s="20">
        <f t="shared" si="0"/>
        <v>495000</v>
      </c>
      <c r="G15" s="19"/>
      <c r="H15" s="19"/>
      <c r="M15" s="19"/>
    </row>
    <row r="16" spans="1:13" s="24" customFormat="1">
      <c r="A16" s="55"/>
      <c r="B16" s="56"/>
      <c r="C16" s="52"/>
      <c r="D16" s="52"/>
      <c r="E16" s="52"/>
      <c r="F16" s="52"/>
      <c r="G16" s="25"/>
      <c r="H16" s="25"/>
    </row>
    <row r="17" spans="1:9">
      <c r="A17" s="1" t="s">
        <v>301</v>
      </c>
      <c r="C17" s="20">
        <v>-230701.79</v>
      </c>
      <c r="D17" s="20">
        <v>-153404.54</v>
      </c>
      <c r="E17" s="20">
        <v>-454196.44</v>
      </c>
      <c r="F17" s="20">
        <v>-5223474.5199999996</v>
      </c>
      <c r="G17" s="19"/>
      <c r="H17" s="19"/>
      <c r="I17" s="19"/>
    </row>
    <row r="18" spans="1:9" ht="4.2" customHeight="1">
      <c r="A18" s="24"/>
      <c r="C18" s="20"/>
      <c r="D18" s="30"/>
      <c r="E18" s="30"/>
      <c r="F18" s="30"/>
    </row>
    <row r="19" spans="1:9">
      <c r="A19" s="122" t="s">
        <v>20</v>
      </c>
      <c r="B19" s="123"/>
      <c r="C19" s="124">
        <f>C8+C15+C17</f>
        <v>76864.350000000006</v>
      </c>
      <c r="D19" s="124">
        <f>D8+D15+D17</f>
        <v>944156.96</v>
      </c>
      <c r="E19" s="124">
        <f>E8+E15+E17</f>
        <v>4728474.5199999996</v>
      </c>
      <c r="F19" s="124">
        <f>F8+F15+F17</f>
        <v>0</v>
      </c>
      <c r="H19" s="28"/>
    </row>
    <row r="20" spans="1:9">
      <c r="A20" s="6"/>
      <c r="C20" s="20"/>
      <c r="D20" s="20"/>
      <c r="E20" s="20"/>
      <c r="F20" s="20"/>
    </row>
    <row r="21" spans="1:9">
      <c r="A21" s="122" t="s">
        <v>302</v>
      </c>
      <c r="B21" s="123"/>
      <c r="C21" s="124">
        <v>4281675.32</v>
      </c>
      <c r="D21" s="124">
        <f>C25</f>
        <v>4512377.1100000003</v>
      </c>
      <c r="E21" s="124">
        <f t="shared" ref="E21:F21" si="1">D25</f>
        <v>4992956.29</v>
      </c>
      <c r="F21" s="124">
        <f t="shared" si="1"/>
        <v>4678096.0600000005</v>
      </c>
    </row>
    <row r="22" spans="1:9">
      <c r="A22" s="3" t="s">
        <v>78</v>
      </c>
      <c r="C22" s="20">
        <f>-C17</f>
        <v>230701.79</v>
      </c>
      <c r="D22" s="20">
        <f t="shared" ref="D22:F22" si="2">-D17</f>
        <v>153404.54</v>
      </c>
      <c r="E22" s="20">
        <f t="shared" si="2"/>
        <v>454196.44</v>
      </c>
      <c r="F22" s="20">
        <f t="shared" si="2"/>
        <v>5223474.5199999996</v>
      </c>
    </row>
    <row r="23" spans="1:9" s="30" customFormat="1">
      <c r="A23" s="1" t="s">
        <v>77</v>
      </c>
      <c r="C23" s="20">
        <v>0</v>
      </c>
      <c r="D23" s="20">
        <v>327174.64</v>
      </c>
      <c r="E23" s="20">
        <v>-769056.67</v>
      </c>
      <c r="F23" s="20">
        <v>0</v>
      </c>
    </row>
    <row r="24" spans="1:9">
      <c r="A24" s="3"/>
      <c r="C24" s="20"/>
      <c r="D24" s="20"/>
      <c r="E24" s="20"/>
      <c r="F24" s="20"/>
    </row>
    <row r="25" spans="1:9">
      <c r="A25" s="122" t="s">
        <v>303</v>
      </c>
      <c r="B25" s="123"/>
      <c r="C25" s="124">
        <f>SUM(C21:C23)</f>
        <v>4512377.1100000003</v>
      </c>
      <c r="D25" s="124">
        <f t="shared" ref="D25:F25" si="3">SUM(D21:D23)</f>
        <v>4992956.29</v>
      </c>
      <c r="E25" s="124">
        <f t="shared" si="3"/>
        <v>4678096.0600000005</v>
      </c>
      <c r="F25" s="124">
        <f t="shared" si="3"/>
        <v>9901570.5800000001</v>
      </c>
      <c r="H25" s="19"/>
      <c r="I25" s="19"/>
    </row>
    <row r="26" spans="1:9">
      <c r="A26" s="127"/>
      <c r="B26" s="128"/>
      <c r="C26" s="129"/>
      <c r="D26" s="129"/>
      <c r="E26" s="129"/>
      <c r="F26" s="129"/>
    </row>
    <row r="27" spans="1:9">
      <c r="A27" s="6"/>
      <c r="C27" s="20"/>
      <c r="D27" s="20"/>
      <c r="E27" s="20"/>
      <c r="F27" s="20"/>
    </row>
    <row r="28" spans="1:9">
      <c r="A28" s="122" t="s">
        <v>304</v>
      </c>
      <c r="B28" s="123"/>
      <c r="C28" s="124">
        <v>2422771.02</v>
      </c>
      <c r="D28" s="124">
        <f>C32</f>
        <v>2904921.44</v>
      </c>
      <c r="E28" s="124">
        <f t="shared" ref="E28:F28" si="4">D32</f>
        <v>3597825.07</v>
      </c>
      <c r="F28" s="124">
        <f t="shared" si="4"/>
        <v>3406937.46</v>
      </c>
    </row>
    <row r="29" spans="1:9">
      <c r="A29" s="3" t="s">
        <v>306</v>
      </c>
      <c r="C29" s="20">
        <v>482150.42</v>
      </c>
      <c r="D29" s="20">
        <v>692903.63</v>
      </c>
      <c r="E29" s="20">
        <v>578169.06000000006</v>
      </c>
      <c r="F29" s="20">
        <v>748961.17999999993</v>
      </c>
    </row>
    <row r="30" spans="1:9">
      <c r="A30" s="1" t="s">
        <v>77</v>
      </c>
      <c r="B30" s="30"/>
      <c r="C30" s="20">
        <v>0</v>
      </c>
      <c r="D30" s="20">
        <v>0</v>
      </c>
      <c r="E30" s="20">
        <v>-769056.67</v>
      </c>
      <c r="F30" s="20">
        <v>0</v>
      </c>
    </row>
    <row r="31" spans="1:9">
      <c r="A31" s="3"/>
      <c r="C31" s="20"/>
      <c r="D31" s="20"/>
      <c r="E31" s="20"/>
      <c r="F31" s="20"/>
    </row>
    <row r="32" spans="1:9">
      <c r="A32" s="122" t="s">
        <v>305</v>
      </c>
      <c r="B32" s="123"/>
      <c r="C32" s="124">
        <f>SUM(C28:C30)</f>
        <v>2904921.44</v>
      </c>
      <c r="D32" s="124">
        <f t="shared" ref="D32:F32" si="5">SUM(D28:D30)</f>
        <v>3597825.07</v>
      </c>
      <c r="E32" s="124">
        <f t="shared" si="5"/>
        <v>3406937.46</v>
      </c>
      <c r="F32" s="124">
        <f t="shared" si="5"/>
        <v>4155898.6399999997</v>
      </c>
    </row>
    <row r="33" spans="1:9">
      <c r="A33" s="127"/>
      <c r="B33" s="128"/>
      <c r="C33" s="129"/>
      <c r="D33" s="129"/>
      <c r="E33" s="129"/>
      <c r="F33" s="129"/>
    </row>
    <row r="34" spans="1:9">
      <c r="A34" s="6"/>
      <c r="C34" s="20"/>
      <c r="D34" s="20"/>
      <c r="E34" s="20"/>
      <c r="F34" s="20"/>
    </row>
    <row r="35" spans="1:9">
      <c r="A35" s="122" t="s">
        <v>309</v>
      </c>
      <c r="B35" s="123"/>
      <c r="C35" s="124">
        <f>C21-C28</f>
        <v>1858904.3000000003</v>
      </c>
      <c r="D35" s="124">
        <f>C38</f>
        <v>1607455.6700000004</v>
      </c>
      <c r="E35" s="124">
        <f>D38</f>
        <v>1395131.2200000004</v>
      </c>
      <c r="F35" s="124">
        <f>E38</f>
        <v>1271158.6000000003</v>
      </c>
    </row>
    <row r="36" spans="1:9">
      <c r="A36" s="3" t="s">
        <v>307</v>
      </c>
      <c r="C36" s="20">
        <f>SUM(C22:C23)-SUM(C29:C30)</f>
        <v>-251448.62999999998</v>
      </c>
      <c r="D36" s="20">
        <f t="shared" ref="D36:F36" si="6">SUM(D22:D23)-SUM(D29:D30)</f>
        <v>-212324.44999999995</v>
      </c>
      <c r="E36" s="20">
        <f t="shared" si="6"/>
        <v>-123972.62000000005</v>
      </c>
      <c r="F36" s="20">
        <f t="shared" si="6"/>
        <v>4474513.34</v>
      </c>
    </row>
    <row r="37" spans="1:9">
      <c r="A37" s="6"/>
      <c r="C37" s="20"/>
      <c r="D37" s="20"/>
      <c r="E37" s="20"/>
      <c r="F37" s="20"/>
    </row>
    <row r="38" spans="1:9">
      <c r="A38" s="122" t="s">
        <v>310</v>
      </c>
      <c r="B38" s="123"/>
      <c r="C38" s="124">
        <f>SUM(C35:C37)</f>
        <v>1607455.6700000004</v>
      </c>
      <c r="D38" s="124">
        <f>SUM(D35:D37)</f>
        <v>1395131.2200000004</v>
      </c>
      <c r="E38" s="124">
        <f>SUM(E35:E37)</f>
        <v>1271158.6000000003</v>
      </c>
      <c r="F38" s="124">
        <f>SUM(F35:F37)</f>
        <v>5745671.9400000004</v>
      </c>
      <c r="I38" s="19"/>
    </row>
    <row r="42" spans="1:9">
      <c r="C42" s="19"/>
      <c r="D42" s="19"/>
      <c r="E42" s="19"/>
      <c r="F42" s="19"/>
    </row>
    <row r="43" spans="1:9">
      <c r="C43" s="20"/>
      <c r="D43" s="20"/>
      <c r="E43" s="20"/>
      <c r="F43" s="20"/>
    </row>
    <row r="44" spans="1:9">
      <c r="C44" s="20"/>
      <c r="D44" s="20"/>
      <c r="E44" s="20"/>
      <c r="F44" s="20"/>
    </row>
    <row r="45" spans="1:9">
      <c r="C45" s="19"/>
      <c r="D45" s="19"/>
      <c r="E45" s="19"/>
      <c r="F45" s="19"/>
    </row>
    <row r="46" spans="1:9">
      <c r="C46" s="20"/>
      <c r="D46" s="20"/>
      <c r="E46" s="20"/>
      <c r="F46" s="20"/>
    </row>
    <row r="51" spans="3:6">
      <c r="C51" s="60"/>
      <c r="D51" s="60"/>
      <c r="E51" s="60"/>
      <c r="F51" s="60"/>
    </row>
  </sheetData>
  <mergeCells count="1">
    <mergeCell ref="A3:F3"/>
  </mergeCells>
  <printOptions horizontalCentered="1"/>
  <pageMargins left="0.70866141732283472" right="0.70866141732283472" top="0.74803149606299213" bottom="0.74803149606299213" header="0.31496062992125984" footer="0.31496062992125984"/>
  <pageSetup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9F21A082D0544A2CDF47CC8383261" ma:contentTypeVersion="7" ma:contentTypeDescription="Create a new document." ma:contentTypeScope="" ma:versionID="e1f0e745d2198ca932e29aa345dbfe45">
  <xsd:schema xmlns:xsd="http://www.w3.org/2001/XMLSchema" xmlns:xs="http://www.w3.org/2001/XMLSchema" xmlns:p="http://schemas.microsoft.com/office/2006/metadata/properties" xmlns:ns2="ebfaebbf-4320-422c-ac1d-4cb4d6876cbf" xmlns:ns3="0EA14854-9DA5-476D-A48E-C8702B20AF6F" targetNamespace="http://schemas.microsoft.com/office/2006/metadata/properties" ma:root="true" ma:fieldsID="69e2f1f2aafa5f0d13693b250b900197" ns2:_="" ns3:_="">
    <xsd:import namespace="ebfaebbf-4320-422c-ac1d-4cb4d6876cbf"/>
    <xsd:import namespace="0EA14854-9DA5-476D-A48E-C8702B20AF6F"/>
    <xsd:element name="properties">
      <xsd:complexType>
        <xsd:sequence>
          <xsd:element name="documentManagement">
            <xsd:complexType>
              <xsd:all>
                <xsd:element ref="ns2:_dlc_DocId" minOccurs="0"/>
                <xsd:element ref="ns2:_dlc_DocIdUrl" minOccurs="0"/>
                <xsd:element ref="ns2:_dlc_DocIdPersistId" minOccurs="0"/>
                <xsd:element ref="ns3:Record_x0020_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A14854-9DA5-476D-A48E-C8702B20AF6F" elementFormDefault="qualified">
    <xsd:import namespace="http://schemas.microsoft.com/office/2006/documentManagement/types"/>
    <xsd:import namespace="http://schemas.microsoft.com/office/infopath/2007/PartnerControls"/>
    <xsd:element name="Record_x0020_Date" ma:index="11"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_x0020_Date xmlns="0EA14854-9DA5-476D-A48E-C8702B20AF6F" xsi:nil="true"/>
    <_dlc_DocId xmlns="ebfaebbf-4320-422c-ac1d-4cb4d6876cbf">DE62RQK3PRT2-1338725601-1345</_dlc_DocId>
    <_dlc_DocIdUrl xmlns="ebfaebbf-4320-422c-ac1d-4cb4d6876cbf">
      <Url>https://sharepoint.yec.yk.ca/Projects/LargeProjects/2719/_layouts/15/DocIdRedir.aspx?ID=DE62RQK3PRT2-1338725601-1345</Url>
      <Description>DE62RQK3PRT2-1338725601-1345</Description>
    </_dlc_DocIdUrl>
  </documentManagement>
</p:properties>
</file>

<file path=customXml/itemProps1.xml><?xml version="1.0" encoding="utf-8"?>
<ds:datastoreItem xmlns:ds="http://schemas.openxmlformats.org/officeDocument/2006/customXml" ds:itemID="{1BDA04D4-C333-4A82-A32D-A03290A2E5CE}"/>
</file>

<file path=customXml/itemProps2.xml><?xml version="1.0" encoding="utf-8"?>
<ds:datastoreItem xmlns:ds="http://schemas.openxmlformats.org/officeDocument/2006/customXml" ds:itemID="{767C4510-7A2A-491D-97ED-29DAC25E8CE2}"/>
</file>

<file path=customXml/itemProps3.xml><?xml version="1.0" encoding="utf-8"?>
<ds:datastoreItem xmlns:ds="http://schemas.openxmlformats.org/officeDocument/2006/customXml" ds:itemID="{07DEA0C7-BB90-4933-A112-12931B8697BF}"/>
</file>

<file path=customXml/itemProps4.xml><?xml version="1.0" encoding="utf-8"?>
<ds:datastoreItem xmlns:ds="http://schemas.openxmlformats.org/officeDocument/2006/customXml" ds:itemID="{A0659AF6-E75A-41F3-AE39-969224C498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5.1</vt:lpstr>
      <vt:lpstr>5.2-1</vt:lpstr>
      <vt:lpstr>5.2-2</vt:lpstr>
      <vt:lpstr>5.3 - 2018</vt:lpstr>
      <vt:lpstr>5.4 - 2019</vt:lpstr>
      <vt:lpstr>5.5 - 2020</vt:lpstr>
      <vt:lpstr>5.6 - 2021</vt:lpstr>
      <vt:lpstr>5.7</vt:lpstr>
      <vt:lpstr>'5.1'!Print_Area</vt:lpstr>
      <vt:lpstr>'5.2-1'!Print_Area</vt:lpstr>
      <vt:lpstr>'5.2-2'!Print_Area</vt:lpstr>
      <vt:lpstr>'5.3 - 2018'!Print_Area</vt:lpstr>
      <vt:lpstr>'5.4 - 2019'!Print_Area</vt:lpstr>
      <vt:lpstr>'5.5 - 2020'!Print_Area</vt:lpstr>
      <vt:lpstr>'5.6 - 2021'!Print_Area</vt:lpstr>
      <vt:lpstr>'5.7'!Print_Area</vt:lpstr>
      <vt:lpstr>'5.2-1'!Print_Titles</vt:lpstr>
      <vt:lpstr>'5.2-2'!Print_Titles</vt:lpstr>
      <vt:lpstr>'5.3 - 2018'!Print_Titles</vt:lpstr>
      <vt:lpstr>'5.4 - 2019'!Print_Titles</vt:lpstr>
      <vt:lpstr>'5.5 - 2020'!Print_Titles</vt:lpstr>
      <vt:lpstr>'5.6 - 2021'!Print_Titles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2020-11-23T01:41:07Z</dcterms:created>
  <dcterms:modified xsi:type="dcterms:W3CDTF">2020-11-23T22:03:41Z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0x0101004169F21A082D0544A2CDF47CC8383261</vt:lpwstr>
  </property>
  <property fmtid="{D5CDD505-2E9C-101B-9397-08002B2CF9AE}" pid="3" name="_dlc_DocIdItemGuid">
    <vt:lpwstr>45d7e5ed-fb16-45ff-a1f9-bdeadcfa3962</vt:lpwstr>
  </property>
</Properties>
</file>