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firstSheet="4" activeTab="6"/>
  </bookViews>
  <sheets>
    <sheet name="Table 3.4-4" sheetId="1" r:id="rId1"/>
    <sheet name="Table 3.4-5" sheetId="5" r:id="rId2"/>
    <sheet name="Table 3.4-6A -420 GWh $8 M" sheetId="2" r:id="rId3"/>
    <sheet name="Table 3.4-6B-420 GWh- $16 M" sheetId="3" r:id="rId4"/>
    <sheet name="Table 3.4-7A -450 GWh $8 M " sheetId="9" r:id="rId5"/>
    <sheet name="Table 3.4-7B -450 GWh $16 M" sheetId="10" r:id="rId6"/>
    <sheet name="Table 3.4-8A -490 GWh $8 M " sheetId="6" r:id="rId7"/>
    <sheet name="Table 3.4-8B -490 GWh $16 M" sheetId="7" r:id="rId8"/>
    <sheet name="Table 3.4-8C -490 GWh $22 M " sheetId="11" r:id="rId9"/>
  </sheets>
  <definedNames>
    <definedName name="LOSSES" localSheetId="0">#REF!</definedName>
    <definedName name="LOSSES" localSheetId="1">#REF!</definedName>
    <definedName name="LOSSES" localSheetId="2">#REF!</definedName>
    <definedName name="LOSSES" localSheetId="3">#REF!</definedName>
    <definedName name="LOSSES" localSheetId="4">#REF!</definedName>
    <definedName name="LOSSES" localSheetId="5">#REF!</definedName>
    <definedName name="LOSSES" localSheetId="6">#REF!</definedName>
    <definedName name="LOSSES" localSheetId="7">#REF!</definedName>
    <definedName name="LOSSES" localSheetId="8">#REF!</definedName>
    <definedName name="LOSSES">#REF!</definedName>
    <definedName name="_xlnm.Print_Area" localSheetId="0">'Table 3.4-4'!$A$1:$O$49</definedName>
    <definedName name="_xlnm.Print_Area" localSheetId="1">'Table 3.4-5'!$A$1:$N$33</definedName>
    <definedName name="_xlnm.Print_Area" localSheetId="2">'Table 3.4-6A -420 GWh $8 M'!$A$1:$O$47</definedName>
    <definedName name="_xlnm.Print_Area" localSheetId="3">'Table 3.4-6B-420 GWh- $16 M'!$A$1:$O$47</definedName>
    <definedName name="_xlnm.Print_Area" localSheetId="4">'Table 3.4-7A -450 GWh $8 M '!$A$1:$O$47</definedName>
    <definedName name="_xlnm.Print_Area" localSheetId="5">'Table 3.4-7B -450 GWh $16 M'!$A$1:$O$47</definedName>
    <definedName name="_xlnm.Print_Area" localSheetId="6">'Table 3.4-8A -490 GWh $8 M '!$A$1:$P$49</definedName>
    <definedName name="_xlnm.Print_Area" localSheetId="7">'Table 3.4-8B -490 GWh $16 M'!$A$1:$P$49</definedName>
    <definedName name="_xlnm.Print_Area" localSheetId="8">'Table 3.4-8C -490 GWh $22 M '!$A$1:$P$49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6" l="1"/>
  <c r="H11" i="6"/>
  <c r="N24" i="11" l="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47" i="11" s="1"/>
  <c r="E5" i="11" s="1"/>
  <c r="K6" i="11"/>
  <c r="K11" i="6"/>
  <c r="E11" i="6"/>
  <c r="E43" i="11" l="1"/>
  <c r="K42" i="11"/>
  <c r="E39" i="11"/>
  <c r="K38" i="11"/>
  <c r="K37" i="11"/>
  <c r="E37" i="11"/>
  <c r="E33" i="11"/>
  <c r="K32" i="11"/>
  <c r="K29" i="11"/>
  <c r="E29" i="11"/>
  <c r="E25" i="11"/>
  <c r="E18" i="11"/>
  <c r="K17" i="11"/>
  <c r="E14" i="11"/>
  <c r="K13" i="11"/>
  <c r="K45" i="11"/>
  <c r="E45" i="11"/>
  <c r="K44" i="11"/>
  <c r="E44" i="11"/>
  <c r="K43" i="11"/>
  <c r="E40" i="11"/>
  <c r="K39" i="11"/>
  <c r="K36" i="11"/>
  <c r="E42" i="11"/>
  <c r="E41" i="11"/>
  <c r="E38" i="11"/>
  <c r="E31" i="11"/>
  <c r="K30" i="11"/>
  <c r="K27" i="11"/>
  <c r="K25" i="11"/>
  <c r="E23" i="11"/>
  <c r="K22" i="11"/>
  <c r="E20" i="11"/>
  <c r="K18" i="11"/>
  <c r="E17" i="11"/>
  <c r="K16" i="11"/>
  <c r="E12" i="11"/>
  <c r="K34" i="11"/>
  <c r="E28" i="11"/>
  <c r="E26" i="11"/>
  <c r="E24" i="11"/>
  <c r="K23" i="11"/>
  <c r="E19" i="11"/>
  <c r="K15" i="11"/>
  <c r="E11" i="11"/>
  <c r="K40" i="11"/>
  <c r="E35" i="11"/>
  <c r="K33" i="11"/>
  <c r="E32" i="11"/>
  <c r="K31" i="11"/>
  <c r="K28" i="11"/>
  <c r="K26" i="11"/>
  <c r="K24" i="11"/>
  <c r="E21" i="11"/>
  <c r="K20" i="11"/>
  <c r="E16" i="11"/>
  <c r="K14" i="11"/>
  <c r="E13" i="11"/>
  <c r="K12" i="11"/>
  <c r="K41" i="11"/>
  <c r="E36" i="11"/>
  <c r="K35" i="11"/>
  <c r="E34" i="11"/>
  <c r="E30" i="11"/>
  <c r="E27" i="11"/>
  <c r="E22" i="11"/>
  <c r="K21" i="11"/>
  <c r="K19" i="11"/>
  <c r="E15" i="11"/>
  <c r="K11" i="11"/>
  <c r="M46" i="1"/>
  <c r="M44" i="1"/>
  <c r="F46" i="1"/>
  <c r="F44" i="1"/>
  <c r="K23" i="10"/>
  <c r="D46" i="10"/>
  <c r="E4" i="10" s="1"/>
  <c r="K21" i="10" s="1"/>
  <c r="K5" i="10"/>
  <c r="K5" i="9"/>
  <c r="O11" i="11" l="1"/>
  <c r="O12" i="11" s="1"/>
  <c r="O13" i="11" s="1"/>
  <c r="O14" i="11" s="1"/>
  <c r="O15" i="11" s="1"/>
  <c r="O16" i="11" s="1"/>
  <c r="O17" i="11" s="1"/>
  <c r="O18" i="11" s="1"/>
  <c r="O19" i="11" s="1"/>
  <c r="O20" i="11" s="1"/>
  <c r="O21" i="11" s="1"/>
  <c r="L11" i="1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L34" i="11" s="1"/>
  <c r="L35" i="11" s="1"/>
  <c r="L36" i="11" s="1"/>
  <c r="L37" i="11" s="1"/>
  <c r="L38" i="11" s="1"/>
  <c r="L39" i="11" s="1"/>
  <c r="L40" i="11" s="1"/>
  <c r="L41" i="11" s="1"/>
  <c r="L42" i="11" s="1"/>
  <c r="L43" i="11" s="1"/>
  <c r="L44" i="11" s="1"/>
  <c r="L45" i="11" s="1"/>
  <c r="F11" i="1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I11" i="11"/>
  <c r="I12" i="11" s="1"/>
  <c r="K44" i="10"/>
  <c r="E44" i="10"/>
  <c r="K43" i="10"/>
  <c r="E40" i="10"/>
  <c r="K39" i="10"/>
  <c r="K35" i="10"/>
  <c r="K26" i="10"/>
  <c r="K25" i="10"/>
  <c r="K24" i="10"/>
  <c r="K11" i="10"/>
  <c r="K10" i="10"/>
  <c r="E42" i="10"/>
  <c r="K41" i="10"/>
  <c r="E38" i="10"/>
  <c r="K37" i="10"/>
  <c r="K36" i="10"/>
  <c r="K34" i="10"/>
  <c r="K28" i="10"/>
  <c r="E28" i="10"/>
  <c r="K20" i="10"/>
  <c r="E20" i="10"/>
  <c r="E19" i="10"/>
  <c r="E18" i="10"/>
  <c r="E17" i="10"/>
  <c r="E16" i="10"/>
  <c r="E15" i="10"/>
  <c r="E14" i="10"/>
  <c r="E13" i="10"/>
  <c r="E43" i="10"/>
  <c r="K42" i="10"/>
  <c r="E39" i="10"/>
  <c r="K38" i="10"/>
  <c r="E35" i="10"/>
  <c r="K33" i="10"/>
  <c r="N33" i="10" s="1"/>
  <c r="E33" i="10"/>
  <c r="K31" i="10"/>
  <c r="N31" i="10" s="1"/>
  <c r="E31" i="10"/>
  <c r="K29" i="10"/>
  <c r="N29" i="10" s="1"/>
  <c r="E29" i="10"/>
  <c r="H29" i="10" s="1"/>
  <c r="K27" i="10"/>
  <c r="E27" i="10"/>
  <c r="E26" i="10"/>
  <c r="E25" i="10"/>
  <c r="E24" i="10"/>
  <c r="K22" i="10"/>
  <c r="E22" i="10"/>
  <c r="K19" i="10"/>
  <c r="K18" i="10"/>
  <c r="K17" i="10"/>
  <c r="K16" i="10"/>
  <c r="K15" i="10"/>
  <c r="K14" i="10"/>
  <c r="K13" i="10"/>
  <c r="K12" i="10"/>
  <c r="E12" i="10"/>
  <c r="E11" i="10"/>
  <c r="E10" i="10"/>
  <c r="E23" i="10"/>
  <c r="E21" i="10"/>
  <c r="K32" i="10"/>
  <c r="N32" i="10" s="1"/>
  <c r="K30" i="10"/>
  <c r="N30" i="10" s="1"/>
  <c r="K40" i="10"/>
  <c r="E37" i="10"/>
  <c r="E36" i="10"/>
  <c r="E34" i="10"/>
  <c r="E32" i="10"/>
  <c r="E41" i="10"/>
  <c r="D46" i="9"/>
  <c r="E4" i="9" s="1"/>
  <c r="E30" i="10"/>
  <c r="H30" i="10" s="1"/>
  <c r="I13" i="11" l="1"/>
  <c r="F10" i="10"/>
  <c r="F11" i="10" s="1"/>
  <c r="F12" i="10" s="1"/>
  <c r="I10" i="10"/>
  <c r="I11" i="10" s="1"/>
  <c r="E41" i="9"/>
  <c r="K40" i="9"/>
  <c r="E40" i="9"/>
  <c r="K39" i="9"/>
  <c r="K44" i="9"/>
  <c r="E43" i="9"/>
  <c r="E37" i="9"/>
  <c r="E36" i="9"/>
  <c r="E34" i="9"/>
  <c r="K32" i="9"/>
  <c r="N32" i="9" s="1"/>
  <c r="E32" i="9"/>
  <c r="K30" i="9"/>
  <c r="N30" i="9" s="1"/>
  <c r="E30" i="9"/>
  <c r="H30" i="9" s="1"/>
  <c r="K23" i="9"/>
  <c r="E23" i="9"/>
  <c r="K21" i="9"/>
  <c r="E21" i="9"/>
  <c r="K42" i="9"/>
  <c r="E35" i="9"/>
  <c r="K33" i="9"/>
  <c r="N33" i="9" s="1"/>
  <c r="E33" i="9"/>
  <c r="K31" i="9"/>
  <c r="N31" i="9" s="1"/>
  <c r="E31" i="9"/>
  <c r="K29" i="9"/>
  <c r="N29" i="9" s="1"/>
  <c r="E29" i="9"/>
  <c r="H29" i="9" s="1"/>
  <c r="K25" i="9"/>
  <c r="E25" i="9"/>
  <c r="E24" i="9"/>
  <c r="K22" i="9"/>
  <c r="E22" i="9"/>
  <c r="K20" i="9"/>
  <c r="E20" i="9"/>
  <c r="E19" i="9"/>
  <c r="E18" i="9"/>
  <c r="E17" i="9"/>
  <c r="E16" i="9"/>
  <c r="E15" i="9"/>
  <c r="E14" i="9"/>
  <c r="E13" i="9"/>
  <c r="K11" i="9"/>
  <c r="E11" i="9"/>
  <c r="E10" i="9"/>
  <c r="E44" i="9"/>
  <c r="E42" i="9"/>
  <c r="K18" i="9"/>
  <c r="K35" i="9"/>
  <c r="E28" i="9"/>
  <c r="K27" i="9"/>
  <c r="E26" i="9"/>
  <c r="K43" i="9"/>
  <c r="K41" i="9"/>
  <c r="K38" i="9"/>
  <c r="K37" i="9"/>
  <c r="K24" i="9"/>
  <c r="K16" i="9"/>
  <c r="K12" i="9"/>
  <c r="E39" i="9"/>
  <c r="E38" i="9"/>
  <c r="K36" i="9"/>
  <c r="K34" i="9"/>
  <c r="K28" i="9"/>
  <c r="E27" i="9"/>
  <c r="K26" i="9"/>
  <c r="K19" i="9"/>
  <c r="K15" i="9"/>
  <c r="K13" i="9"/>
  <c r="K17" i="9"/>
  <c r="K14" i="9"/>
  <c r="E12" i="9"/>
  <c r="K10" i="9"/>
  <c r="O10" i="10"/>
  <c r="O11" i="10" s="1"/>
  <c r="O12" i="10" s="1"/>
  <c r="O13" i="10" s="1"/>
  <c r="O14" i="10" s="1"/>
  <c r="O15" i="10" s="1"/>
  <c r="O16" i="10" s="1"/>
  <c r="O17" i="10" s="1"/>
  <c r="O18" i="10" s="1"/>
  <c r="O19" i="10" s="1"/>
  <c r="O20" i="10" s="1"/>
  <c r="L10" i="10"/>
  <c r="L11" i="10" s="1"/>
  <c r="L12" i="10" s="1"/>
  <c r="L13" i="10" s="1"/>
  <c r="L14" i="10" s="1"/>
  <c r="L15" i="10" s="1"/>
  <c r="L16" i="10" s="1"/>
  <c r="L17" i="10" s="1"/>
  <c r="L18" i="10" s="1"/>
  <c r="L19" i="10" s="1"/>
  <c r="L20" i="10" s="1"/>
  <c r="L21" i="10" s="1"/>
  <c r="I14" i="11" l="1"/>
  <c r="O22" i="11"/>
  <c r="N23" i="11" s="1"/>
  <c r="F13" i="10"/>
  <c r="F14" i="10" s="1"/>
  <c r="F15" i="10" s="1"/>
  <c r="F16" i="10" s="1"/>
  <c r="F17" i="10" s="1"/>
  <c r="F18" i="10" s="1"/>
  <c r="F19" i="10" s="1"/>
  <c r="F20" i="10" s="1"/>
  <c r="H12" i="10"/>
  <c r="L10" i="9"/>
  <c r="L11" i="9" s="1"/>
  <c r="O10" i="9"/>
  <c r="I10" i="9"/>
  <c r="F10" i="9"/>
  <c r="F11" i="9" s="1"/>
  <c r="L22" i="10"/>
  <c r="N21" i="10"/>
  <c r="O21" i="10"/>
  <c r="I12" i="10"/>
  <c r="I13" i="10" s="1"/>
  <c r="I14" i="10" s="1"/>
  <c r="I15" i="10" s="1"/>
  <c r="I16" i="10" s="1"/>
  <c r="I17" i="10" s="1"/>
  <c r="I18" i="10" s="1"/>
  <c r="I19" i="10" s="1"/>
  <c r="I15" i="11" l="1"/>
  <c r="L23" i="10"/>
  <c r="N22" i="10"/>
  <c r="N11" i="9"/>
  <c r="L12" i="9"/>
  <c r="F12" i="9"/>
  <c r="H11" i="9"/>
  <c r="O22" i="10"/>
  <c r="I11" i="9"/>
  <c r="F21" i="10"/>
  <c r="H20" i="10"/>
  <c r="I20" i="10" s="1"/>
  <c r="I16" i="11" l="1"/>
  <c r="O23" i="11"/>
  <c r="O24" i="11" s="1"/>
  <c r="O25" i="11" s="1"/>
  <c r="O26" i="11" s="1"/>
  <c r="O27" i="11" s="1"/>
  <c r="L13" i="9"/>
  <c r="L14" i="9" s="1"/>
  <c r="L15" i="9" s="1"/>
  <c r="L16" i="9" s="1"/>
  <c r="L17" i="9" s="1"/>
  <c r="L18" i="9" s="1"/>
  <c r="L19" i="9" s="1"/>
  <c r="L20" i="9" s="1"/>
  <c r="N12" i="9"/>
  <c r="H12" i="9"/>
  <c r="F13" i="9"/>
  <c r="F14" i="9" s="1"/>
  <c r="F15" i="9" s="1"/>
  <c r="F16" i="9" s="1"/>
  <c r="F17" i="9" s="1"/>
  <c r="F18" i="9" s="1"/>
  <c r="F19" i="9" s="1"/>
  <c r="F20" i="9" s="1"/>
  <c r="I12" i="9"/>
  <c r="I13" i="9" s="1"/>
  <c r="I14" i="9" s="1"/>
  <c r="I15" i="9" s="1"/>
  <c r="I16" i="9" s="1"/>
  <c r="I17" i="9" s="1"/>
  <c r="I18" i="9" s="1"/>
  <c r="I19" i="9" s="1"/>
  <c r="O11" i="9"/>
  <c r="O12" i="9" s="1"/>
  <c r="O13" i="9" s="1"/>
  <c r="O14" i="9" s="1"/>
  <c r="O15" i="9" s="1"/>
  <c r="O16" i="9" s="1"/>
  <c r="O17" i="9" s="1"/>
  <c r="O18" i="9" s="1"/>
  <c r="O19" i="9" s="1"/>
  <c r="F22" i="10"/>
  <c r="H21" i="10"/>
  <c r="L24" i="10"/>
  <c r="L25" i="10" s="1"/>
  <c r="L26" i="10" s="1"/>
  <c r="L27" i="10" s="1"/>
  <c r="L28" i="10" s="1"/>
  <c r="L29" i="10" s="1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40" i="10" s="1"/>
  <c r="L41" i="10" s="1"/>
  <c r="L42" i="10" s="1"/>
  <c r="L43" i="10" s="1"/>
  <c r="L44" i="10" s="1"/>
  <c r="N23" i="10"/>
  <c r="O23" i="10" s="1"/>
  <c r="O24" i="10" s="1"/>
  <c r="O25" i="10" s="1"/>
  <c r="O26" i="10" s="1"/>
  <c r="O27" i="10" s="1"/>
  <c r="I17" i="11" l="1"/>
  <c r="H20" i="9"/>
  <c r="F21" i="9"/>
  <c r="N20" i="9"/>
  <c r="L21" i="9"/>
  <c r="F23" i="10"/>
  <c r="H22" i="10"/>
  <c r="N28" i="10"/>
  <c r="N47" i="10" s="1"/>
  <c r="N60" i="10" s="1"/>
  <c r="I19" i="5" s="1"/>
  <c r="O28" i="10"/>
  <c r="O29" i="10" s="1"/>
  <c r="O30" i="10" s="1"/>
  <c r="O31" i="10" s="1"/>
  <c r="O32" i="10" s="1"/>
  <c r="O33" i="10" s="1"/>
  <c r="O34" i="10" s="1"/>
  <c r="O35" i="10" s="1"/>
  <c r="O36" i="10" s="1"/>
  <c r="O37" i="10" s="1"/>
  <c r="O38" i="10" s="1"/>
  <c r="O39" i="10" s="1"/>
  <c r="O40" i="10" s="1"/>
  <c r="O41" i="10" s="1"/>
  <c r="O42" i="10" s="1"/>
  <c r="O43" i="10" s="1"/>
  <c r="O44" i="10" s="1"/>
  <c r="N51" i="10"/>
  <c r="I10" i="5" s="1"/>
  <c r="N58" i="10"/>
  <c r="I17" i="5" s="1"/>
  <c r="N57" i="10"/>
  <c r="N54" i="10"/>
  <c r="I13" i="5" s="1"/>
  <c r="N52" i="10"/>
  <c r="I11" i="5" s="1"/>
  <c r="I21" i="10"/>
  <c r="I22" i="10" s="1"/>
  <c r="I18" i="11" l="1"/>
  <c r="O28" i="11"/>
  <c r="N53" i="10"/>
  <c r="I12" i="5" s="1"/>
  <c r="I16" i="5"/>
  <c r="F24" i="10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H23" i="10"/>
  <c r="I23" i="10" s="1"/>
  <c r="I24" i="10" s="1"/>
  <c r="I25" i="10" s="1"/>
  <c r="I26" i="10" s="1"/>
  <c r="N21" i="9"/>
  <c r="L22" i="9"/>
  <c r="N63" i="10"/>
  <c r="N59" i="10" s="1"/>
  <c r="I18" i="5" s="1"/>
  <c r="I20" i="9"/>
  <c r="H21" i="9"/>
  <c r="F22" i="9"/>
  <c r="O20" i="9"/>
  <c r="I19" i="11" l="1"/>
  <c r="N29" i="11"/>
  <c r="O21" i="9"/>
  <c r="H22" i="9"/>
  <c r="F23" i="9"/>
  <c r="H27" i="10"/>
  <c r="I21" i="9"/>
  <c r="N22" i="9"/>
  <c r="L23" i="9"/>
  <c r="I20" i="11" l="1"/>
  <c r="I21" i="11" s="1"/>
  <c r="H22" i="11" s="1"/>
  <c r="I22" i="11" s="1"/>
  <c r="O29" i="11"/>
  <c r="I22" i="9"/>
  <c r="H23" i="9"/>
  <c r="F24" i="9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I23" i="9"/>
  <c r="I24" i="9" s="1"/>
  <c r="L24" i="9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L42" i="9" s="1"/>
  <c r="L43" i="9" s="1"/>
  <c r="L44" i="9" s="1"/>
  <c r="N23" i="9"/>
  <c r="I27" i="10"/>
  <c r="O22" i="9"/>
  <c r="O23" i="9" s="1"/>
  <c r="O24" i="9" s="1"/>
  <c r="O25" i="9" s="1"/>
  <c r="H23" i="11" l="1"/>
  <c r="I23" i="11" s="1"/>
  <c r="H24" i="11" s="1"/>
  <c r="I24" i="11" s="1"/>
  <c r="I25" i="11" s="1"/>
  <c r="I26" i="11" s="1"/>
  <c r="N30" i="11"/>
  <c r="H25" i="9"/>
  <c r="I25" i="9" s="1"/>
  <c r="N26" i="9"/>
  <c r="F43" i="9"/>
  <c r="H28" i="10"/>
  <c r="I28" i="10" s="1"/>
  <c r="I29" i="10" s="1"/>
  <c r="I30" i="10" s="1"/>
  <c r="H27" i="11" l="1"/>
  <c r="I27" i="11" s="1"/>
  <c r="H28" i="11" s="1"/>
  <c r="I28" i="11" s="1"/>
  <c r="H29" i="11" s="1"/>
  <c r="I29" i="11" s="1"/>
  <c r="H30" i="11" s="1"/>
  <c r="I30" i="11" s="1"/>
  <c r="I31" i="11" s="1"/>
  <c r="I32" i="11" s="1"/>
  <c r="I33" i="11" s="1"/>
  <c r="I34" i="11" s="1"/>
  <c r="O30" i="11"/>
  <c r="O31" i="11" s="1"/>
  <c r="O32" i="11" s="1"/>
  <c r="O33" i="11" s="1"/>
  <c r="O34" i="11" s="1"/>
  <c r="N35" i="11" s="1"/>
  <c r="H26" i="9"/>
  <c r="H31" i="10"/>
  <c r="F44" i="9"/>
  <c r="O26" i="9"/>
  <c r="O35" i="11" l="1"/>
  <c r="N36" i="11" s="1"/>
  <c r="O36" i="11" s="1"/>
  <c r="H35" i="11"/>
  <c r="I35" i="11" s="1"/>
  <c r="N27" i="9"/>
  <c r="I31" i="10"/>
  <c r="I26" i="9"/>
  <c r="H36" i="11" l="1"/>
  <c r="I36" i="11" s="1"/>
  <c r="N37" i="11"/>
  <c r="H27" i="9"/>
  <c r="O27" i="9"/>
  <c r="H32" i="10"/>
  <c r="O37" i="11" l="1"/>
  <c r="O38" i="11" s="1"/>
  <c r="O39" i="11" s="1"/>
  <c r="O40" i="11" s="1"/>
  <c r="O41" i="11" s="1"/>
  <c r="O42" i="11" s="1"/>
  <c r="O43" i="11" s="1"/>
  <c r="O44" i="11" s="1"/>
  <c r="O45" i="11" s="1"/>
  <c r="N58" i="11"/>
  <c r="M16" i="5" s="1"/>
  <c r="N52" i="11"/>
  <c r="M10" i="5" s="1"/>
  <c r="H37" i="11"/>
  <c r="I37" i="11" s="1"/>
  <c r="I38" i="11" s="1"/>
  <c r="I39" i="11" s="1"/>
  <c r="I40" i="11" s="1"/>
  <c r="I41" i="11" s="1"/>
  <c r="I42" i="11" s="1"/>
  <c r="I43" i="11" s="1"/>
  <c r="N53" i="11"/>
  <c r="M11" i="5" s="1"/>
  <c r="N64" i="11"/>
  <c r="N59" i="11"/>
  <c r="M17" i="5" s="1"/>
  <c r="N48" i="11"/>
  <c r="N61" i="11" s="1"/>
  <c r="M19" i="5" s="1"/>
  <c r="N55" i="11"/>
  <c r="M13" i="5" s="1"/>
  <c r="I32" i="10"/>
  <c r="N28" i="9"/>
  <c r="I27" i="9"/>
  <c r="N54" i="11" l="1"/>
  <c r="M12" i="5" s="1"/>
  <c r="N60" i="11"/>
  <c r="M18" i="5" s="1"/>
  <c r="I44" i="11"/>
  <c r="N44" i="9"/>
  <c r="H33" i="10"/>
  <c r="O28" i="9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H28" i="9"/>
  <c r="H45" i="11" l="1"/>
  <c r="H44" i="10"/>
  <c r="I33" i="10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28" i="9"/>
  <c r="I29" i="9" s="1"/>
  <c r="I30" i="9" s="1"/>
  <c r="N57" i="9"/>
  <c r="N54" i="9"/>
  <c r="H13" i="5" s="1"/>
  <c r="N47" i="9"/>
  <c r="N60" i="9" s="1"/>
  <c r="H19" i="5" s="1"/>
  <c r="N51" i="9"/>
  <c r="H10" i="5" s="1"/>
  <c r="N52" i="9"/>
  <c r="H11" i="5" s="1"/>
  <c r="N58" i="9"/>
  <c r="H17" i="5" s="1"/>
  <c r="N63" i="9"/>
  <c r="N59" i="9" s="1"/>
  <c r="H18" i="5" s="1"/>
  <c r="H64" i="11" l="1"/>
  <c r="H59" i="11"/>
  <c r="M30" i="5" s="1"/>
  <c r="H48" i="11"/>
  <c r="H61" i="11" s="1"/>
  <c r="M32" i="5" s="1"/>
  <c r="H52" i="11"/>
  <c r="M23" i="5" s="1"/>
  <c r="H55" i="11"/>
  <c r="M26" i="5" s="1"/>
  <c r="H58" i="11"/>
  <c r="H53" i="11"/>
  <c r="M24" i="5" s="1"/>
  <c r="I45" i="11"/>
  <c r="N53" i="9"/>
  <c r="H12" i="5" s="1"/>
  <c r="H16" i="5"/>
  <c r="H52" i="10"/>
  <c r="I24" i="5" s="1"/>
  <c r="H51" i="10"/>
  <c r="I23" i="5" s="1"/>
  <c r="H63" i="10"/>
  <c r="H54" i="10"/>
  <c r="I26" i="5" s="1"/>
  <c r="H47" i="10"/>
  <c r="H60" i="10" s="1"/>
  <c r="I32" i="5" s="1"/>
  <c r="H58" i="10"/>
  <c r="I30" i="5" s="1"/>
  <c r="H57" i="10"/>
  <c r="H31" i="9"/>
  <c r="H54" i="11" l="1"/>
  <c r="M25" i="5" s="1"/>
  <c r="M29" i="5"/>
  <c r="H60" i="11"/>
  <c r="M31" i="5" s="1"/>
  <c r="H53" i="10"/>
  <c r="I25" i="5" s="1"/>
  <c r="I29" i="5"/>
  <c r="H59" i="10"/>
  <c r="I31" i="5" s="1"/>
  <c r="I31" i="9"/>
  <c r="H32" i="9" l="1"/>
  <c r="I32" i="9" s="1"/>
  <c r="H33" i="9" l="1"/>
  <c r="H42" i="9" s="1"/>
  <c r="H43" i="9" s="1"/>
  <c r="H44" i="9" s="1"/>
  <c r="H63" i="9" l="1"/>
  <c r="H52" i="9"/>
  <c r="H24" i="5" s="1"/>
  <c r="H47" i="9"/>
  <c r="H60" i="9" s="1"/>
  <c r="H32" i="5" s="1"/>
  <c r="H58" i="9"/>
  <c r="H30" i="5" s="1"/>
  <c r="H51" i="9"/>
  <c r="H23" i="5" s="1"/>
  <c r="H57" i="9"/>
  <c r="H54" i="9"/>
  <c r="H26" i="5" s="1"/>
  <c r="I33" i="9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H53" i="9" l="1"/>
  <c r="H25" i="5" s="1"/>
  <c r="H29" i="5"/>
  <c r="H59" i="9"/>
  <c r="H31" i="5" s="1"/>
  <c r="D11" i="6" l="1"/>
  <c r="D11" i="7" s="1"/>
  <c r="D45" i="6"/>
  <c r="D45" i="7" s="1"/>
  <c r="D44" i="6"/>
  <c r="D44" i="7" s="1"/>
  <c r="D43" i="6"/>
  <c r="D43" i="7" s="1"/>
  <c r="D42" i="6"/>
  <c r="D42" i="7" s="1"/>
  <c r="D41" i="6"/>
  <c r="D41" i="7" s="1"/>
  <c r="D40" i="6"/>
  <c r="D40" i="7" s="1"/>
  <c r="D39" i="6"/>
  <c r="D39" i="7" s="1"/>
  <c r="D38" i="6"/>
  <c r="D38" i="7" s="1"/>
  <c r="D37" i="6"/>
  <c r="D37" i="7" s="1"/>
  <c r="D36" i="6"/>
  <c r="D36" i="7" s="1"/>
  <c r="D35" i="6"/>
  <c r="D35" i="7" s="1"/>
  <c r="D34" i="6"/>
  <c r="D34" i="7" s="1"/>
  <c r="D33" i="6"/>
  <c r="D33" i="7" s="1"/>
  <c r="D32" i="6"/>
  <c r="D32" i="7" s="1"/>
  <c r="D31" i="6"/>
  <c r="D31" i="7" s="1"/>
  <c r="D30" i="6"/>
  <c r="D30" i="7" s="1"/>
  <c r="D29" i="6"/>
  <c r="D29" i="7" s="1"/>
  <c r="D28" i="6"/>
  <c r="D28" i="7" s="1"/>
  <c r="D27" i="6"/>
  <c r="D27" i="7" s="1"/>
  <c r="D26" i="6"/>
  <c r="D26" i="7" s="1"/>
  <c r="D25" i="6"/>
  <c r="D25" i="7" s="1"/>
  <c r="D24" i="6"/>
  <c r="D24" i="7" s="1"/>
  <c r="D23" i="6"/>
  <c r="D23" i="7" s="1"/>
  <c r="D22" i="6"/>
  <c r="D22" i="7" s="1"/>
  <c r="D21" i="6"/>
  <c r="D21" i="7" s="1"/>
  <c r="D20" i="6"/>
  <c r="D20" i="7" s="1"/>
  <c r="D19" i="6"/>
  <c r="D19" i="7" s="1"/>
  <c r="D18" i="6"/>
  <c r="D18" i="7" s="1"/>
  <c r="D17" i="6"/>
  <c r="D17" i="7" s="1"/>
  <c r="D16" i="6"/>
  <c r="D16" i="7" s="1"/>
  <c r="D15" i="6"/>
  <c r="D15" i="7" s="1"/>
  <c r="D14" i="6"/>
  <c r="D14" i="7" s="1"/>
  <c r="D13" i="6"/>
  <c r="D13" i="7" s="1"/>
  <c r="D12" i="6"/>
  <c r="D12" i="7" s="1"/>
  <c r="K6" i="7" l="1"/>
  <c r="K6" i="6"/>
  <c r="K5" i="3"/>
  <c r="K5" i="2"/>
  <c r="N46" i="1"/>
  <c r="L46" i="1"/>
  <c r="K46" i="1"/>
  <c r="G46" i="1"/>
  <c r="E46" i="1"/>
  <c r="D46" i="1"/>
  <c r="N44" i="1"/>
  <c r="L44" i="1"/>
  <c r="K44" i="1"/>
  <c r="G44" i="1"/>
  <c r="E44" i="1"/>
  <c r="D44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I8" i="1"/>
  <c r="I9" i="1" s="1"/>
  <c r="I10" i="1" s="1"/>
  <c r="I11" i="1" s="1"/>
  <c r="B8" i="1"/>
  <c r="D47" i="7" l="1"/>
  <c r="E5" i="7" s="1"/>
  <c r="K44" i="7" s="1"/>
  <c r="D46" i="3"/>
  <c r="E4" i="3" s="1"/>
  <c r="K37" i="3" s="1"/>
  <c r="D47" i="6"/>
  <c r="E5" i="6" s="1"/>
  <c r="E42" i="3"/>
  <c r="K27" i="3"/>
  <c r="E21" i="3"/>
  <c r="E32" i="3"/>
  <c r="H32" i="3" s="1"/>
  <c r="K42" i="3"/>
  <c r="K21" i="3"/>
  <c r="E39" i="3"/>
  <c r="E15" i="3"/>
  <c r="D46" i="2"/>
  <c r="E4" i="2" s="1"/>
  <c r="I12" i="1"/>
  <c r="K34" i="3" l="1"/>
  <c r="N34" i="3" s="1"/>
  <c r="E43" i="3"/>
  <c r="K23" i="3"/>
  <c r="K12" i="3"/>
  <c r="E34" i="3"/>
  <c r="H34" i="3" s="1"/>
  <c r="E23" i="3"/>
  <c r="K43" i="3"/>
  <c r="E26" i="3"/>
  <c r="K17" i="3"/>
  <c r="E27" i="3"/>
  <c r="E28" i="3"/>
  <c r="E17" i="3"/>
  <c r="E25" i="3"/>
  <c r="E12" i="3"/>
  <c r="K28" i="3"/>
  <c r="E33" i="3"/>
  <c r="H33" i="3" s="1"/>
  <c r="K19" i="3"/>
  <c r="K38" i="3"/>
  <c r="E30" i="3"/>
  <c r="H30" i="3" s="1"/>
  <c r="E19" i="3"/>
  <c r="E16" i="3"/>
  <c r="K36" i="3"/>
  <c r="K25" i="3"/>
  <c r="K39" i="3"/>
  <c r="E10" i="3"/>
  <c r="F10" i="3" s="1"/>
  <c r="E14" i="3"/>
  <c r="E38" i="3"/>
  <c r="K10" i="3"/>
  <c r="L10" i="3" s="1"/>
  <c r="K30" i="3"/>
  <c r="N30" i="3" s="1"/>
  <c r="E29" i="3"/>
  <c r="H29" i="3" s="1"/>
  <c r="E41" i="3"/>
  <c r="E18" i="3"/>
  <c r="E22" i="3"/>
  <c r="E35" i="3"/>
  <c r="K44" i="3"/>
  <c r="K29" i="3"/>
  <c r="K33" i="3"/>
  <c r="N33" i="3" s="1"/>
  <c r="K18" i="3"/>
  <c r="K22" i="3"/>
  <c r="E36" i="3"/>
  <c r="K26" i="3"/>
  <c r="E40" i="3"/>
  <c r="E11" i="3"/>
  <c r="K14" i="3"/>
  <c r="K41" i="3"/>
  <c r="E31" i="3"/>
  <c r="H31" i="3" s="1"/>
  <c r="K32" i="3"/>
  <c r="N32" i="3" s="1"/>
  <c r="E37" i="3"/>
  <c r="K11" i="3"/>
  <c r="E20" i="3"/>
  <c r="E24" i="3"/>
  <c r="K40" i="3"/>
  <c r="K15" i="3"/>
  <c r="K31" i="3"/>
  <c r="N31" i="3" s="1"/>
  <c r="K13" i="3"/>
  <c r="K20" i="3"/>
  <c r="K24" i="3"/>
  <c r="K16" i="3"/>
  <c r="K35" i="3"/>
  <c r="E44" i="3"/>
  <c r="E13" i="3"/>
  <c r="E13" i="7"/>
  <c r="E27" i="7"/>
  <c r="K29" i="7"/>
  <c r="K22" i="7"/>
  <c r="K33" i="7"/>
  <c r="K28" i="7"/>
  <c r="K14" i="7"/>
  <c r="K12" i="7"/>
  <c r="K20" i="7"/>
  <c r="K36" i="7"/>
  <c r="K39" i="7"/>
  <c r="E24" i="7"/>
  <c r="E17" i="7"/>
  <c r="K17" i="7"/>
  <c r="E25" i="7"/>
  <c r="E33" i="7"/>
  <c r="E45" i="7"/>
  <c r="E26" i="7"/>
  <c r="K13" i="7"/>
  <c r="K37" i="7"/>
  <c r="E40" i="7"/>
  <c r="E14" i="7"/>
  <c r="E22" i="7"/>
  <c r="K41" i="7"/>
  <c r="E37" i="7"/>
  <c r="E38" i="7"/>
  <c r="E28" i="7"/>
  <c r="K16" i="7"/>
  <c r="E21" i="7"/>
  <c r="K15" i="7"/>
  <c r="K31" i="7"/>
  <c r="K21" i="7"/>
  <c r="E29" i="7"/>
  <c r="E18" i="7"/>
  <c r="K30" i="7"/>
  <c r="K42" i="7"/>
  <c r="E16" i="7"/>
  <c r="E30" i="7"/>
  <c r="E34" i="7"/>
  <c r="K38" i="7"/>
  <c r="K25" i="7"/>
  <c r="K40" i="7"/>
  <c r="K45" i="7"/>
  <c r="E43" i="7"/>
  <c r="K19" i="7"/>
  <c r="K32" i="7"/>
  <c r="E44" i="7"/>
  <c r="K18" i="7"/>
  <c r="E31" i="7"/>
  <c r="E35" i="7"/>
  <c r="E42" i="7"/>
  <c r="K26" i="7"/>
  <c r="E41" i="7"/>
  <c r="K35" i="7"/>
  <c r="E39" i="7"/>
  <c r="E23" i="7"/>
  <c r="E19" i="7"/>
  <c r="K43" i="7"/>
  <c r="E15" i="7"/>
  <c r="K24" i="7"/>
  <c r="E12" i="7"/>
  <c r="K23" i="7"/>
  <c r="K34" i="7"/>
  <c r="E11" i="7"/>
  <c r="F11" i="7" s="1"/>
  <c r="E20" i="7"/>
  <c r="E32" i="7"/>
  <c r="E36" i="7"/>
  <c r="K11" i="7"/>
  <c r="L11" i="7" s="1"/>
  <c r="L12" i="7" s="1"/>
  <c r="K27" i="7"/>
  <c r="E42" i="6"/>
  <c r="K41" i="6"/>
  <c r="E38" i="6"/>
  <c r="E37" i="6"/>
  <c r="E35" i="6"/>
  <c r="E44" i="6"/>
  <c r="E39" i="6"/>
  <c r="K34" i="6"/>
  <c r="E34" i="6"/>
  <c r="K32" i="6"/>
  <c r="E32" i="6"/>
  <c r="K30" i="6"/>
  <c r="E30" i="6"/>
  <c r="K26" i="6"/>
  <c r="E26" i="6"/>
  <c r="K45" i="6"/>
  <c r="K44" i="6"/>
  <c r="E41" i="6"/>
  <c r="K39" i="6"/>
  <c r="K38" i="6"/>
  <c r="K37" i="6"/>
  <c r="K33" i="6"/>
  <c r="K31" i="6"/>
  <c r="E29" i="6"/>
  <c r="E28" i="6"/>
  <c r="E27" i="6"/>
  <c r="K25" i="6"/>
  <c r="K20" i="6"/>
  <c r="K19" i="6"/>
  <c r="K18" i="6"/>
  <c r="K17" i="6"/>
  <c r="K16" i="6"/>
  <c r="K15" i="6"/>
  <c r="K14" i="6"/>
  <c r="K43" i="6"/>
  <c r="K42" i="6"/>
  <c r="E40" i="6"/>
  <c r="E36" i="6"/>
  <c r="K29" i="6"/>
  <c r="K28" i="6"/>
  <c r="K27" i="6"/>
  <c r="K24" i="6"/>
  <c r="E24" i="6"/>
  <c r="K22" i="6"/>
  <c r="E22" i="6"/>
  <c r="K13" i="6"/>
  <c r="E13" i="6"/>
  <c r="E43" i="6"/>
  <c r="K36" i="6"/>
  <c r="E25" i="6"/>
  <c r="E23" i="6"/>
  <c r="E21" i="6"/>
  <c r="E19" i="6"/>
  <c r="E17" i="6"/>
  <c r="E15" i="6"/>
  <c r="K12" i="6"/>
  <c r="K40" i="6"/>
  <c r="K23" i="6"/>
  <c r="K21" i="6"/>
  <c r="E20" i="6"/>
  <c r="E18" i="6"/>
  <c r="E16" i="6"/>
  <c r="E14" i="6"/>
  <c r="E12" i="6"/>
  <c r="E45" i="6"/>
  <c r="K35" i="6"/>
  <c r="E33" i="6"/>
  <c r="E31" i="6"/>
  <c r="I11" i="7"/>
  <c r="E42" i="2"/>
  <c r="K41" i="2"/>
  <c r="E40" i="2"/>
  <c r="K39" i="2"/>
  <c r="K35" i="2"/>
  <c r="E43" i="2"/>
  <c r="E41" i="2"/>
  <c r="E38" i="2"/>
  <c r="K28" i="2"/>
  <c r="E28" i="2"/>
  <c r="K24" i="2"/>
  <c r="E24" i="2"/>
  <c r="K22" i="2"/>
  <c r="E22" i="2"/>
  <c r="K20" i="2"/>
  <c r="E20" i="2"/>
  <c r="K18" i="2"/>
  <c r="E18" i="2"/>
  <c r="K16" i="2"/>
  <c r="E16" i="2"/>
  <c r="K14" i="2"/>
  <c r="E14" i="2"/>
  <c r="K44" i="2"/>
  <c r="E37" i="2"/>
  <c r="K36" i="2"/>
  <c r="K33" i="2"/>
  <c r="N33" i="2" s="1"/>
  <c r="E33" i="2"/>
  <c r="K31" i="2"/>
  <c r="N31" i="2" s="1"/>
  <c r="E31" i="2"/>
  <c r="K29" i="2"/>
  <c r="N29" i="2" s="1"/>
  <c r="E29" i="2"/>
  <c r="K27" i="2"/>
  <c r="E27" i="2"/>
  <c r="K43" i="2"/>
  <c r="E39" i="2"/>
  <c r="K38" i="2"/>
  <c r="K26" i="2"/>
  <c r="E26" i="2"/>
  <c r="E25" i="2"/>
  <c r="K23" i="2"/>
  <c r="E23" i="2"/>
  <c r="K21" i="2"/>
  <c r="E21" i="2"/>
  <c r="K19" i="2"/>
  <c r="E19" i="2"/>
  <c r="K17" i="2"/>
  <c r="E17" i="2"/>
  <c r="K37" i="2"/>
  <c r="E34" i="2"/>
  <c r="E32" i="2"/>
  <c r="E30" i="2"/>
  <c r="E15" i="2"/>
  <c r="K11" i="2"/>
  <c r="K10" i="2"/>
  <c r="K30" i="2"/>
  <c r="N30" i="2" s="1"/>
  <c r="K13" i="2"/>
  <c r="K12" i="2"/>
  <c r="E36" i="2"/>
  <c r="K34" i="2"/>
  <c r="N34" i="2" s="1"/>
  <c r="E10" i="2"/>
  <c r="E44" i="2"/>
  <c r="K42" i="2"/>
  <c r="K40" i="2"/>
  <c r="K25" i="2"/>
  <c r="K15" i="2"/>
  <c r="E13" i="2"/>
  <c r="E35" i="2"/>
  <c r="K32" i="2"/>
  <c r="N32" i="2" s="1"/>
  <c r="E12" i="2"/>
  <c r="E11" i="2"/>
  <c r="I10" i="3"/>
  <c r="I11" i="3" s="1"/>
  <c r="I12" i="3" s="1"/>
  <c r="I13" i="3" s="1"/>
  <c r="I13" i="1"/>
  <c r="O10" i="3" l="1"/>
  <c r="F11" i="3"/>
  <c r="F12" i="3" s="1"/>
  <c r="F13" i="3" s="1"/>
  <c r="F14" i="3" s="1"/>
  <c r="O11" i="3"/>
  <c r="O12" i="3" s="1"/>
  <c r="O13" i="3" s="1"/>
  <c r="O14" i="3" s="1"/>
  <c r="O15" i="3" s="1"/>
  <c r="O16" i="3" s="1"/>
  <c r="L11" i="3"/>
  <c r="L12" i="3" s="1"/>
  <c r="L13" i="3" s="1"/>
  <c r="L14" i="3" s="1"/>
  <c r="L15" i="3" s="1"/>
  <c r="L16" i="3" s="1"/>
  <c r="L17" i="3" s="1"/>
  <c r="L18" i="3" s="1"/>
  <c r="O11" i="7"/>
  <c r="O12" i="7" s="1"/>
  <c r="O13" i="7" s="1"/>
  <c r="O14" i="7" s="1"/>
  <c r="I12" i="7"/>
  <c r="L13" i="7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F12" i="7"/>
  <c r="F13" i="7" s="1"/>
  <c r="F14" i="7" s="1"/>
  <c r="F15" i="7" s="1"/>
  <c r="F16" i="7" s="1"/>
  <c r="F17" i="7" s="1"/>
  <c r="F18" i="7" s="1"/>
  <c r="F19" i="7" s="1"/>
  <c r="F20" i="7" s="1"/>
  <c r="F21" i="7" s="1"/>
  <c r="O11" i="6"/>
  <c r="L11" i="6"/>
  <c r="L12" i="6" s="1"/>
  <c r="F11" i="6"/>
  <c r="F12" i="6" s="1"/>
  <c r="I10" i="2"/>
  <c r="I11" i="2" s="1"/>
  <c r="F10" i="2"/>
  <c r="F11" i="2" s="1"/>
  <c r="F12" i="2" s="1"/>
  <c r="H12" i="2" s="1"/>
  <c r="N17" i="3"/>
  <c r="O10" i="2"/>
  <c r="O11" i="2" s="1"/>
  <c r="O12" i="2" s="1"/>
  <c r="L10" i="2"/>
  <c r="L11" i="2" s="1"/>
  <c r="L12" i="2" s="1"/>
  <c r="L13" i="2" s="1"/>
  <c r="F15" i="3"/>
  <c r="H14" i="3"/>
  <c r="I14" i="1"/>
  <c r="O17" i="3" l="1"/>
  <c r="O15" i="7"/>
  <c r="L24" i="7"/>
  <c r="L13" i="6"/>
  <c r="F13" i="6"/>
  <c r="F22" i="7"/>
  <c r="I13" i="7"/>
  <c r="N13" i="2"/>
  <c r="O13" i="2" s="1"/>
  <c r="L14" i="2"/>
  <c r="F16" i="3"/>
  <c r="H15" i="3"/>
  <c r="F13" i="2"/>
  <c r="H13" i="2" s="1"/>
  <c r="L19" i="3"/>
  <c r="N18" i="3"/>
  <c r="I14" i="3"/>
  <c r="I15" i="1"/>
  <c r="O16" i="7" l="1"/>
  <c r="I14" i="7"/>
  <c r="I15" i="3"/>
  <c r="F23" i="7"/>
  <c r="L14" i="6"/>
  <c r="L15" i="6" s="1"/>
  <c r="L16" i="6" s="1"/>
  <c r="L17" i="6" s="1"/>
  <c r="L18" i="6" s="1"/>
  <c r="L19" i="6" s="1"/>
  <c r="L20" i="6" s="1"/>
  <c r="L21" i="6" s="1"/>
  <c r="O12" i="6"/>
  <c r="O13" i="6" s="1"/>
  <c r="F14" i="6"/>
  <c r="F15" i="6" s="1"/>
  <c r="F16" i="6" s="1"/>
  <c r="F17" i="6" s="1"/>
  <c r="F18" i="6" s="1"/>
  <c r="F19" i="6" s="1"/>
  <c r="F20" i="6" s="1"/>
  <c r="F21" i="6" s="1"/>
  <c r="L25" i="7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F14" i="2"/>
  <c r="O18" i="3"/>
  <c r="L15" i="2"/>
  <c r="N14" i="2"/>
  <c r="L20" i="3"/>
  <c r="N19" i="3"/>
  <c r="F17" i="3"/>
  <c r="H16" i="3"/>
  <c r="I12" i="2"/>
  <c r="I16" i="1"/>
  <c r="O17" i="7" l="1"/>
  <c r="I15" i="7"/>
  <c r="O14" i="6"/>
  <c r="I16" i="3"/>
  <c r="I13" i="2"/>
  <c r="O19" i="3"/>
  <c r="F22" i="6"/>
  <c r="L22" i="6"/>
  <c r="F24" i="7"/>
  <c r="L21" i="3"/>
  <c r="N20" i="3"/>
  <c r="O14" i="2"/>
  <c r="F18" i="3"/>
  <c r="H17" i="3"/>
  <c r="N15" i="2"/>
  <c r="L16" i="2"/>
  <c r="F15" i="2"/>
  <c r="H14" i="2"/>
  <c r="I17" i="1"/>
  <c r="O20" i="3" l="1"/>
  <c r="O18" i="7"/>
  <c r="I16" i="7"/>
  <c r="O15" i="6"/>
  <c r="F23" i="6"/>
  <c r="F25" i="7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L23" i="6"/>
  <c r="L22" i="3"/>
  <c r="N21" i="3"/>
  <c r="O15" i="2"/>
  <c r="I14" i="2"/>
  <c r="H15" i="2"/>
  <c r="F16" i="2"/>
  <c r="F19" i="3"/>
  <c r="H18" i="3"/>
  <c r="I17" i="3"/>
  <c r="L17" i="2"/>
  <c r="N16" i="2"/>
  <c r="I18" i="1"/>
  <c r="I17" i="7" l="1"/>
  <c r="O16" i="6"/>
  <c r="I18" i="3"/>
  <c r="F24" i="6"/>
  <c r="L24" i="6"/>
  <c r="F17" i="2"/>
  <c r="H16" i="2"/>
  <c r="L23" i="3"/>
  <c r="N22" i="3"/>
  <c r="O16" i="2"/>
  <c r="N17" i="2"/>
  <c r="L18" i="2"/>
  <c r="F20" i="3"/>
  <c r="H19" i="3"/>
  <c r="I15" i="2"/>
  <c r="O21" i="3"/>
  <c r="O22" i="3" s="1"/>
  <c r="I19" i="1"/>
  <c r="O19" i="7" l="1"/>
  <c r="I18" i="7"/>
  <c r="O17" i="6"/>
  <c r="I16" i="2"/>
  <c r="O17" i="2"/>
  <c r="L25" i="6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F25" i="6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21" i="3"/>
  <c r="H20" i="3"/>
  <c r="L19" i="2"/>
  <c r="N18" i="2"/>
  <c r="O18" i="2" s="1"/>
  <c r="L24" i="3"/>
  <c r="N23" i="3"/>
  <c r="H17" i="2"/>
  <c r="F18" i="2"/>
  <c r="I19" i="3"/>
  <c r="I20" i="1"/>
  <c r="I19" i="7" l="1"/>
  <c r="O18" i="6"/>
  <c r="F44" i="6"/>
  <c r="I20" i="3"/>
  <c r="F22" i="3"/>
  <c r="H21" i="3"/>
  <c r="F19" i="2"/>
  <c r="H18" i="2"/>
  <c r="L25" i="3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N24" i="3"/>
  <c r="N19" i="2"/>
  <c r="O19" i="2" s="1"/>
  <c r="L20" i="2"/>
  <c r="O23" i="3"/>
  <c r="O24" i="3" s="1"/>
  <c r="O25" i="3" s="1"/>
  <c r="O26" i="3" s="1"/>
  <c r="O27" i="3" s="1"/>
  <c r="I17" i="2"/>
  <c r="I21" i="1"/>
  <c r="O20" i="7" l="1"/>
  <c r="I20" i="7"/>
  <c r="O19" i="6"/>
  <c r="I21" i="3"/>
  <c r="I18" i="2"/>
  <c r="F45" i="6"/>
  <c r="F23" i="3"/>
  <c r="H22" i="3"/>
  <c r="H19" i="2"/>
  <c r="I19" i="2" s="1"/>
  <c r="F20" i="2"/>
  <c r="O28" i="3"/>
  <c r="L21" i="2"/>
  <c r="N20" i="2"/>
  <c r="O20" i="2" s="1"/>
  <c r="I22" i="1"/>
  <c r="H21" i="7" l="1"/>
  <c r="I21" i="7" s="1"/>
  <c r="O20" i="6"/>
  <c r="I22" i="3"/>
  <c r="N29" i="3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F21" i="2"/>
  <c r="H20" i="2"/>
  <c r="I20" i="2" s="1"/>
  <c r="F24" i="3"/>
  <c r="H23" i="3"/>
  <c r="N21" i="2"/>
  <c r="O21" i="2" s="1"/>
  <c r="L22" i="2"/>
  <c r="I23" i="1"/>
  <c r="H24" i="3" l="1"/>
  <c r="I23" i="3"/>
  <c r="O21" i="7"/>
  <c r="H22" i="7"/>
  <c r="I22" i="7" s="1"/>
  <c r="N21" i="6"/>
  <c r="O21" i="6" s="1"/>
  <c r="L23" i="2"/>
  <c r="N22" i="2"/>
  <c r="O22" i="2" s="1"/>
  <c r="F25" i="3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I24" i="3"/>
  <c r="I25" i="3" s="1"/>
  <c r="I26" i="3" s="1"/>
  <c r="I27" i="3" s="1"/>
  <c r="H21" i="2"/>
  <c r="I21" i="2" s="1"/>
  <c r="F22" i="2"/>
  <c r="N58" i="3"/>
  <c r="N52" i="3"/>
  <c r="N54" i="3"/>
  <c r="N63" i="3"/>
  <c r="N59" i="3" s="1"/>
  <c r="N51" i="3"/>
  <c r="N47" i="3"/>
  <c r="N60" i="3" s="1"/>
  <c r="N57" i="3"/>
  <c r="I24" i="1"/>
  <c r="N22" i="7" l="1"/>
  <c r="O22" i="7" s="1"/>
  <c r="H23" i="7"/>
  <c r="I23" i="7" s="1"/>
  <c r="N22" i="6"/>
  <c r="O22" i="6" s="1"/>
  <c r="N53" i="3"/>
  <c r="F16" i="5"/>
  <c r="N23" i="2"/>
  <c r="O23" i="2" s="1"/>
  <c r="L24" i="2"/>
  <c r="F19" i="5"/>
  <c r="F11" i="5"/>
  <c r="F23" i="2"/>
  <c r="H22" i="2"/>
  <c r="I22" i="2" s="1"/>
  <c r="F18" i="5"/>
  <c r="F13" i="5"/>
  <c r="H28" i="3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F10" i="5"/>
  <c r="F17" i="5"/>
  <c r="I25" i="1"/>
  <c r="N23" i="7" l="1"/>
  <c r="O23" i="7" s="1"/>
  <c r="H24" i="7"/>
  <c r="I24" i="7" s="1"/>
  <c r="N23" i="6"/>
  <c r="O23" i="6" s="1"/>
  <c r="H23" i="2"/>
  <c r="I23" i="2" s="1"/>
  <c r="F24" i="2"/>
  <c r="H63" i="3"/>
  <c r="H57" i="3"/>
  <c r="H51" i="3"/>
  <c r="H52" i="3"/>
  <c r="H54" i="3"/>
  <c r="H47" i="3"/>
  <c r="H60" i="3" s="1"/>
  <c r="H58" i="3"/>
  <c r="L25" i="2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N24" i="2"/>
  <c r="O24" i="2" s="1"/>
  <c r="O25" i="2" s="1"/>
  <c r="O26" i="2" s="1"/>
  <c r="O27" i="2" s="1"/>
  <c r="F12" i="5"/>
  <c r="I26" i="1"/>
  <c r="H24" i="2" l="1"/>
  <c r="N24" i="7"/>
  <c r="O24" i="7" s="1"/>
  <c r="I25" i="7"/>
  <c r="N24" i="6"/>
  <c r="O24" i="6" s="1"/>
  <c r="N28" i="2"/>
  <c r="F24" i="5"/>
  <c r="F30" i="5"/>
  <c r="F23" i="5"/>
  <c r="F25" i="2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I24" i="2"/>
  <c r="I25" i="2" s="1"/>
  <c r="H26" i="2" s="1"/>
  <c r="F32" i="5"/>
  <c r="H53" i="3"/>
  <c r="F29" i="5"/>
  <c r="F26" i="5"/>
  <c r="H59" i="3"/>
  <c r="I27" i="1"/>
  <c r="O25" i="7" l="1"/>
  <c r="H26" i="7"/>
  <c r="I26" i="7" s="1"/>
  <c r="O25" i="6"/>
  <c r="F31" i="5"/>
  <c r="F25" i="5"/>
  <c r="F44" i="2"/>
  <c r="N63" i="2"/>
  <c r="N51" i="2"/>
  <c r="N57" i="2"/>
  <c r="N52" i="2"/>
  <c r="N47" i="2"/>
  <c r="N60" i="2" s="1"/>
  <c r="N54" i="2"/>
  <c r="N58" i="2"/>
  <c r="O28" i="2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I28" i="1"/>
  <c r="O26" i="7" l="1"/>
  <c r="H27" i="7"/>
  <c r="I27" i="7" s="1"/>
  <c r="N26" i="6"/>
  <c r="O26" i="6" s="1"/>
  <c r="N59" i="2"/>
  <c r="E18" i="5" s="1"/>
  <c r="E19" i="5"/>
  <c r="I26" i="2"/>
  <c r="H27" i="2" s="1"/>
  <c r="E11" i="5"/>
  <c r="E17" i="5"/>
  <c r="E16" i="5"/>
  <c r="N53" i="2"/>
  <c r="E13" i="5"/>
  <c r="E10" i="5"/>
  <c r="I29" i="1"/>
  <c r="O27" i="7" l="1"/>
  <c r="H28" i="7"/>
  <c r="I28" i="7" s="1"/>
  <c r="N27" i="6"/>
  <c r="O27" i="6" s="1"/>
  <c r="I27" i="2"/>
  <c r="E12" i="5"/>
  <c r="I30" i="1"/>
  <c r="N28" i="7" l="1"/>
  <c r="O28" i="7" s="1"/>
  <c r="H29" i="7"/>
  <c r="I29" i="7" s="1"/>
  <c r="N28" i="6"/>
  <c r="O28" i="6" s="1"/>
  <c r="H28" i="2"/>
  <c r="I31" i="1"/>
  <c r="N29" i="7" l="1"/>
  <c r="O29" i="7" s="1"/>
  <c r="H30" i="7"/>
  <c r="I30" i="7" s="1"/>
  <c r="N29" i="6"/>
  <c r="O29" i="6" s="1"/>
  <c r="I28" i="2"/>
  <c r="I32" i="1"/>
  <c r="N30" i="7" l="1"/>
  <c r="O30" i="7" s="1"/>
  <c r="N30" i="6"/>
  <c r="O30" i="6" s="1"/>
  <c r="H29" i="2"/>
  <c r="I29" i="2" s="1"/>
  <c r="I33" i="1"/>
  <c r="O31" i="7" l="1"/>
  <c r="I31" i="7"/>
  <c r="O31" i="6"/>
  <c r="H30" i="2"/>
  <c r="I30" i="2" s="1"/>
  <c r="I34" i="1"/>
  <c r="O32" i="7" l="1"/>
  <c r="I32" i="7"/>
  <c r="H31" i="2"/>
  <c r="I31" i="2" s="1"/>
  <c r="H32" i="2" s="1"/>
  <c r="I35" i="1"/>
  <c r="O33" i="7" l="1"/>
  <c r="I33" i="7"/>
  <c r="O32" i="6"/>
  <c r="I32" i="2"/>
  <c r="I36" i="1"/>
  <c r="O34" i="7" l="1"/>
  <c r="I34" i="7"/>
  <c r="H33" i="2"/>
  <c r="I33" i="2" s="1"/>
  <c r="H34" i="2" s="1"/>
  <c r="H43" i="2" s="1"/>
  <c r="I37" i="1"/>
  <c r="N35" i="7" l="1"/>
  <c r="H35" i="7"/>
  <c r="I35" i="7" s="1"/>
  <c r="O33" i="6"/>
  <c r="I38" i="1"/>
  <c r="O35" i="7" l="1"/>
  <c r="H36" i="7"/>
  <c r="I36" i="7" s="1"/>
  <c r="O34" i="6"/>
  <c r="H44" i="2"/>
  <c r="I34" i="2"/>
  <c r="I35" i="2" s="1"/>
  <c r="I36" i="2" s="1"/>
  <c r="I37" i="2" s="1"/>
  <c r="I38" i="2" s="1"/>
  <c r="I39" i="2" s="1"/>
  <c r="I40" i="2" s="1"/>
  <c r="I41" i="2" s="1"/>
  <c r="I42" i="2" s="1"/>
  <c r="I39" i="1"/>
  <c r="N36" i="7" l="1"/>
  <c r="O36" i="7" s="1"/>
  <c r="H37" i="7"/>
  <c r="I37" i="7" s="1"/>
  <c r="N35" i="6"/>
  <c r="I43" i="2"/>
  <c r="I44" i="2" s="1"/>
  <c r="H54" i="2"/>
  <c r="H57" i="2"/>
  <c r="H52" i="2"/>
  <c r="H63" i="2"/>
  <c r="H51" i="2"/>
  <c r="H47" i="2"/>
  <c r="H60" i="2" s="1"/>
  <c r="H58" i="2"/>
  <c r="I40" i="1"/>
  <c r="O35" i="6" l="1"/>
  <c r="N36" i="6" s="1"/>
  <c r="O36" i="6" s="1"/>
  <c r="N37" i="7"/>
  <c r="O37" i="7" s="1"/>
  <c r="I38" i="7"/>
  <c r="E26" i="5"/>
  <c r="E30" i="5"/>
  <c r="E24" i="5"/>
  <c r="E32" i="5"/>
  <c r="H53" i="2"/>
  <c r="E29" i="5"/>
  <c r="E23" i="5"/>
  <c r="H59" i="2"/>
  <c r="I41" i="1"/>
  <c r="O38" i="7" l="1"/>
  <c r="N37" i="6"/>
  <c r="O37" i="6" s="1"/>
  <c r="E31" i="5"/>
  <c r="E25" i="5"/>
  <c r="J41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O39" i="7" l="1"/>
  <c r="I39" i="7"/>
  <c r="O38" i="6"/>
  <c r="O40" i="7" l="1"/>
  <c r="O39" i="6"/>
  <c r="O41" i="7" l="1"/>
  <c r="I40" i="7"/>
  <c r="O40" i="6"/>
  <c r="O42" i="7" l="1"/>
  <c r="I41" i="7"/>
  <c r="O41" i="6"/>
  <c r="O43" i="7" l="1"/>
  <c r="I42" i="7"/>
  <c r="O42" i="6"/>
  <c r="O44" i="7" l="1"/>
  <c r="I43" i="7"/>
  <c r="N43" i="6"/>
  <c r="O43" i="6" s="1"/>
  <c r="H44" i="7" l="1"/>
  <c r="I44" i="7" s="1"/>
  <c r="N44" i="6"/>
  <c r="O44" i="6" s="1"/>
  <c r="N64" i="7" l="1"/>
  <c r="N55" i="7"/>
  <c r="L13" i="5" s="1"/>
  <c r="N48" i="7"/>
  <c r="N61" i="7" s="1"/>
  <c r="L19" i="5" s="1"/>
  <c r="N52" i="7"/>
  <c r="L10" i="5" s="1"/>
  <c r="N59" i="7"/>
  <c r="L17" i="5" s="1"/>
  <c r="N53" i="7"/>
  <c r="L11" i="5" s="1"/>
  <c r="N58" i="7"/>
  <c r="O45" i="7"/>
  <c r="H45" i="7"/>
  <c r="N45" i="6"/>
  <c r="N60" i="7" l="1"/>
  <c r="L18" i="5" s="1"/>
  <c r="L16" i="5"/>
  <c r="N54" i="7"/>
  <c r="L12" i="5" s="1"/>
  <c r="H64" i="7"/>
  <c r="H59" i="7"/>
  <c r="L30" i="5" s="1"/>
  <c r="H52" i="7"/>
  <c r="L23" i="5" s="1"/>
  <c r="H53" i="7"/>
  <c r="L24" i="5" s="1"/>
  <c r="H58" i="7"/>
  <c r="H48" i="7"/>
  <c r="H61" i="7" s="1"/>
  <c r="L32" i="5" s="1"/>
  <c r="H55" i="7"/>
  <c r="L26" i="5" s="1"/>
  <c r="I45" i="7"/>
  <c r="N58" i="6"/>
  <c r="N48" i="6"/>
  <c r="N61" i="6" s="1"/>
  <c r="K19" i="5" s="1"/>
  <c r="N55" i="6"/>
  <c r="K13" i="5" s="1"/>
  <c r="N64" i="6"/>
  <c r="N60" i="6" s="1"/>
  <c r="K18" i="5" s="1"/>
  <c r="N59" i="6"/>
  <c r="K17" i="5" s="1"/>
  <c r="N53" i="6"/>
  <c r="K11" i="5" s="1"/>
  <c r="N52" i="6"/>
  <c r="K10" i="5" s="1"/>
  <c r="O45" i="6"/>
  <c r="H54" i="7" l="1"/>
  <c r="L25" i="5" s="1"/>
  <c r="L29" i="5"/>
  <c r="H60" i="7"/>
  <c r="L31" i="5" s="1"/>
  <c r="N54" i="6"/>
  <c r="K12" i="5" s="1"/>
  <c r="K16" i="5"/>
  <c r="I12" i="6" l="1"/>
  <c r="I13" i="6" s="1"/>
  <c r="I14" i="6" l="1"/>
  <c r="I15" i="6" l="1"/>
  <c r="I16" i="6" l="1"/>
  <c r="I17" i="6" l="1"/>
  <c r="I18" i="6" l="1"/>
  <c r="I19" i="6" l="1"/>
  <c r="I20" i="6" l="1"/>
  <c r="H21" i="6" l="1"/>
  <c r="I21" i="6" l="1"/>
  <c r="H22" i="6" l="1"/>
  <c r="I22" i="6" l="1"/>
  <c r="H23" i="6" l="1"/>
  <c r="I23" i="6" l="1"/>
  <c r="H24" i="6" l="1"/>
  <c r="I24" i="6" l="1"/>
  <c r="H25" i="6" l="1"/>
  <c r="I25" i="6" l="1"/>
  <c r="H26" i="6" l="1"/>
  <c r="I26" i="6" s="1"/>
  <c r="H27" i="6" l="1"/>
  <c r="I27" i="6" s="1"/>
  <c r="H28" i="6" l="1"/>
  <c r="I28" i="6" s="1"/>
  <c r="H29" i="6" l="1"/>
  <c r="I29" i="6" l="1"/>
  <c r="H30" i="6" l="1"/>
  <c r="I30" i="6" l="1"/>
  <c r="I31" i="6" l="1"/>
  <c r="I32" i="6" l="1"/>
  <c r="I33" i="6" l="1"/>
  <c r="I34" i="6" l="1"/>
  <c r="H35" i="6" l="1"/>
  <c r="I35" i="6" l="1"/>
  <c r="H36" i="6" l="1"/>
  <c r="I36" i="6" s="1"/>
  <c r="H37" i="6" l="1"/>
  <c r="I37" i="6" s="1"/>
  <c r="I38" i="6" l="1"/>
  <c r="I39" i="6" l="1"/>
  <c r="I40" i="6" l="1"/>
  <c r="I41" i="6" l="1"/>
  <c r="H42" i="6" l="1"/>
  <c r="I42" i="6" s="1"/>
  <c r="H43" i="6" l="1"/>
  <c r="I43" i="6" s="1"/>
  <c r="H44" i="6" l="1"/>
  <c r="I44" i="6" s="1"/>
  <c r="H45" i="6" l="1"/>
  <c r="I45" i="6" s="1"/>
  <c r="H58" i="6" l="1"/>
  <c r="H53" i="6"/>
  <c r="K24" i="5" s="1"/>
  <c r="H59" i="6"/>
  <c r="K30" i="5" s="1"/>
  <c r="H64" i="6"/>
  <c r="H55" i="6"/>
  <c r="K26" i="5" s="1"/>
  <c r="H48" i="6"/>
  <c r="H61" i="6" s="1"/>
  <c r="K32" i="5" s="1"/>
  <c r="H52" i="6"/>
  <c r="K23" i="5" s="1"/>
  <c r="H60" i="6" l="1"/>
  <c r="K31" i="5" s="1"/>
  <c r="H54" i="6"/>
  <c r="K25" i="5" s="1"/>
  <c r="K29" i="5"/>
</calcChain>
</file>

<file path=xl/sharedStrings.xml><?xml version="1.0" encoding="utf-8"?>
<sst xmlns="http://schemas.openxmlformats.org/spreadsheetml/2006/main" count="345" uniqueCount="67">
  <si>
    <t>Average Thermal Generation by water year (GW.h)</t>
  </si>
  <si>
    <t>Distribution of Annual Water Year Levels</t>
  </si>
  <si>
    <t>Water Year</t>
  </si>
  <si>
    <t>Load at 420 GW.h [approx. 2018 GRA load level]</t>
  </si>
  <si>
    <t>Load at 380 GW.h [approx. 2018 GRA load level no mines]</t>
  </si>
  <si>
    <t>% of Years not less than</t>
  </si>
  <si>
    <t>LTA (Average)</t>
  </si>
  <si>
    <t>Median</t>
  </si>
  <si>
    <t>Impact of DCF at Cap - 2018 Example - Load at 420 GWH</t>
  </si>
  <si>
    <t>Cap assumed at</t>
  </si>
  <si>
    <t>million</t>
  </si>
  <si>
    <t>LTA</t>
  </si>
  <si>
    <t>GW.h</t>
  </si>
  <si>
    <t>LNG cost</t>
  </si>
  <si>
    <t>$/kWh</t>
  </si>
  <si>
    <t xml:space="preserve">Blend cost </t>
  </si>
  <si>
    <t>LNG (balance diesel)</t>
  </si>
  <si>
    <t>Diesel cost</t>
  </si>
  <si>
    <t>DCF at 100% Diesel</t>
  </si>
  <si>
    <t>DCF at 90% LNG, 10% Diesel</t>
  </si>
  <si>
    <t>DCF start in 1981  -No Cap ($ Million)</t>
  </si>
  <si>
    <t>DCF  - With Cap   ($ million)</t>
  </si>
  <si>
    <t>Thermal GW.h</t>
  </si>
  <si>
    <t xml:space="preserve">Annual </t>
  </si>
  <si>
    <t>Total</t>
  </si>
  <si>
    <t>Charge or (Rebate)</t>
  </si>
  <si>
    <t>Net</t>
  </si>
  <si>
    <t xml:space="preserve">Number of water years </t>
  </si>
  <si>
    <t>No rate rider impact</t>
  </si>
  <si>
    <t>Rider rebates</t>
  </si>
  <si>
    <t>Max rebate</t>
  </si>
  <si>
    <t>Rider charges</t>
  </si>
  <si>
    <t>Rider Impact ($M)</t>
  </si>
  <si>
    <t>Max Rebate</t>
  </si>
  <si>
    <t>Peak Charge</t>
  </si>
  <si>
    <t>Average charge year</t>
  </si>
  <si>
    <t>Net impact 35 yrs</t>
  </si>
  <si>
    <t>Total charges</t>
  </si>
  <si>
    <t xml:space="preserve">420 GW.h/year load (13.9 GW.h/yr  LTA thermal) </t>
  </si>
  <si>
    <t>"+/-" DCF Cap ($million)</t>
  </si>
  <si>
    <t>DCF at 90% LNG and 10% Diesel</t>
  </si>
  <si>
    <t xml:space="preserve">Number of water years (out of 35) with </t>
  </si>
  <si>
    <t>Rider Impact ($M/yr)</t>
  </si>
  <si>
    <t>Net impact after 35 yrs</t>
  </si>
  <si>
    <t>Table 3.4-6A</t>
  </si>
  <si>
    <t>Table 3.4-6B</t>
  </si>
  <si>
    <t>Table 3.4-7A</t>
  </si>
  <si>
    <t>Table 3.4-7B</t>
  </si>
  <si>
    <t>Impact of DCF at Cap - 2018 Example - Load at 450 GWH</t>
  </si>
  <si>
    <t>Average</t>
  </si>
  <si>
    <t>Load at 490 GW.h [approx. 2018 GRA load level plus VG load]</t>
  </si>
  <si>
    <t>490 GW.h/yr load (50.9 GW.h/yr LTA thermal)</t>
  </si>
  <si>
    <t>Load at 450 GW.h [approx. 2018 GRA load level plus 30 GW.h new mine load]</t>
  </si>
  <si>
    <t>450 GW.h/yr load (28.6 GW.h/yr LTA thermal)</t>
  </si>
  <si>
    <t>Table 3.4-8A</t>
  </si>
  <si>
    <t>Table 3.4-8B</t>
  </si>
  <si>
    <t>Impact of DCF at Cap - 2018 Example - Load at 490 GWH</t>
  </si>
  <si>
    <t>Table 3.4-6A: +/- $8 Million DCF Cap with 420 GW.h Load</t>
  </si>
  <si>
    <t>Table 3.4-6B: +/- $16 Million DCF Cap with 420 GW.h Load</t>
  </si>
  <si>
    <t>Table 3.4-7A: +/- $8 Million DCF Cap with 450 GW.h Load</t>
  </si>
  <si>
    <t>Table 3.4-7B: +/- $16 Million DCF Cap with 450 GW.h Load</t>
  </si>
  <si>
    <t>Table 3.4-8B: +/- $16 Million DCF Cap with 490 GW.h Load</t>
  </si>
  <si>
    <t>Table 3.4-8A: +/- $8 Million DCF Cap with 490 GW.h Load</t>
  </si>
  <si>
    <t>Table 3.4-4: Average Annual Thermal Generation (Averaged Load Years for 35 Water Years)</t>
  </si>
  <si>
    <t>Table 3.4-5: Summary - DCF Cap Option Impacts - 420 &amp; 450 &amp; 490 GW.h/yr.
Loads with Minto Mine and Victoria Gold Mine</t>
  </si>
  <si>
    <t>Table 3.4-8C</t>
  </si>
  <si>
    <t>Table 3.4-8C: +/- $22 Million DCF Cap with 490 GW.h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</si>
</sst>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3" formatCode="_-* #,##0.00_-;\-* #,##0.00_-;_-* &quot;-&quot;??_-;_-@_-"/>
    <numFmt numFmtId="164" formatCode="_-* #,##0.0_-;\-* #,##0.0_-;_-* &quot;-&quot;??_-;_-@_-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44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Continuous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4" fillId="0" borderId="0" xfId="1" applyNumberFormat="1" applyFont="1"/>
    <xf numFmtId="9" fontId="4" fillId="0" borderId="0" xfId="2" applyFont="1"/>
    <xf numFmtId="43" fontId="4" fillId="0" borderId="0" xfId="0" applyNumberFormat="1" applyFont="1"/>
    <xf numFmtId="164" fontId="4" fillId="0" borderId="0" xfId="0" applyNumberFormat="1" applyFont="1"/>
    <xf numFmtId="14" fontId="4" fillId="0" borderId="0" xfId="0" applyNumberFormat="1" applyFont="1"/>
    <xf numFmtId="10" fontId="4" fillId="0" borderId="0" xfId="2" applyNumberFormat="1" applyFont="1"/>
    <xf numFmtId="0" fontId="3" fillId="0" borderId="0" xfId="0" applyFont="1"/>
    <xf numFmtId="0" fontId="4" fillId="0" borderId="0" xfId="0" applyFont="1" applyAlignment="1">
      <alignment horizontal="right"/>
    </xf>
    <xf numFmtId="164" fontId="3" fillId="0" borderId="0" xfId="0" applyNumberFormat="1" applyFont="1"/>
    <xf numFmtId="0" fontId="2" fillId="0" borderId="0" xfId="0" applyFont="1"/>
    <xf numFmtId="8" fontId="2" fillId="0" borderId="0" xfId="0" applyNumberFormat="1" applyFont="1"/>
    <xf numFmtId="8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9" fontId="0" fillId="0" borderId="0" xfId="2" applyFont="1"/>
    <xf numFmtId="0" fontId="2" fillId="0" borderId="0" xfId="0" applyFont="1" applyAlignment="1">
      <alignment wrapText="1"/>
    </xf>
    <xf numFmtId="0" fontId="2" fillId="0" borderId="0" xfId="0" applyFont="1" applyAlignment="1"/>
    <xf numFmtId="2" fontId="0" fillId="0" borderId="0" xfId="0" applyNumberFormat="1"/>
    <xf numFmtId="43" fontId="4" fillId="0" borderId="0" xfId="1" applyNumberFormat="1" applyFont="1"/>
    <xf numFmtId="43" fontId="0" fillId="0" borderId="0" xfId="1" applyFont="1"/>
    <xf numFmtId="0" fontId="2" fillId="0" borderId="5" xfId="0" applyFont="1" applyBorder="1" applyAlignment="1">
      <alignment horizontal="center"/>
    </xf>
    <xf numFmtId="0" fontId="6" fillId="0" borderId="0" xfId="0" applyFont="1"/>
    <xf numFmtId="2" fontId="0" fillId="0" borderId="0" xfId="1" applyNumberFormat="1" applyFont="1"/>
    <xf numFmtId="2" fontId="0" fillId="0" borderId="0" xfId="0" applyNumberFormat="1" applyFill="1"/>
    <xf numFmtId="0" fontId="3" fillId="0" borderId="0" xfId="0" applyFont="1" applyAlignment="1">
      <alignment horizontal="center" vertical="center" wrapText="1"/>
    </xf>
    <xf numFmtId="0" fontId="0" fillId="0" borderId="0" xfId="0" applyFill="1"/>
    <xf numFmtId="0" fontId="5" fillId="0" borderId="0" xfId="0" applyFont="1" applyAlignment="1">
      <alignment horizontal="center" wrapText="1"/>
    </xf>
    <xf numFmtId="2" fontId="0" fillId="2" borderId="0" xfId="0" applyNumberFormat="1" applyFill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</cellXfs>
  <cellStyles count="5">
    <cellStyle name="Comma" xfId="1" builtinId="3"/>
    <cellStyle name="Normal" xfId="0" builtinId="0"/>
    <cellStyle name="Normal 2" xfId="4"/>
    <cellStyle name="Normal 2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en-CA" sz="1500" b="1" i="0" u="none" strike="noStrike" baseline="0">
                <a:effectLst/>
              </a:rPr>
              <a:t>Figure 3.4-1: Duration Curve – Grid Thermal Generation Variability over 35 Water Years</a:t>
            </a:r>
            <a:endParaRPr lang="en-CA" sz="15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712194445409148E-2"/>
          <c:y val="7.4242942635950576E-2"/>
          <c:w val="0.85438229680822708"/>
          <c:h val="0.811892577083942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'Table 3.4-4'!$K$5</c:f>
              <c:strCache>
                <c:ptCount val="1"/>
                <c:pt idx="0">
                  <c:v>Load at 420 GW.h [approx. 2018 GRA load level]</c:v>
                </c:pt>
              </c:strCache>
            </c:strRef>
          </c:tx>
          <c:marker>
            <c:symbol val="none"/>
          </c:marker>
          <c:xVal>
            <c:numRef>
              <c:f>'Table 3.4-4'!$J$7:$J$41</c:f>
              <c:numCache>
                <c:formatCode>0%</c:formatCode>
                <c:ptCount val="35"/>
                <c:pt idx="0">
                  <c:v>2.8571428571428571E-2</c:v>
                </c:pt>
                <c:pt idx="1">
                  <c:v>5.7142857142857141E-2</c:v>
                </c:pt>
                <c:pt idx="2">
                  <c:v>8.5714285714285715E-2</c:v>
                </c:pt>
                <c:pt idx="3">
                  <c:v>0.11428571428571428</c:v>
                </c:pt>
                <c:pt idx="4">
                  <c:v>0.14285714285714285</c:v>
                </c:pt>
                <c:pt idx="5">
                  <c:v>0.17142857142857143</c:v>
                </c:pt>
                <c:pt idx="6">
                  <c:v>0.2</c:v>
                </c:pt>
                <c:pt idx="7">
                  <c:v>0.22857142857142856</c:v>
                </c:pt>
                <c:pt idx="8">
                  <c:v>0.25714285714285712</c:v>
                </c:pt>
                <c:pt idx="9">
                  <c:v>0.2857142857142857</c:v>
                </c:pt>
                <c:pt idx="10">
                  <c:v>0.31428571428571428</c:v>
                </c:pt>
                <c:pt idx="11">
                  <c:v>0.34285714285714286</c:v>
                </c:pt>
                <c:pt idx="12">
                  <c:v>0.37142857142857144</c:v>
                </c:pt>
                <c:pt idx="13">
                  <c:v>0.4</c:v>
                </c:pt>
                <c:pt idx="14">
                  <c:v>0.42857142857142855</c:v>
                </c:pt>
                <c:pt idx="15">
                  <c:v>0.45714285714285713</c:v>
                </c:pt>
                <c:pt idx="16">
                  <c:v>0.48571428571428571</c:v>
                </c:pt>
                <c:pt idx="17">
                  <c:v>0.51428571428571423</c:v>
                </c:pt>
                <c:pt idx="18">
                  <c:v>0.54285714285714282</c:v>
                </c:pt>
                <c:pt idx="19">
                  <c:v>0.5714285714285714</c:v>
                </c:pt>
                <c:pt idx="20">
                  <c:v>0.6</c:v>
                </c:pt>
                <c:pt idx="21">
                  <c:v>0.62857142857142856</c:v>
                </c:pt>
                <c:pt idx="22">
                  <c:v>0.65714285714285714</c:v>
                </c:pt>
                <c:pt idx="23">
                  <c:v>0.68571428571428572</c:v>
                </c:pt>
                <c:pt idx="24">
                  <c:v>0.7142857142857143</c:v>
                </c:pt>
                <c:pt idx="25">
                  <c:v>0.74285714285714288</c:v>
                </c:pt>
                <c:pt idx="26">
                  <c:v>0.77142857142857146</c:v>
                </c:pt>
                <c:pt idx="27">
                  <c:v>0.8</c:v>
                </c:pt>
                <c:pt idx="28">
                  <c:v>0.82857142857142863</c:v>
                </c:pt>
                <c:pt idx="29">
                  <c:v>0.8571428571428571</c:v>
                </c:pt>
                <c:pt idx="30">
                  <c:v>0.88571428571428568</c:v>
                </c:pt>
                <c:pt idx="31">
                  <c:v>0.91428571428571426</c:v>
                </c:pt>
                <c:pt idx="32">
                  <c:v>0.94285714285714284</c:v>
                </c:pt>
                <c:pt idx="33">
                  <c:v>0.97142857142857142</c:v>
                </c:pt>
                <c:pt idx="34">
                  <c:v>1</c:v>
                </c:pt>
              </c:numCache>
            </c:numRef>
          </c:xVal>
          <c:yVal>
            <c:numRef>
              <c:f>'Table 3.4-4'!$K$7:$K$41</c:f>
              <c:numCache>
                <c:formatCode>_-* #,##0.0_-;\-* #,##0.0_-;_-* "-"??_-;_-@_-</c:formatCode>
                <c:ptCount val="35"/>
                <c:pt idx="0">
                  <c:v>107.49729999999998</c:v>
                </c:pt>
                <c:pt idx="1">
                  <c:v>58.34046923076923</c:v>
                </c:pt>
                <c:pt idx="2">
                  <c:v>53.823599999999992</c:v>
                </c:pt>
                <c:pt idx="3">
                  <c:v>50.074200000000005</c:v>
                </c:pt>
                <c:pt idx="4">
                  <c:v>35.396838461538465</c:v>
                </c:pt>
                <c:pt idx="5">
                  <c:v>33.151576923076931</c:v>
                </c:pt>
                <c:pt idx="6">
                  <c:v>31.160699999999999</c:v>
                </c:pt>
                <c:pt idx="7">
                  <c:v>23.979607692307692</c:v>
                </c:pt>
                <c:pt idx="8">
                  <c:v>16.6831</c:v>
                </c:pt>
                <c:pt idx="9">
                  <c:v>14.192907692307692</c:v>
                </c:pt>
                <c:pt idx="10">
                  <c:v>13.839961538461537</c:v>
                </c:pt>
                <c:pt idx="11">
                  <c:v>12.581207692307691</c:v>
                </c:pt>
                <c:pt idx="12">
                  <c:v>11.397730769230769</c:v>
                </c:pt>
                <c:pt idx="13">
                  <c:v>6.4780999999999995</c:v>
                </c:pt>
                <c:pt idx="14">
                  <c:v>5.0805461538461545</c:v>
                </c:pt>
                <c:pt idx="15">
                  <c:v>3.7116615384615388</c:v>
                </c:pt>
                <c:pt idx="16">
                  <c:v>1.9132923076923078</c:v>
                </c:pt>
                <c:pt idx="17">
                  <c:v>1.6283461538461539</c:v>
                </c:pt>
                <c:pt idx="18">
                  <c:v>0.37799999999999995</c:v>
                </c:pt>
                <c:pt idx="19">
                  <c:v>0.35170000000000001</c:v>
                </c:pt>
                <c:pt idx="20">
                  <c:v>0.26339999999999997</c:v>
                </c:pt>
                <c:pt idx="21">
                  <c:v>0.24149999999999999</c:v>
                </c:pt>
                <c:pt idx="22">
                  <c:v>0.24149999999999999</c:v>
                </c:pt>
                <c:pt idx="23">
                  <c:v>0.24149999999999999</c:v>
                </c:pt>
                <c:pt idx="24">
                  <c:v>0.24149999999999999</c:v>
                </c:pt>
                <c:pt idx="25">
                  <c:v>0.24149999999999999</c:v>
                </c:pt>
                <c:pt idx="26">
                  <c:v>0.24149999999999999</c:v>
                </c:pt>
                <c:pt idx="27">
                  <c:v>0.24149999999999999</c:v>
                </c:pt>
                <c:pt idx="28">
                  <c:v>0.24149999999999999</c:v>
                </c:pt>
                <c:pt idx="29">
                  <c:v>0.24149999999999999</c:v>
                </c:pt>
                <c:pt idx="30">
                  <c:v>0.24149999999999999</c:v>
                </c:pt>
                <c:pt idx="31">
                  <c:v>0.24149999999999999</c:v>
                </c:pt>
                <c:pt idx="32">
                  <c:v>0.24149999999999999</c:v>
                </c:pt>
                <c:pt idx="33">
                  <c:v>0.24149999999999999</c:v>
                </c:pt>
                <c:pt idx="34">
                  <c:v>0.24149999999999999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B77-4855-A6C8-CF6EB49B7A25}"/>
            </c:ext>
          </c:extLst>
        </c:ser>
        <c:ser>
          <c:idx val="1"/>
          <c:order val="1"/>
          <c:tx>
            <c:strRef>
              <c:f>'Table 3.4-4'!$L$5</c:f>
              <c:strCache>
                <c:ptCount val="1"/>
                <c:pt idx="0">
                  <c:v>Load at 380 GW.h [approx. 2018 GRA load level no mines]</c:v>
                </c:pt>
              </c:strCache>
            </c:strRef>
          </c:tx>
          <c:spPr>
            <a:ln w="41275">
              <a:prstDash val="sysDot"/>
            </a:ln>
          </c:spPr>
          <c:marker>
            <c:symbol val="none"/>
          </c:marker>
          <c:xVal>
            <c:numRef>
              <c:f>'Table 3.4-4'!$J$7:$J$41</c:f>
              <c:numCache>
                <c:formatCode>0%</c:formatCode>
                <c:ptCount val="35"/>
                <c:pt idx="0">
                  <c:v>2.8571428571428571E-2</c:v>
                </c:pt>
                <c:pt idx="1">
                  <c:v>5.7142857142857141E-2</c:v>
                </c:pt>
                <c:pt idx="2">
                  <c:v>8.5714285714285715E-2</c:v>
                </c:pt>
                <c:pt idx="3">
                  <c:v>0.11428571428571428</c:v>
                </c:pt>
                <c:pt idx="4">
                  <c:v>0.14285714285714285</c:v>
                </c:pt>
                <c:pt idx="5">
                  <c:v>0.17142857142857143</c:v>
                </c:pt>
                <c:pt idx="6">
                  <c:v>0.2</c:v>
                </c:pt>
                <c:pt idx="7">
                  <c:v>0.22857142857142856</c:v>
                </c:pt>
                <c:pt idx="8">
                  <c:v>0.25714285714285712</c:v>
                </c:pt>
                <c:pt idx="9">
                  <c:v>0.2857142857142857</c:v>
                </c:pt>
                <c:pt idx="10">
                  <c:v>0.31428571428571428</c:v>
                </c:pt>
                <c:pt idx="11">
                  <c:v>0.34285714285714286</c:v>
                </c:pt>
                <c:pt idx="12">
                  <c:v>0.37142857142857144</c:v>
                </c:pt>
                <c:pt idx="13">
                  <c:v>0.4</c:v>
                </c:pt>
                <c:pt idx="14">
                  <c:v>0.42857142857142855</c:v>
                </c:pt>
                <c:pt idx="15">
                  <c:v>0.45714285714285713</c:v>
                </c:pt>
                <c:pt idx="16">
                  <c:v>0.48571428571428571</c:v>
                </c:pt>
                <c:pt idx="17">
                  <c:v>0.51428571428571423</c:v>
                </c:pt>
                <c:pt idx="18">
                  <c:v>0.54285714285714282</c:v>
                </c:pt>
                <c:pt idx="19">
                  <c:v>0.5714285714285714</c:v>
                </c:pt>
                <c:pt idx="20">
                  <c:v>0.6</c:v>
                </c:pt>
                <c:pt idx="21">
                  <c:v>0.62857142857142856</c:v>
                </c:pt>
                <c:pt idx="22">
                  <c:v>0.65714285714285714</c:v>
                </c:pt>
                <c:pt idx="23">
                  <c:v>0.68571428571428572</c:v>
                </c:pt>
                <c:pt idx="24">
                  <c:v>0.7142857142857143</c:v>
                </c:pt>
                <c:pt idx="25">
                  <c:v>0.74285714285714288</c:v>
                </c:pt>
                <c:pt idx="26">
                  <c:v>0.77142857142857146</c:v>
                </c:pt>
                <c:pt idx="27">
                  <c:v>0.8</c:v>
                </c:pt>
                <c:pt idx="28">
                  <c:v>0.82857142857142863</c:v>
                </c:pt>
                <c:pt idx="29">
                  <c:v>0.8571428571428571</c:v>
                </c:pt>
                <c:pt idx="30">
                  <c:v>0.88571428571428568</c:v>
                </c:pt>
                <c:pt idx="31">
                  <c:v>0.91428571428571426</c:v>
                </c:pt>
                <c:pt idx="32">
                  <c:v>0.94285714285714284</c:v>
                </c:pt>
                <c:pt idx="33">
                  <c:v>0.97142857142857142</c:v>
                </c:pt>
                <c:pt idx="34">
                  <c:v>1</c:v>
                </c:pt>
              </c:numCache>
            </c:numRef>
          </c:xVal>
          <c:yVal>
            <c:numRef>
              <c:f>'Table 3.4-4'!$L$7:$L$41</c:f>
              <c:numCache>
                <c:formatCode>_-* #,##0.0_-;\-* #,##0.0_-;_-* "-"??_-;_-@_-</c:formatCode>
                <c:ptCount val="35"/>
                <c:pt idx="0">
                  <c:v>55.2074</c:v>
                </c:pt>
                <c:pt idx="1">
                  <c:v>18.654399999999999</c:v>
                </c:pt>
                <c:pt idx="2">
                  <c:v>6.1127692307692314</c:v>
                </c:pt>
                <c:pt idx="3">
                  <c:v>0.57189999999999985</c:v>
                </c:pt>
                <c:pt idx="4">
                  <c:v>2.7600000000000006E-2</c:v>
                </c:pt>
                <c:pt idx="5">
                  <c:v>2.7600000000000006E-2</c:v>
                </c:pt>
                <c:pt idx="6">
                  <c:v>2.7600000000000006E-2</c:v>
                </c:pt>
                <c:pt idx="7">
                  <c:v>2.7600000000000006E-2</c:v>
                </c:pt>
                <c:pt idx="8">
                  <c:v>2.7600000000000006E-2</c:v>
                </c:pt>
                <c:pt idx="9">
                  <c:v>2.7600000000000006E-2</c:v>
                </c:pt>
                <c:pt idx="10">
                  <c:v>2.7600000000000006E-2</c:v>
                </c:pt>
                <c:pt idx="11">
                  <c:v>2.7600000000000006E-2</c:v>
                </c:pt>
                <c:pt idx="12">
                  <c:v>2.7600000000000006E-2</c:v>
                </c:pt>
                <c:pt idx="13">
                  <c:v>2.7600000000000006E-2</c:v>
                </c:pt>
                <c:pt idx="14">
                  <c:v>2.7600000000000006E-2</c:v>
                </c:pt>
                <c:pt idx="15">
                  <c:v>2.7600000000000006E-2</c:v>
                </c:pt>
                <c:pt idx="16">
                  <c:v>2.7600000000000006E-2</c:v>
                </c:pt>
                <c:pt idx="17">
                  <c:v>2.7600000000000006E-2</c:v>
                </c:pt>
                <c:pt idx="18">
                  <c:v>2.7600000000000006E-2</c:v>
                </c:pt>
                <c:pt idx="19">
                  <c:v>2.7600000000000006E-2</c:v>
                </c:pt>
                <c:pt idx="20">
                  <c:v>2.7600000000000006E-2</c:v>
                </c:pt>
                <c:pt idx="21">
                  <c:v>2.7600000000000006E-2</c:v>
                </c:pt>
                <c:pt idx="22">
                  <c:v>2.7600000000000006E-2</c:v>
                </c:pt>
                <c:pt idx="23">
                  <c:v>2.7600000000000006E-2</c:v>
                </c:pt>
                <c:pt idx="24">
                  <c:v>2.7600000000000006E-2</c:v>
                </c:pt>
                <c:pt idx="25">
                  <c:v>2.7600000000000006E-2</c:v>
                </c:pt>
                <c:pt idx="26">
                  <c:v>2.7600000000000006E-2</c:v>
                </c:pt>
                <c:pt idx="27">
                  <c:v>2.7600000000000006E-2</c:v>
                </c:pt>
                <c:pt idx="28">
                  <c:v>2.7600000000000006E-2</c:v>
                </c:pt>
                <c:pt idx="29">
                  <c:v>2.7600000000000006E-2</c:v>
                </c:pt>
                <c:pt idx="30">
                  <c:v>2.7600000000000006E-2</c:v>
                </c:pt>
                <c:pt idx="31">
                  <c:v>2.7600000000000006E-2</c:v>
                </c:pt>
                <c:pt idx="32">
                  <c:v>2.7600000000000006E-2</c:v>
                </c:pt>
                <c:pt idx="33">
                  <c:v>2.7600000000000006E-2</c:v>
                </c:pt>
                <c:pt idx="34">
                  <c:v>2.7600000000000006E-2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B77-4855-A6C8-CF6EB49B7A25}"/>
            </c:ext>
          </c:extLst>
        </c:ser>
        <c:ser>
          <c:idx val="2"/>
          <c:order val="2"/>
          <c:tx>
            <c:strRef>
              <c:f>'Table 3.4-4'!$M$5</c:f>
              <c:strCache>
                <c:ptCount val="1"/>
                <c:pt idx="0">
                  <c:v>Load at 450 GW.h [approx. 2018 GRA load level plus 30 GW.h new mine load]</c:v>
                </c:pt>
              </c:strCache>
            </c:strRef>
          </c:tx>
          <c:spPr>
            <a:ln w="31750">
              <a:prstDash val="sysDash"/>
            </a:ln>
          </c:spPr>
          <c:marker>
            <c:symbol val="none"/>
          </c:marker>
          <c:xVal>
            <c:numRef>
              <c:f>'Table 3.4-4'!$J$7:$J$41</c:f>
              <c:numCache>
                <c:formatCode>0%</c:formatCode>
                <c:ptCount val="35"/>
                <c:pt idx="0">
                  <c:v>2.8571428571428571E-2</c:v>
                </c:pt>
                <c:pt idx="1">
                  <c:v>5.7142857142857141E-2</c:v>
                </c:pt>
                <c:pt idx="2">
                  <c:v>8.5714285714285715E-2</c:v>
                </c:pt>
                <c:pt idx="3">
                  <c:v>0.11428571428571428</c:v>
                </c:pt>
                <c:pt idx="4">
                  <c:v>0.14285714285714285</c:v>
                </c:pt>
                <c:pt idx="5">
                  <c:v>0.17142857142857143</c:v>
                </c:pt>
                <c:pt idx="6">
                  <c:v>0.2</c:v>
                </c:pt>
                <c:pt idx="7">
                  <c:v>0.22857142857142856</c:v>
                </c:pt>
                <c:pt idx="8">
                  <c:v>0.25714285714285712</c:v>
                </c:pt>
                <c:pt idx="9">
                  <c:v>0.2857142857142857</c:v>
                </c:pt>
                <c:pt idx="10">
                  <c:v>0.31428571428571428</c:v>
                </c:pt>
                <c:pt idx="11">
                  <c:v>0.34285714285714286</c:v>
                </c:pt>
                <c:pt idx="12">
                  <c:v>0.37142857142857144</c:v>
                </c:pt>
                <c:pt idx="13">
                  <c:v>0.4</c:v>
                </c:pt>
                <c:pt idx="14">
                  <c:v>0.42857142857142855</c:v>
                </c:pt>
                <c:pt idx="15">
                  <c:v>0.45714285714285713</c:v>
                </c:pt>
                <c:pt idx="16">
                  <c:v>0.48571428571428571</c:v>
                </c:pt>
                <c:pt idx="17">
                  <c:v>0.51428571428571423</c:v>
                </c:pt>
                <c:pt idx="18">
                  <c:v>0.54285714285714282</c:v>
                </c:pt>
                <c:pt idx="19">
                  <c:v>0.5714285714285714</c:v>
                </c:pt>
                <c:pt idx="20">
                  <c:v>0.6</c:v>
                </c:pt>
                <c:pt idx="21">
                  <c:v>0.62857142857142856</c:v>
                </c:pt>
                <c:pt idx="22">
                  <c:v>0.65714285714285714</c:v>
                </c:pt>
                <c:pt idx="23">
                  <c:v>0.68571428571428572</c:v>
                </c:pt>
                <c:pt idx="24">
                  <c:v>0.7142857142857143</c:v>
                </c:pt>
                <c:pt idx="25">
                  <c:v>0.74285714285714288</c:v>
                </c:pt>
                <c:pt idx="26">
                  <c:v>0.77142857142857146</c:v>
                </c:pt>
                <c:pt idx="27">
                  <c:v>0.8</c:v>
                </c:pt>
                <c:pt idx="28">
                  <c:v>0.82857142857142863</c:v>
                </c:pt>
                <c:pt idx="29">
                  <c:v>0.8571428571428571</c:v>
                </c:pt>
                <c:pt idx="30">
                  <c:v>0.88571428571428568</c:v>
                </c:pt>
                <c:pt idx="31">
                  <c:v>0.91428571428571426</c:v>
                </c:pt>
                <c:pt idx="32">
                  <c:v>0.94285714285714284</c:v>
                </c:pt>
                <c:pt idx="33">
                  <c:v>0.97142857142857142</c:v>
                </c:pt>
                <c:pt idx="34">
                  <c:v>1</c:v>
                </c:pt>
              </c:numCache>
            </c:numRef>
          </c:xVal>
          <c:yVal>
            <c:numRef>
              <c:f>'Table 3.4-4'!$M$7:$M$41</c:f>
              <c:numCache>
                <c:formatCode>_-* #,##0.0_-;\-* #,##0.0_-;_-* "-"??_-;_-@_-</c:formatCode>
                <c:ptCount val="35"/>
                <c:pt idx="0">
                  <c:v>116.98365384615386</c:v>
                </c:pt>
                <c:pt idx="1">
                  <c:v>76.788115384615395</c:v>
                </c:pt>
                <c:pt idx="2">
                  <c:v>71.231223076923087</c:v>
                </c:pt>
                <c:pt idx="3">
                  <c:v>70.793584615384603</c:v>
                </c:pt>
                <c:pt idx="4">
                  <c:v>61.239430769230765</c:v>
                </c:pt>
                <c:pt idx="5">
                  <c:v>58.569076923076928</c:v>
                </c:pt>
                <c:pt idx="6">
                  <c:v>54.188623076923093</c:v>
                </c:pt>
                <c:pt idx="7">
                  <c:v>48.028892307692317</c:v>
                </c:pt>
                <c:pt idx="8">
                  <c:v>43.932792307692296</c:v>
                </c:pt>
                <c:pt idx="9">
                  <c:v>35.315846153846159</c:v>
                </c:pt>
                <c:pt idx="10">
                  <c:v>32.442123076923075</c:v>
                </c:pt>
                <c:pt idx="11">
                  <c:v>31.35953846153847</c:v>
                </c:pt>
                <c:pt idx="12">
                  <c:v>31.218976923076912</c:v>
                </c:pt>
                <c:pt idx="13">
                  <c:v>31.000315384615387</c:v>
                </c:pt>
                <c:pt idx="14">
                  <c:v>30.102984615384603</c:v>
                </c:pt>
                <c:pt idx="15">
                  <c:v>27.664207692307691</c:v>
                </c:pt>
                <c:pt idx="16">
                  <c:v>26.52533846153846</c:v>
                </c:pt>
                <c:pt idx="17">
                  <c:v>25.492584615384619</c:v>
                </c:pt>
                <c:pt idx="18">
                  <c:v>24.382676923076925</c:v>
                </c:pt>
                <c:pt idx="19">
                  <c:v>22.713823076923081</c:v>
                </c:pt>
                <c:pt idx="20">
                  <c:v>21.235638461538464</c:v>
                </c:pt>
                <c:pt idx="21">
                  <c:v>14.948215384615382</c:v>
                </c:pt>
                <c:pt idx="22">
                  <c:v>12.927030769230765</c:v>
                </c:pt>
                <c:pt idx="23">
                  <c:v>10.263523076923077</c:v>
                </c:pt>
                <c:pt idx="24">
                  <c:v>4.1213846153846152</c:v>
                </c:pt>
                <c:pt idx="25">
                  <c:v>3.3236153846153851</c:v>
                </c:pt>
                <c:pt idx="26">
                  <c:v>2.8123076923076922</c:v>
                </c:pt>
                <c:pt idx="27">
                  <c:v>2.4520923076923071</c:v>
                </c:pt>
                <c:pt idx="28">
                  <c:v>1.875046153846154</c:v>
                </c:pt>
                <c:pt idx="29">
                  <c:v>1.6416384615384618</c:v>
                </c:pt>
                <c:pt idx="30">
                  <c:v>1.6255923076923078</c:v>
                </c:pt>
                <c:pt idx="31">
                  <c:v>1.0163923076923076</c:v>
                </c:pt>
                <c:pt idx="32">
                  <c:v>0.70820000000000005</c:v>
                </c:pt>
                <c:pt idx="33">
                  <c:v>0.70820000000000005</c:v>
                </c:pt>
                <c:pt idx="34">
                  <c:v>0.70820000000000005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B77-4855-A6C8-CF6EB49B7A25}"/>
            </c:ext>
          </c:extLst>
        </c:ser>
        <c:ser>
          <c:idx val="3"/>
          <c:order val="3"/>
          <c:tx>
            <c:strRef>
              <c:f>'Table 3.4-4'!$N$5</c:f>
              <c:strCache>
                <c:ptCount val="1"/>
                <c:pt idx="0">
                  <c:v>Load at 490 GW.h [approx. 2018 GRA load level plus VG load]</c:v>
                </c:pt>
              </c:strCache>
            </c:strRef>
          </c:tx>
          <c:spPr>
            <a:ln w="41275"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'Table 3.4-4'!$J$7:$J$41</c:f>
              <c:numCache>
                <c:formatCode>0%</c:formatCode>
                <c:ptCount val="35"/>
                <c:pt idx="0">
                  <c:v>2.8571428571428571E-2</c:v>
                </c:pt>
                <c:pt idx="1">
                  <c:v>5.7142857142857141E-2</c:v>
                </c:pt>
                <c:pt idx="2">
                  <c:v>8.5714285714285715E-2</c:v>
                </c:pt>
                <c:pt idx="3">
                  <c:v>0.11428571428571428</c:v>
                </c:pt>
                <c:pt idx="4">
                  <c:v>0.14285714285714285</c:v>
                </c:pt>
                <c:pt idx="5">
                  <c:v>0.17142857142857143</c:v>
                </c:pt>
                <c:pt idx="6">
                  <c:v>0.2</c:v>
                </c:pt>
                <c:pt idx="7">
                  <c:v>0.22857142857142856</c:v>
                </c:pt>
                <c:pt idx="8">
                  <c:v>0.25714285714285712</c:v>
                </c:pt>
                <c:pt idx="9">
                  <c:v>0.2857142857142857</c:v>
                </c:pt>
                <c:pt idx="10">
                  <c:v>0.31428571428571428</c:v>
                </c:pt>
                <c:pt idx="11">
                  <c:v>0.34285714285714286</c:v>
                </c:pt>
                <c:pt idx="12">
                  <c:v>0.37142857142857144</c:v>
                </c:pt>
                <c:pt idx="13">
                  <c:v>0.4</c:v>
                </c:pt>
                <c:pt idx="14">
                  <c:v>0.42857142857142855</c:v>
                </c:pt>
                <c:pt idx="15">
                  <c:v>0.45714285714285713</c:v>
                </c:pt>
                <c:pt idx="16">
                  <c:v>0.48571428571428571</c:v>
                </c:pt>
                <c:pt idx="17">
                  <c:v>0.51428571428571423</c:v>
                </c:pt>
                <c:pt idx="18">
                  <c:v>0.54285714285714282</c:v>
                </c:pt>
                <c:pt idx="19">
                  <c:v>0.5714285714285714</c:v>
                </c:pt>
                <c:pt idx="20">
                  <c:v>0.6</c:v>
                </c:pt>
                <c:pt idx="21">
                  <c:v>0.62857142857142856</c:v>
                </c:pt>
                <c:pt idx="22">
                  <c:v>0.65714285714285714</c:v>
                </c:pt>
                <c:pt idx="23">
                  <c:v>0.68571428571428572</c:v>
                </c:pt>
                <c:pt idx="24">
                  <c:v>0.7142857142857143</c:v>
                </c:pt>
                <c:pt idx="25">
                  <c:v>0.74285714285714288</c:v>
                </c:pt>
                <c:pt idx="26">
                  <c:v>0.77142857142857146</c:v>
                </c:pt>
                <c:pt idx="27">
                  <c:v>0.8</c:v>
                </c:pt>
                <c:pt idx="28">
                  <c:v>0.82857142857142863</c:v>
                </c:pt>
                <c:pt idx="29">
                  <c:v>0.8571428571428571</c:v>
                </c:pt>
                <c:pt idx="30">
                  <c:v>0.88571428571428568</c:v>
                </c:pt>
                <c:pt idx="31">
                  <c:v>0.91428571428571426</c:v>
                </c:pt>
                <c:pt idx="32">
                  <c:v>0.94285714285714284</c:v>
                </c:pt>
                <c:pt idx="33">
                  <c:v>0.97142857142857142</c:v>
                </c:pt>
                <c:pt idx="34">
                  <c:v>1</c:v>
                </c:pt>
              </c:numCache>
            </c:numRef>
          </c:xVal>
          <c:yVal>
            <c:numRef>
              <c:f>'Table 3.4-4'!$N$7:$N$41</c:f>
              <c:numCache>
                <c:formatCode>_-* #,##0.0_-;\-* #,##0.0_-;_-* "-"??_-;_-@_-</c:formatCode>
                <c:ptCount val="35"/>
                <c:pt idx="0">
                  <c:v>125.5052923076923</c:v>
                </c:pt>
                <c:pt idx="1">
                  <c:v>120.36643846153849</c:v>
                </c:pt>
                <c:pt idx="2">
                  <c:v>113.07503846153848</c:v>
                </c:pt>
                <c:pt idx="3">
                  <c:v>105.8979615384615</c:v>
                </c:pt>
                <c:pt idx="4">
                  <c:v>101.60387692307692</c:v>
                </c:pt>
                <c:pt idx="5">
                  <c:v>85.495176923076897</c:v>
                </c:pt>
                <c:pt idx="6">
                  <c:v>66.478815384615388</c:v>
                </c:pt>
                <c:pt idx="7">
                  <c:v>66.155007692307706</c:v>
                </c:pt>
                <c:pt idx="8">
                  <c:v>65.39354615384616</c:v>
                </c:pt>
                <c:pt idx="9">
                  <c:v>64.042553846153851</c:v>
                </c:pt>
                <c:pt idx="10">
                  <c:v>61.863823076923083</c:v>
                </c:pt>
                <c:pt idx="11">
                  <c:v>59.799861538461535</c:v>
                </c:pt>
                <c:pt idx="12">
                  <c:v>59.192184615384612</c:v>
                </c:pt>
                <c:pt idx="13">
                  <c:v>53.336176923076927</c:v>
                </c:pt>
                <c:pt idx="14">
                  <c:v>52.716769230769252</c:v>
                </c:pt>
                <c:pt idx="15">
                  <c:v>51.767700000000005</c:v>
                </c:pt>
                <c:pt idx="16">
                  <c:v>51.089961538461552</c:v>
                </c:pt>
                <c:pt idx="17">
                  <c:v>50.524699999999996</c:v>
                </c:pt>
                <c:pt idx="18">
                  <c:v>50.388476923076929</c:v>
                </c:pt>
                <c:pt idx="19">
                  <c:v>46.73473846153847</c:v>
                </c:pt>
                <c:pt idx="20">
                  <c:v>46.014115384615387</c:v>
                </c:pt>
                <c:pt idx="21">
                  <c:v>44.101561538461553</c:v>
                </c:pt>
                <c:pt idx="22">
                  <c:v>38.142684615384624</c:v>
                </c:pt>
                <c:pt idx="23">
                  <c:v>33.516023076923091</c:v>
                </c:pt>
                <c:pt idx="24">
                  <c:v>28.609830769230758</c:v>
                </c:pt>
                <c:pt idx="25">
                  <c:v>28.569453846153849</c:v>
                </c:pt>
                <c:pt idx="26">
                  <c:v>21.779892307692315</c:v>
                </c:pt>
                <c:pt idx="27">
                  <c:v>20.092761538461534</c:v>
                </c:pt>
                <c:pt idx="28">
                  <c:v>16.008769230769232</c:v>
                </c:pt>
                <c:pt idx="29">
                  <c:v>16.000392307692309</c:v>
                </c:pt>
                <c:pt idx="30">
                  <c:v>12.642915384615382</c:v>
                </c:pt>
                <c:pt idx="31">
                  <c:v>11.388584615384616</c:v>
                </c:pt>
                <c:pt idx="32">
                  <c:v>6.8072307692307668</c:v>
                </c:pt>
                <c:pt idx="33">
                  <c:v>6.2056307692307682</c:v>
                </c:pt>
                <c:pt idx="34">
                  <c:v>5.7728230769230757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BD0-48BB-898D-139608C77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490128"/>
        <c:axId val="768490520"/>
      </c:scatterChart>
      <c:valAx>
        <c:axId val="768490128"/>
        <c:scaling>
          <c:orientation val="minMax"/>
          <c:max val="1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n-US"/>
          </a:p>
        </c:txPr>
        <c:crossAx val="768490520"/>
        <c:crosses val="autoZero"/>
        <c:crossBetween val="midCat"/>
        <c:majorUnit val="5.0000000000000024E-2"/>
      </c:valAx>
      <c:valAx>
        <c:axId val="7684905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CA" sz="1100">
                    <a:latin typeface="Tahoma" pitchFamily="34" charset="0"/>
                    <a:ea typeface="Tahoma" pitchFamily="34" charset="0"/>
                    <a:cs typeface="Tahoma" pitchFamily="34" charset="0"/>
                  </a:rPr>
                  <a:t>Thermal Generation, GW.h/year</a:t>
                </a:r>
              </a:p>
            </c:rich>
          </c:tx>
          <c:layout>
            <c:manualLayout>
              <c:xMode val="edge"/>
              <c:yMode val="edge"/>
              <c:x val="1.8696832851512815E-2"/>
              <c:y val="0.2721332390146316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n-US"/>
          </a:p>
        </c:txPr>
        <c:crossAx val="768490128"/>
        <c:crosses val="autoZero"/>
        <c:crossBetween val="midCat"/>
        <c:majorUnit val="5"/>
      </c:valAx>
    </c:plotArea>
    <c:legend>
      <c:legendPos val="b"/>
      <c:layout>
        <c:manualLayout>
          <c:xMode val="edge"/>
          <c:yMode val="edge"/>
          <c:x val="0.3718402808529348"/>
          <c:y val="0.1053686994865838"/>
          <c:w val="0.56709054755802435"/>
          <c:h val="0.15380403904045142"/>
        </c:manualLayout>
      </c:layout>
      <c:overlay val="0"/>
      <c:txPr>
        <a:bodyPr/>
        <a:lstStyle/>
        <a:p>
          <a:pPr>
            <a:defRPr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218517</xdr:colOff>
      <xdr:row>4</xdr:row>
      <xdr:rowOff>638736</xdr:rowOff>
    </xdr:from>
    <xdr:to>
      <xdr:col>36</xdr:col>
      <xdr:colOff>39221</xdr:colOff>
      <xdr:row>38</xdr:row>
      <xdr:rowOff>11206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0.3006</cdr:x>
      <cdr:y>0.30569</cdr:y>
    </cdr:from>
    <cdr:to>
      <cdr:x>0.83935</cdr:x>
      <cdr:y>0.42574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876654" y="1827538"/>
          <a:ext cx="5155742" cy="717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CA" sz="1400" b="1"/>
            <a:t>Thermal distribution</a:t>
          </a:r>
          <a:r>
            <a:rPr lang="en-CA" sz="1400" b="1" baseline="0"/>
            <a:t> </a:t>
          </a:r>
          <a:r>
            <a:rPr lang="en-CA" sz="1400" b="1"/>
            <a:t>at 490 GW.h Grid Load </a:t>
          </a:r>
        </a:p>
        <a:p xmlns:a="http://schemas.openxmlformats.org/drawingml/2006/main">
          <a:r>
            <a:rPr lang="en-CA" sz="1400" b="1"/>
            <a:t>[approx. 2018 GRA level plus VG at 63 GW.h/yr]</a:t>
          </a:r>
        </a:p>
      </cdr:txBody>
    </cdr:sp>
  </cdr:relSizeAnchor>
  <cdr:relSizeAnchor xmlns:cdr="http://schemas.openxmlformats.org/drawingml/2006/chartDrawing">
    <cdr:from>
      <cdr:x>0.25668</cdr:x>
      <cdr:y>0.34003</cdr:y>
    </cdr:from>
    <cdr:to>
      <cdr:x>0.29581</cdr:x>
      <cdr:y>0.39708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xmlns="" id="{9EA9EFFC-55CA-4796-B2CF-AB6D6B4303F2}"/>
            </a:ext>
          </a:extLst>
        </cdr:cNvPr>
        <cdr:cNvCxnSpPr/>
      </cdr:nvCxnSpPr>
      <cdr:spPr>
        <a:xfrm xmlns:a="http://schemas.openxmlformats.org/drawingml/2006/main" flipH="1">
          <a:off x="2456397" y="2032815"/>
          <a:ext cx="374467" cy="34106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0.18165</cdr:x>
      <cdr:y>0.70212</cdr:y>
    </cdr:from>
    <cdr:to>
      <cdr:x>0.42597</cdr:x>
      <cdr:y>0.86315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1677325" y="4380827"/>
          <a:ext cx="2255938" cy="1004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CA" sz="1400" b="1"/>
            <a:t>Thermal distribution </a:t>
          </a:r>
        </a:p>
        <a:p xmlns:a="http://schemas.openxmlformats.org/drawingml/2006/main">
          <a:r>
            <a:rPr lang="en-CA" sz="1400" b="1"/>
            <a:t>at 380 GW.h  Grid Load</a:t>
          </a:r>
        </a:p>
        <a:p xmlns:a="http://schemas.openxmlformats.org/drawingml/2006/main">
          <a:r>
            <a:rPr lang="en-CA" sz="1400" b="1"/>
            <a:t>[approx 2018 GRA level </a:t>
          </a:r>
        </a:p>
        <a:p xmlns:a="http://schemas.openxmlformats.org/drawingml/2006/main">
          <a:r>
            <a:rPr lang="en-CA" sz="1400" b="1"/>
            <a:t>with no mine]</a:t>
          </a:r>
        </a:p>
      </cdr:txBody>
    </cdr:sp>
  </cdr:relSizeAnchor>
  <cdr:relSizeAnchor xmlns:cdr="http://schemas.openxmlformats.org/drawingml/2006/chartDrawing">
    <cdr:from>
      <cdr:x>0.15105</cdr:x>
      <cdr:y>0.77992</cdr:y>
    </cdr:from>
    <cdr:to>
      <cdr:x>0.18388</cdr:x>
      <cdr:y>0.79139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xmlns="" id="{1CBE8465-D4EF-41D3-9F81-F2D4CEF56735}"/>
            </a:ext>
          </a:extLst>
        </cdr:cNvPr>
        <cdr:cNvCxnSpPr/>
      </cdr:nvCxnSpPr>
      <cdr:spPr>
        <a:xfrm xmlns:a="http://schemas.openxmlformats.org/drawingml/2006/main" flipH="1">
          <a:off x="1343923" y="4527175"/>
          <a:ext cx="292134" cy="665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0.44207</cdr:x>
      <cdr:y>0.68885</cdr:y>
    </cdr:from>
    <cdr:to>
      <cdr:x>0.53806</cdr:x>
      <cdr:y>0.83537</cdr:y>
    </cdr:to>
    <cdr:cxnSp macro="">
      <cdr:nvCxnSpPr>
        <cdr:cNvPr id="18" name="Straight Arrow Connector 17">
          <a:extLst xmlns:a="http://schemas.openxmlformats.org/drawingml/2006/main">
            <a:ext uri="{FF2B5EF4-FFF2-40B4-BE49-F238E27FC236}">
              <a16:creationId xmlns:a16="http://schemas.microsoft.com/office/drawing/2014/main" xmlns="" id="{DD9A5714-554A-43B9-8BC8-D6C307D39AAA}"/>
            </a:ext>
          </a:extLst>
        </cdr:cNvPr>
        <cdr:cNvCxnSpPr/>
      </cdr:nvCxnSpPr>
      <cdr:spPr>
        <a:xfrm xmlns:a="http://schemas.openxmlformats.org/drawingml/2006/main" flipH="1">
          <a:off x="4230532" y="4118161"/>
          <a:ext cx="918569" cy="87596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0.54001</cdr:x>
      <cdr:y>0.63332</cdr:y>
    </cdr:from>
    <cdr:to>
      <cdr:x>0.90284</cdr:x>
      <cdr:y>0.76407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167780" y="3786181"/>
          <a:ext cx="3472218" cy="7816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CA" sz="1400" b="1"/>
            <a:t>Thermal distribution</a:t>
          </a:r>
          <a:r>
            <a:rPr lang="en-CA" sz="1400" b="1" baseline="0"/>
            <a:t> </a:t>
          </a:r>
          <a:r>
            <a:rPr lang="en-CA" sz="1400" b="1"/>
            <a:t>at 420 GW.h Grid Load </a:t>
          </a:r>
        </a:p>
        <a:p xmlns:a="http://schemas.openxmlformats.org/drawingml/2006/main">
          <a:r>
            <a:rPr lang="en-CA" sz="1400" b="1"/>
            <a:t>[approx. 2018 GRA level with Minto mine]</a:t>
          </a:r>
        </a:p>
      </cdr:txBody>
    </cdr:sp>
  </cdr:relSizeAnchor>
  <cdr:relSizeAnchor xmlns:cdr="http://schemas.openxmlformats.org/drawingml/2006/chartDrawing">
    <cdr:from>
      <cdr:x>0.34602</cdr:x>
      <cdr:y>0.52697</cdr:y>
    </cdr:from>
    <cdr:to>
      <cdr:x>0.90706</cdr:x>
      <cdr:y>0.64702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311337" y="3150410"/>
          <a:ext cx="5369030" cy="717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CA" sz="1400" b="1"/>
            <a:t>Thermal distribution</a:t>
          </a:r>
          <a:r>
            <a:rPr lang="en-CA" sz="1400" b="1" baseline="0"/>
            <a:t> </a:t>
          </a:r>
          <a:r>
            <a:rPr lang="en-CA" sz="1400" b="1"/>
            <a:t>at 450 GW.h Grid Load </a:t>
          </a:r>
        </a:p>
        <a:p xmlns:a="http://schemas.openxmlformats.org/drawingml/2006/main">
          <a:r>
            <a:rPr lang="en-CA" sz="1400" b="1"/>
            <a:t>[approx. 2018 GRA level plus 30 GW.h/yr new mine]</a:t>
          </a:r>
        </a:p>
      </cdr:txBody>
    </cdr:sp>
  </cdr:relSizeAnchor>
  <cdr:relSizeAnchor xmlns:cdr="http://schemas.openxmlformats.org/drawingml/2006/chartDrawing">
    <cdr:from>
      <cdr:x>0.30445</cdr:x>
      <cdr:y>0.56701</cdr:y>
    </cdr:from>
    <cdr:to>
      <cdr:x>0.34836</cdr:x>
      <cdr:y>0.60356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xmlns="" id="{9EA9EFFC-55CA-4796-B2CF-AB6D6B4303F2}"/>
            </a:ext>
          </a:extLst>
        </cdr:cNvPr>
        <cdr:cNvCxnSpPr/>
      </cdr:nvCxnSpPr>
      <cdr:spPr>
        <a:xfrm xmlns:a="http://schemas.openxmlformats.org/drawingml/2006/main" flipH="1">
          <a:off x="2913529" y="3389778"/>
          <a:ext cx="420219" cy="21851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25"/>
  <sheetViews>
    <sheetView showGridLines="0" view="pageBreakPreview" topLeftCell="A22" zoomScale="85" zoomScaleNormal="100" zoomScaleSheetLayoutView="85" workbookViewId="0"/>
  </sheetViews>
  <sheetFormatPr defaultColWidth="9.140625" defaultRowHeight="12.75" x14ac:dyDescent="0.2"/>
  <cols>
    <col min="1" max="1" width="5.28515625" style="3" customWidth="1"/>
    <col min="2" max="2" width="12.7109375" style="3" customWidth="1"/>
    <col min="3" max="3" width="11.5703125" style="3" customWidth="1"/>
    <col min="4" max="7" width="13.42578125" style="3" customWidth="1"/>
    <col min="8" max="8" width="4.5703125" style="3" customWidth="1"/>
    <col min="9" max="9" width="5.28515625" style="3" customWidth="1"/>
    <col min="10" max="10" width="10.140625" style="3" customWidth="1"/>
    <col min="11" max="12" width="12.42578125" style="3" customWidth="1"/>
    <col min="13" max="13" width="14.28515625" style="3" customWidth="1"/>
    <col min="14" max="14" width="13.7109375" style="3" customWidth="1"/>
    <col min="15" max="15" width="6.140625" style="3" customWidth="1"/>
    <col min="16" max="18" width="11.42578125" style="3" customWidth="1"/>
    <col min="19" max="16384" width="9.140625" style="3"/>
  </cols>
  <sheetData>
    <row r="2" spans="2:22" ht="19.5" customHeight="1" x14ac:dyDescent="0.2">
      <c r="B2" s="1" t="s">
        <v>63</v>
      </c>
      <c r="C2" s="1"/>
      <c r="D2" s="1"/>
      <c r="E2" s="1"/>
      <c r="F2" s="1"/>
      <c r="G2" s="1"/>
      <c r="H2" s="1"/>
      <c r="I2" s="1"/>
      <c r="J2" s="2"/>
      <c r="K2" s="2"/>
      <c r="L2" s="2"/>
      <c r="M2" s="2"/>
    </row>
    <row r="4" spans="2:22" ht="70.5" customHeight="1" x14ac:dyDescent="0.2">
      <c r="D4" s="37" t="s">
        <v>0</v>
      </c>
      <c r="E4" s="37"/>
      <c r="F4" s="33"/>
      <c r="G4" s="4"/>
      <c r="H4" s="4"/>
      <c r="J4" s="37" t="s">
        <v>1</v>
      </c>
      <c r="K4" s="37"/>
      <c r="L4" s="4"/>
      <c r="M4" s="33"/>
      <c r="O4" s="5"/>
      <c r="P4" s="5"/>
      <c r="Q4" s="5"/>
      <c r="R4" s="5"/>
    </row>
    <row r="5" spans="2:22" ht="97.5" customHeight="1" thickBot="1" x14ac:dyDescent="0.25">
      <c r="B5" s="6" t="s">
        <v>2</v>
      </c>
      <c r="C5" s="6"/>
      <c r="D5" s="6" t="s">
        <v>3</v>
      </c>
      <c r="E5" s="6" t="s">
        <v>4</v>
      </c>
      <c r="F5" s="6" t="s">
        <v>52</v>
      </c>
      <c r="G5" s="6" t="s">
        <v>50</v>
      </c>
      <c r="H5" s="7"/>
      <c r="I5" s="6"/>
      <c r="J5" s="6" t="s">
        <v>5</v>
      </c>
      <c r="K5" s="6" t="s">
        <v>3</v>
      </c>
      <c r="L5" s="6" t="s">
        <v>4</v>
      </c>
      <c r="M5" s="6" t="s">
        <v>52</v>
      </c>
      <c r="N5" s="6" t="s">
        <v>50</v>
      </c>
      <c r="O5" s="5"/>
      <c r="P5" s="5"/>
      <c r="Q5" s="5"/>
      <c r="R5" s="5"/>
      <c r="S5" s="5"/>
    </row>
    <row r="6" spans="2:22" ht="13.5" thickTop="1" x14ac:dyDescent="0.2">
      <c r="H6" s="7"/>
      <c r="J6" s="7"/>
      <c r="K6" s="7"/>
      <c r="L6" s="7"/>
      <c r="O6" s="5"/>
      <c r="P6" s="5"/>
      <c r="Q6" s="5"/>
      <c r="R6" s="5"/>
      <c r="S6" s="5"/>
    </row>
    <row r="7" spans="2:22" x14ac:dyDescent="0.2">
      <c r="B7" s="3">
        <v>1981</v>
      </c>
      <c r="D7" s="8">
        <v>0.24149999999999999</v>
      </c>
      <c r="E7" s="8">
        <v>2.7600000000000006E-2</v>
      </c>
      <c r="F7" s="8">
        <v>0.70820000000000005</v>
      </c>
      <c r="G7" s="8">
        <v>20.092761538461534</v>
      </c>
      <c r="H7" s="8"/>
      <c r="I7" s="3">
        <v>1</v>
      </c>
      <c r="J7" s="9">
        <f>I7/$I$41</f>
        <v>2.8571428571428571E-2</v>
      </c>
      <c r="K7" s="8">
        <v>107.49729999999998</v>
      </c>
      <c r="L7" s="8">
        <v>55.2074</v>
      </c>
      <c r="M7" s="8">
        <v>116.98365384615386</v>
      </c>
      <c r="N7" s="8">
        <v>125.5052923076923</v>
      </c>
      <c r="O7" s="10"/>
      <c r="P7" s="10"/>
      <c r="Q7" s="10"/>
      <c r="R7" s="10"/>
      <c r="V7" s="10"/>
    </row>
    <row r="8" spans="2:22" x14ac:dyDescent="0.2">
      <c r="B8" s="3">
        <f>B7+1</f>
        <v>1982</v>
      </c>
      <c r="D8" s="8">
        <v>0.24149999999999999</v>
      </c>
      <c r="E8" s="8">
        <v>2.7600000000000006E-2</v>
      </c>
      <c r="F8" s="8">
        <v>0.70820000000000005</v>
      </c>
      <c r="G8" s="8">
        <v>51.767700000000005</v>
      </c>
      <c r="H8" s="8"/>
      <c r="I8" s="3">
        <f>I7+1</f>
        <v>2</v>
      </c>
      <c r="J8" s="9">
        <f t="shared" ref="J8:J41" si="0">I8/$I$41</f>
        <v>5.7142857142857141E-2</v>
      </c>
      <c r="K8" s="8">
        <v>58.34046923076923</v>
      </c>
      <c r="L8" s="8">
        <v>18.654399999999999</v>
      </c>
      <c r="M8" s="8">
        <v>76.788115384615395</v>
      </c>
      <c r="N8" s="8">
        <v>120.36643846153849</v>
      </c>
      <c r="O8" s="10"/>
      <c r="P8" s="10"/>
      <c r="Q8" s="10"/>
      <c r="R8" s="10"/>
      <c r="V8" s="10"/>
    </row>
    <row r="9" spans="2:22" x14ac:dyDescent="0.2">
      <c r="B9" s="3">
        <f t="shared" ref="B9:B41" si="1">B8+1</f>
        <v>1983</v>
      </c>
      <c r="D9" s="8">
        <v>0.24149999999999999</v>
      </c>
      <c r="E9" s="8">
        <v>2.7600000000000006E-2</v>
      </c>
      <c r="F9" s="8">
        <v>0.70820000000000005</v>
      </c>
      <c r="G9" s="8">
        <v>52.716769230769252</v>
      </c>
      <c r="H9" s="8"/>
      <c r="I9" s="3">
        <f t="shared" ref="I9:I41" si="2">I8+1</f>
        <v>3</v>
      </c>
      <c r="J9" s="9">
        <f t="shared" si="0"/>
        <v>8.5714285714285715E-2</v>
      </c>
      <c r="K9" s="8">
        <v>53.823599999999992</v>
      </c>
      <c r="L9" s="8">
        <v>6.1127692307692314</v>
      </c>
      <c r="M9" s="8">
        <v>71.231223076923087</v>
      </c>
      <c r="N9" s="8">
        <v>113.07503846153848</v>
      </c>
      <c r="O9" s="10"/>
      <c r="P9" s="10"/>
      <c r="Q9" s="10"/>
      <c r="R9" s="10"/>
      <c r="V9" s="10"/>
    </row>
    <row r="10" spans="2:22" x14ac:dyDescent="0.2">
      <c r="B10" s="3">
        <f t="shared" si="1"/>
        <v>1984</v>
      </c>
      <c r="D10" s="8">
        <v>0.37799999999999995</v>
      </c>
      <c r="E10" s="8">
        <v>2.7600000000000006E-2</v>
      </c>
      <c r="F10" s="8">
        <v>31.000315384615387</v>
      </c>
      <c r="G10" s="8">
        <v>85.495176923076897</v>
      </c>
      <c r="H10" s="8"/>
      <c r="I10" s="3">
        <f t="shared" si="2"/>
        <v>4</v>
      </c>
      <c r="J10" s="9">
        <f t="shared" si="0"/>
        <v>0.11428571428571428</v>
      </c>
      <c r="K10" s="8">
        <v>50.074200000000005</v>
      </c>
      <c r="L10" s="8">
        <v>0.57189999999999985</v>
      </c>
      <c r="M10" s="8">
        <v>70.793584615384603</v>
      </c>
      <c r="N10" s="8">
        <v>105.8979615384615</v>
      </c>
      <c r="O10" s="10"/>
      <c r="P10" s="10"/>
      <c r="Q10" s="10"/>
      <c r="R10" s="10"/>
      <c r="V10" s="10"/>
    </row>
    <row r="11" spans="2:22" x14ac:dyDescent="0.2">
      <c r="B11" s="3">
        <f t="shared" si="1"/>
        <v>1985</v>
      </c>
      <c r="D11" s="8">
        <v>0.26339999999999997</v>
      </c>
      <c r="E11" s="8">
        <v>2.7600000000000006E-2</v>
      </c>
      <c r="F11" s="8">
        <v>43.932792307692296</v>
      </c>
      <c r="G11" s="8">
        <v>66.478815384615388</v>
      </c>
      <c r="H11" s="8"/>
      <c r="I11" s="3">
        <f t="shared" si="2"/>
        <v>5</v>
      </c>
      <c r="J11" s="9">
        <f t="shared" si="0"/>
        <v>0.14285714285714285</v>
      </c>
      <c r="K11" s="8">
        <v>35.396838461538465</v>
      </c>
      <c r="L11" s="8">
        <v>2.7600000000000006E-2</v>
      </c>
      <c r="M11" s="8">
        <v>61.239430769230765</v>
      </c>
      <c r="N11" s="8">
        <v>101.60387692307692</v>
      </c>
      <c r="O11" s="10"/>
      <c r="P11" s="10"/>
      <c r="Q11" s="10"/>
      <c r="R11" s="10"/>
      <c r="S11" s="10"/>
      <c r="V11" s="10"/>
    </row>
    <row r="12" spans="2:22" x14ac:dyDescent="0.2">
      <c r="B12" s="3">
        <f t="shared" si="1"/>
        <v>1986</v>
      </c>
      <c r="D12" s="8">
        <v>0.35170000000000001</v>
      </c>
      <c r="E12" s="8">
        <v>2.7600000000000006E-2</v>
      </c>
      <c r="F12" s="8">
        <v>48.028892307692317</v>
      </c>
      <c r="G12" s="8">
        <v>59.192184615384612</v>
      </c>
      <c r="H12" s="8"/>
      <c r="I12" s="3">
        <f t="shared" si="2"/>
        <v>6</v>
      </c>
      <c r="J12" s="9">
        <f t="shared" si="0"/>
        <v>0.17142857142857143</v>
      </c>
      <c r="K12" s="8">
        <v>33.151576923076931</v>
      </c>
      <c r="L12" s="8">
        <v>2.7600000000000006E-2</v>
      </c>
      <c r="M12" s="8">
        <v>58.569076923076928</v>
      </c>
      <c r="N12" s="8">
        <v>85.495176923076897</v>
      </c>
      <c r="O12" s="10"/>
      <c r="P12" s="10"/>
      <c r="Q12" s="10"/>
      <c r="R12" s="10"/>
      <c r="V12" s="10"/>
    </row>
    <row r="13" spans="2:22" x14ac:dyDescent="0.2">
      <c r="B13" s="3">
        <f t="shared" si="1"/>
        <v>1987</v>
      </c>
      <c r="D13" s="8">
        <v>0.24149999999999999</v>
      </c>
      <c r="E13" s="8">
        <v>2.7600000000000006E-2</v>
      </c>
      <c r="F13" s="8">
        <v>27.664207692307691</v>
      </c>
      <c r="G13" s="8">
        <v>46.014115384615387</v>
      </c>
      <c r="H13" s="8"/>
      <c r="I13" s="3">
        <f t="shared" si="2"/>
        <v>7</v>
      </c>
      <c r="J13" s="9">
        <f t="shared" si="0"/>
        <v>0.2</v>
      </c>
      <c r="K13" s="8">
        <v>31.160699999999999</v>
      </c>
      <c r="L13" s="8">
        <v>2.7600000000000006E-2</v>
      </c>
      <c r="M13" s="8">
        <v>54.188623076923093</v>
      </c>
      <c r="N13" s="8">
        <v>66.478815384615388</v>
      </c>
      <c r="O13" s="10"/>
      <c r="P13" s="10"/>
      <c r="Q13" s="10"/>
      <c r="R13" s="10"/>
      <c r="V13" s="10"/>
    </row>
    <row r="14" spans="2:22" x14ac:dyDescent="0.2">
      <c r="B14" s="3">
        <f t="shared" si="1"/>
        <v>1988</v>
      </c>
      <c r="D14" s="8">
        <v>0.24149999999999999</v>
      </c>
      <c r="E14" s="8">
        <v>2.7600000000000006E-2</v>
      </c>
      <c r="F14" s="8">
        <v>32.442123076923075</v>
      </c>
      <c r="G14" s="8">
        <v>46.73473846153847</v>
      </c>
      <c r="H14" s="8"/>
      <c r="I14" s="3">
        <f t="shared" si="2"/>
        <v>8</v>
      </c>
      <c r="J14" s="9">
        <f t="shared" si="0"/>
        <v>0.22857142857142856</v>
      </c>
      <c r="K14" s="8">
        <v>23.979607692307692</v>
      </c>
      <c r="L14" s="8">
        <v>2.7600000000000006E-2</v>
      </c>
      <c r="M14" s="8">
        <v>48.028892307692317</v>
      </c>
      <c r="N14" s="8">
        <v>66.155007692307706</v>
      </c>
      <c r="O14" s="10"/>
      <c r="P14" s="10"/>
      <c r="Q14" s="10"/>
      <c r="R14" s="10"/>
      <c r="V14" s="10"/>
    </row>
    <row r="15" spans="2:22" x14ac:dyDescent="0.2">
      <c r="B15" s="3">
        <f t="shared" si="1"/>
        <v>1989</v>
      </c>
      <c r="D15" s="8">
        <v>0.24149999999999999</v>
      </c>
      <c r="E15" s="8">
        <v>2.7600000000000006E-2</v>
      </c>
      <c r="F15" s="8">
        <v>12.927030769230765</v>
      </c>
      <c r="G15" s="8">
        <v>21.779892307692315</v>
      </c>
      <c r="H15" s="8"/>
      <c r="I15" s="3">
        <f t="shared" si="2"/>
        <v>9</v>
      </c>
      <c r="J15" s="9">
        <f t="shared" si="0"/>
        <v>0.25714285714285712</v>
      </c>
      <c r="K15" s="8">
        <v>16.6831</v>
      </c>
      <c r="L15" s="8">
        <v>2.7600000000000006E-2</v>
      </c>
      <c r="M15" s="8">
        <v>43.932792307692296</v>
      </c>
      <c r="N15" s="8">
        <v>65.39354615384616</v>
      </c>
      <c r="O15" s="10"/>
      <c r="P15" s="10"/>
      <c r="Q15" s="10"/>
      <c r="R15" s="10"/>
      <c r="V15" s="10"/>
    </row>
    <row r="16" spans="2:22" x14ac:dyDescent="0.2">
      <c r="B16" s="3">
        <f t="shared" si="1"/>
        <v>1990</v>
      </c>
      <c r="D16" s="8">
        <v>0.24149999999999999</v>
      </c>
      <c r="E16" s="8">
        <v>2.7600000000000006E-2</v>
      </c>
      <c r="F16" s="8">
        <v>14.948215384615382</v>
      </c>
      <c r="G16" s="8">
        <v>33.516023076923091</v>
      </c>
      <c r="H16" s="8"/>
      <c r="I16" s="3">
        <f t="shared" si="2"/>
        <v>10</v>
      </c>
      <c r="J16" s="9">
        <f t="shared" si="0"/>
        <v>0.2857142857142857</v>
      </c>
      <c r="K16" s="8">
        <v>14.192907692307692</v>
      </c>
      <c r="L16" s="8">
        <v>2.7600000000000006E-2</v>
      </c>
      <c r="M16" s="8">
        <v>35.315846153846159</v>
      </c>
      <c r="N16" s="8">
        <v>64.042553846153851</v>
      </c>
      <c r="O16" s="10"/>
      <c r="P16" s="10"/>
      <c r="Q16" s="10"/>
      <c r="R16" s="10"/>
      <c r="V16" s="10"/>
    </row>
    <row r="17" spans="2:22" x14ac:dyDescent="0.2">
      <c r="B17" s="3">
        <f t="shared" si="1"/>
        <v>1991</v>
      </c>
      <c r="D17" s="8">
        <v>0.24149999999999999</v>
      </c>
      <c r="E17" s="8">
        <v>2.7600000000000006E-2</v>
      </c>
      <c r="F17" s="8">
        <v>3.3236153846153851</v>
      </c>
      <c r="G17" s="8">
        <v>16.000392307692309</v>
      </c>
      <c r="H17" s="8"/>
      <c r="I17" s="3">
        <f t="shared" si="2"/>
        <v>11</v>
      </c>
      <c r="J17" s="9">
        <f t="shared" si="0"/>
        <v>0.31428571428571428</v>
      </c>
      <c r="K17" s="8">
        <v>13.839961538461537</v>
      </c>
      <c r="L17" s="8">
        <v>2.7600000000000006E-2</v>
      </c>
      <c r="M17" s="8">
        <v>32.442123076923075</v>
      </c>
      <c r="N17" s="8">
        <v>61.863823076923083</v>
      </c>
      <c r="O17" s="10"/>
      <c r="P17" s="10"/>
      <c r="Q17" s="10"/>
      <c r="R17" s="10"/>
      <c r="V17" s="10"/>
    </row>
    <row r="18" spans="2:22" x14ac:dyDescent="0.2">
      <c r="B18" s="3">
        <f t="shared" si="1"/>
        <v>1992</v>
      </c>
      <c r="D18" s="8">
        <v>0.24149999999999999</v>
      </c>
      <c r="E18" s="8">
        <v>2.7600000000000006E-2</v>
      </c>
      <c r="F18" s="8">
        <v>1.6416384615384618</v>
      </c>
      <c r="G18" s="8">
        <v>5.7728230769230757</v>
      </c>
      <c r="H18" s="8"/>
      <c r="I18" s="3">
        <f t="shared" si="2"/>
        <v>12</v>
      </c>
      <c r="J18" s="9">
        <f t="shared" si="0"/>
        <v>0.34285714285714286</v>
      </c>
      <c r="K18" s="8">
        <v>12.581207692307691</v>
      </c>
      <c r="L18" s="8">
        <v>2.7600000000000006E-2</v>
      </c>
      <c r="M18" s="8">
        <v>31.35953846153847</v>
      </c>
      <c r="N18" s="8">
        <v>59.799861538461535</v>
      </c>
      <c r="O18" s="10"/>
      <c r="P18" s="10"/>
      <c r="Q18" s="10"/>
      <c r="R18" s="10"/>
      <c r="T18" s="11"/>
      <c r="V18" s="10"/>
    </row>
    <row r="19" spans="2:22" x14ac:dyDescent="0.2">
      <c r="B19" s="3">
        <f t="shared" si="1"/>
        <v>1993</v>
      </c>
      <c r="D19" s="8">
        <v>0.24149999999999999</v>
      </c>
      <c r="E19" s="8">
        <v>2.7600000000000006E-2</v>
      </c>
      <c r="F19" s="8">
        <v>2.8123076923076922</v>
      </c>
      <c r="G19" s="8">
        <v>12.642915384615382</v>
      </c>
      <c r="H19" s="8"/>
      <c r="I19" s="3">
        <f t="shared" si="2"/>
        <v>13</v>
      </c>
      <c r="J19" s="9">
        <f t="shared" si="0"/>
        <v>0.37142857142857144</v>
      </c>
      <c r="K19" s="8">
        <v>11.397730769230769</v>
      </c>
      <c r="L19" s="8">
        <v>2.7600000000000006E-2</v>
      </c>
      <c r="M19" s="8">
        <v>31.218976923076912</v>
      </c>
      <c r="N19" s="8">
        <v>59.192184615384612</v>
      </c>
      <c r="O19" s="10"/>
      <c r="P19" s="10"/>
      <c r="Q19" s="10"/>
      <c r="R19" s="10"/>
      <c r="S19" s="11"/>
      <c r="T19" s="11"/>
      <c r="V19" s="10"/>
    </row>
    <row r="20" spans="2:22" x14ac:dyDescent="0.2">
      <c r="B20" s="3">
        <f t="shared" si="1"/>
        <v>1994</v>
      </c>
      <c r="D20" s="8">
        <v>0.24149999999999999</v>
      </c>
      <c r="E20" s="8">
        <v>2.7600000000000006E-2</v>
      </c>
      <c r="F20" s="8">
        <v>2.4520923076923071</v>
      </c>
      <c r="G20" s="8">
        <v>50.524699999999996</v>
      </c>
      <c r="H20" s="8"/>
      <c r="I20" s="3">
        <f t="shared" si="2"/>
        <v>14</v>
      </c>
      <c r="J20" s="9">
        <f t="shared" si="0"/>
        <v>0.4</v>
      </c>
      <c r="K20" s="8">
        <v>6.4780999999999995</v>
      </c>
      <c r="L20" s="8">
        <v>2.7600000000000006E-2</v>
      </c>
      <c r="M20" s="8">
        <v>31.000315384615387</v>
      </c>
      <c r="N20" s="8">
        <v>53.336176923076927</v>
      </c>
      <c r="O20" s="10"/>
      <c r="P20" s="10"/>
      <c r="Q20" s="10"/>
      <c r="R20" s="10"/>
      <c r="V20" s="10"/>
    </row>
    <row r="21" spans="2:22" x14ac:dyDescent="0.2">
      <c r="B21" s="3">
        <f t="shared" si="1"/>
        <v>1995</v>
      </c>
      <c r="D21" s="8">
        <v>6.4780999999999995</v>
      </c>
      <c r="E21" s="8">
        <v>2.7600000000000006E-2</v>
      </c>
      <c r="F21" s="8">
        <v>61.239430769230765</v>
      </c>
      <c r="G21" s="8">
        <v>113.07503846153848</v>
      </c>
      <c r="H21" s="8"/>
      <c r="I21" s="3">
        <f t="shared" si="2"/>
        <v>15</v>
      </c>
      <c r="J21" s="9">
        <f t="shared" si="0"/>
        <v>0.42857142857142855</v>
      </c>
      <c r="K21" s="8">
        <v>5.0805461538461545</v>
      </c>
      <c r="L21" s="8">
        <v>2.7600000000000006E-2</v>
      </c>
      <c r="M21" s="8">
        <v>30.102984615384603</v>
      </c>
      <c r="N21" s="8">
        <v>52.716769230769252</v>
      </c>
      <c r="O21" s="10"/>
      <c r="P21" s="10"/>
      <c r="Q21" s="10"/>
      <c r="R21" s="10"/>
      <c r="V21" s="10"/>
    </row>
    <row r="22" spans="2:22" x14ac:dyDescent="0.2">
      <c r="B22" s="3">
        <f t="shared" si="1"/>
        <v>1996</v>
      </c>
      <c r="D22" s="8">
        <v>50.074200000000005</v>
      </c>
      <c r="E22" s="8">
        <v>2.7600000000000006E-2</v>
      </c>
      <c r="F22" s="8">
        <v>71.231223076923087</v>
      </c>
      <c r="G22" s="8">
        <v>120.36643846153849</v>
      </c>
      <c r="H22" s="8"/>
      <c r="I22" s="3">
        <f t="shared" si="2"/>
        <v>16</v>
      </c>
      <c r="J22" s="9">
        <f t="shared" si="0"/>
        <v>0.45714285714285713</v>
      </c>
      <c r="K22" s="8">
        <v>3.7116615384615388</v>
      </c>
      <c r="L22" s="8">
        <v>2.7600000000000006E-2</v>
      </c>
      <c r="M22" s="8">
        <v>27.664207692307691</v>
      </c>
      <c r="N22" s="8">
        <v>51.767700000000005</v>
      </c>
      <c r="O22" s="10"/>
      <c r="P22" s="10"/>
      <c r="Q22" s="10"/>
      <c r="R22" s="10"/>
      <c r="V22" s="10"/>
    </row>
    <row r="23" spans="2:22" x14ac:dyDescent="0.2">
      <c r="B23" s="3">
        <f t="shared" si="1"/>
        <v>1997</v>
      </c>
      <c r="D23" s="8">
        <v>53.823599999999992</v>
      </c>
      <c r="E23" s="8">
        <v>18.654399999999999</v>
      </c>
      <c r="F23" s="8">
        <v>76.788115384615395</v>
      </c>
      <c r="G23" s="8">
        <v>101.60387692307692</v>
      </c>
      <c r="H23" s="8"/>
      <c r="I23" s="3">
        <f t="shared" si="2"/>
        <v>17</v>
      </c>
      <c r="J23" s="9">
        <f t="shared" si="0"/>
        <v>0.48571428571428571</v>
      </c>
      <c r="K23" s="8">
        <v>1.9132923076923078</v>
      </c>
      <c r="L23" s="8">
        <v>2.7600000000000006E-2</v>
      </c>
      <c r="M23" s="8">
        <v>26.52533846153846</v>
      </c>
      <c r="N23" s="8">
        <v>51.089961538461552</v>
      </c>
      <c r="O23" s="10"/>
      <c r="P23" s="10"/>
      <c r="Q23" s="10"/>
      <c r="R23" s="10"/>
      <c r="V23" s="10"/>
    </row>
    <row r="24" spans="2:22" x14ac:dyDescent="0.2">
      <c r="B24" s="3">
        <f t="shared" si="1"/>
        <v>1998</v>
      </c>
      <c r="D24" s="8">
        <v>31.160699999999999</v>
      </c>
      <c r="E24" s="8">
        <v>0.57189999999999985</v>
      </c>
      <c r="F24" s="8">
        <v>70.793584615384603</v>
      </c>
      <c r="G24" s="8">
        <v>105.8979615384615</v>
      </c>
      <c r="H24" s="8"/>
      <c r="I24" s="3">
        <f t="shared" si="2"/>
        <v>18</v>
      </c>
      <c r="J24" s="9">
        <f t="shared" si="0"/>
        <v>0.51428571428571423</v>
      </c>
      <c r="K24" s="8">
        <v>1.6283461538461539</v>
      </c>
      <c r="L24" s="8">
        <v>2.7600000000000006E-2</v>
      </c>
      <c r="M24" s="8">
        <v>25.492584615384619</v>
      </c>
      <c r="N24" s="8">
        <v>50.524699999999996</v>
      </c>
      <c r="O24" s="10"/>
      <c r="P24" s="10"/>
      <c r="Q24" s="10"/>
      <c r="R24" s="10"/>
      <c r="V24" s="10"/>
    </row>
    <row r="25" spans="2:22" x14ac:dyDescent="0.2">
      <c r="B25" s="3">
        <f t="shared" si="1"/>
        <v>1999</v>
      </c>
      <c r="D25" s="8">
        <v>107.49729999999998</v>
      </c>
      <c r="E25" s="8">
        <v>55.2074</v>
      </c>
      <c r="F25" s="8">
        <v>116.98365384615386</v>
      </c>
      <c r="G25" s="8">
        <v>125.5052923076923</v>
      </c>
      <c r="H25" s="8"/>
      <c r="I25" s="3">
        <f t="shared" si="2"/>
        <v>19</v>
      </c>
      <c r="J25" s="9">
        <f t="shared" si="0"/>
        <v>0.54285714285714282</v>
      </c>
      <c r="K25" s="8">
        <v>0.37799999999999995</v>
      </c>
      <c r="L25" s="8">
        <v>2.7600000000000006E-2</v>
      </c>
      <c r="M25" s="8">
        <v>24.382676923076925</v>
      </c>
      <c r="N25" s="8">
        <v>50.388476923076929</v>
      </c>
      <c r="O25" s="10"/>
      <c r="P25" s="10"/>
      <c r="Q25" s="10"/>
      <c r="R25" s="10"/>
      <c r="V25" s="10"/>
    </row>
    <row r="26" spans="2:22" x14ac:dyDescent="0.2">
      <c r="B26" s="3">
        <f t="shared" si="1"/>
        <v>2000</v>
      </c>
      <c r="D26" s="8">
        <v>58.34046923076923</v>
      </c>
      <c r="E26" s="8">
        <v>2.7600000000000006E-2</v>
      </c>
      <c r="F26" s="8">
        <v>58.569076923076928</v>
      </c>
      <c r="G26" s="8">
        <v>59.799861538461535</v>
      </c>
      <c r="H26" s="8"/>
      <c r="I26" s="3">
        <f t="shared" si="2"/>
        <v>20</v>
      </c>
      <c r="J26" s="9">
        <f t="shared" si="0"/>
        <v>0.5714285714285714</v>
      </c>
      <c r="K26" s="8">
        <v>0.35170000000000001</v>
      </c>
      <c r="L26" s="8">
        <v>2.7600000000000006E-2</v>
      </c>
      <c r="M26" s="8">
        <v>22.713823076923081</v>
      </c>
      <c r="N26" s="8">
        <v>46.73473846153847</v>
      </c>
      <c r="O26" s="10"/>
      <c r="P26" s="10"/>
      <c r="Q26" s="10"/>
      <c r="R26" s="10"/>
      <c r="V26" s="10"/>
    </row>
    <row r="27" spans="2:22" x14ac:dyDescent="0.2">
      <c r="B27" s="3">
        <f t="shared" si="1"/>
        <v>2001</v>
      </c>
      <c r="D27" s="8">
        <v>35.396838461538465</v>
      </c>
      <c r="E27" s="8">
        <v>2.7600000000000006E-2</v>
      </c>
      <c r="F27" s="8">
        <v>24.382676923076925</v>
      </c>
      <c r="G27" s="8">
        <v>28.569453846153849</v>
      </c>
      <c r="H27" s="8"/>
      <c r="I27" s="3">
        <f t="shared" si="2"/>
        <v>21</v>
      </c>
      <c r="J27" s="9">
        <f t="shared" si="0"/>
        <v>0.6</v>
      </c>
      <c r="K27" s="8">
        <v>0.26339999999999997</v>
      </c>
      <c r="L27" s="8">
        <v>2.7600000000000006E-2</v>
      </c>
      <c r="M27" s="8">
        <v>21.235638461538464</v>
      </c>
      <c r="N27" s="8">
        <v>46.014115384615387</v>
      </c>
      <c r="O27" s="10"/>
      <c r="P27" s="10"/>
      <c r="Q27" s="10"/>
      <c r="R27" s="10"/>
      <c r="V27" s="10"/>
    </row>
    <row r="28" spans="2:22" x14ac:dyDescent="0.2">
      <c r="B28" s="3">
        <f t="shared" si="1"/>
        <v>2002</v>
      </c>
      <c r="D28" s="8">
        <v>23.979607692307692</v>
      </c>
      <c r="E28" s="8">
        <v>2.7600000000000006E-2</v>
      </c>
      <c r="F28" s="8">
        <v>31.35953846153847</v>
      </c>
      <c r="G28" s="8">
        <v>38.142684615384624</v>
      </c>
      <c r="H28" s="8"/>
      <c r="I28" s="3">
        <f t="shared" si="2"/>
        <v>22</v>
      </c>
      <c r="J28" s="9">
        <f t="shared" si="0"/>
        <v>0.62857142857142856</v>
      </c>
      <c r="K28" s="8">
        <v>0.24149999999999999</v>
      </c>
      <c r="L28" s="8">
        <v>2.7600000000000006E-2</v>
      </c>
      <c r="M28" s="8">
        <v>14.948215384615382</v>
      </c>
      <c r="N28" s="8">
        <v>44.101561538461553</v>
      </c>
      <c r="O28" s="10"/>
      <c r="P28" s="10"/>
      <c r="Q28" s="10"/>
      <c r="R28" s="10"/>
      <c r="V28" s="10"/>
    </row>
    <row r="29" spans="2:22" x14ac:dyDescent="0.2">
      <c r="B29" s="3">
        <f t="shared" si="1"/>
        <v>2003</v>
      </c>
      <c r="D29" s="8">
        <v>14.192907692307692</v>
      </c>
      <c r="E29" s="8">
        <v>2.7600000000000006E-2</v>
      </c>
      <c r="F29" s="8">
        <v>30.102984615384603</v>
      </c>
      <c r="G29" s="8">
        <v>65.39354615384616</v>
      </c>
      <c r="H29" s="8"/>
      <c r="I29" s="3">
        <f t="shared" si="2"/>
        <v>23</v>
      </c>
      <c r="J29" s="9">
        <f t="shared" si="0"/>
        <v>0.65714285714285714</v>
      </c>
      <c r="K29" s="8">
        <v>0.24149999999999999</v>
      </c>
      <c r="L29" s="8">
        <v>2.7600000000000006E-2</v>
      </c>
      <c r="M29" s="8">
        <v>12.927030769230765</v>
      </c>
      <c r="N29" s="8">
        <v>38.142684615384624</v>
      </c>
      <c r="O29" s="10"/>
      <c r="P29" s="10"/>
      <c r="Q29" s="10"/>
      <c r="R29" s="10"/>
      <c r="V29" s="10"/>
    </row>
    <row r="30" spans="2:22" x14ac:dyDescent="0.2">
      <c r="B30" s="3">
        <f t="shared" si="1"/>
        <v>2004</v>
      </c>
      <c r="D30" s="8">
        <v>33.151576923076931</v>
      </c>
      <c r="E30" s="8">
        <v>6.1127692307692314</v>
      </c>
      <c r="F30" s="8">
        <v>54.188623076923093</v>
      </c>
      <c r="G30" s="8">
        <v>66.155007692307706</v>
      </c>
      <c r="H30" s="8"/>
      <c r="I30" s="3">
        <f t="shared" si="2"/>
        <v>24</v>
      </c>
      <c r="J30" s="9">
        <f t="shared" si="0"/>
        <v>0.68571428571428572</v>
      </c>
      <c r="K30" s="8">
        <v>0.24149999999999999</v>
      </c>
      <c r="L30" s="8">
        <v>2.7600000000000006E-2</v>
      </c>
      <c r="M30" s="8">
        <v>10.263523076923077</v>
      </c>
      <c r="N30" s="8">
        <v>33.516023076923091</v>
      </c>
      <c r="O30" s="10"/>
      <c r="P30" s="10"/>
      <c r="Q30" s="10"/>
      <c r="R30" s="10"/>
      <c r="V30" s="10"/>
    </row>
    <row r="31" spans="2:22" x14ac:dyDescent="0.2">
      <c r="B31" s="3">
        <f t="shared" si="1"/>
        <v>2005</v>
      </c>
      <c r="D31" s="8">
        <v>16.6831</v>
      </c>
      <c r="E31" s="8">
        <v>2.7600000000000006E-2</v>
      </c>
      <c r="F31" s="8">
        <v>21.235638461538464</v>
      </c>
      <c r="G31" s="8">
        <v>64.042553846153851</v>
      </c>
      <c r="H31" s="8"/>
      <c r="I31" s="3">
        <f t="shared" si="2"/>
        <v>25</v>
      </c>
      <c r="J31" s="9">
        <f t="shared" si="0"/>
        <v>0.7142857142857143</v>
      </c>
      <c r="K31" s="8">
        <v>0.24149999999999999</v>
      </c>
      <c r="L31" s="8">
        <v>2.7600000000000006E-2</v>
      </c>
      <c r="M31" s="8">
        <v>4.1213846153846152</v>
      </c>
      <c r="N31" s="8">
        <v>28.609830769230758</v>
      </c>
      <c r="O31" s="10"/>
      <c r="P31" s="10"/>
      <c r="Q31" s="10"/>
      <c r="R31" s="10"/>
      <c r="V31" s="10"/>
    </row>
    <row r="32" spans="2:22" x14ac:dyDescent="0.2">
      <c r="B32" s="3">
        <f t="shared" si="1"/>
        <v>2006</v>
      </c>
      <c r="D32" s="8">
        <v>12.581207692307691</v>
      </c>
      <c r="E32" s="8">
        <v>2.7600000000000006E-2</v>
      </c>
      <c r="F32" s="8">
        <v>25.492584615384619</v>
      </c>
      <c r="G32" s="8">
        <v>61.863823076923083</v>
      </c>
      <c r="H32" s="8"/>
      <c r="I32" s="3">
        <f t="shared" si="2"/>
        <v>26</v>
      </c>
      <c r="J32" s="9">
        <f t="shared" si="0"/>
        <v>0.74285714285714288</v>
      </c>
      <c r="K32" s="8">
        <v>0.24149999999999999</v>
      </c>
      <c r="L32" s="8">
        <v>2.7600000000000006E-2</v>
      </c>
      <c r="M32" s="8">
        <v>3.3236153846153851</v>
      </c>
      <c r="N32" s="8">
        <v>28.569453846153849</v>
      </c>
      <c r="O32" s="10"/>
      <c r="P32" s="10"/>
      <c r="Q32" s="10"/>
      <c r="R32" s="10"/>
      <c r="V32" s="10"/>
    </row>
    <row r="33" spans="2:22" x14ac:dyDescent="0.2">
      <c r="B33" s="3">
        <f t="shared" si="1"/>
        <v>2007</v>
      </c>
      <c r="D33" s="8">
        <v>13.839961538461537</v>
      </c>
      <c r="E33" s="8">
        <v>2.7600000000000006E-2</v>
      </c>
      <c r="F33" s="8">
        <v>35.315846153846159</v>
      </c>
      <c r="G33" s="8">
        <v>53.336176923076927</v>
      </c>
      <c r="H33" s="8"/>
      <c r="I33" s="3">
        <f t="shared" si="2"/>
        <v>27</v>
      </c>
      <c r="J33" s="9">
        <f t="shared" si="0"/>
        <v>0.77142857142857146</v>
      </c>
      <c r="K33" s="8">
        <v>0.24149999999999999</v>
      </c>
      <c r="L33" s="8">
        <v>2.7600000000000006E-2</v>
      </c>
      <c r="M33" s="8">
        <v>2.8123076923076922</v>
      </c>
      <c r="N33" s="8">
        <v>21.779892307692315</v>
      </c>
      <c r="O33" s="10"/>
      <c r="P33" s="10"/>
      <c r="Q33" s="10"/>
      <c r="R33" s="10"/>
      <c r="V33" s="10"/>
    </row>
    <row r="34" spans="2:22" x14ac:dyDescent="0.2">
      <c r="B34" s="3">
        <f t="shared" si="1"/>
        <v>2008</v>
      </c>
      <c r="D34" s="8">
        <v>11.397730769230769</v>
      </c>
      <c r="E34" s="8">
        <v>2.7600000000000006E-2</v>
      </c>
      <c r="F34" s="8">
        <v>22.713823076923081</v>
      </c>
      <c r="G34" s="8">
        <v>44.101561538461553</v>
      </c>
      <c r="H34" s="8"/>
      <c r="I34" s="3">
        <f t="shared" si="2"/>
        <v>28</v>
      </c>
      <c r="J34" s="9">
        <f t="shared" si="0"/>
        <v>0.8</v>
      </c>
      <c r="K34" s="8">
        <v>0.24149999999999999</v>
      </c>
      <c r="L34" s="8">
        <v>2.7600000000000006E-2</v>
      </c>
      <c r="M34" s="8">
        <v>2.4520923076923071</v>
      </c>
      <c r="N34" s="8">
        <v>20.092761538461534</v>
      </c>
      <c r="O34" s="10"/>
      <c r="P34" s="10"/>
      <c r="Q34" s="10"/>
      <c r="R34" s="10"/>
      <c r="V34" s="10"/>
    </row>
    <row r="35" spans="2:22" x14ac:dyDescent="0.2">
      <c r="B35" s="3">
        <f t="shared" si="1"/>
        <v>2009</v>
      </c>
      <c r="D35" s="8">
        <v>1.9132923076923078</v>
      </c>
      <c r="E35" s="8">
        <v>2.7600000000000006E-2</v>
      </c>
      <c r="F35" s="8">
        <v>10.263523076923077</v>
      </c>
      <c r="G35" s="8">
        <v>28.609830769230758</v>
      </c>
      <c r="H35" s="8"/>
      <c r="I35" s="3">
        <f t="shared" si="2"/>
        <v>29</v>
      </c>
      <c r="J35" s="9">
        <f t="shared" si="0"/>
        <v>0.82857142857142863</v>
      </c>
      <c r="K35" s="8">
        <v>0.24149999999999999</v>
      </c>
      <c r="L35" s="8">
        <v>2.7600000000000006E-2</v>
      </c>
      <c r="M35" s="8">
        <v>1.875046153846154</v>
      </c>
      <c r="N35" s="8">
        <v>16.008769230769232</v>
      </c>
      <c r="O35" s="10"/>
      <c r="P35" s="10"/>
      <c r="Q35" s="10"/>
      <c r="R35" s="10"/>
      <c r="V35" s="10"/>
    </row>
    <row r="36" spans="2:22" x14ac:dyDescent="0.2">
      <c r="B36" s="3">
        <f t="shared" si="1"/>
        <v>2010</v>
      </c>
      <c r="D36" s="8">
        <v>5.0805461538461545</v>
      </c>
      <c r="E36" s="8">
        <v>2.7600000000000006E-2</v>
      </c>
      <c r="F36" s="8">
        <v>31.218976923076912</v>
      </c>
      <c r="G36" s="8">
        <v>50.388476923076929</v>
      </c>
      <c r="H36" s="8"/>
      <c r="I36" s="3">
        <f t="shared" si="2"/>
        <v>30</v>
      </c>
      <c r="J36" s="9">
        <f t="shared" si="0"/>
        <v>0.8571428571428571</v>
      </c>
      <c r="K36" s="8">
        <v>0.24149999999999999</v>
      </c>
      <c r="L36" s="8">
        <v>2.7600000000000006E-2</v>
      </c>
      <c r="M36" s="8">
        <v>1.6416384615384618</v>
      </c>
      <c r="N36" s="8">
        <v>16.000392307692309</v>
      </c>
      <c r="O36" s="10"/>
      <c r="P36" s="10"/>
      <c r="Q36" s="10"/>
      <c r="R36" s="10"/>
      <c r="V36" s="10"/>
    </row>
    <row r="37" spans="2:22" x14ac:dyDescent="0.2">
      <c r="B37" s="3">
        <f t="shared" si="1"/>
        <v>2011</v>
      </c>
      <c r="D37" s="8">
        <v>3.7116615384615388</v>
      </c>
      <c r="E37" s="8">
        <v>2.7600000000000006E-2</v>
      </c>
      <c r="F37" s="8">
        <v>26.52533846153846</v>
      </c>
      <c r="G37" s="8">
        <v>51.089961538461552</v>
      </c>
      <c r="H37" s="8"/>
      <c r="I37" s="3">
        <f t="shared" si="2"/>
        <v>31</v>
      </c>
      <c r="J37" s="9">
        <f t="shared" si="0"/>
        <v>0.88571428571428568</v>
      </c>
      <c r="K37" s="8">
        <v>0.24149999999999999</v>
      </c>
      <c r="L37" s="8">
        <v>2.7600000000000006E-2</v>
      </c>
      <c r="M37" s="8">
        <v>1.6255923076923078</v>
      </c>
      <c r="N37" s="8">
        <v>12.642915384615382</v>
      </c>
      <c r="O37" s="10"/>
      <c r="P37" s="10"/>
      <c r="Q37" s="10"/>
      <c r="R37" s="10"/>
      <c r="V37" s="10"/>
    </row>
    <row r="38" spans="2:22" x14ac:dyDescent="0.2">
      <c r="B38" s="3">
        <f t="shared" si="1"/>
        <v>2012</v>
      </c>
      <c r="D38" s="8">
        <v>1.6283461538461539</v>
      </c>
      <c r="E38" s="8">
        <v>2.7600000000000006E-2</v>
      </c>
      <c r="F38" s="8">
        <v>4.1213846153846152</v>
      </c>
      <c r="G38" s="8">
        <v>16.008769230769232</v>
      </c>
      <c r="H38" s="8"/>
      <c r="I38" s="3">
        <f t="shared" si="2"/>
        <v>32</v>
      </c>
      <c r="J38" s="9">
        <f t="shared" si="0"/>
        <v>0.91428571428571426</v>
      </c>
      <c r="K38" s="8">
        <v>0.24149999999999999</v>
      </c>
      <c r="L38" s="8">
        <v>2.7600000000000006E-2</v>
      </c>
      <c r="M38" s="8">
        <v>1.0163923076923076</v>
      </c>
      <c r="N38" s="8">
        <v>11.388584615384616</v>
      </c>
      <c r="O38" s="10"/>
      <c r="P38" s="10"/>
      <c r="Q38" s="10"/>
      <c r="R38" s="10"/>
      <c r="V38" s="10"/>
    </row>
    <row r="39" spans="2:22" x14ac:dyDescent="0.2">
      <c r="B39" s="3">
        <f t="shared" si="1"/>
        <v>2013</v>
      </c>
      <c r="D39" s="8">
        <v>0.24149999999999999</v>
      </c>
      <c r="E39" s="8">
        <v>2.7600000000000006E-2</v>
      </c>
      <c r="F39" s="8">
        <v>1.6255923076923078</v>
      </c>
      <c r="G39" s="8">
        <v>6.2056307692307682</v>
      </c>
      <c r="H39" s="8"/>
      <c r="I39" s="3">
        <f t="shared" si="2"/>
        <v>33</v>
      </c>
      <c r="J39" s="9">
        <f t="shared" si="0"/>
        <v>0.94285714285714284</v>
      </c>
      <c r="K39" s="8">
        <v>0.24149999999999999</v>
      </c>
      <c r="L39" s="8">
        <v>2.7600000000000006E-2</v>
      </c>
      <c r="M39" s="8">
        <v>0.70820000000000005</v>
      </c>
      <c r="N39" s="8">
        <v>6.8072307692307668</v>
      </c>
      <c r="O39" s="10"/>
      <c r="P39" s="10"/>
      <c r="Q39" s="10"/>
      <c r="R39" s="10"/>
      <c r="V39" s="10"/>
    </row>
    <row r="40" spans="2:22" x14ac:dyDescent="0.2">
      <c r="B40" s="3">
        <f t="shared" si="1"/>
        <v>2014</v>
      </c>
      <c r="D40" s="8">
        <v>0.24149999999999999</v>
      </c>
      <c r="E40" s="8">
        <v>2.7600000000000006E-2</v>
      </c>
      <c r="F40" s="8">
        <v>1.0163923076923076</v>
      </c>
      <c r="G40" s="8">
        <v>6.8072307692307668</v>
      </c>
      <c r="H40" s="8"/>
      <c r="I40" s="3">
        <f t="shared" si="2"/>
        <v>34</v>
      </c>
      <c r="J40" s="9">
        <f t="shared" si="0"/>
        <v>0.97142857142857142</v>
      </c>
      <c r="K40" s="8">
        <v>0.24149999999999999</v>
      </c>
      <c r="L40" s="8">
        <v>2.7600000000000006E-2</v>
      </c>
      <c r="M40" s="8">
        <v>0.70820000000000005</v>
      </c>
      <c r="N40" s="8">
        <v>6.2056307692307682</v>
      </c>
      <c r="O40" s="10"/>
      <c r="P40" s="10"/>
      <c r="Q40" s="10"/>
      <c r="R40" s="10"/>
      <c r="V40" s="10"/>
    </row>
    <row r="41" spans="2:22" x14ac:dyDescent="0.2">
      <c r="B41" s="3">
        <f t="shared" si="1"/>
        <v>2015</v>
      </c>
      <c r="D41" s="8">
        <v>0.24149999999999999</v>
      </c>
      <c r="E41" s="8">
        <v>2.7600000000000006E-2</v>
      </c>
      <c r="F41" s="8">
        <v>1.875046153846154</v>
      </c>
      <c r="G41" s="8">
        <v>11.388584615384616</v>
      </c>
      <c r="H41" s="8"/>
      <c r="I41" s="3">
        <f t="shared" si="2"/>
        <v>35</v>
      </c>
      <c r="J41" s="9">
        <f t="shared" si="0"/>
        <v>1</v>
      </c>
      <c r="K41" s="8">
        <v>0.24149999999999999</v>
      </c>
      <c r="L41" s="8">
        <v>2.7600000000000006E-2</v>
      </c>
      <c r="M41" s="8">
        <v>0.70820000000000005</v>
      </c>
      <c r="N41" s="8">
        <v>5.7728230769230757</v>
      </c>
      <c r="O41" s="10"/>
      <c r="P41" s="10"/>
      <c r="Q41" s="10"/>
      <c r="R41" s="10"/>
      <c r="V41" s="10"/>
    </row>
    <row r="42" spans="2:22" x14ac:dyDescent="0.2">
      <c r="D42" s="8"/>
      <c r="E42" s="8"/>
      <c r="F42" s="8"/>
      <c r="G42" s="8"/>
      <c r="H42" s="8"/>
      <c r="J42" s="9"/>
      <c r="K42" s="8"/>
      <c r="L42" s="8"/>
      <c r="O42" s="10"/>
      <c r="P42" s="10"/>
      <c r="Q42" s="10"/>
      <c r="R42" s="10"/>
      <c r="V42" s="10"/>
    </row>
    <row r="43" spans="2:22" x14ac:dyDescent="0.2">
      <c r="D43" s="11"/>
      <c r="E43" s="11"/>
      <c r="F43" s="11"/>
      <c r="G43" s="11"/>
      <c r="H43" s="10"/>
      <c r="J43" s="10"/>
      <c r="K43" s="8"/>
      <c r="L43" s="8"/>
      <c r="O43" s="10"/>
      <c r="P43" s="10"/>
      <c r="Q43" s="10"/>
      <c r="R43" s="10"/>
    </row>
    <row r="44" spans="2:22" x14ac:dyDescent="0.2">
      <c r="B44" s="3" t="s">
        <v>6</v>
      </c>
      <c r="D44" s="8">
        <f>AVERAGE(D7:D41)</f>
        <v>13.865864175824177</v>
      </c>
      <c r="E44" s="8">
        <f>AVERAGE(E7:E41)</f>
        <v>2.3257734065934095</v>
      </c>
      <c r="F44" s="8">
        <f>AVERAGE(F7:F41)</f>
        <v>28.581168131868129</v>
      </c>
      <c r="G44" s="8">
        <f>AVERAGE(G7:G41)</f>
        <v>51.059450549450553</v>
      </c>
      <c r="H44" s="8"/>
      <c r="J44" s="10"/>
      <c r="K44" s="8">
        <f>AVERAGE(K7:K41)</f>
        <v>13.865864175824166</v>
      </c>
      <c r="L44" s="8">
        <f>AVERAGE(L7:L41)</f>
        <v>2.3257734065934126</v>
      </c>
      <c r="M44" s="8">
        <f>AVERAGE(M7:M41)</f>
        <v>28.581168131868136</v>
      </c>
      <c r="N44" s="8">
        <f>AVERAGE(N7:N41)</f>
        <v>51.059450549450546</v>
      </c>
      <c r="O44" s="10"/>
      <c r="P44" s="10"/>
      <c r="Q44" s="10"/>
      <c r="R44" s="10"/>
    </row>
    <row r="45" spans="2:22" x14ac:dyDescent="0.2">
      <c r="D45" s="8"/>
      <c r="E45" s="8"/>
      <c r="F45" s="8"/>
      <c r="G45" s="8"/>
      <c r="H45" s="8"/>
      <c r="J45" s="10"/>
      <c r="K45" s="8"/>
      <c r="L45" s="8"/>
      <c r="O45" s="10"/>
      <c r="P45" s="10"/>
      <c r="Q45" s="10"/>
      <c r="R45" s="10"/>
    </row>
    <row r="46" spans="2:22" x14ac:dyDescent="0.2">
      <c r="B46" s="3" t="s">
        <v>7</v>
      </c>
      <c r="D46" s="11">
        <f>MEDIAN(D7:D41)</f>
        <v>1.6283461538461539</v>
      </c>
      <c r="E46" s="11">
        <f>MEDIAN(E7:E41)</f>
        <v>2.7600000000000006E-2</v>
      </c>
      <c r="F46" s="11">
        <f>MEDIAN(F7:F41)</f>
        <v>25.492584615384619</v>
      </c>
      <c r="G46" s="11">
        <f>MEDIAN(G7:G41)</f>
        <v>50.524699999999996</v>
      </c>
      <c r="H46" s="10"/>
      <c r="J46" s="10"/>
      <c r="K46" s="11">
        <f>MEDIAN(K7:K41)</f>
        <v>1.6283461538461539</v>
      </c>
      <c r="L46" s="11">
        <f>MEDIAN(L7:L41)</f>
        <v>2.7600000000000006E-2</v>
      </c>
      <c r="M46" s="11">
        <f>MEDIAN(M7:M41)</f>
        <v>25.492584615384619</v>
      </c>
      <c r="N46" s="11">
        <f>MEDIAN(N7:N41)</f>
        <v>50.524699999999996</v>
      </c>
      <c r="O46" s="10"/>
      <c r="P46" s="10"/>
      <c r="Q46" s="10"/>
      <c r="R46" s="10"/>
    </row>
    <row r="47" spans="2:22" x14ac:dyDescent="0.2">
      <c r="H47" s="10"/>
      <c r="J47" s="10"/>
      <c r="K47" s="10"/>
      <c r="L47" s="10"/>
      <c r="M47" s="10"/>
      <c r="O47" s="10"/>
      <c r="P47" s="11"/>
      <c r="Q47" s="10"/>
      <c r="R47" s="10"/>
    </row>
    <row r="48" spans="2:22" x14ac:dyDescent="0.2">
      <c r="H48" s="12"/>
      <c r="J48" s="10"/>
      <c r="K48" s="10"/>
      <c r="L48" s="10"/>
      <c r="M48" s="10"/>
      <c r="O48" s="10"/>
      <c r="P48" s="10"/>
      <c r="Q48" s="10"/>
      <c r="R48" s="10"/>
    </row>
    <row r="49" spans="4:18" x14ac:dyDescent="0.2">
      <c r="J49" s="10"/>
      <c r="K49" s="10"/>
      <c r="L49" s="10"/>
      <c r="M49" s="10"/>
      <c r="O49" s="10"/>
      <c r="P49" s="10"/>
      <c r="Q49" s="10"/>
      <c r="R49" s="10"/>
    </row>
    <row r="50" spans="4:18" x14ac:dyDescent="0.2">
      <c r="H50" s="10"/>
      <c r="J50" s="10"/>
      <c r="K50" s="10"/>
      <c r="L50" s="10"/>
      <c r="M50" s="10"/>
      <c r="O50" s="10"/>
      <c r="P50" s="10"/>
      <c r="Q50" s="10"/>
      <c r="R50" s="10"/>
    </row>
    <row r="51" spans="4:18" x14ac:dyDescent="0.2">
      <c r="D51" s="10"/>
      <c r="E51" s="10"/>
      <c r="F51" s="10"/>
      <c r="G51" s="10"/>
      <c r="H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4:18" x14ac:dyDescent="0.2">
      <c r="H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4:18" x14ac:dyDescent="0.2">
      <c r="H53" s="10"/>
      <c r="J53" s="10"/>
      <c r="K53" s="9"/>
      <c r="L53" s="9"/>
      <c r="M53" s="9"/>
      <c r="N53" s="9"/>
      <c r="O53" s="10"/>
      <c r="P53" s="10"/>
      <c r="Q53" s="10"/>
      <c r="R53" s="10"/>
    </row>
    <row r="54" spans="4:18" x14ac:dyDescent="0.2">
      <c r="H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4:18" x14ac:dyDescent="0.2">
      <c r="H55" s="10"/>
      <c r="K55" s="13"/>
      <c r="L55" s="13"/>
      <c r="M55" s="13"/>
      <c r="N55" s="13"/>
      <c r="O55" s="10"/>
      <c r="P55" s="10"/>
      <c r="Q55" s="10"/>
      <c r="R55" s="10"/>
    </row>
    <row r="56" spans="4:18" x14ac:dyDescent="0.2">
      <c r="H56" s="10"/>
      <c r="J56" s="10"/>
      <c r="K56" s="10"/>
      <c r="L56" s="10"/>
      <c r="M56" s="10"/>
      <c r="O56" s="10"/>
      <c r="P56" s="10"/>
      <c r="Q56" s="10"/>
      <c r="R56" s="10"/>
    </row>
    <row r="57" spans="4:18" x14ac:dyDescent="0.2">
      <c r="H57" s="10"/>
      <c r="J57" s="10"/>
      <c r="K57" s="10"/>
      <c r="L57" s="10"/>
      <c r="M57" s="10"/>
      <c r="O57" s="10"/>
      <c r="P57" s="10"/>
      <c r="Q57" s="10"/>
      <c r="R57" s="10"/>
    </row>
    <row r="58" spans="4:18" x14ac:dyDescent="0.2">
      <c r="H58" s="10"/>
      <c r="J58" s="10"/>
      <c r="K58" s="10"/>
      <c r="L58" s="10"/>
      <c r="M58" s="10"/>
      <c r="O58" s="10"/>
      <c r="P58" s="10"/>
      <c r="Q58" s="10"/>
      <c r="R58" s="10"/>
    </row>
    <row r="59" spans="4:18" x14ac:dyDescent="0.2">
      <c r="H59" s="10"/>
      <c r="J59" s="10"/>
      <c r="K59" s="10"/>
      <c r="L59" s="10"/>
      <c r="M59" s="10"/>
      <c r="O59" s="10"/>
      <c r="P59" s="10"/>
      <c r="Q59" s="10"/>
      <c r="R59" s="10"/>
    </row>
    <row r="60" spans="4:18" x14ac:dyDescent="0.2">
      <c r="H60" s="10"/>
      <c r="J60" s="10"/>
      <c r="K60" s="10"/>
      <c r="L60" s="10"/>
      <c r="M60" s="10"/>
      <c r="O60" s="10"/>
      <c r="P60" s="10"/>
      <c r="Q60" s="10"/>
      <c r="R60" s="10"/>
    </row>
    <row r="61" spans="4:18" x14ac:dyDescent="0.2">
      <c r="H61" s="10"/>
      <c r="J61" s="10"/>
      <c r="K61" s="10"/>
      <c r="L61" s="10"/>
      <c r="M61" s="10"/>
      <c r="O61" s="10"/>
      <c r="P61" s="10"/>
      <c r="Q61" s="10"/>
      <c r="R61" s="10"/>
    </row>
    <row r="62" spans="4:18" x14ac:dyDescent="0.2">
      <c r="H62" s="10"/>
      <c r="J62" s="10"/>
      <c r="K62" s="10"/>
      <c r="L62" s="10"/>
      <c r="M62" s="10"/>
      <c r="O62" s="10"/>
      <c r="P62" s="10"/>
      <c r="Q62" s="10"/>
      <c r="R62" s="10"/>
    </row>
    <row r="63" spans="4:18" x14ac:dyDescent="0.2">
      <c r="H63" s="10"/>
      <c r="J63" s="10"/>
      <c r="K63" s="10"/>
      <c r="L63" s="10"/>
      <c r="M63" s="10"/>
      <c r="O63" s="10"/>
      <c r="P63" s="10"/>
      <c r="Q63" s="10"/>
      <c r="R63" s="10"/>
    </row>
    <row r="64" spans="4:18" x14ac:dyDescent="0.2">
      <c r="H64" s="10"/>
      <c r="J64" s="10"/>
      <c r="K64" s="10"/>
      <c r="L64" s="10"/>
      <c r="M64" s="10"/>
      <c r="O64" s="10"/>
      <c r="P64" s="10"/>
      <c r="Q64" s="10"/>
      <c r="R64" s="10"/>
    </row>
    <row r="65" spans="2:18" x14ac:dyDescent="0.2">
      <c r="H65" s="10"/>
      <c r="J65" s="10"/>
      <c r="K65" s="10"/>
      <c r="L65" s="10"/>
      <c r="M65" s="10"/>
      <c r="O65" s="10"/>
      <c r="P65" s="10"/>
      <c r="Q65" s="10"/>
      <c r="R65" s="10"/>
    </row>
    <row r="66" spans="2:18" x14ac:dyDescent="0.2">
      <c r="H66" s="10"/>
      <c r="J66" s="10"/>
      <c r="K66" s="10"/>
      <c r="L66" s="10"/>
      <c r="M66" s="10"/>
      <c r="O66" s="10"/>
      <c r="P66" s="10"/>
      <c r="Q66" s="10"/>
      <c r="R66" s="10"/>
    </row>
    <row r="67" spans="2:18" x14ac:dyDescent="0.2">
      <c r="H67" s="10"/>
      <c r="J67" s="10"/>
      <c r="K67" s="10"/>
      <c r="L67" s="10"/>
      <c r="M67" s="10"/>
      <c r="O67" s="10"/>
      <c r="P67" s="10"/>
      <c r="Q67" s="10"/>
      <c r="R67" s="10"/>
    </row>
    <row r="68" spans="2:18" x14ac:dyDescent="0.2">
      <c r="H68" s="14"/>
      <c r="J68" s="14"/>
      <c r="K68" s="14"/>
      <c r="L68" s="14"/>
      <c r="M68" s="14"/>
    </row>
    <row r="69" spans="2:18" x14ac:dyDescent="0.2">
      <c r="B69" s="15"/>
      <c r="C69" s="15"/>
      <c r="D69" s="15"/>
      <c r="E69" s="15"/>
      <c r="F69" s="15"/>
      <c r="G69" s="15"/>
      <c r="H69" s="16"/>
      <c r="I69" s="15"/>
      <c r="J69" s="16"/>
      <c r="K69" s="16"/>
      <c r="L69" s="16"/>
      <c r="M69" s="16"/>
    </row>
    <row r="70" spans="2:18" x14ac:dyDescent="0.2">
      <c r="J70" s="14"/>
      <c r="K70" s="14"/>
      <c r="L70" s="14"/>
      <c r="M70" s="14"/>
    </row>
    <row r="71" spans="2:18" x14ac:dyDescent="0.2">
      <c r="J71" s="14"/>
      <c r="K71" s="14"/>
      <c r="L71" s="14"/>
      <c r="M71" s="14"/>
    </row>
    <row r="72" spans="2:18" x14ac:dyDescent="0.2">
      <c r="J72" s="14"/>
      <c r="K72" s="14"/>
      <c r="L72" s="14"/>
      <c r="M72" s="14"/>
    </row>
    <row r="73" spans="2:18" x14ac:dyDescent="0.2">
      <c r="J73" s="14"/>
      <c r="K73" s="14"/>
      <c r="L73" s="14"/>
      <c r="M73" s="14"/>
    </row>
    <row r="74" spans="2:18" x14ac:dyDescent="0.2">
      <c r="J74" s="14"/>
      <c r="K74" s="14"/>
      <c r="L74" s="14"/>
      <c r="M74" s="14"/>
    </row>
    <row r="75" spans="2:18" x14ac:dyDescent="0.2">
      <c r="J75" s="14"/>
      <c r="K75" s="14"/>
      <c r="L75" s="14"/>
      <c r="M75" s="14"/>
    </row>
    <row r="76" spans="2:18" x14ac:dyDescent="0.2">
      <c r="J76" s="14"/>
      <c r="K76" s="14"/>
      <c r="L76" s="14"/>
      <c r="M76" s="14"/>
    </row>
    <row r="77" spans="2:18" x14ac:dyDescent="0.2">
      <c r="J77" s="14"/>
      <c r="K77" s="14"/>
      <c r="L77" s="14"/>
      <c r="M77" s="14"/>
    </row>
    <row r="78" spans="2:18" x14ac:dyDescent="0.2">
      <c r="J78" s="14"/>
      <c r="K78" s="14"/>
      <c r="L78" s="14"/>
      <c r="M78" s="14"/>
    </row>
    <row r="79" spans="2:18" x14ac:dyDescent="0.2">
      <c r="J79" s="14"/>
      <c r="K79" s="14"/>
      <c r="L79" s="14"/>
      <c r="M79" s="14"/>
    </row>
    <row r="80" spans="2:18" x14ac:dyDescent="0.2">
      <c r="J80" s="14"/>
      <c r="K80" s="14"/>
      <c r="L80" s="14"/>
      <c r="M80" s="14"/>
    </row>
    <row r="81" spans="10:13" x14ac:dyDescent="0.2">
      <c r="J81" s="14"/>
      <c r="K81" s="14"/>
      <c r="L81" s="14"/>
      <c r="M81" s="14"/>
    </row>
    <row r="82" spans="10:13" x14ac:dyDescent="0.2">
      <c r="J82" s="14"/>
      <c r="K82" s="14"/>
      <c r="L82" s="14"/>
      <c r="M82" s="14"/>
    </row>
    <row r="83" spans="10:13" x14ac:dyDescent="0.2">
      <c r="J83" s="14"/>
      <c r="K83" s="14"/>
      <c r="L83" s="14"/>
      <c r="M83" s="14"/>
    </row>
    <row r="84" spans="10:13" x14ac:dyDescent="0.2">
      <c r="J84" s="14"/>
      <c r="K84" s="14"/>
      <c r="L84" s="14"/>
      <c r="M84" s="14"/>
    </row>
    <row r="85" spans="10:13" x14ac:dyDescent="0.2">
      <c r="J85" s="14"/>
      <c r="K85" s="14"/>
      <c r="L85" s="14"/>
      <c r="M85" s="14"/>
    </row>
    <row r="86" spans="10:13" x14ac:dyDescent="0.2">
      <c r="J86" s="14"/>
      <c r="K86" s="14"/>
      <c r="L86" s="14"/>
      <c r="M86" s="14"/>
    </row>
    <row r="87" spans="10:13" x14ac:dyDescent="0.2">
      <c r="J87" s="14"/>
      <c r="K87" s="14"/>
      <c r="L87" s="14"/>
      <c r="M87" s="14"/>
    </row>
    <row r="88" spans="10:13" x14ac:dyDescent="0.2">
      <c r="J88" s="14"/>
      <c r="K88" s="14"/>
      <c r="L88" s="14"/>
      <c r="M88" s="14"/>
    </row>
    <row r="89" spans="10:13" x14ac:dyDescent="0.2">
      <c r="J89" s="14"/>
      <c r="K89" s="14"/>
      <c r="L89" s="14"/>
      <c r="M89" s="14"/>
    </row>
    <row r="90" spans="10:13" x14ac:dyDescent="0.2">
      <c r="J90" s="14"/>
      <c r="K90" s="14"/>
      <c r="L90" s="14"/>
      <c r="M90" s="14"/>
    </row>
    <row r="91" spans="10:13" x14ac:dyDescent="0.2">
      <c r="J91" s="14"/>
      <c r="K91" s="14"/>
      <c r="L91" s="14"/>
      <c r="M91" s="14"/>
    </row>
    <row r="92" spans="10:13" x14ac:dyDescent="0.2">
      <c r="J92" s="14"/>
      <c r="K92" s="14"/>
      <c r="L92" s="14"/>
      <c r="M92" s="14"/>
    </row>
    <row r="93" spans="10:13" x14ac:dyDescent="0.2">
      <c r="J93" s="14"/>
      <c r="K93" s="14"/>
      <c r="L93" s="14"/>
      <c r="M93" s="14"/>
    </row>
    <row r="94" spans="10:13" x14ac:dyDescent="0.2">
      <c r="J94" s="14"/>
      <c r="K94" s="14"/>
      <c r="L94" s="14"/>
      <c r="M94" s="14"/>
    </row>
    <row r="95" spans="10:13" x14ac:dyDescent="0.2">
      <c r="J95" s="14"/>
      <c r="K95" s="14"/>
      <c r="L95" s="14"/>
      <c r="M95" s="14"/>
    </row>
    <row r="96" spans="10:13" x14ac:dyDescent="0.2">
      <c r="J96" s="14"/>
      <c r="K96" s="14"/>
      <c r="L96" s="14"/>
      <c r="M96" s="14"/>
    </row>
    <row r="97" spans="10:13" x14ac:dyDescent="0.2">
      <c r="J97" s="14"/>
      <c r="K97" s="14"/>
      <c r="L97" s="14"/>
      <c r="M97" s="14"/>
    </row>
    <row r="98" spans="10:13" x14ac:dyDescent="0.2">
      <c r="J98" s="14"/>
      <c r="K98" s="14"/>
      <c r="L98" s="14"/>
      <c r="M98" s="14"/>
    </row>
    <row r="99" spans="10:13" x14ac:dyDescent="0.2">
      <c r="J99" s="14"/>
      <c r="K99" s="14"/>
      <c r="L99" s="14"/>
      <c r="M99" s="14"/>
    </row>
    <row r="100" spans="10:13" x14ac:dyDescent="0.2">
      <c r="J100" s="14"/>
      <c r="K100" s="14"/>
      <c r="L100" s="14"/>
      <c r="M100" s="14"/>
    </row>
    <row r="101" spans="10:13" x14ac:dyDescent="0.2">
      <c r="J101" s="14"/>
      <c r="K101" s="14"/>
      <c r="L101" s="14"/>
      <c r="M101" s="14"/>
    </row>
    <row r="102" spans="10:13" x14ac:dyDescent="0.2">
      <c r="J102" s="14"/>
      <c r="K102" s="14"/>
      <c r="L102" s="14"/>
      <c r="M102" s="14"/>
    </row>
    <row r="103" spans="10:13" x14ac:dyDescent="0.2">
      <c r="J103" s="14"/>
      <c r="K103" s="14"/>
      <c r="L103" s="14"/>
      <c r="M103" s="14"/>
    </row>
    <row r="104" spans="10:13" x14ac:dyDescent="0.2">
      <c r="J104" s="14"/>
      <c r="K104" s="14"/>
      <c r="L104" s="14"/>
      <c r="M104" s="14"/>
    </row>
    <row r="105" spans="10:13" x14ac:dyDescent="0.2">
      <c r="J105" s="14"/>
      <c r="K105" s="14"/>
      <c r="L105" s="14"/>
      <c r="M105" s="14"/>
    </row>
    <row r="106" spans="10:13" x14ac:dyDescent="0.2">
      <c r="J106" s="14"/>
      <c r="K106" s="14"/>
      <c r="L106" s="14"/>
      <c r="M106" s="14"/>
    </row>
    <row r="107" spans="10:13" x14ac:dyDescent="0.2">
      <c r="J107" s="14"/>
      <c r="K107" s="14"/>
      <c r="L107" s="14"/>
      <c r="M107" s="14"/>
    </row>
    <row r="108" spans="10:13" x14ac:dyDescent="0.2">
      <c r="J108" s="14"/>
      <c r="K108" s="14"/>
      <c r="L108" s="14"/>
      <c r="M108" s="14"/>
    </row>
    <row r="109" spans="10:13" x14ac:dyDescent="0.2">
      <c r="J109" s="14"/>
      <c r="K109" s="14"/>
      <c r="L109" s="14"/>
      <c r="M109" s="14"/>
    </row>
    <row r="110" spans="10:13" x14ac:dyDescent="0.2">
      <c r="J110" s="14"/>
      <c r="K110" s="14"/>
      <c r="L110" s="14"/>
      <c r="M110" s="14"/>
    </row>
    <row r="111" spans="10:13" x14ac:dyDescent="0.2">
      <c r="J111" s="14"/>
      <c r="K111" s="14"/>
      <c r="L111" s="14"/>
      <c r="M111" s="14"/>
    </row>
    <row r="112" spans="10:13" x14ac:dyDescent="0.2">
      <c r="J112" s="14"/>
      <c r="K112" s="14"/>
      <c r="L112" s="14"/>
      <c r="M112" s="14"/>
    </row>
    <row r="113" spans="10:13" x14ac:dyDescent="0.2">
      <c r="J113" s="14"/>
      <c r="K113" s="14"/>
      <c r="L113" s="14"/>
      <c r="M113" s="14"/>
    </row>
    <row r="114" spans="10:13" x14ac:dyDescent="0.2">
      <c r="J114" s="14"/>
      <c r="K114" s="14"/>
      <c r="L114" s="14"/>
      <c r="M114" s="14"/>
    </row>
    <row r="115" spans="10:13" x14ac:dyDescent="0.2">
      <c r="J115" s="14"/>
      <c r="K115" s="14"/>
      <c r="L115" s="14"/>
      <c r="M115" s="14"/>
    </row>
    <row r="116" spans="10:13" x14ac:dyDescent="0.2">
      <c r="J116" s="14"/>
      <c r="K116" s="14"/>
      <c r="L116" s="14"/>
      <c r="M116" s="14"/>
    </row>
    <row r="117" spans="10:13" x14ac:dyDescent="0.2">
      <c r="J117" s="14"/>
      <c r="K117" s="14"/>
      <c r="L117" s="14"/>
      <c r="M117" s="14"/>
    </row>
    <row r="118" spans="10:13" x14ac:dyDescent="0.2">
      <c r="J118" s="14"/>
      <c r="K118" s="14"/>
      <c r="L118" s="14"/>
      <c r="M118" s="14"/>
    </row>
    <row r="119" spans="10:13" x14ac:dyDescent="0.2">
      <c r="J119" s="14"/>
      <c r="K119" s="14"/>
      <c r="L119" s="14"/>
      <c r="M119" s="14"/>
    </row>
    <row r="120" spans="10:13" x14ac:dyDescent="0.2">
      <c r="J120" s="14"/>
      <c r="K120" s="14"/>
      <c r="L120" s="14"/>
      <c r="M120" s="14"/>
    </row>
    <row r="121" spans="10:13" x14ac:dyDescent="0.2">
      <c r="J121" s="14"/>
      <c r="K121" s="14"/>
      <c r="L121" s="14"/>
      <c r="M121" s="14"/>
    </row>
    <row r="122" spans="10:13" x14ac:dyDescent="0.2">
      <c r="J122" s="14"/>
      <c r="K122" s="14"/>
      <c r="L122" s="14"/>
      <c r="M122" s="14"/>
    </row>
    <row r="123" spans="10:13" x14ac:dyDescent="0.2">
      <c r="J123" s="14"/>
      <c r="K123" s="14"/>
      <c r="L123" s="14"/>
      <c r="M123" s="14"/>
    </row>
    <row r="124" spans="10:13" x14ac:dyDescent="0.2">
      <c r="J124" s="14"/>
      <c r="K124" s="14"/>
      <c r="L124" s="14"/>
      <c r="M124" s="14"/>
    </row>
    <row r="125" spans="10:13" x14ac:dyDescent="0.2">
      <c r="J125" s="14"/>
      <c r="K125" s="14"/>
      <c r="L125" s="14"/>
      <c r="M125" s="14"/>
    </row>
  </sheetData>
  <sortState ref="N7:N41">
    <sortCondition descending="1" ref="N7:N41"/>
  </sortState>
  <mergeCells count="2">
    <mergeCell ref="D4:E4"/>
    <mergeCell ref="J4:K4"/>
  </mergeCells>
  <pageMargins left="0.70866141732283472" right="0.70866141732283472" top="0.74803149606299213" bottom="0.74803149606299213" header="0.31496062992125984" footer="0.31496062992125984"/>
  <pageSetup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showGridLines="0"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4.7109375" customWidth="1"/>
    <col min="2" max="2" width="2.85546875" customWidth="1"/>
    <col min="3" max="3" width="20.7109375" customWidth="1"/>
    <col min="4" max="4" width="4.140625" customWidth="1"/>
    <col min="5" max="6" width="11.5703125" customWidth="1"/>
    <col min="7" max="7" width="2.42578125" customWidth="1"/>
    <col min="8" max="9" width="11.5703125" customWidth="1"/>
    <col min="10" max="10" width="2.28515625" customWidth="1"/>
    <col min="11" max="13" width="11.5703125" customWidth="1"/>
    <col min="14" max="14" width="2.85546875" customWidth="1"/>
  </cols>
  <sheetData>
    <row r="2" spans="2:13" ht="38.25" customHeight="1" x14ac:dyDescent="0.3">
      <c r="B2" s="38" t="s">
        <v>64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5"/>
    </row>
    <row r="4" spans="2:13" ht="33" customHeight="1" x14ac:dyDescent="0.25">
      <c r="E4" s="39" t="s">
        <v>38</v>
      </c>
      <c r="F4" s="39"/>
      <c r="H4" s="39" t="s">
        <v>53</v>
      </c>
      <c r="I4" s="39"/>
      <c r="K4" s="42" t="s">
        <v>51</v>
      </c>
      <c r="L4" s="42"/>
      <c r="M4" s="42"/>
    </row>
    <row r="5" spans="2:13" x14ac:dyDescent="0.25">
      <c r="E5" s="40" t="s">
        <v>39</v>
      </c>
      <c r="F5" s="41"/>
      <c r="H5" s="40" t="s">
        <v>39</v>
      </c>
      <c r="I5" s="41"/>
      <c r="K5" s="40" t="s">
        <v>39</v>
      </c>
      <c r="L5" s="43"/>
      <c r="M5" s="41"/>
    </row>
    <row r="6" spans="2:13" x14ac:dyDescent="0.25">
      <c r="E6" s="29">
        <v>8</v>
      </c>
      <c r="F6" s="29">
        <v>16</v>
      </c>
      <c r="H6" s="29">
        <v>8</v>
      </c>
      <c r="I6" s="29">
        <v>16</v>
      </c>
      <c r="K6" s="29">
        <v>8</v>
      </c>
      <c r="L6" s="29">
        <v>16</v>
      </c>
      <c r="M6" s="29">
        <v>22</v>
      </c>
    </row>
    <row r="7" spans="2:13" x14ac:dyDescent="0.25">
      <c r="E7" t="s">
        <v>44</v>
      </c>
      <c r="F7" t="s">
        <v>45</v>
      </c>
      <c r="H7" t="s">
        <v>46</v>
      </c>
      <c r="I7" t="s">
        <v>47</v>
      </c>
      <c r="K7" t="s">
        <v>54</v>
      </c>
      <c r="L7" t="s">
        <v>55</v>
      </c>
      <c r="M7" t="s">
        <v>65</v>
      </c>
    </row>
    <row r="8" spans="2:13" ht="15.75" x14ac:dyDescent="0.25">
      <c r="B8" s="30" t="s">
        <v>40</v>
      </c>
    </row>
    <row r="9" spans="2:13" x14ac:dyDescent="0.25">
      <c r="B9" s="17" t="s">
        <v>41</v>
      </c>
    </row>
    <row r="10" spans="2:13" x14ac:dyDescent="0.25">
      <c r="C10" t="s">
        <v>28</v>
      </c>
      <c r="E10">
        <f>'Table 3.4-6A -420 GWh $8 M'!N51</f>
        <v>16</v>
      </c>
      <c r="F10">
        <f>'Table 3.4-6B-420 GWh- $16 M'!N51</f>
        <v>21</v>
      </c>
      <c r="H10">
        <f>'Table 3.4-7A -450 GWh $8 M '!N51</f>
        <v>20</v>
      </c>
      <c r="I10">
        <f>'Table 3.4-7B -450 GWh $16 M'!N51</f>
        <v>26</v>
      </c>
      <c r="K10">
        <f>'Table 3.4-8A -490 GWh $8 M '!N52</f>
        <v>20</v>
      </c>
      <c r="L10">
        <f>'Table 3.4-8B -490 GWh $16 M'!N52</f>
        <v>26</v>
      </c>
      <c r="M10">
        <f>'Table 3.4-8C -490 GWh $22 M '!N52</f>
        <v>28</v>
      </c>
    </row>
    <row r="11" spans="2:13" x14ac:dyDescent="0.25">
      <c r="C11" t="s">
        <v>29</v>
      </c>
      <c r="E11">
        <f>'Table 3.4-6A -420 GWh $8 M'!N52</f>
        <v>12</v>
      </c>
      <c r="F11">
        <f>'Table 3.4-6B-420 GWh- $16 M'!N52</f>
        <v>8</v>
      </c>
      <c r="H11">
        <f>'Table 3.4-7A -450 GWh $8 M '!N52</f>
        <v>8</v>
      </c>
      <c r="I11">
        <f>'Table 3.4-7B -450 GWh $16 M'!N52</f>
        <v>4</v>
      </c>
      <c r="K11">
        <f>'Table 3.4-8A -490 GWh $8 M '!N53</f>
        <v>7</v>
      </c>
      <c r="L11">
        <f>'Table 3.4-8B -490 GWh $16 M'!N53</f>
        <v>3</v>
      </c>
      <c r="M11">
        <f>'Table 3.4-8C -490 GWh $22 M '!N53</f>
        <v>2</v>
      </c>
    </row>
    <row r="12" spans="2:13" x14ac:dyDescent="0.25">
      <c r="C12" t="s">
        <v>30</v>
      </c>
      <c r="E12">
        <f>'Table 3.4-6A -420 GWh $8 M'!N53</f>
        <v>8</v>
      </c>
      <c r="F12">
        <f>'Table 3.4-6B-420 GWh- $16 M'!N53</f>
        <v>6</v>
      </c>
      <c r="H12">
        <f>'Table 3.4-7A -450 GWh $8 M '!N53</f>
        <v>1</v>
      </c>
      <c r="I12">
        <f>'Table 3.4-7B -450 GWh $16 M'!N53</f>
        <v>1</v>
      </c>
      <c r="K12">
        <f>'Table 3.4-8A -490 GWh $8 M '!N54</f>
        <v>1</v>
      </c>
      <c r="L12">
        <f>'Table 3.4-8B -490 GWh $16 M'!N54</f>
        <v>1</v>
      </c>
      <c r="M12">
        <f>'Table 3.4-8C -490 GWh $22 M '!N54</f>
        <v>1</v>
      </c>
    </row>
    <row r="13" spans="2:13" x14ac:dyDescent="0.25">
      <c r="C13" t="s">
        <v>31</v>
      </c>
      <c r="E13">
        <f>'Table 3.4-6A -420 GWh $8 M'!N54</f>
        <v>7</v>
      </c>
      <c r="F13">
        <f>'Table 3.4-6B-420 GWh- $16 M'!N54</f>
        <v>6</v>
      </c>
      <c r="H13">
        <f>'Table 3.4-7A -450 GWh $8 M '!N54</f>
        <v>7</v>
      </c>
      <c r="I13">
        <f>'Table 3.4-7B -450 GWh $16 M'!N54</f>
        <v>5</v>
      </c>
      <c r="K13">
        <f>'Table 3.4-8A -490 GWh $8 M '!N55</f>
        <v>8</v>
      </c>
      <c r="L13">
        <f>'Table 3.4-8B -490 GWh $16 M'!N55</f>
        <v>6</v>
      </c>
      <c r="M13">
        <f>'Table 3.4-8C -490 GWh $22 M '!N55</f>
        <v>5</v>
      </c>
    </row>
    <row r="15" spans="2:13" x14ac:dyDescent="0.25">
      <c r="B15" s="17" t="s">
        <v>42</v>
      </c>
    </row>
    <row r="16" spans="2:13" x14ac:dyDescent="0.25">
      <c r="C16" t="s">
        <v>33</v>
      </c>
      <c r="E16" s="26">
        <f>'Table 3.4-6A -420 GWh $8 M'!N57</f>
        <v>-2.1573499454208793</v>
      </c>
      <c r="F16" s="26">
        <f>'Table 3.4-6B-420 GWh- $16 M'!N57</f>
        <v>-2.1573499454208793</v>
      </c>
      <c r="H16" s="26">
        <f>'Table 3.4-7A -450 GWh $8 M '!N57</f>
        <v>-5.058096223516479</v>
      </c>
      <c r="I16" s="26">
        <f>'Table 3.4-7B -450 GWh $16 M'!N57</f>
        <v>-4.137408511379121</v>
      </c>
      <c r="K16" s="31">
        <f>'Table 3.4-8A -490 GWh $8 M '!N58</f>
        <v>-7.1709110271373646</v>
      </c>
      <c r="L16" s="31">
        <f>'Table 3.4-8B -490 GWh $16 M'!N58</f>
        <v>-6.0830662606758246</v>
      </c>
      <c r="M16" s="31">
        <f>'Table 3.4-8C -490 GWh $22 M '!N58</f>
        <v>-1.0500519627472578</v>
      </c>
    </row>
    <row r="17" spans="2:13" x14ac:dyDescent="0.25">
      <c r="C17" t="s">
        <v>34</v>
      </c>
      <c r="E17" s="26">
        <f>'Table 3.4-6A -420 GWh $8 M'!N58</f>
        <v>13.625137099316481</v>
      </c>
      <c r="F17" s="26">
        <f>'Table 3.4-6B-420 GWh- $16 M'!N58</f>
        <v>4.6674684367417578</v>
      </c>
      <c r="H17" s="26">
        <f>'Table 3.4-7A -450 GWh $8 M '!N58</f>
        <v>13.998091600428575</v>
      </c>
      <c r="I17" s="26">
        <f>'Table 3.4-7B -450 GWh $16 M'!N58</f>
        <v>8.2402412988351745</v>
      </c>
      <c r="K17" s="31">
        <f>'Table 3.4-8A -490 GWh $8 M '!N59</f>
        <v>11.788126813208791</v>
      </c>
      <c r="L17" s="31">
        <f>'Table 3.4-8B -490 GWh $16 M'!N59</f>
        <v>11.788126813208791</v>
      </c>
      <c r="M17" s="31">
        <f>'Table 3.4-8C -490 GWh $22 M '!N59</f>
        <v>5.2692612987747296</v>
      </c>
    </row>
    <row r="18" spans="2:13" x14ac:dyDescent="0.25">
      <c r="C18" t="s">
        <v>35</v>
      </c>
      <c r="E18" s="26">
        <f>'Table 3.4-6A -420 GWh $8 M'!N59</f>
        <v>4.1757040534701728</v>
      </c>
      <c r="F18" s="26">
        <f>'Table 3.4-6B-420 GWh- $16 M'!N59</f>
        <v>2.2049880623818683</v>
      </c>
      <c r="H18" s="26">
        <f>'Table 3.4-7A -450 GWh $8 M '!N59</f>
        <v>4.8177717500839901</v>
      </c>
      <c r="I18" s="26">
        <f>'Table 3.4-7B -450 GWh $16 M'!N59</f>
        <v>3.5448804501175859</v>
      </c>
      <c r="K18" s="31">
        <f>'Table 3.4-8A -490 GWh $8 M '!N60</f>
        <v>4.7292440385364021</v>
      </c>
      <c r="L18" s="31">
        <f>'Table 3.4-8B -490 GWh $16 M'!N60</f>
        <v>3.6389920513818694</v>
      </c>
      <c r="M18" s="31">
        <f>'Table 3.4-8C -490 GWh $22 M '!N60</f>
        <v>1.9667904616582441</v>
      </c>
    </row>
    <row r="19" spans="2:13" x14ac:dyDescent="0.25">
      <c r="C19" t="s">
        <v>43</v>
      </c>
      <c r="E19" s="26">
        <f>'Table 3.4-6A -420 GWh $8 M'!N60</f>
        <v>5.8997450869780179</v>
      </c>
      <c r="F19" s="26">
        <f>'Table 3.4-6B-420 GWh- $16 M'!N60</f>
        <v>-2.1002549130219816</v>
      </c>
      <c r="H19" s="26">
        <f>'Table 3.4-7A -450 GWh $8 M '!N60</f>
        <v>8.0000000000000213</v>
      </c>
      <c r="I19" s="26">
        <f>'Table 3.4-7B -450 GWh $16 M'!N60</f>
        <v>5.058096223516503</v>
      </c>
      <c r="K19" s="31">
        <f>'Table 3.4-8A -490 GWh $8 M '!N61</f>
        <v>8</v>
      </c>
      <c r="L19" s="31">
        <f>'Table 3.4-8B -490 GWh $16 M'!N61</f>
        <v>14.69922526979121</v>
      </c>
      <c r="M19" s="31">
        <f>'Table 3.4-8C -490 GWh $22 M '!N61</f>
        <v>8.6992252697912136</v>
      </c>
    </row>
    <row r="21" spans="2:13" ht="15.75" x14ac:dyDescent="0.25">
      <c r="B21" s="30" t="s">
        <v>18</v>
      </c>
    </row>
    <row r="22" spans="2:13" x14ac:dyDescent="0.25">
      <c r="B22" s="17" t="s">
        <v>41</v>
      </c>
    </row>
    <row r="23" spans="2:13" x14ac:dyDescent="0.25">
      <c r="C23" t="s">
        <v>28</v>
      </c>
      <c r="E23">
        <f>'Table 3.4-6A -420 GWh $8 M'!H51</f>
        <v>11</v>
      </c>
      <c r="F23">
        <f>'Table 3.4-6B-420 GWh- $16 M'!H51</f>
        <v>17</v>
      </c>
      <c r="H23">
        <f>'Table 3.4-7A -450 GWh $8 M '!H51</f>
        <v>17</v>
      </c>
      <c r="I23">
        <f>'Table 3.4-7B -450 GWh $16 M'!H51</f>
        <v>22</v>
      </c>
      <c r="K23">
        <f>'Table 3.4-8A -490 GWh $8 M '!H52</f>
        <v>17</v>
      </c>
      <c r="L23">
        <f>'Table 3.4-8B -490 GWh $16 M'!H52</f>
        <v>21</v>
      </c>
      <c r="M23">
        <f>'Table 3.4-8C -490 GWh $22 M '!H52</f>
        <v>24</v>
      </c>
    </row>
    <row r="24" spans="2:13" x14ac:dyDescent="0.25">
      <c r="C24" t="s">
        <v>29</v>
      </c>
      <c r="E24">
        <f>'Table 3.4-6A -420 GWh $8 M'!H52</f>
        <v>15</v>
      </c>
      <c r="F24">
        <f>'Table 3.4-6B-420 GWh- $16 M'!H52</f>
        <v>11</v>
      </c>
      <c r="H24">
        <f>'Table 3.4-7A -450 GWh $8 M '!H52</f>
        <v>10</v>
      </c>
      <c r="I24">
        <f>'Table 3.4-7B -450 GWh $16 M'!H52</f>
        <v>7</v>
      </c>
      <c r="K24">
        <f>'Table 3.4-8A -490 GWh $8 M '!H53</f>
        <v>9</v>
      </c>
      <c r="L24">
        <f>'Table 3.4-8B -490 GWh $16 M'!H53</f>
        <v>6</v>
      </c>
      <c r="M24">
        <f>'Table 3.4-8C -490 GWh $22 M '!H53</f>
        <v>4</v>
      </c>
    </row>
    <row r="25" spans="2:13" x14ac:dyDescent="0.25">
      <c r="C25" t="s">
        <v>30</v>
      </c>
      <c r="E25">
        <f>'Table 3.4-6A -420 GWh $8 M'!H53</f>
        <v>9</v>
      </c>
      <c r="F25">
        <f>'Table 3.4-6B-420 GWh- $16 M'!H53</f>
        <v>8</v>
      </c>
      <c r="H25">
        <f>'Table 3.4-7A -450 GWh $8 M '!H53</f>
        <v>1</v>
      </c>
      <c r="I25">
        <f>'Table 3.4-7B -450 GWh $16 M'!H53</f>
        <v>1</v>
      </c>
      <c r="K25">
        <f>'Table 3.4-8A -490 GWh $8 M '!H54</f>
        <v>1</v>
      </c>
      <c r="L25">
        <f>'Table 3.4-8B -490 GWh $16 M'!H54</f>
        <v>1</v>
      </c>
      <c r="M25">
        <f>'Table 3.4-8C -490 GWh $22 M '!H54</f>
        <v>1</v>
      </c>
    </row>
    <row r="26" spans="2:13" x14ac:dyDescent="0.25">
      <c r="C26" t="s">
        <v>31</v>
      </c>
      <c r="E26">
        <f>'Table 3.4-6A -420 GWh $8 M'!H54</f>
        <v>9</v>
      </c>
      <c r="F26">
        <f>'Table 3.4-6B-420 GWh- $16 M'!H54</f>
        <v>7</v>
      </c>
      <c r="H26">
        <f>'Table 3.4-7A -450 GWh $8 M '!H54</f>
        <v>8</v>
      </c>
      <c r="I26">
        <f>'Table 3.4-7B -450 GWh $16 M'!H54</f>
        <v>6</v>
      </c>
      <c r="K26">
        <f>'Table 3.4-8A -490 GWh $8 M '!H55</f>
        <v>9</v>
      </c>
      <c r="L26">
        <f>'Table 3.4-8B -490 GWh $16 M'!H55</f>
        <v>8</v>
      </c>
      <c r="M26">
        <f>'Table 3.4-8C -490 GWh $22 M '!H55</f>
        <v>7</v>
      </c>
    </row>
    <row r="28" spans="2:13" x14ac:dyDescent="0.25">
      <c r="B28" s="17" t="s">
        <v>42</v>
      </c>
    </row>
    <row r="29" spans="2:13" x14ac:dyDescent="0.25">
      <c r="C29" t="s">
        <v>33</v>
      </c>
      <c r="E29" s="31">
        <f>'Table 3.4-6A -420 GWh $8 M'!H57</f>
        <v>-3.5877038184197829</v>
      </c>
      <c r="F29" s="26">
        <f>'Table 3.4-6B-420 GWh- $16 M'!H57</f>
        <v>-3.5877038184197829</v>
      </c>
      <c r="H29" s="31">
        <f>'Table 3.4-7A -450 GWh $8 M '!H57</f>
        <v>-7.339788698164833</v>
      </c>
      <c r="I29" s="26">
        <f>'Table 3.4-7B -450 GWh $16 M'!H57</f>
        <v>-7.0939863480879097</v>
      </c>
      <c r="K29" s="31">
        <f>'Table 3.4-8A -490 GWh $8 M '!H58</f>
        <v>-11.925327612340659</v>
      </c>
      <c r="L29" s="31">
        <f>'Table 3.4-8B -490 GWh $16 M'!H58</f>
        <v>-11.925327612340659</v>
      </c>
      <c r="M29" s="31">
        <f>'Table 3.4-8C -490 GWh $22 M '!H58</f>
        <v>-10.116226204956043</v>
      </c>
    </row>
    <row r="30" spans="2:13" x14ac:dyDescent="0.25">
      <c r="C30" t="s">
        <v>34</v>
      </c>
      <c r="E30" s="31">
        <f>'Table 3.4-6A -420 GWh $8 M'!H58</f>
        <v>24.655965995580218</v>
      </c>
      <c r="F30" s="26">
        <f>'Table 3.4-6B-420 GWh- $16 M'!H58</f>
        <v>17.267026760320892</v>
      </c>
      <c r="H30" s="31">
        <f>'Table 3.4-7A -450 GWh $8 M '!H58</f>
        <v>23.279026563142864</v>
      </c>
      <c r="I30" s="26">
        <f>'Table 3.4-7B -450 GWh $16 M'!H58</f>
        <v>23.279026563142864</v>
      </c>
      <c r="K30" s="31">
        <f>'Table 3.4-8A -490 GWh $8 M '!H59</f>
        <v>19.603823510197802</v>
      </c>
      <c r="L30" s="31">
        <f>'Table 3.4-8B -490 GWh $16 M'!H59</f>
        <v>19.603823510197799</v>
      </c>
      <c r="M30" s="31">
        <f>'Table 3.4-8C -490 GWh $22 M '!H59</f>
        <v>19.603823510197799</v>
      </c>
    </row>
    <row r="31" spans="2:13" x14ac:dyDescent="0.25">
      <c r="C31" t="s">
        <v>35</v>
      </c>
      <c r="E31" s="31">
        <f>'Table 3.4-6A -420 GWh $8 M'!H59</f>
        <v>6.579779762755801</v>
      </c>
      <c r="F31" s="26">
        <f>'Table 3.4-6B-420 GWh- $16 M'!H59</f>
        <v>6.1740025521146018</v>
      </c>
      <c r="H31" s="31">
        <f>'Table 3.4-7A -450 GWh $8 M '!H59</f>
        <v>8.336549026372257</v>
      </c>
      <c r="I31" s="26">
        <f>'Table 3.4-7B -450 GWh $16 M'!H59</f>
        <v>8.4487320351630082</v>
      </c>
      <c r="K31" s="31">
        <f>'Table 3.4-8A -490 GWh $8 M '!H60</f>
        <v>8.1696258600891341</v>
      </c>
      <c r="L31" s="31">
        <f>'Table 3.4-8B -490 GWh $16 M'!H60</f>
        <v>7.1908290926002767</v>
      </c>
      <c r="M31" s="31">
        <f>'Table 3.4-8C -490 GWh $22 M '!H60</f>
        <v>6.5038046772574587</v>
      </c>
    </row>
    <row r="32" spans="2:13" x14ac:dyDescent="0.25">
      <c r="C32" t="s">
        <v>43</v>
      </c>
      <c r="E32" s="31">
        <f>'Table 3.4-6A -420 GWh $8 M'!H60</f>
        <v>7.999999999999976</v>
      </c>
      <c r="F32" s="26">
        <f>'Table 3.4-6B-420 GWh- $16 M'!H60</f>
        <v>7.1154749045054952</v>
      </c>
      <c r="H32" s="31">
        <f>'Table 3.4-7A -450 GWh $8 M '!H60</f>
        <v>8.0000000000000391</v>
      </c>
      <c r="I32" s="26">
        <f>'Table 3.4-7B -450 GWh $16 M'!H60</f>
        <v>16.000000000000039</v>
      </c>
      <c r="K32" s="31">
        <f>'Table 3.4-8A -490 GWh $8 M '!H61</f>
        <v>8.0000000000000249</v>
      </c>
      <c r="L32" s="31">
        <f>'Table 3.4-8B -490 GWh $16 M'!H61</f>
        <v>16.000000000000011</v>
      </c>
      <c r="M32" s="31">
        <f>'Table 3.4-8C -490 GWh $22 M '!H61</f>
        <v>22.000000000000011</v>
      </c>
    </row>
  </sheetData>
  <mergeCells count="7">
    <mergeCell ref="B2:L2"/>
    <mergeCell ref="E4:F4"/>
    <mergeCell ref="E5:F5"/>
    <mergeCell ref="H4:I4"/>
    <mergeCell ref="H5:I5"/>
    <mergeCell ref="K4:M4"/>
    <mergeCell ref="K5:M5"/>
  </mergeCells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3"/>
  <sheetViews>
    <sheetView view="pageBreakPreview" zoomScaleNormal="100" zoomScaleSheetLayoutView="100" workbookViewId="0">
      <selection activeCell="B11" sqref="B11"/>
    </sheetView>
  </sheetViews>
  <sheetFormatPr defaultRowHeight="15" x14ac:dyDescent="0.25"/>
  <cols>
    <col min="1" max="1" width="2.140625" customWidth="1"/>
    <col min="2" max="2" width="6.7109375" customWidth="1"/>
    <col min="3" max="3" width="2.5703125" customWidth="1"/>
    <col min="7" max="7" width="3.42578125" customWidth="1"/>
    <col min="9" max="9" width="6.42578125" customWidth="1"/>
    <col min="10" max="10" width="4" customWidth="1"/>
    <col min="13" max="13" width="4" customWidth="1"/>
    <col min="14" max="14" width="7.28515625" customWidth="1"/>
    <col min="15" max="15" width="9" customWidth="1"/>
  </cols>
  <sheetData>
    <row r="1" spans="2:15" x14ac:dyDescent="0.25">
      <c r="B1" s="17" t="s">
        <v>57</v>
      </c>
    </row>
    <row r="2" spans="2:15" x14ac:dyDescent="0.25">
      <c r="B2" s="17" t="s">
        <v>8</v>
      </c>
    </row>
    <row r="3" spans="2:15" x14ac:dyDescent="0.25">
      <c r="C3" s="17" t="s">
        <v>9</v>
      </c>
      <c r="D3" s="17"/>
      <c r="E3" s="18">
        <v>8</v>
      </c>
      <c r="F3" s="17" t="s">
        <v>10</v>
      </c>
      <c r="K3" s="19"/>
    </row>
    <row r="4" spans="2:15" x14ac:dyDescent="0.25">
      <c r="B4" t="s">
        <v>11</v>
      </c>
      <c r="E4" s="20">
        <f>D46</f>
        <v>13.865864175824177</v>
      </c>
      <c r="F4" t="s">
        <v>12</v>
      </c>
      <c r="K4" s="20"/>
    </row>
    <row r="5" spans="2:15" x14ac:dyDescent="0.25">
      <c r="B5" t="s">
        <v>13</v>
      </c>
      <c r="E5" s="21">
        <v>0.14668</v>
      </c>
      <c r="F5" t="s">
        <v>14</v>
      </c>
      <c r="J5" s="22" t="s">
        <v>15</v>
      </c>
      <c r="K5" s="21">
        <f>E5*L5+E6*(1-L5)</f>
        <v>0.15834500000000001</v>
      </c>
      <c r="L5" s="23">
        <v>0.9</v>
      </c>
      <c r="M5" t="s">
        <v>16</v>
      </c>
    </row>
    <row r="6" spans="2:15" x14ac:dyDescent="0.25">
      <c r="B6" t="s">
        <v>17</v>
      </c>
      <c r="E6" s="21">
        <v>0.26333000000000001</v>
      </c>
      <c r="F6" t="s">
        <v>14</v>
      </c>
    </row>
    <row r="7" spans="2:15" x14ac:dyDescent="0.25">
      <c r="E7" s="40" t="s">
        <v>18</v>
      </c>
      <c r="F7" s="43"/>
      <c r="G7" s="43"/>
      <c r="H7" s="43"/>
      <c r="I7" s="41"/>
      <c r="K7" s="40" t="s">
        <v>19</v>
      </c>
      <c r="L7" s="43"/>
      <c r="M7" s="43"/>
      <c r="N7" s="43"/>
      <c r="O7" s="41"/>
    </row>
    <row r="8" spans="2:15" ht="34.9" customHeight="1" x14ac:dyDescent="0.25">
      <c r="E8" s="39" t="s">
        <v>20</v>
      </c>
      <c r="F8" s="39"/>
      <c r="H8" s="39" t="s">
        <v>21</v>
      </c>
      <c r="I8" s="39"/>
      <c r="K8" s="39" t="s">
        <v>20</v>
      </c>
      <c r="L8" s="39"/>
      <c r="N8" s="39" t="s">
        <v>21</v>
      </c>
      <c r="O8" s="39"/>
    </row>
    <row r="9" spans="2:15" ht="29.1" customHeight="1" x14ac:dyDescent="0.25">
      <c r="B9" s="24" t="s">
        <v>2</v>
      </c>
      <c r="D9" s="24" t="s">
        <v>22</v>
      </c>
      <c r="E9" s="24" t="s">
        <v>23</v>
      </c>
      <c r="F9" s="24" t="s">
        <v>24</v>
      </c>
      <c r="H9" s="24" t="s">
        <v>25</v>
      </c>
      <c r="I9" s="25" t="s">
        <v>24</v>
      </c>
      <c r="K9" s="24" t="s">
        <v>23</v>
      </c>
      <c r="L9" s="24" t="s">
        <v>24</v>
      </c>
      <c r="N9" s="24" t="s">
        <v>25</v>
      </c>
      <c r="O9" s="25" t="s">
        <v>24</v>
      </c>
    </row>
    <row r="10" spans="2:15" x14ac:dyDescent="0.25">
      <c r="B10">
        <v>1981</v>
      </c>
      <c r="D10" s="26">
        <v>0.24149999999999999</v>
      </c>
      <c r="E10" s="26">
        <f>($E$4-$D10)*$E$6</f>
        <v>3.5877038184197807</v>
      </c>
      <c r="F10" s="26">
        <f>E10</f>
        <v>3.5877038184197807</v>
      </c>
      <c r="I10" s="26">
        <f>E10</f>
        <v>3.5877038184197807</v>
      </c>
      <c r="K10" s="26">
        <f>($E$4-$D10)*$K$5</f>
        <v>2.1573499454208793</v>
      </c>
      <c r="L10" s="26">
        <f>K10</f>
        <v>2.1573499454208793</v>
      </c>
      <c r="O10" s="26">
        <f>K10</f>
        <v>2.1573499454208793</v>
      </c>
    </row>
    <row r="11" spans="2:15" x14ac:dyDescent="0.25">
      <c r="B11">
        <v>1982</v>
      </c>
      <c r="D11" s="26">
        <v>0.24149999999999999</v>
      </c>
      <c r="E11" s="26">
        <f>($E$4-$D11)*$E$6</f>
        <v>3.5877038184197807</v>
      </c>
      <c r="F11" s="26">
        <f>F10+E11</f>
        <v>7.1754076368395614</v>
      </c>
      <c r="I11" s="26">
        <f>I10+E11+H11</f>
        <v>7.1754076368395614</v>
      </c>
      <c r="K11" s="26">
        <f t="shared" ref="K11:K44" si="0">($E$4-$D11)*$K$5</f>
        <v>2.1573499454208793</v>
      </c>
      <c r="L11" s="26">
        <f>L10+K11</f>
        <v>4.3146998908417586</v>
      </c>
      <c r="O11" s="26">
        <f>O10+K11+N11</f>
        <v>4.3146998908417586</v>
      </c>
    </row>
    <row r="12" spans="2:15" x14ac:dyDescent="0.25">
      <c r="B12">
        <v>1983</v>
      </c>
      <c r="D12" s="26">
        <v>0.24149999999999999</v>
      </c>
      <c r="E12" s="26">
        <f>($E$4-$D12)*$E$6</f>
        <v>3.5877038184197807</v>
      </c>
      <c r="F12" s="26">
        <f t="shared" ref="F12:F44" si="1">F11+E12</f>
        <v>10.763111455259342</v>
      </c>
      <c r="H12" s="19">
        <f>$E$3-F12-SUM(H$10:H11)</f>
        <v>-2.7631114552593417</v>
      </c>
      <c r="I12" s="26">
        <f t="shared" ref="I12:I29" si="2">I11+E12+H12</f>
        <v>8</v>
      </c>
      <c r="K12" s="26">
        <f t="shared" si="0"/>
        <v>2.1573499454208793</v>
      </c>
      <c r="L12" s="26">
        <f t="shared" ref="L12:L44" si="3">L11+K12</f>
        <v>6.472049836262638</v>
      </c>
      <c r="O12" s="26">
        <f t="shared" ref="O12:O24" si="4">O11+K12+N12</f>
        <v>6.472049836262638</v>
      </c>
    </row>
    <row r="13" spans="2:15" x14ac:dyDescent="0.25">
      <c r="B13">
        <v>1984</v>
      </c>
      <c r="D13" s="26">
        <v>0.37799999999999995</v>
      </c>
      <c r="E13" s="26">
        <f>($E$4-$D13)*$E$6</f>
        <v>3.5517592734197807</v>
      </c>
      <c r="F13" s="26">
        <f t="shared" si="1"/>
        <v>14.314870728679121</v>
      </c>
      <c r="H13" s="19">
        <f>$E$3-F13-SUM(H$10:H12)</f>
        <v>-3.5517592734197798</v>
      </c>
      <c r="I13" s="26">
        <f t="shared" si="2"/>
        <v>8</v>
      </c>
      <c r="K13" s="26">
        <f t="shared" si="0"/>
        <v>2.1357358529208796</v>
      </c>
      <c r="L13" s="26">
        <f t="shared" si="3"/>
        <v>8.6077856891835172</v>
      </c>
      <c r="N13" s="19">
        <f>$E$3-L13-SUM(N$10:N12)</f>
        <v>-0.60778568918351716</v>
      </c>
      <c r="O13" s="26">
        <f t="shared" si="4"/>
        <v>8</v>
      </c>
    </row>
    <row r="14" spans="2:15" x14ac:dyDescent="0.25">
      <c r="B14">
        <v>1985</v>
      </c>
      <c r="D14" s="26">
        <v>0.26339999999999997</v>
      </c>
      <c r="E14" s="26">
        <f>($E$4-$D14)*$E$6</f>
        <v>3.5819368914197804</v>
      </c>
      <c r="F14" s="26">
        <f t="shared" si="1"/>
        <v>17.896807620098901</v>
      </c>
      <c r="H14" s="19">
        <f>$E$3-F14-SUM(H$10:H13)</f>
        <v>-3.5819368914197796</v>
      </c>
      <c r="I14" s="26">
        <f>I13+E14+H14</f>
        <v>8</v>
      </c>
      <c r="K14" s="26">
        <f t="shared" si="0"/>
        <v>2.1538821899208793</v>
      </c>
      <c r="L14" s="26">
        <f t="shared" si="3"/>
        <v>10.761667879104397</v>
      </c>
      <c r="N14" s="19">
        <f>$E$3-L14-SUM(N$10:N13)</f>
        <v>-2.1538821899208802</v>
      </c>
      <c r="O14" s="26">
        <f t="shared" si="4"/>
        <v>7.9999999999999982</v>
      </c>
    </row>
    <row r="15" spans="2:15" x14ac:dyDescent="0.25">
      <c r="B15">
        <v>1986</v>
      </c>
      <c r="D15" s="26">
        <v>0.35170000000000001</v>
      </c>
      <c r="E15" s="26">
        <f t="shared" ref="E15:E44" si="5">($E$4-$D15)*$E$6</f>
        <v>3.5586848524197809</v>
      </c>
      <c r="F15" s="26">
        <f t="shared" si="1"/>
        <v>21.455492472518682</v>
      </c>
      <c r="H15" s="19">
        <f>$E$3-F15-SUM(H$10:H14)</f>
        <v>-3.5586848524197805</v>
      </c>
      <c r="I15" s="26">
        <f t="shared" si="2"/>
        <v>8</v>
      </c>
      <c r="K15" s="26">
        <f>($E$4-$D15)*$K$5</f>
        <v>2.1399003264208796</v>
      </c>
      <c r="L15" s="26">
        <f t="shared" si="3"/>
        <v>12.901568205525276</v>
      </c>
      <c r="N15" s="19">
        <f>$E$3-L15-SUM(N$10:N14)</f>
        <v>-2.1399003264208787</v>
      </c>
      <c r="O15" s="26">
        <f t="shared" si="4"/>
        <v>8</v>
      </c>
    </row>
    <row r="16" spans="2:15" x14ac:dyDescent="0.25">
      <c r="B16">
        <v>1987</v>
      </c>
      <c r="D16" s="26">
        <v>0.24149999999999999</v>
      </c>
      <c r="E16" s="26">
        <f t="shared" si="5"/>
        <v>3.5877038184197807</v>
      </c>
      <c r="F16" s="26">
        <f t="shared" si="1"/>
        <v>25.043196290938461</v>
      </c>
      <c r="H16" s="19">
        <f>$E$3-F16-SUM(H$10:H15)</f>
        <v>-3.5877038184197794</v>
      </c>
      <c r="I16" s="26">
        <f t="shared" si="2"/>
        <v>8.0000000000000018</v>
      </c>
      <c r="K16" s="26">
        <f t="shared" si="0"/>
        <v>2.1573499454208793</v>
      </c>
      <c r="L16" s="26">
        <f t="shared" si="3"/>
        <v>15.058918150946155</v>
      </c>
      <c r="N16" s="19">
        <f>$E$3-L16-SUM(N$10:N15)</f>
        <v>-2.1573499454208793</v>
      </c>
      <c r="O16" s="26">
        <f t="shared" si="4"/>
        <v>8</v>
      </c>
    </row>
    <row r="17" spans="2:17" x14ac:dyDescent="0.25">
      <c r="B17">
        <v>1988</v>
      </c>
      <c r="D17" s="26">
        <v>0.24149999999999999</v>
      </c>
      <c r="E17" s="26">
        <f t="shared" si="5"/>
        <v>3.5877038184197807</v>
      </c>
      <c r="F17" s="26">
        <f t="shared" si="1"/>
        <v>28.63090010935824</v>
      </c>
      <c r="H17" s="19">
        <f>$E$3-F17-SUM(H$10:H16)</f>
        <v>-3.5877038184197794</v>
      </c>
      <c r="I17" s="26">
        <f t="shared" si="2"/>
        <v>8.0000000000000036</v>
      </c>
      <c r="K17" s="26">
        <f t="shared" si="0"/>
        <v>2.1573499454208793</v>
      </c>
      <c r="L17" s="26">
        <f t="shared" si="3"/>
        <v>17.216268096367035</v>
      </c>
      <c r="N17" s="19">
        <f>$E$3-L17-SUM(N$10:N16)</f>
        <v>-2.1573499454208793</v>
      </c>
      <c r="O17" s="26">
        <f t="shared" si="4"/>
        <v>8</v>
      </c>
    </row>
    <row r="18" spans="2:17" x14ac:dyDescent="0.25">
      <c r="B18">
        <v>1989</v>
      </c>
      <c r="D18" s="26">
        <v>0.24149999999999999</v>
      </c>
      <c r="E18" s="26">
        <f t="shared" si="5"/>
        <v>3.5877038184197807</v>
      </c>
      <c r="F18" s="26">
        <f t="shared" si="1"/>
        <v>32.21860392777802</v>
      </c>
      <c r="H18" s="19">
        <f>$E$3-F18-SUM(H$10:H17)</f>
        <v>-3.5877038184197794</v>
      </c>
      <c r="I18" s="26">
        <f t="shared" si="2"/>
        <v>8.0000000000000053</v>
      </c>
      <c r="K18" s="26">
        <f t="shared" si="0"/>
        <v>2.1573499454208793</v>
      </c>
      <c r="L18" s="26">
        <f t="shared" si="3"/>
        <v>19.373618041787914</v>
      </c>
      <c r="N18" s="19">
        <f>$E$3-L18-SUM(N$10:N17)</f>
        <v>-2.1573499454208793</v>
      </c>
      <c r="O18" s="26">
        <f t="shared" si="4"/>
        <v>8</v>
      </c>
    </row>
    <row r="19" spans="2:17" x14ac:dyDescent="0.25">
      <c r="B19">
        <v>1990</v>
      </c>
      <c r="D19" s="26">
        <v>0.24149999999999999</v>
      </c>
      <c r="E19" s="26">
        <f t="shared" si="5"/>
        <v>3.5877038184197807</v>
      </c>
      <c r="F19" s="26">
        <f t="shared" si="1"/>
        <v>35.806307746197803</v>
      </c>
      <c r="H19" s="19">
        <f>$E$3-F19-SUM(H$10:H18)</f>
        <v>-3.5877038184197829</v>
      </c>
      <c r="I19" s="26">
        <f t="shared" si="2"/>
        <v>8.0000000000000036</v>
      </c>
      <c r="K19" s="26">
        <f t="shared" si="0"/>
        <v>2.1573499454208793</v>
      </c>
      <c r="L19" s="26">
        <f t="shared" si="3"/>
        <v>21.530967987208793</v>
      </c>
      <c r="N19" s="19">
        <f>$E$3-L19-SUM(N$10:N18)</f>
        <v>-2.1573499454208793</v>
      </c>
      <c r="O19" s="26">
        <f t="shared" si="4"/>
        <v>8</v>
      </c>
    </row>
    <row r="20" spans="2:17" x14ac:dyDescent="0.25">
      <c r="B20">
        <v>1991</v>
      </c>
      <c r="D20" s="26">
        <v>0.24149999999999999</v>
      </c>
      <c r="E20" s="26">
        <f t="shared" si="5"/>
        <v>3.5877038184197807</v>
      </c>
      <c r="F20" s="26">
        <f t="shared" si="1"/>
        <v>39.394011564617585</v>
      </c>
      <c r="H20" s="19">
        <f>$E$3-F20-SUM(H$10:H19)</f>
        <v>-3.5877038184197829</v>
      </c>
      <c r="I20" s="26">
        <f t="shared" si="2"/>
        <v>8.0000000000000018</v>
      </c>
      <c r="K20" s="26">
        <f t="shared" si="0"/>
        <v>2.1573499454208793</v>
      </c>
      <c r="L20" s="26">
        <f t="shared" si="3"/>
        <v>23.688317932629673</v>
      </c>
      <c r="N20" s="19">
        <f>$E$3-L20-SUM(N$10:N19)</f>
        <v>-2.1573499454208793</v>
      </c>
      <c r="O20" s="26">
        <f t="shared" si="4"/>
        <v>8</v>
      </c>
    </row>
    <row r="21" spans="2:17" x14ac:dyDescent="0.25">
      <c r="B21">
        <v>1992</v>
      </c>
      <c r="D21" s="26">
        <v>0.24149999999999999</v>
      </c>
      <c r="E21" s="26">
        <f t="shared" si="5"/>
        <v>3.5877038184197807</v>
      </c>
      <c r="F21" s="26">
        <f t="shared" si="1"/>
        <v>42.981715383037368</v>
      </c>
      <c r="H21" s="19">
        <f>$E$3-F21-SUM(H$10:H20)</f>
        <v>-3.5877038184197829</v>
      </c>
      <c r="I21" s="26">
        <f t="shared" si="2"/>
        <v>8</v>
      </c>
      <c r="K21" s="26">
        <f t="shared" si="0"/>
        <v>2.1573499454208793</v>
      </c>
      <c r="L21" s="26">
        <f t="shared" si="3"/>
        <v>25.845667878050552</v>
      </c>
      <c r="N21" s="19">
        <f>$E$3-L21-SUM(N$10:N20)</f>
        <v>-2.1573499454208793</v>
      </c>
      <c r="O21" s="26">
        <f t="shared" si="4"/>
        <v>8</v>
      </c>
    </row>
    <row r="22" spans="2:17" x14ac:dyDescent="0.25">
      <c r="B22">
        <v>1993</v>
      </c>
      <c r="D22" s="26">
        <v>0.24149999999999999</v>
      </c>
      <c r="E22" s="26">
        <f t="shared" si="5"/>
        <v>3.5877038184197807</v>
      </c>
      <c r="F22" s="26">
        <f t="shared" si="1"/>
        <v>46.569419201457151</v>
      </c>
      <c r="H22" s="19">
        <f>$E$3-F22-SUM(H$10:H21)</f>
        <v>-3.5877038184197829</v>
      </c>
      <c r="I22" s="26">
        <f t="shared" si="2"/>
        <v>7.9999999999999982</v>
      </c>
      <c r="K22" s="26">
        <f t="shared" si="0"/>
        <v>2.1573499454208793</v>
      </c>
      <c r="L22" s="26">
        <f t="shared" si="3"/>
        <v>28.003017823471431</v>
      </c>
      <c r="N22" s="19">
        <f>$E$3-L22-SUM(N$10:N21)</f>
        <v>-2.1573499454208793</v>
      </c>
      <c r="O22" s="26">
        <f t="shared" si="4"/>
        <v>8</v>
      </c>
    </row>
    <row r="23" spans="2:17" x14ac:dyDescent="0.25">
      <c r="B23">
        <v>1994</v>
      </c>
      <c r="D23" s="26">
        <v>0.24149999999999999</v>
      </c>
      <c r="E23" s="32">
        <f>($E$4-$D23)*$E$6</f>
        <v>3.5877038184197807</v>
      </c>
      <c r="F23" s="26">
        <f t="shared" si="1"/>
        <v>50.157123019876934</v>
      </c>
      <c r="H23" s="19">
        <f>$E$3-F23-SUM(H$10:H22)</f>
        <v>-3.5877038184197829</v>
      </c>
      <c r="I23" s="26">
        <f t="shared" si="2"/>
        <v>7.9999999999999964</v>
      </c>
      <c r="K23" s="26">
        <f t="shared" si="0"/>
        <v>2.1573499454208793</v>
      </c>
      <c r="L23" s="26">
        <f t="shared" si="3"/>
        <v>30.160367768892311</v>
      </c>
      <c r="N23" s="19">
        <f>$E$3-L23-SUM(N$10:N22)</f>
        <v>-2.1573499454208793</v>
      </c>
      <c r="O23" s="26">
        <f t="shared" si="4"/>
        <v>8</v>
      </c>
    </row>
    <row r="24" spans="2:17" x14ac:dyDescent="0.25">
      <c r="B24">
        <v>1995</v>
      </c>
      <c r="D24" s="26">
        <v>6.4780999999999995</v>
      </c>
      <c r="E24" s="32">
        <f t="shared" si="5"/>
        <v>1.9454199404197807</v>
      </c>
      <c r="F24" s="26">
        <f t="shared" si="1"/>
        <v>52.102542960296717</v>
      </c>
      <c r="H24" s="19">
        <f>$E$3-F24-SUM(H$10:H23)</f>
        <v>-1.9454199404197823</v>
      </c>
      <c r="I24" s="26">
        <f t="shared" si="2"/>
        <v>7.9999999999999947</v>
      </c>
      <c r="K24" s="26">
        <f t="shared" si="0"/>
        <v>1.1698155184208794</v>
      </c>
      <c r="L24" s="26">
        <f t="shared" si="3"/>
        <v>31.33018328731319</v>
      </c>
      <c r="N24" s="19">
        <f>$E$3-L24-SUM(N$10:N23)</f>
        <v>-1.1698155184208794</v>
      </c>
      <c r="O24" s="26">
        <f t="shared" si="4"/>
        <v>8</v>
      </c>
    </row>
    <row r="25" spans="2:17" x14ac:dyDescent="0.25">
      <c r="B25">
        <v>1996</v>
      </c>
      <c r="D25" s="26">
        <v>50.074200000000005</v>
      </c>
      <c r="E25" s="32">
        <f t="shared" si="5"/>
        <v>-9.5347410725802213</v>
      </c>
      <c r="F25" s="26">
        <f t="shared" si="1"/>
        <v>42.567801887716499</v>
      </c>
      <c r="H25" s="19"/>
      <c r="I25" s="26">
        <f t="shared" si="2"/>
        <v>-1.5347410725802266</v>
      </c>
      <c r="K25" s="26">
        <f t="shared" si="0"/>
        <v>-5.7334089360791216</v>
      </c>
      <c r="L25" s="26">
        <f t="shared" si="3"/>
        <v>25.596774351234068</v>
      </c>
      <c r="N25" s="19"/>
      <c r="O25" s="26">
        <f>O24+K25+N25</f>
        <v>2.2665910639208784</v>
      </c>
    </row>
    <row r="26" spans="2:17" x14ac:dyDescent="0.25">
      <c r="B26">
        <v>1997</v>
      </c>
      <c r="D26" s="26">
        <v>53.823599999999992</v>
      </c>
      <c r="E26" s="32">
        <f t="shared" si="5"/>
        <v>-10.522070574580217</v>
      </c>
      <c r="F26" s="26">
        <f t="shared" si="1"/>
        <v>32.04573131313628</v>
      </c>
      <c r="H26" s="19">
        <f t="shared" ref="H26:H27" si="6">-E$3-I25-E26</f>
        <v>4.0568116471604441</v>
      </c>
      <c r="I26" s="26">
        <f t="shared" si="2"/>
        <v>-8</v>
      </c>
      <c r="K26" s="26">
        <f t="shared" si="0"/>
        <v>-6.3271076790791199</v>
      </c>
      <c r="L26" s="26">
        <f t="shared" si="3"/>
        <v>19.269666672154948</v>
      </c>
      <c r="N26" s="19"/>
      <c r="O26" s="26">
        <f t="shared" ref="O26:O44" si="7">O25+K26+N26</f>
        <v>-4.0605166151582415</v>
      </c>
    </row>
    <row r="27" spans="2:17" x14ac:dyDescent="0.25">
      <c r="B27">
        <v>1998</v>
      </c>
      <c r="D27" s="26">
        <v>31.160699999999999</v>
      </c>
      <c r="E27" s="32">
        <f t="shared" si="5"/>
        <v>-4.5542491175802189</v>
      </c>
      <c r="F27" s="26">
        <f t="shared" si="1"/>
        <v>27.49148219555606</v>
      </c>
      <c r="H27" s="19">
        <f t="shared" si="6"/>
        <v>4.5542491175802189</v>
      </c>
      <c r="I27" s="26">
        <f t="shared" si="2"/>
        <v>-8</v>
      </c>
      <c r="K27" s="26">
        <f t="shared" si="0"/>
        <v>-2.7385507785791203</v>
      </c>
      <c r="L27" s="26">
        <f t="shared" si="3"/>
        <v>16.531115893575826</v>
      </c>
      <c r="N27" s="19"/>
      <c r="O27" s="26">
        <f t="shared" si="7"/>
        <v>-6.7990673937373618</v>
      </c>
    </row>
    <row r="28" spans="2:17" x14ac:dyDescent="0.25">
      <c r="B28">
        <v>1999</v>
      </c>
      <c r="D28" s="26">
        <v>107.49729999999998</v>
      </c>
      <c r="E28" s="32">
        <f t="shared" si="5"/>
        <v>-24.655965995580218</v>
      </c>
      <c r="F28" s="26">
        <f t="shared" si="1"/>
        <v>2.8355161999758423</v>
      </c>
      <c r="H28" s="19">
        <f t="shared" ref="H28:H34" si="8">-E$3-I27-E28</f>
        <v>24.655965995580218</v>
      </c>
      <c r="I28" s="26">
        <f>I27+E28+H28</f>
        <v>-8</v>
      </c>
      <c r="K28" s="26">
        <f t="shared" si="0"/>
        <v>-14.826069705579119</v>
      </c>
      <c r="L28" s="26">
        <f t="shared" si="3"/>
        <v>1.7050461879967074</v>
      </c>
      <c r="N28" s="19">
        <f>-E$3-O27-K28</f>
        <v>13.625137099316481</v>
      </c>
      <c r="O28" s="26">
        <f t="shared" si="7"/>
        <v>-8.0000000000000018</v>
      </c>
      <c r="Q28" s="26"/>
    </row>
    <row r="29" spans="2:17" x14ac:dyDescent="0.25">
      <c r="B29">
        <v>2000</v>
      </c>
      <c r="D29" s="26">
        <v>58.34046923076923</v>
      </c>
      <c r="E29" s="32">
        <f t="shared" si="5"/>
        <v>-11.711497749118681</v>
      </c>
      <c r="F29" s="26">
        <f t="shared" si="1"/>
        <v>-8.8759815491428391</v>
      </c>
      <c r="H29" s="19">
        <f t="shared" si="8"/>
        <v>11.711497749118681</v>
      </c>
      <c r="I29" s="26">
        <f t="shared" si="2"/>
        <v>-8</v>
      </c>
      <c r="K29" s="26">
        <f t="shared" si="0"/>
        <v>-7.0423313374252752</v>
      </c>
      <c r="L29" s="26">
        <f t="shared" si="3"/>
        <v>-5.3372851494285678</v>
      </c>
      <c r="N29" s="26">
        <f>-K29</f>
        <v>7.0423313374252752</v>
      </c>
      <c r="O29" s="26">
        <f t="shared" si="7"/>
        <v>-8.0000000000000036</v>
      </c>
    </row>
    <row r="30" spans="2:17" x14ac:dyDescent="0.25">
      <c r="B30">
        <v>2001</v>
      </c>
      <c r="D30" s="26">
        <v>35.396838461538465</v>
      </c>
      <c r="E30" s="32">
        <f t="shared" si="5"/>
        <v>-5.6697514586571431</v>
      </c>
      <c r="F30" s="26">
        <f t="shared" si="1"/>
        <v>-14.545733007799981</v>
      </c>
      <c r="H30" s="19">
        <f t="shared" si="8"/>
        <v>5.6697514586571431</v>
      </c>
      <c r="I30" s="26">
        <f>I29+E30+H30</f>
        <v>-7.9999999999999991</v>
      </c>
      <c r="K30" s="26">
        <f t="shared" si="0"/>
        <v>-3.409322123271429</v>
      </c>
      <c r="L30" s="26">
        <f t="shared" si="3"/>
        <v>-8.7466072726999968</v>
      </c>
      <c r="N30" s="26">
        <f t="shared" ref="N30:N34" si="9">-K30</f>
        <v>3.409322123271429</v>
      </c>
      <c r="O30" s="26">
        <f t="shared" si="7"/>
        <v>-8.0000000000000036</v>
      </c>
    </row>
    <row r="31" spans="2:17" x14ac:dyDescent="0.25">
      <c r="B31">
        <v>2002</v>
      </c>
      <c r="D31" s="26">
        <v>23.979607692307692</v>
      </c>
      <c r="E31" s="32">
        <f t="shared" si="5"/>
        <v>-2.6632520801956039</v>
      </c>
      <c r="F31" s="26">
        <f t="shared" si="1"/>
        <v>-17.208985087995586</v>
      </c>
      <c r="H31" s="19">
        <f t="shared" si="8"/>
        <v>2.663252080195603</v>
      </c>
      <c r="I31" s="26">
        <f t="shared" ref="I31:I44" si="10">I30+E31+H31</f>
        <v>-8</v>
      </c>
      <c r="K31" s="26">
        <f t="shared" si="0"/>
        <v>-1.6014607171175823</v>
      </c>
      <c r="L31" s="26">
        <f t="shared" si="3"/>
        <v>-10.348067989817579</v>
      </c>
      <c r="N31" s="26">
        <f t="shared" si="9"/>
        <v>1.6014607171175823</v>
      </c>
      <c r="O31" s="26">
        <f t="shared" si="7"/>
        <v>-8.0000000000000036</v>
      </c>
    </row>
    <row r="32" spans="2:17" x14ac:dyDescent="0.25">
      <c r="B32">
        <v>2003</v>
      </c>
      <c r="D32" s="26">
        <v>14.192907692307692</v>
      </c>
      <c r="E32" s="32">
        <f t="shared" si="5"/>
        <v>-8.6120369195604077E-2</v>
      </c>
      <c r="F32" s="26">
        <f t="shared" si="1"/>
        <v>-17.295105457191191</v>
      </c>
      <c r="H32" s="19">
        <f t="shared" si="8"/>
        <v>8.6120369195604077E-2</v>
      </c>
      <c r="I32" s="26">
        <f t="shared" si="10"/>
        <v>-8</v>
      </c>
      <c r="K32" s="26">
        <f t="shared" si="0"/>
        <v>-5.178570561758223E-2</v>
      </c>
      <c r="L32" s="26">
        <f t="shared" si="3"/>
        <v>-10.399853695435162</v>
      </c>
      <c r="N32" s="26">
        <f t="shared" si="9"/>
        <v>5.178570561758223E-2</v>
      </c>
      <c r="O32" s="26">
        <f t="shared" si="7"/>
        <v>-8.0000000000000036</v>
      </c>
    </row>
    <row r="33" spans="2:18" x14ac:dyDescent="0.25">
      <c r="B33">
        <v>2004</v>
      </c>
      <c r="D33" s="26">
        <v>33.151576923076931</v>
      </c>
      <c r="E33" s="32">
        <f t="shared" si="5"/>
        <v>-5.0785067377340676</v>
      </c>
      <c r="F33" s="26">
        <f t="shared" si="1"/>
        <v>-22.373612194925258</v>
      </c>
      <c r="H33" s="19">
        <f t="shared" si="8"/>
        <v>5.0785067377340676</v>
      </c>
      <c r="I33" s="26">
        <f t="shared" si="10"/>
        <v>-7.9999999999999991</v>
      </c>
      <c r="K33" s="26">
        <f t="shared" si="0"/>
        <v>-3.0537961849637374</v>
      </c>
      <c r="L33" s="26">
        <f t="shared" si="3"/>
        <v>-13.453649880398899</v>
      </c>
      <c r="N33" s="26">
        <f t="shared" si="9"/>
        <v>3.0537961849637374</v>
      </c>
      <c r="O33" s="26">
        <f t="shared" si="7"/>
        <v>-8.0000000000000036</v>
      </c>
    </row>
    <row r="34" spans="2:18" x14ac:dyDescent="0.25">
      <c r="B34">
        <v>2005</v>
      </c>
      <c r="D34" s="26">
        <v>16.6831</v>
      </c>
      <c r="E34" s="32">
        <f t="shared" si="5"/>
        <v>-0.74186270958021949</v>
      </c>
      <c r="F34" s="26">
        <f t="shared" si="1"/>
        <v>-23.115474904505476</v>
      </c>
      <c r="H34" s="19">
        <f t="shared" si="8"/>
        <v>0.7418627095802186</v>
      </c>
      <c r="I34" s="26">
        <f t="shared" si="10"/>
        <v>-7.9999999999999991</v>
      </c>
      <c r="K34" s="26">
        <f t="shared" si="0"/>
        <v>-0.44609520657912072</v>
      </c>
      <c r="L34" s="26">
        <f t="shared" si="3"/>
        <v>-13.899745086978021</v>
      </c>
      <c r="N34" s="26">
        <f t="shared" si="9"/>
        <v>0.44609520657912072</v>
      </c>
      <c r="O34" s="26">
        <f t="shared" si="7"/>
        <v>-8.0000000000000036</v>
      </c>
      <c r="Q34" s="19"/>
      <c r="R34" s="19"/>
    </row>
    <row r="35" spans="2:18" x14ac:dyDescent="0.25">
      <c r="B35">
        <v>2006</v>
      </c>
      <c r="D35" s="26">
        <v>12.581207692307691</v>
      </c>
      <c r="E35" s="26">
        <f t="shared" si="5"/>
        <v>0.33828859180439613</v>
      </c>
      <c r="F35" s="26">
        <f t="shared" si="1"/>
        <v>-22.77718631270108</v>
      </c>
      <c r="I35" s="26">
        <f t="shared" si="10"/>
        <v>-7.661711408195603</v>
      </c>
      <c r="K35" s="26">
        <f t="shared" si="0"/>
        <v>0.20341893088241791</v>
      </c>
      <c r="L35" s="26">
        <f t="shared" si="3"/>
        <v>-13.696326156095603</v>
      </c>
      <c r="N35" s="19"/>
      <c r="O35" s="26">
        <f t="shared" si="7"/>
        <v>-7.7965810691175861</v>
      </c>
      <c r="Q35" s="19"/>
      <c r="R35" s="19"/>
    </row>
    <row r="36" spans="2:18" x14ac:dyDescent="0.25">
      <c r="B36">
        <v>2007</v>
      </c>
      <c r="D36" s="26">
        <v>13.839961538461537</v>
      </c>
      <c r="E36" s="26">
        <f t="shared" si="5"/>
        <v>6.82094149670384E-3</v>
      </c>
      <c r="F36" s="26">
        <f t="shared" si="1"/>
        <v>-22.770365371204377</v>
      </c>
      <c r="I36" s="26">
        <f t="shared" si="10"/>
        <v>-7.6548904666988991</v>
      </c>
      <c r="K36" s="26">
        <f>($E$4-$D36)*$K$5</f>
        <v>4.1015531131871402E-3</v>
      </c>
      <c r="L36" s="26">
        <f t="shared" si="3"/>
        <v>-13.692224602982416</v>
      </c>
      <c r="N36" s="19"/>
      <c r="O36" s="26">
        <f t="shared" si="7"/>
        <v>-7.7924795160043994</v>
      </c>
    </row>
    <row r="37" spans="2:18" x14ac:dyDescent="0.25">
      <c r="B37">
        <v>2008</v>
      </c>
      <c r="D37" s="26">
        <v>11.397730769230769</v>
      </c>
      <c r="E37" s="26">
        <f t="shared" si="5"/>
        <v>0.64993356995824203</v>
      </c>
      <c r="F37" s="26">
        <f t="shared" si="1"/>
        <v>-22.120431801246134</v>
      </c>
      <c r="I37" s="26">
        <f t="shared" si="10"/>
        <v>-7.0049568967406568</v>
      </c>
      <c r="K37" s="26">
        <f t="shared" si="0"/>
        <v>0.3908165842670332</v>
      </c>
      <c r="L37" s="26">
        <f t="shared" si="3"/>
        <v>-13.301408018715382</v>
      </c>
      <c r="N37" s="19"/>
      <c r="O37" s="26">
        <f t="shared" si="7"/>
        <v>-7.4016629317373663</v>
      </c>
    </row>
    <row r="38" spans="2:18" x14ac:dyDescent="0.25">
      <c r="B38">
        <v>2009</v>
      </c>
      <c r="D38" s="26">
        <v>1.9132923076923078</v>
      </c>
      <c r="E38" s="26">
        <f t="shared" si="5"/>
        <v>3.1474707500351653</v>
      </c>
      <c r="F38" s="26">
        <f t="shared" si="1"/>
        <v>-18.972961051210969</v>
      </c>
      <c r="I38" s="26">
        <f t="shared" si="10"/>
        <v>-3.8574861467054915</v>
      </c>
      <c r="K38" s="26">
        <f t="shared" si="0"/>
        <v>1.892629992459341</v>
      </c>
      <c r="L38" s="26">
        <f t="shared" si="3"/>
        <v>-11.408778026256041</v>
      </c>
      <c r="N38" s="19"/>
      <c r="O38" s="26">
        <f t="shared" si="7"/>
        <v>-5.5090329392780255</v>
      </c>
    </row>
    <row r="39" spans="2:18" x14ac:dyDescent="0.25">
      <c r="B39">
        <v>2010</v>
      </c>
      <c r="D39" s="26">
        <v>5.0805461538461545</v>
      </c>
      <c r="E39" s="26">
        <f t="shared" si="5"/>
        <v>2.3134377947274722</v>
      </c>
      <c r="F39" s="26">
        <f t="shared" si="1"/>
        <v>-16.659523256483496</v>
      </c>
      <c r="I39" s="26">
        <f t="shared" si="10"/>
        <v>-1.5440483519780193</v>
      </c>
      <c r="K39" s="26">
        <f t="shared" si="0"/>
        <v>1.3911111821901099</v>
      </c>
      <c r="L39" s="26">
        <f t="shared" si="3"/>
        <v>-10.01766684406593</v>
      </c>
      <c r="N39" s="19"/>
      <c r="O39" s="26">
        <f t="shared" si="7"/>
        <v>-4.1179217570879159</v>
      </c>
    </row>
    <row r="40" spans="2:18" x14ac:dyDescent="0.25">
      <c r="B40">
        <v>2011</v>
      </c>
      <c r="D40" s="26">
        <v>3.7116615384615388</v>
      </c>
      <c r="E40" s="26">
        <f t="shared" si="5"/>
        <v>2.6739061804967035</v>
      </c>
      <c r="F40" s="26">
        <f t="shared" si="1"/>
        <v>-13.985617075986791</v>
      </c>
      <c r="I40" s="26">
        <f t="shared" si="10"/>
        <v>1.1298578285186842</v>
      </c>
      <c r="K40" s="26">
        <f t="shared" si="0"/>
        <v>1.6078672166131869</v>
      </c>
      <c r="L40" s="26">
        <f t="shared" si="3"/>
        <v>-8.4097996274527436</v>
      </c>
      <c r="N40" s="19"/>
      <c r="O40" s="26">
        <f t="shared" si="7"/>
        <v>-2.5100545404747292</v>
      </c>
    </row>
    <row r="41" spans="2:18" x14ac:dyDescent="0.25">
      <c r="B41">
        <v>2012</v>
      </c>
      <c r="D41" s="26">
        <v>1.6283461538461539</v>
      </c>
      <c r="E41" s="26">
        <f t="shared" si="5"/>
        <v>3.2225056207274729</v>
      </c>
      <c r="F41" s="26">
        <f t="shared" si="1"/>
        <v>-10.763111455259319</v>
      </c>
      <c r="I41" s="26">
        <f t="shared" si="10"/>
        <v>4.3523634492461571</v>
      </c>
      <c r="K41" s="26">
        <f t="shared" si="0"/>
        <v>1.9377497911901103</v>
      </c>
      <c r="L41" s="26">
        <f t="shared" si="3"/>
        <v>-6.4720498362626335</v>
      </c>
      <c r="N41" s="19"/>
      <c r="O41" s="26">
        <f t="shared" si="7"/>
        <v>-0.57230474928461894</v>
      </c>
    </row>
    <row r="42" spans="2:18" x14ac:dyDescent="0.25">
      <c r="B42">
        <v>2013</v>
      </c>
      <c r="D42" s="26">
        <v>0.24149999999999999</v>
      </c>
      <c r="E42" s="26">
        <f t="shared" si="5"/>
        <v>3.5877038184197807</v>
      </c>
      <c r="F42" s="26">
        <f t="shared" si="1"/>
        <v>-7.1754076368395374</v>
      </c>
      <c r="I42" s="26">
        <f t="shared" si="10"/>
        <v>7.9400672676659383</v>
      </c>
      <c r="K42" s="26">
        <f t="shared" si="0"/>
        <v>2.1573499454208793</v>
      </c>
      <c r="L42" s="26">
        <f t="shared" si="3"/>
        <v>-4.3146998908417542</v>
      </c>
      <c r="N42" s="19"/>
      <c r="O42" s="26">
        <f t="shared" si="7"/>
        <v>1.5850451961362604</v>
      </c>
    </row>
    <row r="43" spans="2:18" x14ac:dyDescent="0.25">
      <c r="B43">
        <v>2014</v>
      </c>
      <c r="D43" s="26">
        <v>0.24149999999999999</v>
      </c>
      <c r="E43" s="26">
        <f t="shared" si="5"/>
        <v>3.5877038184197807</v>
      </c>
      <c r="F43" s="26">
        <f t="shared" si="1"/>
        <v>-3.5877038184197567</v>
      </c>
      <c r="H43" s="19">
        <f>$E$3-F43-SUM(H$10:H42)</f>
        <v>-3.5277710860857265</v>
      </c>
      <c r="I43" s="26">
        <f t="shared" si="10"/>
        <v>7.9999999999999929</v>
      </c>
      <c r="K43" s="26">
        <f t="shared" si="0"/>
        <v>2.1573499454208793</v>
      </c>
      <c r="L43" s="26">
        <f t="shared" si="3"/>
        <v>-2.1573499454208749</v>
      </c>
      <c r="N43" s="19"/>
      <c r="O43" s="26">
        <f t="shared" si="7"/>
        <v>3.7423951415571395</v>
      </c>
      <c r="Q43" s="26"/>
    </row>
    <row r="44" spans="2:18" x14ac:dyDescent="0.25">
      <c r="B44">
        <v>2015</v>
      </c>
      <c r="D44" s="26">
        <v>0.24149999999999999</v>
      </c>
      <c r="E44" s="26">
        <f t="shared" si="5"/>
        <v>3.5877038184197807</v>
      </c>
      <c r="F44" s="26">
        <f t="shared" si="1"/>
        <v>2.3980817331903381E-14</v>
      </c>
      <c r="H44" s="19">
        <f>$E$3-F44-SUM(H$10:H43)</f>
        <v>-3.5877038184197803</v>
      </c>
      <c r="I44" s="26">
        <f t="shared" si="10"/>
        <v>7.9999999999999938</v>
      </c>
      <c r="K44" s="26">
        <f t="shared" si="0"/>
        <v>2.1573499454208793</v>
      </c>
      <c r="L44" s="26">
        <f t="shared" si="3"/>
        <v>4.4408920985006262E-15</v>
      </c>
      <c r="N44" s="19"/>
      <c r="O44" s="26">
        <f t="shared" si="7"/>
        <v>5.8997450869780188</v>
      </c>
    </row>
    <row r="45" spans="2:18" ht="9" customHeight="1" x14ac:dyDescent="0.25">
      <c r="D45" s="26"/>
    </row>
    <row r="46" spans="2:18" x14ac:dyDescent="0.25">
      <c r="B46" t="s">
        <v>49</v>
      </c>
      <c r="D46" s="27">
        <f>AVERAGE(D10:D44)</f>
        <v>13.865864175824177</v>
      </c>
      <c r="K46" s="27"/>
    </row>
    <row r="47" spans="2:18" x14ac:dyDescent="0.25">
      <c r="D47" s="26"/>
      <c r="G47" t="s">
        <v>26</v>
      </c>
      <c r="H47" s="26">
        <f>SUM(H10:H44)</f>
        <v>7.999999999999976</v>
      </c>
      <c r="M47" t="s">
        <v>26</v>
      </c>
      <c r="N47" s="26">
        <f>SUM(N10:N44)</f>
        <v>5.8997450869780179</v>
      </c>
    </row>
    <row r="48" spans="2:18" x14ac:dyDescent="0.25">
      <c r="D48" s="26"/>
    </row>
    <row r="49" spans="2:14" x14ac:dyDescent="0.25">
      <c r="D49" s="26"/>
    </row>
    <row r="50" spans="2:14" x14ac:dyDescent="0.25">
      <c r="B50" s="17" t="s">
        <v>27</v>
      </c>
    </row>
    <row r="51" spans="2:14" x14ac:dyDescent="0.25">
      <c r="C51" t="s">
        <v>28</v>
      </c>
      <c r="H51">
        <f>COUNTBLANK(H10:H44)</f>
        <v>11</v>
      </c>
      <c r="N51">
        <f>COUNTBLANK(N10:N44)</f>
        <v>16</v>
      </c>
    </row>
    <row r="52" spans="2:14" x14ac:dyDescent="0.25">
      <c r="C52" t="s">
        <v>29</v>
      </c>
      <c r="H52">
        <f>COUNTIF(H10:H44,"&lt;0")</f>
        <v>15</v>
      </c>
      <c r="N52">
        <f>COUNTIF(N10:N44,"&lt;0")</f>
        <v>12</v>
      </c>
    </row>
    <row r="53" spans="2:14" x14ac:dyDescent="0.25">
      <c r="C53" t="s">
        <v>30</v>
      </c>
      <c r="H53">
        <f>COUNTIF(H10:H44,H57)</f>
        <v>9</v>
      </c>
      <c r="N53">
        <f>COUNTIF(N10:N44,N57)</f>
        <v>8</v>
      </c>
    </row>
    <row r="54" spans="2:14" x14ac:dyDescent="0.25">
      <c r="C54" t="s">
        <v>31</v>
      </c>
      <c r="H54">
        <f>COUNTIF(H10:H44,"&gt;0")</f>
        <v>9</v>
      </c>
      <c r="N54">
        <f>COUNTIF(N10:N44,"&gt;0")</f>
        <v>7</v>
      </c>
    </row>
    <row r="56" spans="2:14" x14ac:dyDescent="0.25">
      <c r="B56" s="17" t="s">
        <v>32</v>
      </c>
    </row>
    <row r="57" spans="2:14" x14ac:dyDescent="0.25">
      <c r="C57" t="s">
        <v>33</v>
      </c>
      <c r="H57" s="28">
        <f>MIN(H10:H44)</f>
        <v>-3.5877038184197829</v>
      </c>
      <c r="N57" s="28">
        <f>MIN(N10:N44)</f>
        <v>-2.1573499454208793</v>
      </c>
    </row>
    <row r="58" spans="2:14" x14ac:dyDescent="0.25">
      <c r="C58" t="s">
        <v>34</v>
      </c>
      <c r="H58" s="28">
        <f>MAX(H10:H44)</f>
        <v>24.655965995580218</v>
      </c>
      <c r="N58" s="28">
        <f>MAX(N10:N44)</f>
        <v>13.625137099316481</v>
      </c>
    </row>
    <row r="59" spans="2:14" x14ac:dyDescent="0.25">
      <c r="C59" t="s">
        <v>35</v>
      </c>
      <c r="H59" s="28">
        <f>H63/H54</f>
        <v>6.579779762755801</v>
      </c>
      <c r="N59" s="28">
        <f>N63/N54</f>
        <v>4.1757040534701728</v>
      </c>
    </row>
    <row r="60" spans="2:14" x14ac:dyDescent="0.25">
      <c r="C60" t="s">
        <v>36</v>
      </c>
      <c r="H60" s="26">
        <f>H47</f>
        <v>7.999999999999976</v>
      </c>
      <c r="N60" s="26">
        <f>N47</f>
        <v>5.8997450869780179</v>
      </c>
    </row>
    <row r="63" spans="2:14" x14ac:dyDescent="0.25">
      <c r="B63" s="17" t="s">
        <v>37</v>
      </c>
      <c r="H63">
        <f>SUMIF(H10:H44,"&gt;0")</f>
        <v>59.218017864802206</v>
      </c>
      <c r="N63">
        <f>SUMIF(N10:N44,"&gt;0")</f>
        <v>29.229928374291209</v>
      </c>
    </row>
  </sheetData>
  <mergeCells count="6">
    <mergeCell ref="E7:I7"/>
    <mergeCell ref="K7:O7"/>
    <mergeCell ref="E8:F8"/>
    <mergeCell ref="H8:I8"/>
    <mergeCell ref="K8:L8"/>
    <mergeCell ref="N8:O8"/>
  </mergeCells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3"/>
  <sheetViews>
    <sheetView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2.140625" customWidth="1"/>
    <col min="2" max="2" width="6.7109375" customWidth="1"/>
    <col min="3" max="3" width="2.5703125" customWidth="1"/>
    <col min="7" max="7" width="3.42578125" customWidth="1"/>
    <col min="9" max="9" width="6.42578125" customWidth="1"/>
    <col min="10" max="10" width="4" customWidth="1"/>
    <col min="13" max="13" width="4" customWidth="1"/>
    <col min="14" max="14" width="7.28515625" customWidth="1"/>
    <col min="15" max="15" width="9" customWidth="1"/>
  </cols>
  <sheetData>
    <row r="1" spans="2:15" x14ac:dyDescent="0.25">
      <c r="B1" s="17" t="s">
        <v>58</v>
      </c>
    </row>
    <row r="2" spans="2:15" x14ac:dyDescent="0.25">
      <c r="B2" s="17" t="s">
        <v>8</v>
      </c>
    </row>
    <row r="3" spans="2:15" x14ac:dyDescent="0.25">
      <c r="C3" s="17" t="s">
        <v>9</v>
      </c>
      <c r="D3" s="17"/>
      <c r="E3" s="18">
        <v>16</v>
      </c>
      <c r="F3" s="17" t="s">
        <v>10</v>
      </c>
      <c r="K3" s="19"/>
    </row>
    <row r="4" spans="2:15" x14ac:dyDescent="0.25">
      <c r="B4" t="s">
        <v>11</v>
      </c>
      <c r="E4" s="20">
        <f>D46</f>
        <v>13.865864175824177</v>
      </c>
      <c r="F4" t="s">
        <v>12</v>
      </c>
      <c r="K4" s="20"/>
    </row>
    <row r="5" spans="2:15" x14ac:dyDescent="0.25">
      <c r="B5" t="s">
        <v>13</v>
      </c>
      <c r="E5" s="21">
        <v>0.14668</v>
      </c>
      <c r="F5" t="s">
        <v>14</v>
      </c>
      <c r="J5" s="22" t="s">
        <v>15</v>
      </c>
      <c r="K5" s="21">
        <f>E5*L5+E6*(1-L5)</f>
        <v>0.15834500000000001</v>
      </c>
      <c r="L5" s="23">
        <v>0.9</v>
      </c>
      <c r="M5" t="s">
        <v>16</v>
      </c>
    </row>
    <row r="6" spans="2:15" x14ac:dyDescent="0.25">
      <c r="B6" t="s">
        <v>17</v>
      </c>
      <c r="E6" s="21">
        <v>0.26333000000000001</v>
      </c>
      <c r="F6" t="s">
        <v>14</v>
      </c>
    </row>
    <row r="7" spans="2:15" x14ac:dyDescent="0.25">
      <c r="E7" s="40" t="s">
        <v>18</v>
      </c>
      <c r="F7" s="43"/>
      <c r="G7" s="43"/>
      <c r="H7" s="43"/>
      <c r="I7" s="41"/>
      <c r="K7" s="40" t="s">
        <v>19</v>
      </c>
      <c r="L7" s="43"/>
      <c r="M7" s="43"/>
      <c r="N7" s="43"/>
      <c r="O7" s="41"/>
    </row>
    <row r="8" spans="2:15" ht="34.9" customHeight="1" x14ac:dyDescent="0.25">
      <c r="E8" s="39" t="s">
        <v>20</v>
      </c>
      <c r="F8" s="39"/>
      <c r="H8" s="39" t="s">
        <v>21</v>
      </c>
      <c r="I8" s="39"/>
      <c r="K8" s="39" t="s">
        <v>20</v>
      </c>
      <c r="L8" s="39"/>
      <c r="N8" s="39" t="s">
        <v>21</v>
      </c>
      <c r="O8" s="39"/>
    </row>
    <row r="9" spans="2:15" ht="29.1" customHeight="1" x14ac:dyDescent="0.25">
      <c r="B9" s="24" t="s">
        <v>2</v>
      </c>
      <c r="D9" s="24" t="s">
        <v>22</v>
      </c>
      <c r="E9" s="24" t="s">
        <v>23</v>
      </c>
      <c r="F9" s="24" t="s">
        <v>24</v>
      </c>
      <c r="H9" s="24" t="s">
        <v>25</v>
      </c>
      <c r="I9" s="25" t="s">
        <v>24</v>
      </c>
      <c r="K9" s="24" t="s">
        <v>23</v>
      </c>
      <c r="L9" s="24" t="s">
        <v>24</v>
      </c>
      <c r="N9" s="24" t="s">
        <v>25</v>
      </c>
      <c r="O9" s="25" t="s">
        <v>24</v>
      </c>
    </row>
    <row r="10" spans="2:15" x14ac:dyDescent="0.25">
      <c r="B10">
        <v>1981</v>
      </c>
      <c r="D10" s="26">
        <v>0.24149999999999999</v>
      </c>
      <c r="E10" s="26">
        <f>($E$4-$D10)*$E$6</f>
        <v>3.5877038184197807</v>
      </c>
      <c r="F10" s="26">
        <f>E10</f>
        <v>3.5877038184197807</v>
      </c>
      <c r="I10" s="26">
        <f>E10</f>
        <v>3.5877038184197807</v>
      </c>
      <c r="K10" s="26">
        <f>($E$4-$D10)*$K$5</f>
        <v>2.1573499454208793</v>
      </c>
      <c r="L10" s="26">
        <f>K10</f>
        <v>2.1573499454208793</v>
      </c>
      <c r="O10" s="26">
        <f>K10</f>
        <v>2.1573499454208793</v>
      </c>
    </row>
    <row r="11" spans="2:15" x14ac:dyDescent="0.25">
      <c r="B11">
        <v>1982</v>
      </c>
      <c r="D11" s="26">
        <v>0.24149999999999999</v>
      </c>
      <c r="E11" s="26">
        <f>($E$4-$D11)*$E$6</f>
        <v>3.5877038184197807</v>
      </c>
      <c r="F11" s="26">
        <f>F10+E11</f>
        <v>7.1754076368395614</v>
      </c>
      <c r="I11" s="26">
        <f>I10+E11+H11</f>
        <v>7.1754076368395614</v>
      </c>
      <c r="K11" s="26">
        <f t="shared" ref="K11:K44" si="0">($E$4-$D11)*$K$5</f>
        <v>2.1573499454208793</v>
      </c>
      <c r="L11" s="26">
        <f>L10+K11</f>
        <v>4.3146998908417586</v>
      </c>
      <c r="O11" s="26">
        <f>O10+K11+N11</f>
        <v>4.3146998908417586</v>
      </c>
    </row>
    <row r="12" spans="2:15" x14ac:dyDescent="0.25">
      <c r="B12">
        <v>1983</v>
      </c>
      <c r="D12" s="26">
        <v>0.24149999999999999</v>
      </c>
      <c r="E12" s="26">
        <f>($E$4-$D12)*$E$6</f>
        <v>3.5877038184197807</v>
      </c>
      <c r="F12" s="26">
        <f t="shared" ref="F12:F44" si="1">F11+E12</f>
        <v>10.763111455259342</v>
      </c>
      <c r="I12" s="26">
        <f t="shared" ref="I12:I29" si="2">I11+E12+H12</f>
        <v>10.763111455259342</v>
      </c>
      <c r="K12" s="26">
        <f t="shared" si="0"/>
        <v>2.1573499454208793</v>
      </c>
      <c r="L12" s="26">
        <f t="shared" ref="L12:L44" si="3">L11+K12</f>
        <v>6.472049836262638</v>
      </c>
      <c r="O12" s="26">
        <f t="shared" ref="O12:O24" si="4">O11+K12+N12</f>
        <v>6.472049836262638</v>
      </c>
    </row>
    <row r="13" spans="2:15" x14ac:dyDescent="0.25">
      <c r="B13">
        <v>1984</v>
      </c>
      <c r="D13" s="26">
        <v>0.37799999999999995</v>
      </c>
      <c r="E13" s="26">
        <f>($E$4-$D13)*$E$6</f>
        <v>3.5517592734197807</v>
      </c>
      <c r="F13" s="26">
        <f t="shared" si="1"/>
        <v>14.314870728679121</v>
      </c>
      <c r="I13" s="26">
        <f t="shared" si="2"/>
        <v>14.314870728679121</v>
      </c>
      <c r="K13" s="26">
        <f t="shared" si="0"/>
        <v>2.1357358529208796</v>
      </c>
      <c r="L13" s="26">
        <f t="shared" si="3"/>
        <v>8.6077856891835172</v>
      </c>
      <c r="O13" s="26">
        <f t="shared" si="4"/>
        <v>8.6077856891835172</v>
      </c>
    </row>
    <row r="14" spans="2:15" x14ac:dyDescent="0.25">
      <c r="B14">
        <v>1985</v>
      </c>
      <c r="D14" s="26">
        <v>0.26339999999999997</v>
      </c>
      <c r="E14" s="26">
        <f>($E$4-$D14)*$E$6</f>
        <v>3.5819368914197804</v>
      </c>
      <c r="F14" s="26">
        <f t="shared" si="1"/>
        <v>17.896807620098901</v>
      </c>
      <c r="H14" s="19">
        <f>$E$3-F14-SUM(H$10:H13)</f>
        <v>-1.896807620098901</v>
      </c>
      <c r="I14" s="26">
        <f>I13+E14+H14</f>
        <v>16</v>
      </c>
      <c r="K14" s="26">
        <f t="shared" si="0"/>
        <v>2.1538821899208793</v>
      </c>
      <c r="L14" s="26">
        <f t="shared" si="3"/>
        <v>10.761667879104397</v>
      </c>
      <c r="O14" s="26">
        <f t="shared" si="4"/>
        <v>10.761667879104397</v>
      </c>
    </row>
    <row r="15" spans="2:15" x14ac:dyDescent="0.25">
      <c r="B15">
        <v>1986</v>
      </c>
      <c r="D15" s="26">
        <v>0.35170000000000001</v>
      </c>
      <c r="E15" s="26">
        <f t="shared" ref="E15:E44" si="5">($E$4-$D15)*$E$6</f>
        <v>3.5586848524197809</v>
      </c>
      <c r="F15" s="26">
        <f t="shared" si="1"/>
        <v>21.455492472518682</v>
      </c>
      <c r="H15" s="19">
        <f>$E$3-F15-SUM(H$10:H14)</f>
        <v>-3.5586848524197805</v>
      </c>
      <c r="I15" s="26">
        <f t="shared" si="2"/>
        <v>16</v>
      </c>
      <c r="K15" s="26">
        <f>($E$4-$D15)*$K$5</f>
        <v>2.1399003264208796</v>
      </c>
      <c r="L15" s="26">
        <f t="shared" si="3"/>
        <v>12.901568205525276</v>
      </c>
      <c r="O15" s="26">
        <f t="shared" si="4"/>
        <v>12.901568205525276</v>
      </c>
    </row>
    <row r="16" spans="2:15" x14ac:dyDescent="0.25">
      <c r="B16">
        <v>1987</v>
      </c>
      <c r="D16" s="26">
        <v>0.24149999999999999</v>
      </c>
      <c r="E16" s="26">
        <f t="shared" si="5"/>
        <v>3.5877038184197807</v>
      </c>
      <c r="F16" s="26">
        <f t="shared" si="1"/>
        <v>25.043196290938461</v>
      </c>
      <c r="H16" s="19">
        <f>$E$3-F16-SUM(H$10:H15)</f>
        <v>-3.5877038184197794</v>
      </c>
      <c r="I16" s="26">
        <f t="shared" si="2"/>
        <v>16</v>
      </c>
      <c r="K16" s="26">
        <f t="shared" si="0"/>
        <v>2.1573499454208793</v>
      </c>
      <c r="L16" s="26">
        <f t="shared" si="3"/>
        <v>15.058918150946155</v>
      </c>
      <c r="O16" s="26">
        <f t="shared" si="4"/>
        <v>15.058918150946155</v>
      </c>
    </row>
    <row r="17" spans="2:17" x14ac:dyDescent="0.25">
      <c r="B17">
        <v>1988</v>
      </c>
      <c r="D17" s="26">
        <v>0.24149999999999999</v>
      </c>
      <c r="E17" s="26">
        <f t="shared" si="5"/>
        <v>3.5877038184197807</v>
      </c>
      <c r="F17" s="26">
        <f t="shared" si="1"/>
        <v>28.63090010935824</v>
      </c>
      <c r="H17" s="19">
        <f>$E$3-F17-SUM(H$10:H16)</f>
        <v>-3.5877038184197794</v>
      </c>
      <c r="I17" s="26">
        <f t="shared" si="2"/>
        <v>16</v>
      </c>
      <c r="K17" s="26">
        <f t="shared" si="0"/>
        <v>2.1573499454208793</v>
      </c>
      <c r="L17" s="26">
        <f t="shared" si="3"/>
        <v>17.216268096367035</v>
      </c>
      <c r="N17" s="19">
        <f>$E$3-L17-SUM(N$10:N16)</f>
        <v>-1.2162680963670347</v>
      </c>
      <c r="O17" s="26">
        <f t="shared" si="4"/>
        <v>16</v>
      </c>
    </row>
    <row r="18" spans="2:17" x14ac:dyDescent="0.25">
      <c r="B18">
        <v>1989</v>
      </c>
      <c r="D18" s="26">
        <v>0.24149999999999999</v>
      </c>
      <c r="E18" s="26">
        <f t="shared" si="5"/>
        <v>3.5877038184197807</v>
      </c>
      <c r="F18" s="26">
        <f t="shared" si="1"/>
        <v>32.21860392777802</v>
      </c>
      <c r="H18" s="19">
        <f>$E$3-F18-SUM(H$10:H17)</f>
        <v>-3.5877038184197794</v>
      </c>
      <c r="I18" s="26">
        <f t="shared" si="2"/>
        <v>16</v>
      </c>
      <c r="K18" s="26">
        <f t="shared" si="0"/>
        <v>2.1573499454208793</v>
      </c>
      <c r="L18" s="26">
        <f t="shared" si="3"/>
        <v>19.373618041787914</v>
      </c>
      <c r="N18" s="19">
        <f>$E$3-L18-SUM(N$10:N17)</f>
        <v>-2.1573499454208793</v>
      </c>
      <c r="O18" s="26">
        <f t="shared" si="4"/>
        <v>16</v>
      </c>
    </row>
    <row r="19" spans="2:17" x14ac:dyDescent="0.25">
      <c r="B19">
        <v>1990</v>
      </c>
      <c r="D19" s="26">
        <v>0.24149999999999999</v>
      </c>
      <c r="E19" s="26">
        <f t="shared" si="5"/>
        <v>3.5877038184197807</v>
      </c>
      <c r="F19" s="26">
        <f t="shared" si="1"/>
        <v>35.806307746197803</v>
      </c>
      <c r="H19" s="19">
        <f>$E$3-F19-SUM(H$10:H18)</f>
        <v>-3.5877038184197829</v>
      </c>
      <c r="I19" s="26">
        <f t="shared" si="2"/>
        <v>15.999999999999996</v>
      </c>
      <c r="K19" s="26">
        <f t="shared" si="0"/>
        <v>2.1573499454208793</v>
      </c>
      <c r="L19" s="26">
        <f t="shared" si="3"/>
        <v>21.530967987208793</v>
      </c>
      <c r="N19" s="19">
        <f>$E$3-L19-SUM(N$10:N18)</f>
        <v>-2.1573499454208793</v>
      </c>
      <c r="O19" s="26">
        <f t="shared" si="4"/>
        <v>16</v>
      </c>
    </row>
    <row r="20" spans="2:17" x14ac:dyDescent="0.25">
      <c r="B20">
        <v>1991</v>
      </c>
      <c r="D20" s="26">
        <v>0.24149999999999999</v>
      </c>
      <c r="E20" s="26">
        <f t="shared" si="5"/>
        <v>3.5877038184197807</v>
      </c>
      <c r="F20" s="26">
        <f t="shared" si="1"/>
        <v>39.394011564617585</v>
      </c>
      <c r="H20" s="19">
        <f>$E$3-F20-SUM(H$10:H19)</f>
        <v>-3.5877038184197829</v>
      </c>
      <c r="I20" s="26">
        <f t="shared" si="2"/>
        <v>15.999999999999993</v>
      </c>
      <c r="K20" s="26">
        <f t="shared" si="0"/>
        <v>2.1573499454208793</v>
      </c>
      <c r="L20" s="26">
        <f t="shared" si="3"/>
        <v>23.688317932629673</v>
      </c>
      <c r="N20" s="19">
        <f>$E$3-L20-SUM(N$10:N19)</f>
        <v>-2.1573499454208793</v>
      </c>
      <c r="O20" s="26">
        <f t="shared" si="4"/>
        <v>16</v>
      </c>
    </row>
    <row r="21" spans="2:17" x14ac:dyDescent="0.25">
      <c r="B21">
        <v>1992</v>
      </c>
      <c r="D21" s="26">
        <v>0.24149999999999999</v>
      </c>
      <c r="E21" s="26">
        <f t="shared" si="5"/>
        <v>3.5877038184197807</v>
      </c>
      <c r="F21" s="26">
        <f t="shared" si="1"/>
        <v>42.981715383037368</v>
      </c>
      <c r="H21" s="19">
        <f>$E$3-F21-SUM(H$10:H20)</f>
        <v>-3.5877038184197829</v>
      </c>
      <c r="I21" s="26">
        <f t="shared" si="2"/>
        <v>15.999999999999989</v>
      </c>
      <c r="K21" s="26">
        <f t="shared" si="0"/>
        <v>2.1573499454208793</v>
      </c>
      <c r="L21" s="26">
        <f t="shared" si="3"/>
        <v>25.845667878050552</v>
      </c>
      <c r="N21" s="19">
        <f>$E$3-L21-SUM(N$10:N20)</f>
        <v>-2.1573499454208793</v>
      </c>
      <c r="O21" s="26">
        <f t="shared" si="4"/>
        <v>16</v>
      </c>
    </row>
    <row r="22" spans="2:17" x14ac:dyDescent="0.25">
      <c r="B22">
        <v>1993</v>
      </c>
      <c r="D22" s="26">
        <v>0.24149999999999999</v>
      </c>
      <c r="E22" s="26">
        <f t="shared" si="5"/>
        <v>3.5877038184197807</v>
      </c>
      <c r="F22" s="26">
        <f t="shared" si="1"/>
        <v>46.569419201457151</v>
      </c>
      <c r="H22" s="19">
        <f>$E$3-F22-SUM(H$10:H21)</f>
        <v>-3.5877038184197829</v>
      </c>
      <c r="I22" s="26">
        <f t="shared" si="2"/>
        <v>15.999999999999986</v>
      </c>
      <c r="K22" s="26">
        <f t="shared" si="0"/>
        <v>2.1573499454208793</v>
      </c>
      <c r="L22" s="26">
        <f t="shared" si="3"/>
        <v>28.003017823471431</v>
      </c>
      <c r="N22" s="19">
        <f>$E$3-L22-SUM(N$10:N21)</f>
        <v>-2.1573499454208793</v>
      </c>
      <c r="O22" s="26">
        <f t="shared" si="4"/>
        <v>16</v>
      </c>
    </row>
    <row r="23" spans="2:17" x14ac:dyDescent="0.25">
      <c r="B23">
        <v>1994</v>
      </c>
      <c r="D23" s="26">
        <v>0.24149999999999999</v>
      </c>
      <c r="E23" s="26">
        <f>($E$4-$D23)*$E$6</f>
        <v>3.5877038184197807</v>
      </c>
      <c r="F23" s="26">
        <f t="shared" si="1"/>
        <v>50.157123019876934</v>
      </c>
      <c r="H23" s="19">
        <f>$E$3-F23-SUM(H$10:H22)</f>
        <v>-3.5877038184197829</v>
      </c>
      <c r="I23" s="26">
        <f t="shared" si="2"/>
        <v>15.999999999999982</v>
      </c>
      <c r="K23" s="26">
        <f t="shared" si="0"/>
        <v>2.1573499454208793</v>
      </c>
      <c r="L23" s="26">
        <f t="shared" si="3"/>
        <v>30.160367768892311</v>
      </c>
      <c r="N23" s="19">
        <f>$E$3-L23-SUM(N$10:N22)</f>
        <v>-2.1573499454208793</v>
      </c>
      <c r="O23" s="26">
        <f t="shared" si="4"/>
        <v>16</v>
      </c>
    </row>
    <row r="24" spans="2:17" x14ac:dyDescent="0.25">
      <c r="B24">
        <v>1995</v>
      </c>
      <c r="D24" s="26">
        <v>6.4780999999999995</v>
      </c>
      <c r="E24" s="32">
        <f t="shared" si="5"/>
        <v>1.9454199404197807</v>
      </c>
      <c r="F24" s="26">
        <f t="shared" si="1"/>
        <v>52.102542960296717</v>
      </c>
      <c r="H24" s="19">
        <f>$E$3-F24-SUM(H$10:H23)</f>
        <v>-1.9454199404197823</v>
      </c>
      <c r="I24" s="26">
        <f t="shared" si="2"/>
        <v>15.999999999999982</v>
      </c>
      <c r="K24" s="26">
        <f t="shared" si="0"/>
        <v>1.1698155184208794</v>
      </c>
      <c r="L24" s="26">
        <f t="shared" si="3"/>
        <v>31.33018328731319</v>
      </c>
      <c r="N24" s="19">
        <f>$E$3-L24-SUM(N$10:N23)</f>
        <v>-1.1698155184208794</v>
      </c>
      <c r="O24" s="26">
        <f t="shared" si="4"/>
        <v>16</v>
      </c>
    </row>
    <row r="25" spans="2:17" x14ac:dyDescent="0.25">
      <c r="B25">
        <v>1996</v>
      </c>
      <c r="D25" s="26">
        <v>50.074200000000005</v>
      </c>
      <c r="E25" s="32">
        <f t="shared" si="5"/>
        <v>-9.5347410725802213</v>
      </c>
      <c r="F25" s="26">
        <f t="shared" si="1"/>
        <v>42.567801887716499</v>
      </c>
      <c r="I25" s="26">
        <f t="shared" si="2"/>
        <v>6.4652589274197609</v>
      </c>
      <c r="K25" s="26">
        <f t="shared" si="0"/>
        <v>-5.7334089360791216</v>
      </c>
      <c r="L25" s="26">
        <f t="shared" si="3"/>
        <v>25.596774351234068</v>
      </c>
      <c r="O25" s="26">
        <f>O24+K25+N25</f>
        <v>10.266591063920878</v>
      </c>
    </row>
    <row r="26" spans="2:17" x14ac:dyDescent="0.25">
      <c r="B26">
        <v>1997</v>
      </c>
      <c r="D26" s="26">
        <v>53.823599999999992</v>
      </c>
      <c r="E26" s="32">
        <f t="shared" si="5"/>
        <v>-10.522070574580217</v>
      </c>
      <c r="F26" s="26">
        <f t="shared" si="1"/>
        <v>32.04573131313628</v>
      </c>
      <c r="I26" s="26">
        <f t="shared" si="2"/>
        <v>-4.0568116471604565</v>
      </c>
      <c r="K26" s="26">
        <f t="shared" si="0"/>
        <v>-6.3271076790791199</v>
      </c>
      <c r="L26" s="26">
        <f t="shared" si="3"/>
        <v>19.269666672154948</v>
      </c>
      <c r="O26" s="26">
        <f t="shared" ref="O26:O44" si="6">O25+K26+N26</f>
        <v>3.9394833848417576</v>
      </c>
    </row>
    <row r="27" spans="2:17" x14ac:dyDescent="0.25">
      <c r="B27">
        <v>1998</v>
      </c>
      <c r="D27" s="26">
        <v>31.160699999999999</v>
      </c>
      <c r="E27" s="32">
        <f t="shared" si="5"/>
        <v>-4.5542491175802189</v>
      </c>
      <c r="F27" s="26">
        <f t="shared" si="1"/>
        <v>27.49148219555606</v>
      </c>
      <c r="I27" s="26">
        <f t="shared" si="2"/>
        <v>-8.6110607647406745</v>
      </c>
      <c r="K27" s="26">
        <f t="shared" si="0"/>
        <v>-2.7385507785791203</v>
      </c>
      <c r="L27" s="26">
        <f t="shared" si="3"/>
        <v>16.531115893575826</v>
      </c>
      <c r="O27" s="26">
        <f t="shared" si="6"/>
        <v>1.2009326062626373</v>
      </c>
    </row>
    <row r="28" spans="2:17" x14ac:dyDescent="0.25">
      <c r="B28">
        <v>1999</v>
      </c>
      <c r="D28" s="26">
        <v>107.49729999999998</v>
      </c>
      <c r="E28" s="32">
        <f t="shared" si="5"/>
        <v>-24.655965995580218</v>
      </c>
      <c r="F28" s="26">
        <f t="shared" si="1"/>
        <v>2.8355161999758423</v>
      </c>
      <c r="H28" s="19">
        <f>-E$3-I27-E28</f>
        <v>17.267026760320892</v>
      </c>
      <c r="I28" s="26">
        <f>I27+E28+H28</f>
        <v>-15.999999999999996</v>
      </c>
      <c r="K28" s="26">
        <f t="shared" si="0"/>
        <v>-14.826069705579119</v>
      </c>
      <c r="L28" s="26">
        <f t="shared" si="3"/>
        <v>1.7050461879967074</v>
      </c>
      <c r="O28" s="26">
        <f t="shared" si="6"/>
        <v>-13.625137099316483</v>
      </c>
      <c r="Q28" s="26"/>
    </row>
    <row r="29" spans="2:17" x14ac:dyDescent="0.25">
      <c r="B29">
        <v>2000</v>
      </c>
      <c r="D29" s="26">
        <v>58.34046923076923</v>
      </c>
      <c r="E29" s="32">
        <f t="shared" si="5"/>
        <v>-11.711497749118681</v>
      </c>
      <c r="F29" s="26">
        <f t="shared" si="1"/>
        <v>-8.8759815491428391</v>
      </c>
      <c r="H29" s="26">
        <f t="shared" ref="H29:H34" si="7">-E29</f>
        <v>11.711497749118681</v>
      </c>
      <c r="I29" s="26">
        <f t="shared" si="2"/>
        <v>-15.999999999999996</v>
      </c>
      <c r="K29" s="26">
        <f t="shared" si="0"/>
        <v>-7.0423313374252752</v>
      </c>
      <c r="L29" s="26">
        <f t="shared" si="3"/>
        <v>-5.3372851494285678</v>
      </c>
      <c r="N29" s="19">
        <f>-E$3-O28-K29</f>
        <v>4.6674684367417578</v>
      </c>
      <c r="O29" s="26">
        <f t="shared" si="6"/>
        <v>-16</v>
      </c>
    </row>
    <row r="30" spans="2:17" x14ac:dyDescent="0.25">
      <c r="B30">
        <v>2001</v>
      </c>
      <c r="D30" s="26">
        <v>35.396838461538465</v>
      </c>
      <c r="E30" s="32">
        <f t="shared" si="5"/>
        <v>-5.6697514586571431</v>
      </c>
      <c r="F30" s="26">
        <f t="shared" si="1"/>
        <v>-14.545733007799981</v>
      </c>
      <c r="H30" s="26">
        <f t="shared" si="7"/>
        <v>5.6697514586571431</v>
      </c>
      <c r="I30" s="26">
        <f>I29+E30+H30</f>
        <v>-15.999999999999996</v>
      </c>
      <c r="K30" s="26">
        <f t="shared" si="0"/>
        <v>-3.409322123271429</v>
      </c>
      <c r="L30" s="26">
        <f t="shared" si="3"/>
        <v>-8.7466072726999968</v>
      </c>
      <c r="N30" s="26">
        <f t="shared" ref="N30:N34" si="8">-K30</f>
        <v>3.409322123271429</v>
      </c>
      <c r="O30" s="26">
        <f t="shared" si="6"/>
        <v>-16</v>
      </c>
    </row>
    <row r="31" spans="2:17" x14ac:dyDescent="0.25">
      <c r="B31">
        <v>2002</v>
      </c>
      <c r="D31" s="26">
        <v>23.979607692307692</v>
      </c>
      <c r="E31" s="32">
        <f t="shared" si="5"/>
        <v>-2.6632520801956039</v>
      </c>
      <c r="F31" s="26">
        <f t="shared" si="1"/>
        <v>-17.208985087995586</v>
      </c>
      <c r="H31" s="26">
        <f t="shared" si="7"/>
        <v>2.6632520801956039</v>
      </c>
      <c r="I31" s="26">
        <f t="shared" ref="I31:I44" si="9">I30+E31+H31</f>
        <v>-15.999999999999996</v>
      </c>
      <c r="K31" s="26">
        <f t="shared" si="0"/>
        <v>-1.6014607171175823</v>
      </c>
      <c r="L31" s="26">
        <f t="shared" si="3"/>
        <v>-10.348067989817579</v>
      </c>
      <c r="N31" s="26">
        <f t="shared" si="8"/>
        <v>1.6014607171175823</v>
      </c>
      <c r="O31" s="26">
        <f t="shared" si="6"/>
        <v>-16</v>
      </c>
    </row>
    <row r="32" spans="2:17" x14ac:dyDescent="0.25">
      <c r="B32">
        <v>2003</v>
      </c>
      <c r="D32" s="26">
        <v>14.192907692307692</v>
      </c>
      <c r="E32" s="32">
        <f t="shared" si="5"/>
        <v>-8.6120369195604077E-2</v>
      </c>
      <c r="F32" s="26">
        <f t="shared" si="1"/>
        <v>-17.295105457191191</v>
      </c>
      <c r="H32" s="26">
        <f t="shared" si="7"/>
        <v>8.6120369195604077E-2</v>
      </c>
      <c r="I32" s="26">
        <f t="shared" si="9"/>
        <v>-15.999999999999996</v>
      </c>
      <c r="K32" s="26">
        <f t="shared" si="0"/>
        <v>-5.178570561758223E-2</v>
      </c>
      <c r="L32" s="26">
        <f t="shared" si="3"/>
        <v>-10.399853695435162</v>
      </c>
      <c r="N32" s="26">
        <f t="shared" si="8"/>
        <v>5.178570561758223E-2</v>
      </c>
      <c r="O32" s="26">
        <f t="shared" si="6"/>
        <v>-16</v>
      </c>
    </row>
    <row r="33" spans="2:18" x14ac:dyDescent="0.25">
      <c r="B33">
        <v>2004</v>
      </c>
      <c r="D33" s="26">
        <v>33.151576923076931</v>
      </c>
      <c r="E33" s="32">
        <f t="shared" si="5"/>
        <v>-5.0785067377340676</v>
      </c>
      <c r="F33" s="26">
        <f t="shared" si="1"/>
        <v>-22.373612194925258</v>
      </c>
      <c r="H33" s="26">
        <f t="shared" si="7"/>
        <v>5.0785067377340676</v>
      </c>
      <c r="I33" s="26">
        <f t="shared" si="9"/>
        <v>-15.999999999999996</v>
      </c>
      <c r="K33" s="26">
        <f t="shared" si="0"/>
        <v>-3.0537961849637374</v>
      </c>
      <c r="L33" s="26">
        <f t="shared" si="3"/>
        <v>-13.453649880398899</v>
      </c>
      <c r="N33" s="26">
        <f t="shared" si="8"/>
        <v>3.0537961849637374</v>
      </c>
      <c r="O33" s="26">
        <f t="shared" si="6"/>
        <v>-16</v>
      </c>
    </row>
    <row r="34" spans="2:18" x14ac:dyDescent="0.25">
      <c r="B34">
        <v>2005</v>
      </c>
      <c r="D34" s="26">
        <v>16.6831</v>
      </c>
      <c r="E34" s="32">
        <f t="shared" si="5"/>
        <v>-0.74186270958021949</v>
      </c>
      <c r="F34" s="26">
        <f t="shared" si="1"/>
        <v>-23.115474904505476</v>
      </c>
      <c r="H34" s="26">
        <f t="shared" si="7"/>
        <v>0.74186270958021949</v>
      </c>
      <c r="I34" s="26">
        <f t="shared" si="9"/>
        <v>-15.999999999999995</v>
      </c>
      <c r="K34" s="26">
        <f t="shared" si="0"/>
        <v>-0.44609520657912072</v>
      </c>
      <c r="L34" s="26">
        <f t="shared" si="3"/>
        <v>-13.899745086978021</v>
      </c>
      <c r="N34" s="26">
        <f t="shared" si="8"/>
        <v>0.44609520657912072</v>
      </c>
      <c r="O34" s="26">
        <f t="shared" si="6"/>
        <v>-15.999999999999998</v>
      </c>
      <c r="Q34" s="19"/>
      <c r="R34" s="19"/>
    </row>
    <row r="35" spans="2:18" x14ac:dyDescent="0.25">
      <c r="B35">
        <v>2006</v>
      </c>
      <c r="D35" s="26">
        <v>12.581207692307691</v>
      </c>
      <c r="E35" s="26">
        <f t="shared" si="5"/>
        <v>0.33828859180439613</v>
      </c>
      <c r="F35" s="26">
        <f t="shared" si="1"/>
        <v>-22.77718631270108</v>
      </c>
      <c r="I35" s="26">
        <f t="shared" si="9"/>
        <v>-15.661711408195599</v>
      </c>
      <c r="K35" s="26">
        <f t="shared" si="0"/>
        <v>0.20341893088241791</v>
      </c>
      <c r="L35" s="26">
        <f t="shared" si="3"/>
        <v>-13.696326156095603</v>
      </c>
      <c r="O35" s="26">
        <f t="shared" si="6"/>
        <v>-15.796581069117581</v>
      </c>
      <c r="Q35" s="19"/>
      <c r="R35" s="19"/>
    </row>
    <row r="36" spans="2:18" x14ac:dyDescent="0.25">
      <c r="B36">
        <v>2007</v>
      </c>
      <c r="D36" s="26">
        <v>13.839961538461537</v>
      </c>
      <c r="E36" s="26">
        <f t="shared" si="5"/>
        <v>6.82094149670384E-3</v>
      </c>
      <c r="F36" s="26">
        <f t="shared" si="1"/>
        <v>-22.770365371204377</v>
      </c>
      <c r="I36" s="26">
        <f t="shared" si="9"/>
        <v>-15.654890466698895</v>
      </c>
      <c r="K36" s="26">
        <f>($E$4-$D36)*$K$5</f>
        <v>4.1015531131871402E-3</v>
      </c>
      <c r="L36" s="26">
        <f t="shared" si="3"/>
        <v>-13.692224602982416</v>
      </c>
      <c r="O36" s="26">
        <f t="shared" si="6"/>
        <v>-15.792479516004393</v>
      </c>
    </row>
    <row r="37" spans="2:18" x14ac:dyDescent="0.25">
      <c r="B37">
        <v>2008</v>
      </c>
      <c r="D37" s="26">
        <v>11.397730769230769</v>
      </c>
      <c r="E37" s="26">
        <f t="shared" si="5"/>
        <v>0.64993356995824203</v>
      </c>
      <c r="F37" s="26">
        <f t="shared" si="1"/>
        <v>-22.120431801246134</v>
      </c>
      <c r="I37" s="26">
        <f t="shared" si="9"/>
        <v>-15.004956896740653</v>
      </c>
      <c r="K37" s="26">
        <f t="shared" si="0"/>
        <v>0.3908165842670332</v>
      </c>
      <c r="L37" s="26">
        <f t="shared" si="3"/>
        <v>-13.301408018715382</v>
      </c>
      <c r="O37" s="26">
        <f t="shared" si="6"/>
        <v>-15.401662931737359</v>
      </c>
    </row>
    <row r="38" spans="2:18" x14ac:dyDescent="0.25">
      <c r="B38">
        <v>2009</v>
      </c>
      <c r="D38" s="26">
        <v>1.9132923076923078</v>
      </c>
      <c r="E38" s="26">
        <f t="shared" si="5"/>
        <v>3.1474707500351653</v>
      </c>
      <c r="F38" s="26">
        <f t="shared" si="1"/>
        <v>-18.972961051210969</v>
      </c>
      <c r="I38" s="26">
        <f t="shared" si="9"/>
        <v>-11.857486146705488</v>
      </c>
      <c r="K38" s="26">
        <f t="shared" si="0"/>
        <v>1.892629992459341</v>
      </c>
      <c r="L38" s="26">
        <f t="shared" si="3"/>
        <v>-11.408778026256041</v>
      </c>
      <c r="O38" s="26">
        <f t="shared" si="6"/>
        <v>-13.509032939278018</v>
      </c>
    </row>
    <row r="39" spans="2:18" x14ac:dyDescent="0.25">
      <c r="B39">
        <v>2010</v>
      </c>
      <c r="D39" s="26">
        <v>5.0805461538461545</v>
      </c>
      <c r="E39" s="26">
        <f t="shared" si="5"/>
        <v>2.3134377947274722</v>
      </c>
      <c r="F39" s="26">
        <f t="shared" si="1"/>
        <v>-16.659523256483496</v>
      </c>
      <c r="I39" s="26">
        <f t="shared" si="9"/>
        <v>-9.5440483519780166</v>
      </c>
      <c r="K39" s="26">
        <f t="shared" si="0"/>
        <v>1.3911111821901099</v>
      </c>
      <c r="L39" s="26">
        <f t="shared" si="3"/>
        <v>-10.01766684406593</v>
      </c>
      <c r="O39" s="26">
        <f t="shared" si="6"/>
        <v>-12.117921757087908</v>
      </c>
    </row>
    <row r="40" spans="2:18" x14ac:dyDescent="0.25">
      <c r="B40">
        <v>2011</v>
      </c>
      <c r="D40" s="26">
        <v>3.7116615384615388</v>
      </c>
      <c r="E40" s="26">
        <f t="shared" si="5"/>
        <v>2.6739061804967035</v>
      </c>
      <c r="F40" s="26">
        <f t="shared" si="1"/>
        <v>-13.985617075986791</v>
      </c>
      <c r="I40" s="26">
        <f t="shared" si="9"/>
        <v>-6.8701421714813131</v>
      </c>
      <c r="K40" s="26">
        <f t="shared" si="0"/>
        <v>1.6078672166131869</v>
      </c>
      <c r="L40" s="26">
        <f t="shared" si="3"/>
        <v>-8.4097996274527436</v>
      </c>
      <c r="O40" s="26">
        <f t="shared" si="6"/>
        <v>-10.510054540474721</v>
      </c>
    </row>
    <row r="41" spans="2:18" x14ac:dyDescent="0.25">
      <c r="B41">
        <v>2012</v>
      </c>
      <c r="D41" s="26">
        <v>1.6283461538461539</v>
      </c>
      <c r="E41" s="26">
        <f t="shared" si="5"/>
        <v>3.2225056207274729</v>
      </c>
      <c r="F41" s="26">
        <f t="shared" si="1"/>
        <v>-10.763111455259319</v>
      </c>
      <c r="I41" s="26">
        <f t="shared" si="9"/>
        <v>-3.6476365507538402</v>
      </c>
      <c r="K41" s="26">
        <f t="shared" si="0"/>
        <v>1.9377497911901103</v>
      </c>
      <c r="L41" s="26">
        <f t="shared" si="3"/>
        <v>-6.4720498362626335</v>
      </c>
      <c r="O41" s="26">
        <f t="shared" si="6"/>
        <v>-8.5723047492846103</v>
      </c>
    </row>
    <row r="42" spans="2:18" x14ac:dyDescent="0.25">
      <c r="B42">
        <v>2013</v>
      </c>
      <c r="D42" s="26">
        <v>0.24149999999999999</v>
      </c>
      <c r="E42" s="26">
        <f t="shared" si="5"/>
        <v>3.5877038184197807</v>
      </c>
      <c r="F42" s="26">
        <f t="shared" si="1"/>
        <v>-7.1754076368395374</v>
      </c>
      <c r="I42" s="26">
        <f t="shared" si="9"/>
        <v>-5.9932732334059491E-2</v>
      </c>
      <c r="K42" s="26">
        <f t="shared" si="0"/>
        <v>2.1573499454208793</v>
      </c>
      <c r="L42" s="26">
        <f t="shared" si="3"/>
        <v>-4.3146998908417542</v>
      </c>
      <c r="O42" s="26">
        <f t="shared" si="6"/>
        <v>-6.414954803863731</v>
      </c>
    </row>
    <row r="43" spans="2:18" x14ac:dyDescent="0.25">
      <c r="B43">
        <v>2014</v>
      </c>
      <c r="D43" s="26">
        <v>0.24149999999999999</v>
      </c>
      <c r="E43" s="26">
        <f t="shared" si="5"/>
        <v>3.5877038184197807</v>
      </c>
      <c r="F43" s="26">
        <f t="shared" si="1"/>
        <v>-3.5877038184197567</v>
      </c>
      <c r="I43" s="26">
        <f t="shared" si="9"/>
        <v>3.5277710860857212</v>
      </c>
      <c r="K43" s="26">
        <f t="shared" si="0"/>
        <v>2.1573499454208793</v>
      </c>
      <c r="L43" s="26">
        <f t="shared" si="3"/>
        <v>-2.1573499454208749</v>
      </c>
      <c r="O43" s="26">
        <f t="shared" si="6"/>
        <v>-4.2576048584428516</v>
      </c>
    </row>
    <row r="44" spans="2:18" x14ac:dyDescent="0.25">
      <c r="B44">
        <v>2015</v>
      </c>
      <c r="D44" s="26">
        <v>0.24149999999999999</v>
      </c>
      <c r="E44" s="26">
        <f t="shared" si="5"/>
        <v>3.5877038184197807</v>
      </c>
      <c r="F44" s="26">
        <f t="shared" si="1"/>
        <v>2.3980817331903381E-14</v>
      </c>
      <c r="I44" s="26">
        <f t="shared" si="9"/>
        <v>7.1154749045055024</v>
      </c>
      <c r="K44" s="26">
        <f t="shared" si="0"/>
        <v>2.1573499454208793</v>
      </c>
      <c r="L44" s="26">
        <f t="shared" si="3"/>
        <v>4.4408920985006262E-15</v>
      </c>
      <c r="O44" s="26">
        <f t="shared" si="6"/>
        <v>-2.1002549130219723</v>
      </c>
    </row>
    <row r="45" spans="2:18" ht="9" customHeight="1" x14ac:dyDescent="0.25">
      <c r="D45" s="26"/>
    </row>
    <row r="46" spans="2:18" x14ac:dyDescent="0.25">
      <c r="B46" t="s">
        <v>49</v>
      </c>
      <c r="D46" s="27">
        <f>AVERAGE(D10:D44)</f>
        <v>13.865864175824177</v>
      </c>
      <c r="K46" s="27"/>
    </row>
    <row r="47" spans="2:18" x14ac:dyDescent="0.25">
      <c r="D47" s="26"/>
      <c r="G47" t="s">
        <v>26</v>
      </c>
      <c r="H47" s="26">
        <f>SUM(H10:H44)</f>
        <v>7.1154749045054952</v>
      </c>
      <c r="M47" t="s">
        <v>26</v>
      </c>
      <c r="N47" s="26">
        <f>SUM(N10:N44)</f>
        <v>-2.1002549130219816</v>
      </c>
    </row>
    <row r="50" spans="2:14" x14ac:dyDescent="0.25">
      <c r="B50" s="17" t="s">
        <v>27</v>
      </c>
    </row>
    <row r="51" spans="2:14" x14ac:dyDescent="0.25">
      <c r="C51" t="s">
        <v>28</v>
      </c>
      <c r="H51">
        <f>COUNTBLANK(H10:H44)</f>
        <v>17</v>
      </c>
      <c r="N51">
        <f>COUNTBLANK(N10:N44)</f>
        <v>21</v>
      </c>
    </row>
    <row r="52" spans="2:14" x14ac:dyDescent="0.25">
      <c r="C52" t="s">
        <v>29</v>
      </c>
      <c r="H52">
        <f>COUNTIF(H10:H44,"&lt;0")</f>
        <v>11</v>
      </c>
      <c r="N52">
        <f>COUNTIF(N10:N44,"&lt;0")</f>
        <v>8</v>
      </c>
    </row>
    <row r="53" spans="2:14" x14ac:dyDescent="0.25">
      <c r="C53" t="s">
        <v>30</v>
      </c>
      <c r="H53">
        <f>COUNTIF(H10:H44,H57)</f>
        <v>8</v>
      </c>
      <c r="N53">
        <f>COUNTIF(N10:N44,N57)</f>
        <v>6</v>
      </c>
    </row>
    <row r="54" spans="2:14" x14ac:dyDescent="0.25">
      <c r="C54" t="s">
        <v>31</v>
      </c>
      <c r="H54">
        <f>COUNTIF(H10:H44,"&gt;0")</f>
        <v>7</v>
      </c>
      <c r="N54">
        <f>COUNTIF(N10:N44,"&gt;0")</f>
        <v>6</v>
      </c>
    </row>
    <row r="56" spans="2:14" x14ac:dyDescent="0.25">
      <c r="B56" s="17" t="s">
        <v>32</v>
      </c>
    </row>
    <row r="57" spans="2:14" x14ac:dyDescent="0.25">
      <c r="C57" t="s">
        <v>33</v>
      </c>
      <c r="H57" s="28">
        <f>MIN(H10:H44)</f>
        <v>-3.5877038184197829</v>
      </c>
      <c r="N57" s="28">
        <f>MIN(N10:N44)</f>
        <v>-2.1573499454208793</v>
      </c>
    </row>
    <row r="58" spans="2:14" x14ac:dyDescent="0.25">
      <c r="C58" t="s">
        <v>34</v>
      </c>
      <c r="H58" s="28">
        <f>MAX(H10:H44)</f>
        <v>17.267026760320892</v>
      </c>
      <c r="N58" s="28">
        <f>MAX(N10:N44)</f>
        <v>4.6674684367417578</v>
      </c>
    </row>
    <row r="59" spans="2:14" x14ac:dyDescent="0.25">
      <c r="C59" t="s">
        <v>35</v>
      </c>
      <c r="H59" s="28">
        <f>H63/H54</f>
        <v>6.1740025521146018</v>
      </c>
      <c r="N59" s="28">
        <f>N63/N54</f>
        <v>2.2049880623818683</v>
      </c>
    </row>
    <row r="60" spans="2:14" x14ac:dyDescent="0.25">
      <c r="C60" t="s">
        <v>36</v>
      </c>
      <c r="H60" s="26">
        <f>H47</f>
        <v>7.1154749045054952</v>
      </c>
      <c r="N60" s="26">
        <f>N47</f>
        <v>-2.1002549130219816</v>
      </c>
    </row>
    <row r="63" spans="2:14" x14ac:dyDescent="0.25">
      <c r="B63" s="17" t="s">
        <v>37</v>
      </c>
      <c r="H63">
        <f>SUMIF(H10:H44,"&gt;0")</f>
        <v>43.218017864802214</v>
      </c>
      <c r="N63">
        <f>SUMIF(N10:N44,"&gt;0")</f>
        <v>13.229928374291211</v>
      </c>
    </row>
  </sheetData>
  <mergeCells count="6">
    <mergeCell ref="E7:I7"/>
    <mergeCell ref="K7:O7"/>
    <mergeCell ref="E8:F8"/>
    <mergeCell ref="H8:I8"/>
    <mergeCell ref="K8:L8"/>
    <mergeCell ref="N8:O8"/>
  </mergeCells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3"/>
  <sheetViews>
    <sheetView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2.140625" customWidth="1"/>
    <col min="2" max="2" width="6.7109375" customWidth="1"/>
    <col min="3" max="3" width="2.5703125" customWidth="1"/>
    <col min="4" max="4" width="12.5703125" customWidth="1"/>
    <col min="7" max="7" width="3.42578125" customWidth="1"/>
    <col min="9" max="9" width="6.42578125" customWidth="1"/>
    <col min="10" max="10" width="4" customWidth="1"/>
    <col min="11" max="11" width="9.140625" bestFit="1" customWidth="1"/>
    <col min="13" max="13" width="4" customWidth="1"/>
    <col min="14" max="14" width="7.28515625" customWidth="1"/>
    <col min="15" max="15" width="9" customWidth="1"/>
  </cols>
  <sheetData>
    <row r="1" spans="2:15" x14ac:dyDescent="0.25">
      <c r="B1" s="17" t="s">
        <v>59</v>
      </c>
    </row>
    <row r="2" spans="2:15" x14ac:dyDescent="0.25">
      <c r="B2" s="17" t="s">
        <v>48</v>
      </c>
    </row>
    <row r="3" spans="2:15" x14ac:dyDescent="0.25">
      <c r="C3" s="17" t="s">
        <v>9</v>
      </c>
      <c r="D3" s="17"/>
      <c r="E3" s="18">
        <v>8</v>
      </c>
      <c r="F3" s="17" t="s">
        <v>10</v>
      </c>
      <c r="K3" s="19"/>
    </row>
    <row r="4" spans="2:15" x14ac:dyDescent="0.25">
      <c r="B4" t="s">
        <v>11</v>
      </c>
      <c r="E4" s="20">
        <f>D46</f>
        <v>28.581168131868129</v>
      </c>
      <c r="F4" t="s">
        <v>12</v>
      </c>
      <c r="K4" s="20"/>
    </row>
    <row r="5" spans="2:15" x14ac:dyDescent="0.25">
      <c r="B5" t="s">
        <v>13</v>
      </c>
      <c r="E5" s="21">
        <v>0.14668</v>
      </c>
      <c r="F5" t="s">
        <v>14</v>
      </c>
      <c r="J5" s="22" t="s">
        <v>15</v>
      </c>
      <c r="K5" s="21">
        <f>E5*L5+E6*(1-L5)</f>
        <v>0.15834500000000001</v>
      </c>
      <c r="L5" s="23">
        <v>0.9</v>
      </c>
      <c r="M5" t="s">
        <v>16</v>
      </c>
    </row>
    <row r="6" spans="2:15" x14ac:dyDescent="0.25">
      <c r="B6" t="s">
        <v>17</v>
      </c>
      <c r="E6" s="21">
        <v>0.26333000000000001</v>
      </c>
      <c r="F6" t="s">
        <v>14</v>
      </c>
    </row>
    <row r="7" spans="2:15" x14ac:dyDescent="0.25">
      <c r="E7" s="40" t="s">
        <v>18</v>
      </c>
      <c r="F7" s="43"/>
      <c r="G7" s="43"/>
      <c r="H7" s="43"/>
      <c r="I7" s="41"/>
      <c r="K7" s="40" t="s">
        <v>19</v>
      </c>
      <c r="L7" s="43"/>
      <c r="M7" s="43"/>
      <c r="N7" s="43"/>
      <c r="O7" s="41"/>
    </row>
    <row r="8" spans="2:15" ht="34.9" customHeight="1" x14ac:dyDescent="0.25">
      <c r="E8" s="39" t="s">
        <v>20</v>
      </c>
      <c r="F8" s="39"/>
      <c r="H8" s="39" t="s">
        <v>21</v>
      </c>
      <c r="I8" s="39"/>
      <c r="K8" s="39" t="s">
        <v>20</v>
      </c>
      <c r="L8" s="39"/>
      <c r="N8" s="39" t="s">
        <v>21</v>
      </c>
      <c r="O8" s="39"/>
    </row>
    <row r="9" spans="2:15" ht="29.1" customHeight="1" x14ac:dyDescent="0.25">
      <c r="B9" s="24" t="s">
        <v>2</v>
      </c>
      <c r="D9" s="24" t="s">
        <v>22</v>
      </c>
      <c r="E9" s="24" t="s">
        <v>23</v>
      </c>
      <c r="F9" s="24" t="s">
        <v>24</v>
      </c>
      <c r="H9" s="24" t="s">
        <v>25</v>
      </c>
      <c r="I9" s="25" t="s">
        <v>24</v>
      </c>
      <c r="K9" s="24" t="s">
        <v>23</v>
      </c>
      <c r="L9" s="24" t="s">
        <v>24</v>
      </c>
      <c r="N9" s="24" t="s">
        <v>25</v>
      </c>
      <c r="O9" s="25" t="s">
        <v>24</v>
      </c>
    </row>
    <row r="10" spans="2:15" x14ac:dyDescent="0.25">
      <c r="B10">
        <v>1981</v>
      </c>
      <c r="D10" s="26">
        <v>0.70820000000000005</v>
      </c>
      <c r="E10" s="26">
        <f>($E$4-$D10)*$E$6</f>
        <v>7.3397886981648339</v>
      </c>
      <c r="F10" s="26">
        <f>E10</f>
        <v>7.3397886981648339</v>
      </c>
      <c r="I10" s="26">
        <f>E10</f>
        <v>7.3397886981648339</v>
      </c>
      <c r="K10" s="26">
        <f>($E$4-$D10)*$K$5</f>
        <v>4.413545138840659</v>
      </c>
      <c r="L10" s="26">
        <f>K10</f>
        <v>4.413545138840659</v>
      </c>
      <c r="O10" s="26">
        <f>K10</f>
        <v>4.413545138840659</v>
      </c>
    </row>
    <row r="11" spans="2:15" x14ac:dyDescent="0.25">
      <c r="B11">
        <v>1982</v>
      </c>
      <c r="D11" s="26">
        <v>0.70820000000000005</v>
      </c>
      <c r="E11" s="26">
        <f>($E$4-$D11)*$E$6</f>
        <v>7.3397886981648339</v>
      </c>
      <c r="F11" s="26">
        <f>F10+E11</f>
        <v>14.679577396329668</v>
      </c>
      <c r="H11" s="19">
        <f>$E$3-F11-SUM(H$10:H10)</f>
        <v>-6.6795773963296678</v>
      </c>
      <c r="I11" s="26">
        <f>I10+E11+H11</f>
        <v>8</v>
      </c>
      <c r="K11" s="26">
        <f t="shared" ref="K11:K44" si="0">($E$4-$D11)*$K$5</f>
        <v>4.413545138840659</v>
      </c>
      <c r="L11" s="26">
        <f>L10+K11</f>
        <v>8.827090277681318</v>
      </c>
      <c r="N11" s="19">
        <f>$E$3-L11-SUM(N$10:N10)</f>
        <v>-0.82709027768131804</v>
      </c>
      <c r="O11" s="26">
        <f>O10+K11+N11</f>
        <v>8</v>
      </c>
    </row>
    <row r="12" spans="2:15" x14ac:dyDescent="0.25">
      <c r="B12">
        <v>1983</v>
      </c>
      <c r="D12" s="26">
        <v>0.70820000000000005</v>
      </c>
      <c r="E12" s="32">
        <f>($E$4-$D12)*$E$6</f>
        <v>7.3397886981648339</v>
      </c>
      <c r="F12" s="26">
        <f t="shared" ref="F12:F44" si="1">F11+E12</f>
        <v>22.019366094494501</v>
      </c>
      <c r="H12" s="19">
        <f>$E$3-F12-SUM(H$10:H11)</f>
        <v>-7.339788698164833</v>
      </c>
      <c r="I12" s="26">
        <f t="shared" ref="I12:I29" si="2">I11+E12+H12</f>
        <v>8.0000000000000018</v>
      </c>
      <c r="K12" s="26">
        <f t="shared" si="0"/>
        <v>4.413545138840659</v>
      </c>
      <c r="L12" s="26">
        <f t="shared" ref="L12:L44" si="3">L11+K12</f>
        <v>13.240635416521977</v>
      </c>
      <c r="N12" s="19">
        <f>$E$3-L12-SUM(N$10:N11)</f>
        <v>-4.413545138840659</v>
      </c>
      <c r="O12" s="26">
        <f t="shared" ref="O12:O24" si="4">O11+K12+N12</f>
        <v>8</v>
      </c>
    </row>
    <row r="13" spans="2:15" x14ac:dyDescent="0.25">
      <c r="B13">
        <v>1984</v>
      </c>
      <c r="D13" s="26">
        <v>31.000315384615387</v>
      </c>
      <c r="E13" s="32">
        <f>($E$4-$D13)*$E$6</f>
        <v>-0.63703404606593561</v>
      </c>
      <c r="F13" s="26">
        <f t="shared" si="1"/>
        <v>21.382332048428566</v>
      </c>
      <c r="H13" s="19"/>
      <c r="I13" s="26">
        <f t="shared" si="2"/>
        <v>7.3629659539340659</v>
      </c>
      <c r="K13" s="26">
        <f t="shared" si="0"/>
        <v>-0.38305987173626466</v>
      </c>
      <c r="L13" s="26">
        <f t="shared" si="3"/>
        <v>12.857575544785712</v>
      </c>
      <c r="N13" s="19"/>
      <c r="O13" s="26">
        <f t="shared" si="4"/>
        <v>7.6169401282637352</v>
      </c>
    </row>
    <row r="14" spans="2:15" x14ac:dyDescent="0.25">
      <c r="B14">
        <v>1985</v>
      </c>
      <c r="D14" s="26">
        <v>43.932792307692296</v>
      </c>
      <c r="E14" s="32">
        <f>($E$4-$D14)*$E$6</f>
        <v>-4.0425431942197783</v>
      </c>
      <c r="F14" s="26">
        <f t="shared" si="1"/>
        <v>17.339788854208788</v>
      </c>
      <c r="H14" s="19"/>
      <c r="I14" s="26">
        <f>I13+E14+H14</f>
        <v>3.3204227597142877</v>
      </c>
      <c r="K14" s="26">
        <f t="shared" si="0"/>
        <v>-2.4308529301208779</v>
      </c>
      <c r="L14" s="26">
        <f t="shared" si="3"/>
        <v>10.426722614664834</v>
      </c>
      <c r="N14" s="19"/>
      <c r="O14" s="26">
        <f t="shared" si="4"/>
        <v>5.1860871981428573</v>
      </c>
    </row>
    <row r="15" spans="2:15" x14ac:dyDescent="0.25">
      <c r="B15">
        <v>1986</v>
      </c>
      <c r="D15" s="26">
        <v>48.028892307692317</v>
      </c>
      <c r="E15" s="32">
        <f t="shared" ref="E15:E44" si="5">($E$4-$D15)*$E$6</f>
        <v>-5.1211692072197836</v>
      </c>
      <c r="F15" s="26">
        <f t="shared" si="1"/>
        <v>12.218619646989005</v>
      </c>
      <c r="H15" s="19"/>
      <c r="I15" s="26">
        <f t="shared" si="2"/>
        <v>-1.800746447505496</v>
      </c>
      <c r="K15" s="26">
        <f>($E$4-$D15)*$K$5</f>
        <v>-3.0794498846208813</v>
      </c>
      <c r="L15" s="26">
        <f t="shared" si="3"/>
        <v>7.3472727300439526</v>
      </c>
      <c r="N15" s="19"/>
      <c r="O15" s="26">
        <f t="shared" si="4"/>
        <v>2.106637313521976</v>
      </c>
    </row>
    <row r="16" spans="2:15" x14ac:dyDescent="0.25">
      <c r="B16">
        <v>1987</v>
      </c>
      <c r="D16" s="26">
        <v>27.664207692307691</v>
      </c>
      <c r="E16" s="32">
        <f t="shared" si="5"/>
        <v>0.24146319254944998</v>
      </c>
      <c r="F16" s="26">
        <f t="shared" si="1"/>
        <v>12.460082839538455</v>
      </c>
      <c r="H16" s="19"/>
      <c r="I16" s="26">
        <f t="shared" si="2"/>
        <v>-1.559283254956046</v>
      </c>
      <c r="K16" s="26">
        <f t="shared" si="0"/>
        <v>0.14519610080219747</v>
      </c>
      <c r="L16" s="26">
        <f t="shared" si="3"/>
        <v>7.4924688308461498</v>
      </c>
      <c r="N16" s="19"/>
      <c r="O16" s="26">
        <f t="shared" si="4"/>
        <v>2.2518334143241736</v>
      </c>
    </row>
    <row r="17" spans="2:17" x14ac:dyDescent="0.25">
      <c r="B17">
        <v>1988</v>
      </c>
      <c r="D17" s="26">
        <v>32.442123076923075</v>
      </c>
      <c r="E17" s="32">
        <f t="shared" si="5"/>
        <v>-1.0167052656813189</v>
      </c>
      <c r="F17" s="26">
        <f t="shared" si="1"/>
        <v>11.443377573857136</v>
      </c>
      <c r="H17" s="19"/>
      <c r="I17" s="26">
        <f t="shared" si="2"/>
        <v>-2.5759885206373649</v>
      </c>
      <c r="K17" s="26">
        <f t="shared" si="0"/>
        <v>-0.61136291077472549</v>
      </c>
      <c r="L17" s="26">
        <f t="shared" si="3"/>
        <v>6.8811059200714242</v>
      </c>
      <c r="N17" s="19"/>
      <c r="O17" s="26">
        <f t="shared" si="4"/>
        <v>1.640470503549448</v>
      </c>
    </row>
    <row r="18" spans="2:17" x14ac:dyDescent="0.25">
      <c r="B18">
        <v>1989</v>
      </c>
      <c r="D18" s="26">
        <v>12.927030769230765</v>
      </c>
      <c r="E18" s="32">
        <f t="shared" si="5"/>
        <v>4.1222039917032971</v>
      </c>
      <c r="F18" s="26">
        <f t="shared" si="1"/>
        <v>15.565581565560432</v>
      </c>
      <c r="H18" s="19"/>
      <c r="I18" s="26">
        <f t="shared" si="2"/>
        <v>1.5462154710659322</v>
      </c>
      <c r="K18" s="26">
        <f t="shared" si="0"/>
        <v>2.4787543806868135</v>
      </c>
      <c r="L18" s="26">
        <f t="shared" si="3"/>
        <v>9.3598603007582373</v>
      </c>
      <c r="N18" s="19"/>
      <c r="O18" s="26">
        <f t="shared" si="4"/>
        <v>4.119224884236262</v>
      </c>
    </row>
    <row r="19" spans="2:17" x14ac:dyDescent="0.25">
      <c r="B19">
        <v>1990</v>
      </c>
      <c r="D19" s="26">
        <v>14.948215384615382</v>
      </c>
      <c r="E19" s="32">
        <f t="shared" si="5"/>
        <v>3.5899654469340656</v>
      </c>
      <c r="F19" s="26">
        <f t="shared" si="1"/>
        <v>19.155547012494498</v>
      </c>
      <c r="H19" s="19"/>
      <c r="I19" s="26">
        <f t="shared" si="2"/>
        <v>5.1361809179999973</v>
      </c>
      <c r="K19" s="26">
        <f t="shared" si="0"/>
        <v>2.1587099027637362</v>
      </c>
      <c r="L19" s="26">
        <f t="shared" si="3"/>
        <v>11.518570203521973</v>
      </c>
      <c r="N19" s="19"/>
      <c r="O19" s="26">
        <f t="shared" si="4"/>
        <v>6.2779347869999977</v>
      </c>
    </row>
    <row r="20" spans="2:17" x14ac:dyDescent="0.25">
      <c r="B20">
        <v>1991</v>
      </c>
      <c r="D20" s="26">
        <v>3.3236153846153851</v>
      </c>
      <c r="E20" s="32">
        <f t="shared" si="5"/>
        <v>6.651071364934066</v>
      </c>
      <c r="F20" s="26">
        <f t="shared" si="1"/>
        <v>25.806618377428563</v>
      </c>
      <c r="H20" s="19">
        <f>$E$3-F20-SUM(H$10:H19)</f>
        <v>-3.7872522829340625</v>
      </c>
      <c r="I20" s="26">
        <f t="shared" si="2"/>
        <v>8</v>
      </c>
      <c r="K20" s="26">
        <f t="shared" si="0"/>
        <v>3.9994071897637364</v>
      </c>
      <c r="L20" s="26">
        <f t="shared" si="3"/>
        <v>15.51797739328571</v>
      </c>
      <c r="N20" s="19">
        <f>$E$3-L20-SUM(N$10:N19)</f>
        <v>-2.2773419767637328</v>
      </c>
      <c r="O20" s="26">
        <f t="shared" si="4"/>
        <v>8.0000000000000018</v>
      </c>
    </row>
    <row r="21" spans="2:17" x14ac:dyDescent="0.25">
      <c r="B21">
        <v>1992</v>
      </c>
      <c r="D21" s="26">
        <v>1.6416384615384618</v>
      </c>
      <c r="E21" s="32">
        <f t="shared" si="5"/>
        <v>7.0939863480879115</v>
      </c>
      <c r="F21" s="26">
        <f t="shared" si="1"/>
        <v>32.900604725516473</v>
      </c>
      <c r="H21" s="19">
        <f>$E$3-F21-SUM(H$10:H20)</f>
        <v>-7.0939863480879097</v>
      </c>
      <c r="I21" s="26">
        <f t="shared" si="2"/>
        <v>8.0000000000000018</v>
      </c>
      <c r="K21" s="26">
        <f t="shared" si="0"/>
        <v>4.2657398256483514</v>
      </c>
      <c r="L21" s="26">
        <f t="shared" si="3"/>
        <v>19.783717218934061</v>
      </c>
      <c r="N21" s="19">
        <f>$E$3-L21-SUM(N$10:N20)</f>
        <v>-4.2657398256483514</v>
      </c>
      <c r="O21" s="26">
        <f t="shared" si="4"/>
        <v>8.0000000000000018</v>
      </c>
    </row>
    <row r="22" spans="2:17" x14ac:dyDescent="0.25">
      <c r="B22">
        <v>1993</v>
      </c>
      <c r="D22" s="26">
        <v>2.8123076923076922</v>
      </c>
      <c r="E22" s="32">
        <f t="shared" si="5"/>
        <v>6.7857140195494505</v>
      </c>
      <c r="F22" s="26">
        <f t="shared" si="1"/>
        <v>39.686318745065925</v>
      </c>
      <c r="H22" s="19">
        <f>$E$3-F22-SUM(H$10:H21)</f>
        <v>-6.7857140195494523</v>
      </c>
      <c r="I22" s="26">
        <f t="shared" si="2"/>
        <v>8</v>
      </c>
      <c r="K22" s="26">
        <f t="shared" si="0"/>
        <v>4.0803702063021978</v>
      </c>
      <c r="L22" s="26">
        <f t="shared" si="3"/>
        <v>23.86408742523626</v>
      </c>
      <c r="N22" s="19">
        <f>$E$3-L22-SUM(N$10:N21)</f>
        <v>-4.0803702063021987</v>
      </c>
      <c r="O22" s="26">
        <f t="shared" si="4"/>
        <v>8</v>
      </c>
    </row>
    <row r="23" spans="2:17" x14ac:dyDescent="0.25">
      <c r="B23">
        <v>1994</v>
      </c>
      <c r="D23" s="26">
        <v>2.4520923076923071</v>
      </c>
      <c r="E23" s="32">
        <f>($E$4-$D23)*$E$6</f>
        <v>6.8805695367802189</v>
      </c>
      <c r="F23" s="26">
        <f t="shared" si="1"/>
        <v>46.566888281846147</v>
      </c>
      <c r="H23" s="19">
        <f>$E$3-F23-SUM(H$10:H22)</f>
        <v>-6.8805695367802215</v>
      </c>
      <c r="I23" s="26">
        <f t="shared" si="2"/>
        <v>7.9999999999999964</v>
      </c>
      <c r="K23" s="26">
        <f t="shared" si="0"/>
        <v>4.137408511379121</v>
      </c>
      <c r="L23" s="26">
        <f t="shared" si="3"/>
        <v>28.001495936615381</v>
      </c>
      <c r="N23" s="19">
        <f>$E$3-L23-SUM(N$10:N22)</f>
        <v>-4.137408511379121</v>
      </c>
      <c r="O23" s="26">
        <f t="shared" si="4"/>
        <v>8</v>
      </c>
    </row>
    <row r="24" spans="2:17" x14ac:dyDescent="0.25">
      <c r="B24">
        <v>1995</v>
      </c>
      <c r="D24" s="26">
        <v>61.239430769230765</v>
      </c>
      <c r="E24" s="32">
        <f t="shared" si="5"/>
        <v>-8.5999003002967047</v>
      </c>
      <c r="F24" s="26">
        <f t="shared" si="1"/>
        <v>37.966987981549444</v>
      </c>
      <c r="H24" s="19"/>
      <c r="I24" s="26">
        <f t="shared" si="2"/>
        <v>-0.59990030029670827</v>
      </c>
      <c r="K24" s="26">
        <f t="shared" si="0"/>
        <v>-5.1712725973131874</v>
      </c>
      <c r="L24" s="26">
        <f t="shared" si="3"/>
        <v>22.830223339302194</v>
      </c>
      <c r="N24" s="19"/>
      <c r="O24" s="26">
        <f t="shared" si="4"/>
        <v>2.8287274026868126</v>
      </c>
    </row>
    <row r="25" spans="2:17" x14ac:dyDescent="0.25">
      <c r="B25">
        <v>1996</v>
      </c>
      <c r="D25" s="26">
        <v>71.231223076923087</v>
      </c>
      <c r="E25" s="32">
        <f t="shared" si="5"/>
        <v>-11.231038968681323</v>
      </c>
      <c r="F25" s="26">
        <f t="shared" si="1"/>
        <v>26.735949012868119</v>
      </c>
      <c r="H25" s="19">
        <f>-E$3-I24-E25</f>
        <v>3.8309392689780317</v>
      </c>
      <c r="I25" s="26">
        <f t="shared" si="2"/>
        <v>-8</v>
      </c>
      <c r="K25" s="26">
        <f t="shared" si="0"/>
        <v>-6.7534229502747287</v>
      </c>
      <c r="L25" s="26">
        <f t="shared" si="3"/>
        <v>16.076800389027465</v>
      </c>
      <c r="N25" s="19"/>
      <c r="O25" s="26">
        <f>O24+K25+N25</f>
        <v>-3.9246955475879162</v>
      </c>
    </row>
    <row r="26" spans="2:17" x14ac:dyDescent="0.25">
      <c r="B26">
        <v>1997</v>
      </c>
      <c r="D26" s="26">
        <v>76.788115384615395</v>
      </c>
      <c r="E26" s="32">
        <f t="shared" si="5"/>
        <v>-12.694335420065938</v>
      </c>
      <c r="F26" s="26">
        <f t="shared" si="1"/>
        <v>14.041613592802181</v>
      </c>
      <c r="H26" s="19">
        <f>-E$3-I25-E26</f>
        <v>12.694335420065938</v>
      </c>
      <c r="I26" s="26">
        <f t="shared" si="2"/>
        <v>-8.0000000000000018</v>
      </c>
      <c r="K26" s="26">
        <f t="shared" si="0"/>
        <v>-7.6333290627362667</v>
      </c>
      <c r="L26" s="26">
        <f t="shared" si="3"/>
        <v>8.4434713262911991</v>
      </c>
      <c r="N26" s="19">
        <f>-E$3-O25-K26</f>
        <v>3.5580246103241828</v>
      </c>
      <c r="O26" s="26">
        <f t="shared" ref="O26:O44" si="6">O25+K26+N26</f>
        <v>-7.9999999999999991</v>
      </c>
    </row>
    <row r="27" spans="2:17" x14ac:dyDescent="0.25">
      <c r="B27">
        <v>1998</v>
      </c>
      <c r="D27" s="26">
        <v>70.793584615384603</v>
      </c>
      <c r="E27" s="32">
        <f t="shared" si="5"/>
        <v>-11.115795632604394</v>
      </c>
      <c r="F27" s="26">
        <f t="shared" si="1"/>
        <v>2.9258179601977865</v>
      </c>
      <c r="H27" s="19">
        <f>-E$3-I26-E27</f>
        <v>11.115795632604396</v>
      </c>
      <c r="I27" s="26">
        <f t="shared" si="2"/>
        <v>-8</v>
      </c>
      <c r="K27" s="26">
        <f t="shared" si="0"/>
        <v>-6.6841250880824168</v>
      </c>
      <c r="L27" s="26">
        <f t="shared" si="3"/>
        <v>1.7593462382087823</v>
      </c>
      <c r="N27" s="19">
        <f>-E$3-O26-K27</f>
        <v>6.6841250880824159</v>
      </c>
      <c r="O27" s="26">
        <f t="shared" si="6"/>
        <v>-8</v>
      </c>
    </row>
    <row r="28" spans="2:17" x14ac:dyDescent="0.25">
      <c r="B28">
        <v>1999</v>
      </c>
      <c r="D28" s="26">
        <v>116.98365384615386</v>
      </c>
      <c r="E28" s="32">
        <f t="shared" si="5"/>
        <v>-23.279026563142864</v>
      </c>
      <c r="F28" s="26">
        <f t="shared" si="1"/>
        <v>-20.353208602945077</v>
      </c>
      <c r="H28" s="19">
        <f>-E$3-I27-E28</f>
        <v>23.279026563142864</v>
      </c>
      <c r="I28" s="26">
        <f>I27+E28+H28</f>
        <v>-8</v>
      </c>
      <c r="K28" s="26">
        <f t="shared" si="0"/>
        <v>-13.998091600428575</v>
      </c>
      <c r="L28" s="26">
        <f t="shared" si="3"/>
        <v>-12.238745362219792</v>
      </c>
      <c r="N28" s="19">
        <f>-E$3-O27-K28</f>
        <v>13.998091600428575</v>
      </c>
      <c r="O28" s="26">
        <f t="shared" si="6"/>
        <v>-7.9999999999999982</v>
      </c>
      <c r="Q28" s="26"/>
    </row>
    <row r="29" spans="2:17" x14ac:dyDescent="0.25">
      <c r="B29">
        <v>2000</v>
      </c>
      <c r="D29" s="26">
        <v>58.569076923076928</v>
      </c>
      <c r="E29" s="32">
        <f t="shared" si="5"/>
        <v>-7.8967160219890129</v>
      </c>
      <c r="F29" s="26">
        <f t="shared" si="1"/>
        <v>-28.249924624934089</v>
      </c>
      <c r="H29" s="26">
        <f>-E29</f>
        <v>7.8967160219890129</v>
      </c>
      <c r="I29" s="26">
        <f t="shared" si="2"/>
        <v>-8</v>
      </c>
      <c r="K29" s="26">
        <f t="shared" si="0"/>
        <v>-4.7484354175439574</v>
      </c>
      <c r="L29" s="26">
        <f t="shared" si="3"/>
        <v>-16.987180779763747</v>
      </c>
      <c r="N29" s="26">
        <f>-K29</f>
        <v>4.7484354175439574</v>
      </c>
      <c r="O29" s="26">
        <f t="shared" si="6"/>
        <v>-7.9999999999999982</v>
      </c>
    </row>
    <row r="30" spans="2:17" x14ac:dyDescent="0.25">
      <c r="B30">
        <v>2001</v>
      </c>
      <c r="D30" s="26">
        <v>24.382676923076925</v>
      </c>
      <c r="E30" s="32">
        <f t="shared" si="5"/>
        <v>1.1055886900109877</v>
      </c>
      <c r="F30" s="26">
        <f t="shared" si="1"/>
        <v>-27.144335934923102</v>
      </c>
      <c r="H30" s="26">
        <f>-E30</f>
        <v>-1.1055886900109877</v>
      </c>
      <c r="I30" s="26">
        <f>I29+E30+H30</f>
        <v>-8</v>
      </c>
      <c r="K30" s="26">
        <f t="shared" si="0"/>
        <v>0.66481009045604322</v>
      </c>
      <c r="L30" s="26">
        <f t="shared" si="3"/>
        <v>-16.322370689307704</v>
      </c>
      <c r="N30" s="26">
        <f t="shared" ref="N30:N33" si="7">-K30</f>
        <v>-0.66481009045604322</v>
      </c>
      <c r="O30" s="26">
        <f t="shared" si="6"/>
        <v>-7.9999999999999982</v>
      </c>
    </row>
    <row r="31" spans="2:17" x14ac:dyDescent="0.25">
      <c r="B31">
        <v>2002</v>
      </c>
      <c r="D31" s="26">
        <v>31.35953846153847</v>
      </c>
      <c r="E31" s="32">
        <f t="shared" si="5"/>
        <v>-0.73162825891209105</v>
      </c>
      <c r="F31" s="26">
        <f t="shared" si="1"/>
        <v>-27.875964193835195</v>
      </c>
      <c r="H31" s="19">
        <f>-E$3-I30-E31</f>
        <v>0.73162825891209105</v>
      </c>
      <c r="I31" s="26">
        <f t="shared" ref="I31:I44" si="8">I30+E31+H31</f>
        <v>-8</v>
      </c>
      <c r="K31" s="26">
        <f t="shared" si="0"/>
        <v>-0.43994104985165028</v>
      </c>
      <c r="L31" s="26">
        <f t="shared" si="3"/>
        <v>-16.762311739159355</v>
      </c>
      <c r="N31" s="26">
        <f t="shared" si="7"/>
        <v>0.43994104985165028</v>
      </c>
      <c r="O31" s="26">
        <f t="shared" si="6"/>
        <v>-7.9999999999999991</v>
      </c>
    </row>
    <row r="32" spans="2:17" x14ac:dyDescent="0.25">
      <c r="B32">
        <v>2003</v>
      </c>
      <c r="D32" s="26">
        <v>30.102984615384603</v>
      </c>
      <c r="E32" s="32">
        <f t="shared" si="5"/>
        <v>-0.40073993460439317</v>
      </c>
      <c r="F32" s="26">
        <f t="shared" si="1"/>
        <v>-28.276704128439587</v>
      </c>
      <c r="H32" s="19">
        <f>-E$3-I31-E32</f>
        <v>0.40073993460439317</v>
      </c>
      <c r="I32" s="26">
        <f t="shared" si="8"/>
        <v>-8</v>
      </c>
      <c r="K32" s="26">
        <f t="shared" si="0"/>
        <v>-0.24097203108241613</v>
      </c>
      <c r="L32" s="26">
        <f t="shared" si="3"/>
        <v>-17.003283770241772</v>
      </c>
      <c r="N32" s="26">
        <f t="shared" si="7"/>
        <v>0.24097203108241613</v>
      </c>
      <c r="O32" s="26">
        <f t="shared" si="6"/>
        <v>-8</v>
      </c>
    </row>
    <row r="33" spans="2:18" x14ac:dyDescent="0.25">
      <c r="B33">
        <v>2004</v>
      </c>
      <c r="D33" s="26">
        <v>54.188623076923093</v>
      </c>
      <c r="E33" s="32">
        <f t="shared" si="5"/>
        <v>-6.7432111106813242</v>
      </c>
      <c r="F33" s="26">
        <f t="shared" si="1"/>
        <v>-35.019915239120913</v>
      </c>
      <c r="H33" s="19">
        <f>-E$3-I32-E33</f>
        <v>6.7432111106813242</v>
      </c>
      <c r="I33" s="26">
        <f t="shared" si="8"/>
        <v>-8</v>
      </c>
      <c r="K33" s="26">
        <f t="shared" si="0"/>
        <v>-4.0548124532747289</v>
      </c>
      <c r="L33" s="26">
        <f t="shared" si="3"/>
        <v>-21.0580962235165</v>
      </c>
      <c r="N33" s="26">
        <f t="shared" si="7"/>
        <v>4.0548124532747289</v>
      </c>
      <c r="O33" s="26">
        <f t="shared" si="6"/>
        <v>-7.9999999999999991</v>
      </c>
    </row>
    <row r="34" spans="2:18" x14ac:dyDescent="0.25">
      <c r="B34">
        <v>2005</v>
      </c>
      <c r="D34" s="26">
        <v>21.235638461538464</v>
      </c>
      <c r="E34" s="32">
        <f t="shared" si="5"/>
        <v>1.9342983280879107</v>
      </c>
      <c r="F34" s="26">
        <f t="shared" si="1"/>
        <v>-33.085616911033</v>
      </c>
      <c r="H34" s="19"/>
      <c r="I34" s="26">
        <f t="shared" si="8"/>
        <v>-6.0657016719120893</v>
      </c>
      <c r="K34" s="26">
        <f t="shared" si="0"/>
        <v>1.1631278956483508</v>
      </c>
      <c r="L34" s="26">
        <f t="shared" si="3"/>
        <v>-19.894968327868149</v>
      </c>
      <c r="N34" s="26"/>
      <c r="O34" s="26">
        <f t="shared" si="6"/>
        <v>-6.8368721043516487</v>
      </c>
      <c r="Q34" s="19"/>
      <c r="R34" s="19"/>
    </row>
    <row r="35" spans="2:18" x14ac:dyDescent="0.25">
      <c r="B35">
        <v>2006</v>
      </c>
      <c r="D35" s="26">
        <v>25.492584615384619</v>
      </c>
      <c r="E35" s="32">
        <f t="shared" si="5"/>
        <v>0.81331669739560275</v>
      </c>
      <c r="F35" s="26">
        <f t="shared" si="1"/>
        <v>-32.272300213637401</v>
      </c>
      <c r="I35" s="26">
        <f t="shared" si="8"/>
        <v>-5.2523849745164863</v>
      </c>
      <c r="K35" s="26">
        <f t="shared" si="0"/>
        <v>0.48906175691758141</v>
      </c>
      <c r="L35" s="26">
        <f t="shared" si="3"/>
        <v>-19.405906570950567</v>
      </c>
      <c r="N35" s="19"/>
      <c r="O35" s="26">
        <f t="shared" si="6"/>
        <v>-6.3478103474340672</v>
      </c>
      <c r="Q35" s="19"/>
      <c r="R35" s="19"/>
    </row>
    <row r="36" spans="2:18" x14ac:dyDescent="0.25">
      <c r="B36">
        <v>2007</v>
      </c>
      <c r="D36" s="26">
        <v>35.315846153846159</v>
      </c>
      <c r="E36" s="32">
        <f t="shared" si="5"/>
        <v>-1.7734427635274748</v>
      </c>
      <c r="F36" s="26">
        <f t="shared" si="1"/>
        <v>-34.045742977164878</v>
      </c>
      <c r="I36" s="26">
        <f t="shared" si="8"/>
        <v>-7.0258277380439615</v>
      </c>
      <c r="K36" s="26">
        <f>($E$4-$D36)*$K$5</f>
        <v>-1.0664025913901114</v>
      </c>
      <c r="L36" s="26">
        <f t="shared" si="3"/>
        <v>-20.472309162340679</v>
      </c>
      <c r="N36" s="19"/>
      <c r="O36" s="26">
        <f t="shared" si="6"/>
        <v>-7.4142129388241784</v>
      </c>
    </row>
    <row r="37" spans="2:18" x14ac:dyDescent="0.25">
      <c r="B37">
        <v>2008</v>
      </c>
      <c r="D37" s="26">
        <v>22.713823076923081</v>
      </c>
      <c r="E37" s="32">
        <f t="shared" si="5"/>
        <v>1.5450479733186795</v>
      </c>
      <c r="F37" s="26">
        <f t="shared" si="1"/>
        <v>-32.500695003846197</v>
      </c>
      <c r="I37" s="26">
        <f t="shared" si="8"/>
        <v>-5.4807797647252823</v>
      </c>
      <c r="K37" s="26">
        <f t="shared" si="0"/>
        <v>0.92906475272527367</v>
      </c>
      <c r="L37" s="26">
        <f t="shared" si="3"/>
        <v>-19.543244409615404</v>
      </c>
      <c r="N37" s="19"/>
      <c r="O37" s="26">
        <f t="shared" si="6"/>
        <v>-6.4851481860989049</v>
      </c>
    </row>
    <row r="38" spans="2:18" x14ac:dyDescent="0.25">
      <c r="B38">
        <v>2009</v>
      </c>
      <c r="D38" s="26">
        <v>10.263523076923077</v>
      </c>
      <c r="E38" s="32">
        <f t="shared" si="5"/>
        <v>4.8235854723186815</v>
      </c>
      <c r="F38" s="26">
        <f t="shared" si="1"/>
        <v>-27.677109531527513</v>
      </c>
      <c r="I38" s="26">
        <f t="shared" si="8"/>
        <v>-0.65719429240660077</v>
      </c>
      <c r="K38" s="26">
        <f t="shared" si="0"/>
        <v>2.9005075062252748</v>
      </c>
      <c r="L38" s="26">
        <f t="shared" si="3"/>
        <v>-16.64273690339013</v>
      </c>
      <c r="N38" s="19"/>
      <c r="O38" s="26">
        <f t="shared" si="6"/>
        <v>-3.5846406798736301</v>
      </c>
    </row>
    <row r="39" spans="2:18" x14ac:dyDescent="0.25">
      <c r="B39">
        <v>2010</v>
      </c>
      <c r="D39" s="26">
        <v>31.218976923076912</v>
      </c>
      <c r="E39" s="32">
        <f t="shared" si="5"/>
        <v>-0.69461418898900895</v>
      </c>
      <c r="F39" s="26">
        <f t="shared" si="1"/>
        <v>-28.37172372051652</v>
      </c>
      <c r="I39" s="26">
        <f t="shared" si="8"/>
        <v>-1.3518084813956097</v>
      </c>
      <c r="K39" s="26">
        <f t="shared" si="0"/>
        <v>-0.41768383304395484</v>
      </c>
      <c r="L39" s="26">
        <f t="shared" si="3"/>
        <v>-17.060420736434086</v>
      </c>
      <c r="N39" s="19"/>
      <c r="O39" s="26">
        <f t="shared" si="6"/>
        <v>-4.0023245129175846</v>
      </c>
    </row>
    <row r="40" spans="2:18" x14ac:dyDescent="0.25">
      <c r="B40">
        <v>2011</v>
      </c>
      <c r="D40" s="26">
        <v>26.52533846153846</v>
      </c>
      <c r="E40" s="26">
        <f t="shared" si="5"/>
        <v>0.54136162708791158</v>
      </c>
      <c r="F40" s="26">
        <f t="shared" si="1"/>
        <v>-27.830362093428608</v>
      </c>
      <c r="I40" s="26">
        <f t="shared" si="8"/>
        <v>-0.81044685430769814</v>
      </c>
      <c r="K40" s="26">
        <f t="shared" si="0"/>
        <v>0.32553034914835138</v>
      </c>
      <c r="L40" s="26">
        <f t="shared" si="3"/>
        <v>-16.734890387285734</v>
      </c>
      <c r="N40" s="19"/>
      <c r="O40" s="26">
        <f t="shared" si="6"/>
        <v>-3.6767941637692334</v>
      </c>
    </row>
    <row r="41" spans="2:18" x14ac:dyDescent="0.25">
      <c r="B41">
        <v>2012</v>
      </c>
      <c r="D41" s="26">
        <v>4.1213846153846152</v>
      </c>
      <c r="E41" s="26">
        <f t="shared" si="5"/>
        <v>6.4409947933956033</v>
      </c>
      <c r="F41" s="26">
        <f t="shared" si="1"/>
        <v>-21.389367300033005</v>
      </c>
      <c r="I41" s="26">
        <f t="shared" si="8"/>
        <v>5.6305479390879052</v>
      </c>
      <c r="K41" s="26">
        <f t="shared" si="0"/>
        <v>3.8730844209175821</v>
      </c>
      <c r="L41" s="26">
        <f t="shared" si="3"/>
        <v>-12.861805966368152</v>
      </c>
      <c r="N41" s="19"/>
      <c r="O41" s="26">
        <f t="shared" si="6"/>
        <v>0.19629025714834869</v>
      </c>
    </row>
    <row r="42" spans="2:18" x14ac:dyDescent="0.25">
      <c r="B42">
        <v>2013</v>
      </c>
      <c r="D42" s="26">
        <v>1.6255923076923078</v>
      </c>
      <c r="E42" s="26">
        <f t="shared" si="5"/>
        <v>7.0982117817802193</v>
      </c>
      <c r="F42" s="26">
        <f t="shared" si="1"/>
        <v>-14.291155518252786</v>
      </c>
      <c r="H42" s="19">
        <f>$E$3-F42-SUM(H$10:H41)</f>
        <v>-4.7287597208681333</v>
      </c>
      <c r="I42" s="26">
        <f t="shared" si="8"/>
        <v>7.9999999999999911</v>
      </c>
      <c r="K42" s="26">
        <f t="shared" si="0"/>
        <v>4.2682806538791205</v>
      </c>
      <c r="L42" s="26">
        <f t="shared" si="3"/>
        <v>-8.5935253124890316</v>
      </c>
      <c r="N42" s="19"/>
      <c r="O42" s="26">
        <f t="shared" si="6"/>
        <v>4.4645709110274687</v>
      </c>
    </row>
    <row r="43" spans="2:18" x14ac:dyDescent="0.25">
      <c r="B43">
        <v>2014</v>
      </c>
      <c r="D43" s="26">
        <v>1.0163923076923076</v>
      </c>
      <c r="E43" s="26">
        <f t="shared" si="5"/>
        <v>7.2586324177802197</v>
      </c>
      <c r="F43" s="26">
        <f t="shared" si="1"/>
        <v>-7.0325231004725666</v>
      </c>
      <c r="H43" s="19">
        <f>$E$3-F43-SUM(H$10:H42)</f>
        <v>-7.2586324177802197</v>
      </c>
      <c r="I43" s="26">
        <f t="shared" si="8"/>
        <v>7.9999999999999911</v>
      </c>
      <c r="K43" s="26">
        <f t="shared" si="0"/>
        <v>4.3647444278791205</v>
      </c>
      <c r="L43" s="26">
        <f t="shared" si="3"/>
        <v>-4.2287808846099111</v>
      </c>
      <c r="N43" s="19"/>
      <c r="O43" s="26">
        <f t="shared" si="6"/>
        <v>8.8293153389065893</v>
      </c>
    </row>
    <row r="44" spans="2:18" x14ac:dyDescent="0.25">
      <c r="B44">
        <v>2015</v>
      </c>
      <c r="D44" s="26">
        <v>1.875046153846154</v>
      </c>
      <c r="E44" s="26">
        <f t="shared" si="5"/>
        <v>7.0325231004725275</v>
      </c>
      <c r="F44" s="26">
        <f t="shared" si="1"/>
        <v>-3.907985046680551E-14</v>
      </c>
      <c r="H44" s="19">
        <f>$E$3-F44-SUM(H$10:H43)</f>
        <v>-7.0325231004725275</v>
      </c>
      <c r="I44" s="26">
        <f t="shared" si="8"/>
        <v>7.9999999999999911</v>
      </c>
      <c r="K44" s="26">
        <f t="shared" si="0"/>
        <v>4.2287808846098898</v>
      </c>
      <c r="L44" s="26">
        <f t="shared" si="3"/>
        <v>-2.1316282072803006E-14</v>
      </c>
      <c r="N44" s="19">
        <f>$E$3-L44-SUM(N$10:N43)</f>
        <v>-5.058096223516479</v>
      </c>
      <c r="O44" s="26">
        <f t="shared" si="6"/>
        <v>8</v>
      </c>
    </row>
    <row r="45" spans="2:18" ht="9" customHeight="1" x14ac:dyDescent="0.25">
      <c r="D45" s="26"/>
    </row>
    <row r="46" spans="2:18" x14ac:dyDescent="0.25">
      <c r="B46" t="s">
        <v>49</v>
      </c>
      <c r="D46" s="27">
        <f>AVERAGE(D10:D44)</f>
        <v>28.581168131868129</v>
      </c>
      <c r="K46" s="27"/>
    </row>
    <row r="47" spans="2:18" x14ac:dyDescent="0.25">
      <c r="D47" s="26"/>
      <c r="G47" t="s">
        <v>26</v>
      </c>
      <c r="H47" s="26">
        <f>SUM(H10:H44)</f>
        <v>8.0000000000000391</v>
      </c>
      <c r="M47" t="s">
        <v>26</v>
      </c>
      <c r="N47" s="26">
        <f>SUM(N10:N44)</f>
        <v>8.0000000000000213</v>
      </c>
    </row>
    <row r="48" spans="2:18" x14ac:dyDescent="0.25">
      <c r="D48" s="26"/>
    </row>
    <row r="49" spans="2:14" x14ac:dyDescent="0.25">
      <c r="D49" s="26"/>
    </row>
    <row r="50" spans="2:14" x14ac:dyDescent="0.25">
      <c r="B50" s="17" t="s">
        <v>27</v>
      </c>
    </row>
    <row r="51" spans="2:14" x14ac:dyDescent="0.25">
      <c r="C51" t="s">
        <v>28</v>
      </c>
      <c r="H51">
        <f>COUNTBLANK(H10:H44)</f>
        <v>17</v>
      </c>
      <c r="N51">
        <f>COUNTBLANK(N10:N44)</f>
        <v>20</v>
      </c>
    </row>
    <row r="52" spans="2:14" x14ac:dyDescent="0.25">
      <c r="C52" t="s">
        <v>29</v>
      </c>
      <c r="H52">
        <f>COUNTIF(H10:H44,"&lt;0")</f>
        <v>10</v>
      </c>
      <c r="N52">
        <f>COUNTIF(N10:N44,"&lt;0")</f>
        <v>8</v>
      </c>
    </row>
    <row r="53" spans="2:14" x14ac:dyDescent="0.25">
      <c r="C53" t="s">
        <v>30</v>
      </c>
      <c r="H53">
        <f>COUNTIF(H10:H44,H57)</f>
        <v>1</v>
      </c>
      <c r="N53">
        <f>COUNTIF(N10:N44,N57)</f>
        <v>1</v>
      </c>
    </row>
    <row r="54" spans="2:14" x14ac:dyDescent="0.25">
      <c r="C54" t="s">
        <v>31</v>
      </c>
      <c r="H54">
        <f>COUNTIF(H10:H44,"&gt;0")</f>
        <v>8</v>
      </c>
      <c r="N54">
        <f>COUNTIF(N10:N44,"&gt;0")</f>
        <v>7</v>
      </c>
    </row>
    <row r="56" spans="2:14" x14ac:dyDescent="0.25">
      <c r="B56" s="17" t="s">
        <v>32</v>
      </c>
    </row>
    <row r="57" spans="2:14" x14ac:dyDescent="0.25">
      <c r="C57" t="s">
        <v>33</v>
      </c>
      <c r="H57" s="28">
        <f>MIN(H10:H44)</f>
        <v>-7.339788698164833</v>
      </c>
      <c r="N57" s="28">
        <f>MIN(N10:N44)</f>
        <v>-5.058096223516479</v>
      </c>
    </row>
    <row r="58" spans="2:14" x14ac:dyDescent="0.25">
      <c r="C58" t="s">
        <v>34</v>
      </c>
      <c r="H58" s="28">
        <f>MAX(H10:H44)</f>
        <v>23.279026563142864</v>
      </c>
      <c r="N58" s="28">
        <f>MAX(N10:N44)</f>
        <v>13.998091600428575</v>
      </c>
    </row>
    <row r="59" spans="2:14" x14ac:dyDescent="0.25">
      <c r="C59" t="s">
        <v>35</v>
      </c>
      <c r="H59" s="28">
        <f>H63/H54</f>
        <v>8.336549026372257</v>
      </c>
      <c r="N59" s="28">
        <f>N63/N54</f>
        <v>4.8177717500839901</v>
      </c>
    </row>
    <row r="60" spans="2:14" x14ac:dyDescent="0.25">
      <c r="C60" t="s">
        <v>36</v>
      </c>
      <c r="H60" s="26">
        <f>H47</f>
        <v>8.0000000000000391</v>
      </c>
      <c r="N60" s="26">
        <f>N47</f>
        <v>8.0000000000000213</v>
      </c>
    </row>
    <row r="63" spans="2:14" x14ac:dyDescent="0.25">
      <c r="B63" s="17" t="s">
        <v>37</v>
      </c>
      <c r="H63">
        <f>SUMIF(H10:H44,"&gt;0")</f>
        <v>66.692392210978056</v>
      </c>
      <c r="N63">
        <f>SUMIF(N10:N44,"&gt;0")</f>
        <v>33.724402250587929</v>
      </c>
    </row>
  </sheetData>
  <mergeCells count="6">
    <mergeCell ref="E7:I7"/>
    <mergeCell ref="K7:O7"/>
    <mergeCell ref="E8:F8"/>
    <mergeCell ref="H8:I8"/>
    <mergeCell ref="K8:L8"/>
    <mergeCell ref="N8:O8"/>
  </mergeCells>
  <pageMargins left="0.7" right="0.7" top="0.75" bottom="0.75" header="0.3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3"/>
  <sheetViews>
    <sheetView view="pageBreakPreview" topLeftCell="A37" zoomScaleNormal="100" zoomScaleSheetLayoutView="100" workbookViewId="0">
      <selection activeCell="B40" sqref="B40"/>
    </sheetView>
  </sheetViews>
  <sheetFormatPr defaultRowHeight="15" x14ac:dyDescent="0.25"/>
  <cols>
    <col min="1" max="1" width="2.140625" customWidth="1"/>
    <col min="2" max="2" width="6.7109375" customWidth="1"/>
    <col min="3" max="3" width="2.5703125" customWidth="1"/>
    <col min="4" max="4" width="11.5703125" customWidth="1"/>
    <col min="7" max="7" width="3.42578125" customWidth="1"/>
    <col min="9" max="9" width="6.42578125" customWidth="1"/>
    <col min="10" max="10" width="4" customWidth="1"/>
    <col min="13" max="13" width="4" customWidth="1"/>
    <col min="14" max="14" width="7.28515625" customWidth="1"/>
    <col min="15" max="15" width="9" customWidth="1"/>
  </cols>
  <sheetData>
    <row r="1" spans="2:15" x14ac:dyDescent="0.25">
      <c r="B1" s="17" t="s">
        <v>60</v>
      </c>
    </row>
    <row r="2" spans="2:15" x14ac:dyDescent="0.25">
      <c r="B2" s="17" t="s">
        <v>48</v>
      </c>
    </row>
    <row r="3" spans="2:15" x14ac:dyDescent="0.25">
      <c r="C3" s="17" t="s">
        <v>9</v>
      </c>
      <c r="D3" s="17"/>
      <c r="E3" s="18">
        <v>16</v>
      </c>
      <c r="F3" s="17" t="s">
        <v>10</v>
      </c>
      <c r="K3" s="19"/>
    </row>
    <row r="4" spans="2:15" x14ac:dyDescent="0.25">
      <c r="B4" t="s">
        <v>11</v>
      </c>
      <c r="E4" s="20">
        <f>D46</f>
        <v>28.581168131868129</v>
      </c>
      <c r="F4" t="s">
        <v>12</v>
      </c>
      <c r="K4" s="20"/>
    </row>
    <row r="5" spans="2:15" x14ac:dyDescent="0.25">
      <c r="B5" t="s">
        <v>13</v>
      </c>
      <c r="E5" s="21">
        <v>0.14668</v>
      </c>
      <c r="F5" t="s">
        <v>14</v>
      </c>
      <c r="J5" s="22" t="s">
        <v>15</v>
      </c>
      <c r="K5" s="21">
        <f>E5*L5+E6*(1-L5)</f>
        <v>0.15834500000000001</v>
      </c>
      <c r="L5" s="23">
        <v>0.9</v>
      </c>
      <c r="M5" t="s">
        <v>16</v>
      </c>
    </row>
    <row r="6" spans="2:15" x14ac:dyDescent="0.25">
      <c r="B6" t="s">
        <v>17</v>
      </c>
      <c r="E6" s="21">
        <v>0.26333000000000001</v>
      </c>
      <c r="F6" t="s">
        <v>14</v>
      </c>
    </row>
    <row r="7" spans="2:15" x14ac:dyDescent="0.25">
      <c r="E7" s="40" t="s">
        <v>18</v>
      </c>
      <c r="F7" s="43"/>
      <c r="G7" s="43"/>
      <c r="H7" s="43"/>
      <c r="I7" s="41"/>
      <c r="K7" s="40" t="s">
        <v>19</v>
      </c>
      <c r="L7" s="43"/>
      <c r="M7" s="43"/>
      <c r="N7" s="43"/>
      <c r="O7" s="41"/>
    </row>
    <row r="8" spans="2:15" ht="34.9" customHeight="1" x14ac:dyDescent="0.25">
      <c r="E8" s="39" t="s">
        <v>20</v>
      </c>
      <c r="F8" s="39"/>
      <c r="H8" s="39" t="s">
        <v>21</v>
      </c>
      <c r="I8" s="39"/>
      <c r="K8" s="39" t="s">
        <v>20</v>
      </c>
      <c r="L8" s="39"/>
      <c r="N8" s="39" t="s">
        <v>21</v>
      </c>
      <c r="O8" s="39"/>
    </row>
    <row r="9" spans="2:15" ht="29.1" customHeight="1" x14ac:dyDescent="0.25">
      <c r="B9" s="24" t="s">
        <v>2</v>
      </c>
      <c r="D9" s="24" t="s">
        <v>22</v>
      </c>
      <c r="E9" s="24" t="s">
        <v>23</v>
      </c>
      <c r="F9" s="24" t="s">
        <v>24</v>
      </c>
      <c r="H9" s="24" t="s">
        <v>25</v>
      </c>
      <c r="I9" s="25" t="s">
        <v>24</v>
      </c>
      <c r="K9" s="24" t="s">
        <v>23</v>
      </c>
      <c r="L9" s="24" t="s">
        <v>24</v>
      </c>
      <c r="N9" s="24" t="s">
        <v>25</v>
      </c>
      <c r="O9" s="25" t="s">
        <v>24</v>
      </c>
    </row>
    <row r="10" spans="2:15" x14ac:dyDescent="0.25">
      <c r="B10">
        <v>1981</v>
      </c>
      <c r="D10" s="26">
        <v>0.70820000000000005</v>
      </c>
      <c r="E10" s="26">
        <f>($E$4-$D10)*$E$6</f>
        <v>7.3397886981648339</v>
      </c>
      <c r="F10" s="26">
        <f>E10</f>
        <v>7.3397886981648339</v>
      </c>
      <c r="I10" s="26">
        <f>E10</f>
        <v>7.3397886981648339</v>
      </c>
      <c r="K10" s="26">
        <f>($E$4-$D10)*$K$5</f>
        <v>4.413545138840659</v>
      </c>
      <c r="L10" s="26">
        <f>K10</f>
        <v>4.413545138840659</v>
      </c>
      <c r="O10" s="26">
        <f>K10</f>
        <v>4.413545138840659</v>
      </c>
    </row>
    <row r="11" spans="2:15" x14ac:dyDescent="0.25">
      <c r="B11">
        <v>1982</v>
      </c>
      <c r="D11" s="26">
        <v>0.70820000000000005</v>
      </c>
      <c r="E11" s="26">
        <f>($E$4-$D11)*$E$6</f>
        <v>7.3397886981648339</v>
      </c>
      <c r="F11" s="26">
        <f>F10+E11</f>
        <v>14.679577396329668</v>
      </c>
      <c r="I11" s="26">
        <f>I10+E11+H11</f>
        <v>14.679577396329668</v>
      </c>
      <c r="K11" s="26">
        <f t="shared" ref="K11:K44" si="0">($E$4-$D11)*$K$5</f>
        <v>4.413545138840659</v>
      </c>
      <c r="L11" s="26">
        <f>L10+K11</f>
        <v>8.827090277681318</v>
      </c>
      <c r="O11" s="26">
        <f>O10+K11+N11</f>
        <v>8.827090277681318</v>
      </c>
    </row>
    <row r="12" spans="2:15" x14ac:dyDescent="0.25">
      <c r="B12">
        <v>1983</v>
      </c>
      <c r="D12" s="26">
        <v>0.70820000000000005</v>
      </c>
      <c r="E12" s="32">
        <f>($E$4-$D12)*$E$6</f>
        <v>7.3397886981648339</v>
      </c>
      <c r="F12" s="26">
        <f t="shared" ref="F12:F44" si="1">F11+E12</f>
        <v>22.019366094494501</v>
      </c>
      <c r="H12" s="19">
        <f>$E$3-F12-SUM(H$10:H11)</f>
        <v>-6.0193660944945009</v>
      </c>
      <c r="I12" s="26">
        <f t="shared" ref="I12:I29" si="2">I11+E12+H12</f>
        <v>16</v>
      </c>
      <c r="K12" s="26">
        <f t="shared" si="0"/>
        <v>4.413545138840659</v>
      </c>
      <c r="L12" s="26">
        <f t="shared" ref="L12:L44" si="3">L11+K12</f>
        <v>13.240635416521977</v>
      </c>
      <c r="O12" s="26">
        <f t="shared" ref="O12:O24" si="4">O11+K12+N12</f>
        <v>13.240635416521977</v>
      </c>
    </row>
    <row r="13" spans="2:15" x14ac:dyDescent="0.25">
      <c r="B13">
        <v>1984</v>
      </c>
      <c r="D13" s="26">
        <v>31.000315384615387</v>
      </c>
      <c r="E13" s="32">
        <f>($E$4-$D13)*$E$6</f>
        <v>-0.63703404606593561</v>
      </c>
      <c r="F13" s="26">
        <f t="shared" si="1"/>
        <v>21.382332048428566</v>
      </c>
      <c r="H13" s="19"/>
      <c r="I13" s="26">
        <f t="shared" si="2"/>
        <v>15.362965953934065</v>
      </c>
      <c r="K13" s="26">
        <f t="shared" si="0"/>
        <v>-0.38305987173626466</v>
      </c>
      <c r="L13" s="26">
        <f t="shared" si="3"/>
        <v>12.857575544785712</v>
      </c>
      <c r="N13" s="19"/>
      <c r="O13" s="26">
        <f t="shared" si="4"/>
        <v>12.857575544785712</v>
      </c>
    </row>
    <row r="14" spans="2:15" x14ac:dyDescent="0.25">
      <c r="B14">
        <v>1985</v>
      </c>
      <c r="D14" s="26">
        <v>43.932792307692296</v>
      </c>
      <c r="E14" s="32">
        <f>($E$4-$D14)*$E$6</f>
        <v>-4.0425431942197783</v>
      </c>
      <c r="F14" s="26">
        <f t="shared" si="1"/>
        <v>17.339788854208788</v>
      </c>
      <c r="H14" s="19"/>
      <c r="I14" s="26">
        <f>I13+E14+H14</f>
        <v>11.320422759714287</v>
      </c>
      <c r="K14" s="26">
        <f t="shared" si="0"/>
        <v>-2.4308529301208779</v>
      </c>
      <c r="L14" s="26">
        <f t="shared" si="3"/>
        <v>10.426722614664834</v>
      </c>
      <c r="N14" s="19"/>
      <c r="O14" s="26">
        <f t="shared" si="4"/>
        <v>10.426722614664834</v>
      </c>
    </row>
    <row r="15" spans="2:15" x14ac:dyDescent="0.25">
      <c r="B15">
        <v>1986</v>
      </c>
      <c r="D15" s="26">
        <v>48.028892307692317</v>
      </c>
      <c r="E15" s="32">
        <f t="shared" ref="E15:E44" si="5">($E$4-$D15)*$E$6</f>
        <v>-5.1211692072197836</v>
      </c>
      <c r="F15" s="26">
        <f t="shared" si="1"/>
        <v>12.218619646989005</v>
      </c>
      <c r="H15" s="19"/>
      <c r="I15" s="26">
        <f t="shared" si="2"/>
        <v>6.1992535524945032</v>
      </c>
      <c r="K15" s="26">
        <f>($E$4-$D15)*$K$5</f>
        <v>-3.0794498846208813</v>
      </c>
      <c r="L15" s="26">
        <f t="shared" si="3"/>
        <v>7.3472727300439526</v>
      </c>
      <c r="N15" s="19"/>
      <c r="O15" s="26">
        <f t="shared" si="4"/>
        <v>7.3472727300439526</v>
      </c>
    </row>
    <row r="16" spans="2:15" x14ac:dyDescent="0.25">
      <c r="B16">
        <v>1987</v>
      </c>
      <c r="D16" s="26">
        <v>27.664207692307691</v>
      </c>
      <c r="E16" s="32">
        <f t="shared" si="5"/>
        <v>0.24146319254944998</v>
      </c>
      <c r="F16" s="26">
        <f t="shared" si="1"/>
        <v>12.460082839538455</v>
      </c>
      <c r="H16" s="19"/>
      <c r="I16" s="26">
        <f t="shared" si="2"/>
        <v>6.4407167450439529</v>
      </c>
      <c r="K16" s="26">
        <f t="shared" si="0"/>
        <v>0.14519610080219747</v>
      </c>
      <c r="L16" s="26">
        <f t="shared" si="3"/>
        <v>7.4924688308461498</v>
      </c>
      <c r="N16" s="19"/>
      <c r="O16" s="26">
        <f t="shared" si="4"/>
        <v>7.4924688308461498</v>
      </c>
    </row>
    <row r="17" spans="2:17" x14ac:dyDescent="0.25">
      <c r="B17">
        <v>1988</v>
      </c>
      <c r="D17" s="26">
        <v>32.442123076923075</v>
      </c>
      <c r="E17" s="32">
        <f t="shared" si="5"/>
        <v>-1.0167052656813189</v>
      </c>
      <c r="F17" s="26">
        <f t="shared" si="1"/>
        <v>11.443377573857136</v>
      </c>
      <c r="H17" s="19"/>
      <c r="I17" s="26">
        <f t="shared" si="2"/>
        <v>5.4240114793626342</v>
      </c>
      <c r="K17" s="26">
        <f t="shared" si="0"/>
        <v>-0.61136291077472549</v>
      </c>
      <c r="L17" s="26">
        <f t="shared" si="3"/>
        <v>6.8811059200714242</v>
      </c>
      <c r="N17" s="19"/>
      <c r="O17" s="26">
        <f t="shared" si="4"/>
        <v>6.8811059200714242</v>
      </c>
    </row>
    <row r="18" spans="2:17" x14ac:dyDescent="0.25">
      <c r="B18">
        <v>1989</v>
      </c>
      <c r="D18" s="26">
        <v>12.927030769230765</v>
      </c>
      <c r="E18" s="32">
        <f t="shared" si="5"/>
        <v>4.1222039917032971</v>
      </c>
      <c r="F18" s="26">
        <f t="shared" si="1"/>
        <v>15.565581565560432</v>
      </c>
      <c r="H18" s="19"/>
      <c r="I18" s="26">
        <f t="shared" si="2"/>
        <v>9.5462154710659313</v>
      </c>
      <c r="K18" s="26">
        <f t="shared" si="0"/>
        <v>2.4787543806868135</v>
      </c>
      <c r="L18" s="26">
        <f t="shared" si="3"/>
        <v>9.3598603007582373</v>
      </c>
      <c r="N18" s="19"/>
      <c r="O18" s="26">
        <f t="shared" si="4"/>
        <v>9.3598603007582373</v>
      </c>
    </row>
    <row r="19" spans="2:17" x14ac:dyDescent="0.25">
      <c r="B19">
        <v>1990</v>
      </c>
      <c r="D19" s="26">
        <v>14.948215384615382</v>
      </c>
      <c r="E19" s="32">
        <f t="shared" si="5"/>
        <v>3.5899654469340656</v>
      </c>
      <c r="F19" s="26">
        <f t="shared" si="1"/>
        <v>19.155547012494498</v>
      </c>
      <c r="H19" s="19"/>
      <c r="I19" s="26">
        <f t="shared" si="2"/>
        <v>13.136180917999997</v>
      </c>
      <c r="K19" s="26">
        <f t="shared" si="0"/>
        <v>2.1587099027637362</v>
      </c>
      <c r="L19" s="26">
        <f t="shared" si="3"/>
        <v>11.518570203521973</v>
      </c>
      <c r="N19" s="19"/>
      <c r="O19" s="26">
        <f t="shared" si="4"/>
        <v>11.518570203521973</v>
      </c>
    </row>
    <row r="20" spans="2:17" x14ac:dyDescent="0.25">
      <c r="B20">
        <v>1991</v>
      </c>
      <c r="D20" s="26">
        <v>3.3236153846153851</v>
      </c>
      <c r="E20" s="32">
        <f t="shared" si="5"/>
        <v>6.651071364934066</v>
      </c>
      <c r="F20" s="26">
        <f t="shared" si="1"/>
        <v>25.806618377428563</v>
      </c>
      <c r="H20" s="19">
        <f>$E$3-F20-SUM(H$10:H19)</f>
        <v>-3.7872522829340625</v>
      </c>
      <c r="I20" s="26">
        <f t="shared" si="2"/>
        <v>16</v>
      </c>
      <c r="K20" s="26">
        <f t="shared" si="0"/>
        <v>3.9994071897637364</v>
      </c>
      <c r="L20" s="26">
        <f t="shared" si="3"/>
        <v>15.51797739328571</v>
      </c>
      <c r="N20" s="19"/>
      <c r="O20" s="26">
        <f t="shared" si="4"/>
        <v>15.51797739328571</v>
      </c>
    </row>
    <row r="21" spans="2:17" x14ac:dyDescent="0.25">
      <c r="B21">
        <v>1992</v>
      </c>
      <c r="D21" s="26">
        <v>1.6416384615384618</v>
      </c>
      <c r="E21" s="32">
        <f t="shared" si="5"/>
        <v>7.0939863480879115</v>
      </c>
      <c r="F21" s="26">
        <f t="shared" si="1"/>
        <v>32.900604725516473</v>
      </c>
      <c r="H21" s="19">
        <f>$E$3-F21-SUM(H$10:H20)</f>
        <v>-7.0939863480879097</v>
      </c>
      <c r="I21" s="26">
        <f t="shared" si="2"/>
        <v>16</v>
      </c>
      <c r="K21" s="26">
        <f t="shared" si="0"/>
        <v>4.2657398256483514</v>
      </c>
      <c r="L21" s="26">
        <f t="shared" si="3"/>
        <v>19.783717218934061</v>
      </c>
      <c r="N21" s="19">
        <f>$E$3-L21-SUM(N$10:N20)</f>
        <v>-3.7837172189340613</v>
      </c>
      <c r="O21" s="26">
        <f t="shared" si="4"/>
        <v>16</v>
      </c>
    </row>
    <row r="22" spans="2:17" x14ac:dyDescent="0.25">
      <c r="B22">
        <v>1993</v>
      </c>
      <c r="D22" s="26">
        <v>2.8123076923076922</v>
      </c>
      <c r="E22" s="32">
        <f t="shared" si="5"/>
        <v>6.7857140195494505</v>
      </c>
      <c r="F22" s="26">
        <f t="shared" si="1"/>
        <v>39.686318745065925</v>
      </c>
      <c r="H22" s="19">
        <f>$E$3-F22-SUM(H$10:H21)</f>
        <v>-6.7857140195494523</v>
      </c>
      <c r="I22" s="26">
        <f t="shared" si="2"/>
        <v>16</v>
      </c>
      <c r="K22" s="26">
        <f t="shared" si="0"/>
        <v>4.0803702063021978</v>
      </c>
      <c r="L22" s="26">
        <f t="shared" si="3"/>
        <v>23.86408742523626</v>
      </c>
      <c r="N22" s="19">
        <f>$E$3-L22-SUM(N$10:N21)</f>
        <v>-4.0803702063021987</v>
      </c>
      <c r="O22" s="26">
        <f t="shared" si="4"/>
        <v>16</v>
      </c>
    </row>
    <row r="23" spans="2:17" x14ac:dyDescent="0.25">
      <c r="B23">
        <v>1994</v>
      </c>
      <c r="D23" s="26">
        <v>2.4520923076923071</v>
      </c>
      <c r="E23" s="32">
        <f>($E$4-$D23)*$E$6</f>
        <v>6.8805695367802189</v>
      </c>
      <c r="F23" s="26">
        <f t="shared" si="1"/>
        <v>46.566888281846147</v>
      </c>
      <c r="H23" s="19">
        <f>$E$3-F23-SUM(H$10:H22)</f>
        <v>-6.8805695367802215</v>
      </c>
      <c r="I23" s="26">
        <f t="shared" si="2"/>
        <v>15.999999999999996</v>
      </c>
      <c r="K23" s="26">
        <f t="shared" si="0"/>
        <v>4.137408511379121</v>
      </c>
      <c r="L23" s="26">
        <f t="shared" si="3"/>
        <v>28.001495936615381</v>
      </c>
      <c r="N23" s="19">
        <f>$E$3-L23-SUM(N$10:N22)</f>
        <v>-4.137408511379121</v>
      </c>
      <c r="O23" s="26">
        <f t="shared" si="4"/>
        <v>16</v>
      </c>
    </row>
    <row r="24" spans="2:17" x14ac:dyDescent="0.25">
      <c r="B24">
        <v>1995</v>
      </c>
      <c r="D24" s="26">
        <v>61.239430769230765</v>
      </c>
      <c r="E24" s="32">
        <f t="shared" si="5"/>
        <v>-8.5999003002967047</v>
      </c>
      <c r="F24" s="26">
        <f t="shared" si="1"/>
        <v>37.966987981549444</v>
      </c>
      <c r="H24" s="19"/>
      <c r="I24" s="26">
        <f t="shared" si="2"/>
        <v>7.4000996997032917</v>
      </c>
      <c r="K24" s="26">
        <f t="shared" si="0"/>
        <v>-5.1712725973131874</v>
      </c>
      <c r="L24" s="26">
        <f t="shared" si="3"/>
        <v>22.830223339302194</v>
      </c>
      <c r="N24" s="19"/>
      <c r="O24" s="26">
        <f t="shared" si="4"/>
        <v>10.828727402686813</v>
      </c>
    </row>
    <row r="25" spans="2:17" x14ac:dyDescent="0.25">
      <c r="B25">
        <v>1996</v>
      </c>
      <c r="D25" s="26">
        <v>71.231223076923087</v>
      </c>
      <c r="E25" s="32">
        <f t="shared" si="5"/>
        <v>-11.231038968681323</v>
      </c>
      <c r="F25" s="26">
        <f t="shared" si="1"/>
        <v>26.735949012868119</v>
      </c>
      <c r="H25" s="19"/>
      <c r="I25" s="26">
        <f t="shared" si="2"/>
        <v>-3.8309392689780317</v>
      </c>
      <c r="K25" s="26">
        <f t="shared" si="0"/>
        <v>-6.7534229502747287</v>
      </c>
      <c r="L25" s="26">
        <f t="shared" si="3"/>
        <v>16.076800389027465</v>
      </c>
      <c r="N25" s="19"/>
      <c r="O25" s="26">
        <f>O24+K25+N25</f>
        <v>4.0753044524120838</v>
      </c>
    </row>
    <row r="26" spans="2:17" x14ac:dyDescent="0.25">
      <c r="B26">
        <v>1997</v>
      </c>
      <c r="D26" s="26">
        <v>76.788115384615395</v>
      </c>
      <c r="E26" s="32">
        <f t="shared" si="5"/>
        <v>-12.694335420065938</v>
      </c>
      <c r="F26" s="26">
        <f t="shared" si="1"/>
        <v>14.041613592802181</v>
      </c>
      <c r="H26" s="19"/>
      <c r="I26" s="26">
        <f t="shared" si="2"/>
        <v>-16.525274689043968</v>
      </c>
      <c r="K26" s="26">
        <f t="shared" si="0"/>
        <v>-7.6333290627362667</v>
      </c>
      <c r="L26" s="26">
        <f t="shared" si="3"/>
        <v>8.4434713262911991</v>
      </c>
      <c r="N26" s="19"/>
      <c r="O26" s="26">
        <f t="shared" ref="O26:O44" si="6">O25+K26+N26</f>
        <v>-3.5580246103241828</v>
      </c>
    </row>
    <row r="27" spans="2:17" x14ac:dyDescent="0.25">
      <c r="B27">
        <v>1998</v>
      </c>
      <c r="D27" s="26">
        <v>70.793584615384603</v>
      </c>
      <c r="E27" s="32">
        <f t="shared" si="5"/>
        <v>-11.115795632604394</v>
      </c>
      <c r="F27" s="26">
        <f t="shared" si="1"/>
        <v>2.9258179601977865</v>
      </c>
      <c r="H27" s="19">
        <f>-E$3-I26-E27</f>
        <v>11.641070321648362</v>
      </c>
      <c r="I27" s="26">
        <f t="shared" si="2"/>
        <v>-16</v>
      </c>
      <c r="K27" s="26">
        <f t="shared" si="0"/>
        <v>-6.6841250880824168</v>
      </c>
      <c r="L27" s="26">
        <f t="shared" si="3"/>
        <v>1.7593462382087823</v>
      </c>
      <c r="N27" s="19"/>
      <c r="O27" s="26">
        <f t="shared" si="6"/>
        <v>-10.2421496984066</v>
      </c>
    </row>
    <row r="28" spans="2:17" x14ac:dyDescent="0.25">
      <c r="B28">
        <v>1999</v>
      </c>
      <c r="D28" s="26">
        <v>116.98365384615386</v>
      </c>
      <c r="E28" s="32">
        <f t="shared" si="5"/>
        <v>-23.279026563142864</v>
      </c>
      <c r="F28" s="26">
        <f t="shared" si="1"/>
        <v>-20.353208602945077</v>
      </c>
      <c r="H28" s="19">
        <f>-E$3-I27-E28</f>
        <v>23.279026563142864</v>
      </c>
      <c r="I28" s="26">
        <f>I27+E28+H28</f>
        <v>-16</v>
      </c>
      <c r="K28" s="26">
        <f t="shared" si="0"/>
        <v>-13.998091600428575</v>
      </c>
      <c r="L28" s="26">
        <f t="shared" si="3"/>
        <v>-12.238745362219792</v>
      </c>
      <c r="N28" s="19">
        <f>-E$3-O27-K28</f>
        <v>8.2402412988351745</v>
      </c>
      <c r="O28" s="26">
        <f t="shared" si="6"/>
        <v>-15.999999999999998</v>
      </c>
      <c r="Q28" s="26"/>
    </row>
    <row r="29" spans="2:17" x14ac:dyDescent="0.25">
      <c r="B29">
        <v>2000</v>
      </c>
      <c r="D29" s="26">
        <v>58.569076923076928</v>
      </c>
      <c r="E29" s="32">
        <f t="shared" si="5"/>
        <v>-7.8967160219890129</v>
      </c>
      <c r="F29" s="26">
        <f t="shared" si="1"/>
        <v>-28.249924624934089</v>
      </c>
      <c r="H29" s="26">
        <f>-E29</f>
        <v>7.8967160219890129</v>
      </c>
      <c r="I29" s="26">
        <f t="shared" si="2"/>
        <v>-16</v>
      </c>
      <c r="K29" s="26">
        <f t="shared" si="0"/>
        <v>-4.7484354175439574</v>
      </c>
      <c r="L29" s="26">
        <f t="shared" si="3"/>
        <v>-16.987180779763747</v>
      </c>
      <c r="N29" s="26">
        <f>-K29</f>
        <v>4.7484354175439574</v>
      </c>
      <c r="O29" s="26">
        <f t="shared" si="6"/>
        <v>-15.999999999999998</v>
      </c>
    </row>
    <row r="30" spans="2:17" x14ac:dyDescent="0.25">
      <c r="B30">
        <v>2001</v>
      </c>
      <c r="D30" s="26">
        <v>24.382676923076925</v>
      </c>
      <c r="E30" s="32">
        <f t="shared" si="5"/>
        <v>1.1055886900109877</v>
      </c>
      <c r="F30" s="26">
        <f t="shared" si="1"/>
        <v>-27.144335934923102</v>
      </c>
      <c r="H30" s="26">
        <f>-E30</f>
        <v>-1.1055886900109877</v>
      </c>
      <c r="I30" s="26">
        <f>I29+E30+H30</f>
        <v>-16</v>
      </c>
      <c r="K30" s="26">
        <f t="shared" si="0"/>
        <v>0.66481009045604322</v>
      </c>
      <c r="L30" s="26">
        <f t="shared" si="3"/>
        <v>-16.322370689307704</v>
      </c>
      <c r="N30" s="26">
        <f t="shared" ref="N30:N33" si="7">-K30</f>
        <v>-0.66481009045604322</v>
      </c>
      <c r="O30" s="26">
        <f t="shared" si="6"/>
        <v>-15.999999999999998</v>
      </c>
    </row>
    <row r="31" spans="2:17" x14ac:dyDescent="0.25">
      <c r="B31">
        <v>2002</v>
      </c>
      <c r="D31" s="26">
        <v>31.35953846153847</v>
      </c>
      <c r="E31" s="32">
        <f t="shared" si="5"/>
        <v>-0.73162825891209105</v>
      </c>
      <c r="F31" s="26">
        <f t="shared" si="1"/>
        <v>-27.875964193835195</v>
      </c>
      <c r="H31" s="19">
        <f>-E$3-I30-E31</f>
        <v>0.73162825891209105</v>
      </c>
      <c r="I31" s="26">
        <f t="shared" ref="I31:I44" si="8">I30+E31+H31</f>
        <v>-16</v>
      </c>
      <c r="K31" s="26">
        <f t="shared" si="0"/>
        <v>-0.43994104985165028</v>
      </c>
      <c r="L31" s="26">
        <f t="shared" si="3"/>
        <v>-16.762311739159355</v>
      </c>
      <c r="N31" s="26">
        <f t="shared" si="7"/>
        <v>0.43994104985165028</v>
      </c>
      <c r="O31" s="26">
        <f t="shared" si="6"/>
        <v>-15.999999999999996</v>
      </c>
    </row>
    <row r="32" spans="2:17" x14ac:dyDescent="0.25">
      <c r="B32">
        <v>2003</v>
      </c>
      <c r="D32" s="26">
        <v>30.102984615384603</v>
      </c>
      <c r="E32" s="32">
        <f t="shared" si="5"/>
        <v>-0.40073993460439317</v>
      </c>
      <c r="F32" s="26">
        <f t="shared" si="1"/>
        <v>-28.276704128439587</v>
      </c>
      <c r="H32" s="19">
        <f>-E$3-I31-E32</f>
        <v>0.40073993460439317</v>
      </c>
      <c r="I32" s="26">
        <f t="shared" si="8"/>
        <v>-15.999999999999998</v>
      </c>
      <c r="K32" s="26">
        <f t="shared" si="0"/>
        <v>-0.24097203108241613</v>
      </c>
      <c r="L32" s="26">
        <f t="shared" si="3"/>
        <v>-17.003283770241772</v>
      </c>
      <c r="N32" s="26">
        <f t="shared" si="7"/>
        <v>0.24097203108241613</v>
      </c>
      <c r="O32" s="26">
        <f t="shared" si="6"/>
        <v>-15.999999999999998</v>
      </c>
    </row>
    <row r="33" spans="2:18" x14ac:dyDescent="0.25">
      <c r="B33">
        <v>2004</v>
      </c>
      <c r="D33" s="26">
        <v>54.188623076923093</v>
      </c>
      <c r="E33" s="32">
        <f t="shared" si="5"/>
        <v>-6.7432111106813242</v>
      </c>
      <c r="F33" s="26">
        <f t="shared" si="1"/>
        <v>-35.019915239120913</v>
      </c>
      <c r="H33" s="19">
        <f>-E$3-I32-E33</f>
        <v>6.7432111106813224</v>
      </c>
      <c r="I33" s="26">
        <f t="shared" si="8"/>
        <v>-16</v>
      </c>
      <c r="K33" s="26">
        <f t="shared" si="0"/>
        <v>-4.0548124532747289</v>
      </c>
      <c r="L33" s="26">
        <f t="shared" si="3"/>
        <v>-21.0580962235165</v>
      </c>
      <c r="N33" s="26">
        <f t="shared" si="7"/>
        <v>4.0548124532747289</v>
      </c>
      <c r="O33" s="26">
        <f t="shared" si="6"/>
        <v>-16</v>
      </c>
    </row>
    <row r="34" spans="2:18" x14ac:dyDescent="0.25">
      <c r="B34">
        <v>2005</v>
      </c>
      <c r="D34" s="26">
        <v>21.235638461538464</v>
      </c>
      <c r="E34" s="32">
        <f t="shared" si="5"/>
        <v>1.9342983280879107</v>
      </c>
      <c r="F34" s="26">
        <f t="shared" si="1"/>
        <v>-33.085616911033</v>
      </c>
      <c r="H34" s="19"/>
      <c r="I34" s="26">
        <f t="shared" si="8"/>
        <v>-14.065701671912089</v>
      </c>
      <c r="K34" s="26">
        <f t="shared" si="0"/>
        <v>1.1631278956483508</v>
      </c>
      <c r="L34" s="26">
        <f t="shared" si="3"/>
        <v>-19.894968327868149</v>
      </c>
      <c r="N34" s="26"/>
      <c r="O34" s="26">
        <f t="shared" si="6"/>
        <v>-14.836872104351649</v>
      </c>
      <c r="Q34" s="19"/>
      <c r="R34" s="19"/>
    </row>
    <row r="35" spans="2:18" x14ac:dyDescent="0.25">
      <c r="B35">
        <v>2006</v>
      </c>
      <c r="D35" s="26">
        <v>25.492584615384619</v>
      </c>
      <c r="E35" s="32">
        <f t="shared" si="5"/>
        <v>0.81331669739560275</v>
      </c>
      <c r="F35" s="26">
        <f t="shared" si="1"/>
        <v>-32.272300213637401</v>
      </c>
      <c r="I35" s="26">
        <f t="shared" si="8"/>
        <v>-13.252384974516486</v>
      </c>
      <c r="K35" s="26">
        <f t="shared" si="0"/>
        <v>0.48906175691758141</v>
      </c>
      <c r="L35" s="26">
        <f t="shared" si="3"/>
        <v>-19.405906570950567</v>
      </c>
      <c r="N35" s="19"/>
      <c r="O35" s="26">
        <f t="shared" si="6"/>
        <v>-14.347810347434068</v>
      </c>
      <c r="Q35" s="19"/>
      <c r="R35" s="19"/>
    </row>
    <row r="36" spans="2:18" x14ac:dyDescent="0.25">
      <c r="B36">
        <v>2007</v>
      </c>
      <c r="D36" s="26">
        <v>35.315846153846159</v>
      </c>
      <c r="E36" s="32">
        <f t="shared" si="5"/>
        <v>-1.7734427635274748</v>
      </c>
      <c r="F36" s="26">
        <f t="shared" si="1"/>
        <v>-34.045742977164878</v>
      </c>
      <c r="I36" s="26">
        <f t="shared" si="8"/>
        <v>-15.025827738043962</v>
      </c>
      <c r="K36" s="26">
        <f>($E$4-$D36)*$K$5</f>
        <v>-1.0664025913901114</v>
      </c>
      <c r="L36" s="26">
        <f t="shared" si="3"/>
        <v>-20.472309162340679</v>
      </c>
      <c r="N36" s="19"/>
      <c r="O36" s="26">
        <f t="shared" si="6"/>
        <v>-15.41421293882418</v>
      </c>
    </row>
    <row r="37" spans="2:18" x14ac:dyDescent="0.25">
      <c r="B37">
        <v>2008</v>
      </c>
      <c r="D37" s="26">
        <v>22.713823076923081</v>
      </c>
      <c r="E37" s="32">
        <f t="shared" si="5"/>
        <v>1.5450479733186795</v>
      </c>
      <c r="F37" s="26">
        <f t="shared" si="1"/>
        <v>-32.500695003846197</v>
      </c>
      <c r="I37" s="26">
        <f t="shared" si="8"/>
        <v>-13.480779764725282</v>
      </c>
      <c r="K37" s="26">
        <f t="shared" si="0"/>
        <v>0.92906475272527367</v>
      </c>
      <c r="L37" s="26">
        <f t="shared" si="3"/>
        <v>-19.543244409615404</v>
      </c>
      <c r="N37" s="19"/>
      <c r="O37" s="26">
        <f t="shared" si="6"/>
        <v>-14.485148186098906</v>
      </c>
    </row>
    <row r="38" spans="2:18" x14ac:dyDescent="0.25">
      <c r="B38">
        <v>2009</v>
      </c>
      <c r="D38" s="26">
        <v>10.263523076923077</v>
      </c>
      <c r="E38" s="32">
        <f t="shared" si="5"/>
        <v>4.8235854723186815</v>
      </c>
      <c r="F38" s="26">
        <f t="shared" si="1"/>
        <v>-27.677109531527513</v>
      </c>
      <c r="I38" s="26">
        <f t="shared" si="8"/>
        <v>-8.6571942924066008</v>
      </c>
      <c r="K38" s="26">
        <f t="shared" si="0"/>
        <v>2.9005075062252748</v>
      </c>
      <c r="L38" s="26">
        <f t="shared" si="3"/>
        <v>-16.64273690339013</v>
      </c>
      <c r="N38" s="19"/>
      <c r="O38" s="26">
        <f t="shared" si="6"/>
        <v>-11.584640679873631</v>
      </c>
    </row>
    <row r="39" spans="2:18" x14ac:dyDescent="0.25">
      <c r="B39">
        <v>2010</v>
      </c>
      <c r="D39" s="26">
        <v>31.218976923076912</v>
      </c>
      <c r="E39" s="32">
        <f t="shared" si="5"/>
        <v>-0.69461418898900895</v>
      </c>
      <c r="F39" s="26">
        <f t="shared" si="1"/>
        <v>-28.37172372051652</v>
      </c>
      <c r="I39" s="26">
        <f t="shared" si="8"/>
        <v>-9.3518084813956097</v>
      </c>
      <c r="K39" s="26">
        <f t="shared" si="0"/>
        <v>-0.41768383304395484</v>
      </c>
      <c r="L39" s="26">
        <f t="shared" si="3"/>
        <v>-17.060420736434086</v>
      </c>
      <c r="N39" s="19"/>
      <c r="O39" s="26">
        <f t="shared" si="6"/>
        <v>-12.002324512917586</v>
      </c>
    </row>
    <row r="40" spans="2:18" x14ac:dyDescent="0.25">
      <c r="B40">
        <v>2011</v>
      </c>
      <c r="D40" s="26">
        <v>26.52533846153846</v>
      </c>
      <c r="E40" s="26">
        <f t="shared" si="5"/>
        <v>0.54136162708791158</v>
      </c>
      <c r="F40" s="26">
        <f t="shared" si="1"/>
        <v>-27.830362093428608</v>
      </c>
      <c r="I40" s="26">
        <f t="shared" si="8"/>
        <v>-8.810446854307699</v>
      </c>
      <c r="K40" s="26">
        <f t="shared" si="0"/>
        <v>0.32553034914835138</v>
      </c>
      <c r="L40" s="26">
        <f t="shared" si="3"/>
        <v>-16.734890387285734</v>
      </c>
      <c r="N40" s="19"/>
      <c r="O40" s="26">
        <f t="shared" si="6"/>
        <v>-11.676794163769234</v>
      </c>
    </row>
    <row r="41" spans="2:18" x14ac:dyDescent="0.25">
      <c r="B41">
        <v>2012</v>
      </c>
      <c r="D41" s="26">
        <v>4.1213846153846152</v>
      </c>
      <c r="E41" s="26">
        <f t="shared" si="5"/>
        <v>6.4409947933956033</v>
      </c>
      <c r="F41" s="26">
        <f t="shared" si="1"/>
        <v>-21.389367300033005</v>
      </c>
      <c r="I41" s="26">
        <f t="shared" si="8"/>
        <v>-2.3694520609120957</v>
      </c>
      <c r="K41" s="26">
        <f t="shared" si="0"/>
        <v>3.8730844209175821</v>
      </c>
      <c r="L41" s="26">
        <f t="shared" si="3"/>
        <v>-12.861805966368152</v>
      </c>
      <c r="N41" s="19"/>
      <c r="O41" s="26">
        <f t="shared" si="6"/>
        <v>-7.8037097428516518</v>
      </c>
    </row>
    <row r="42" spans="2:18" x14ac:dyDescent="0.25">
      <c r="B42">
        <v>2013</v>
      </c>
      <c r="D42" s="26">
        <v>1.6255923076923078</v>
      </c>
      <c r="E42" s="26">
        <f t="shared" si="5"/>
        <v>7.0982117817802193</v>
      </c>
      <c r="F42" s="26">
        <f t="shared" si="1"/>
        <v>-14.291155518252786</v>
      </c>
      <c r="I42" s="26">
        <f t="shared" si="8"/>
        <v>4.7287597208681236</v>
      </c>
      <c r="K42" s="26">
        <f t="shared" si="0"/>
        <v>4.2682806538791205</v>
      </c>
      <c r="L42" s="26">
        <f t="shared" si="3"/>
        <v>-8.5935253124890316</v>
      </c>
      <c r="N42" s="19"/>
      <c r="O42" s="26">
        <f t="shared" si="6"/>
        <v>-3.5354290889725313</v>
      </c>
    </row>
    <row r="43" spans="2:18" x14ac:dyDescent="0.25">
      <c r="B43">
        <v>2014</v>
      </c>
      <c r="D43" s="26">
        <v>1.0163923076923076</v>
      </c>
      <c r="E43" s="26">
        <f t="shared" si="5"/>
        <v>7.2586324177802197</v>
      </c>
      <c r="F43" s="26">
        <f t="shared" si="1"/>
        <v>-7.0325231004725666</v>
      </c>
      <c r="I43" s="26">
        <f t="shared" si="8"/>
        <v>11.987392138648342</v>
      </c>
      <c r="K43" s="26">
        <f t="shared" si="0"/>
        <v>4.3647444278791205</v>
      </c>
      <c r="L43" s="26">
        <f t="shared" si="3"/>
        <v>-4.2287808846099111</v>
      </c>
      <c r="N43" s="19"/>
      <c r="O43" s="26">
        <f t="shared" si="6"/>
        <v>0.82931533890658926</v>
      </c>
    </row>
    <row r="44" spans="2:18" x14ac:dyDescent="0.25">
      <c r="B44">
        <v>2015</v>
      </c>
      <c r="D44" s="26">
        <v>1.875046153846154</v>
      </c>
      <c r="E44" s="26">
        <f t="shared" si="5"/>
        <v>7.0325231004725275</v>
      </c>
      <c r="F44" s="26">
        <f t="shared" si="1"/>
        <v>-3.907985046680551E-14</v>
      </c>
      <c r="H44" s="19">
        <f>$E$3-F44-SUM(H$10:H43)</f>
        <v>-3.0199152391208735</v>
      </c>
      <c r="I44" s="26">
        <f t="shared" si="8"/>
        <v>15.999999999999996</v>
      </c>
      <c r="K44" s="26">
        <f t="shared" si="0"/>
        <v>4.2287808846098898</v>
      </c>
      <c r="L44" s="26">
        <f t="shared" si="3"/>
        <v>-2.1316282072803006E-14</v>
      </c>
      <c r="N44" s="19"/>
      <c r="O44" s="26">
        <f t="shared" si="6"/>
        <v>5.058096223516479</v>
      </c>
      <c r="Q44" s="26"/>
    </row>
    <row r="45" spans="2:18" ht="9" customHeight="1" x14ac:dyDescent="0.25">
      <c r="D45" s="26"/>
    </row>
    <row r="46" spans="2:18" x14ac:dyDescent="0.25">
      <c r="B46" t="s">
        <v>49</v>
      </c>
      <c r="D46" s="27">
        <f>AVERAGE(D10:D44)</f>
        <v>28.581168131868129</v>
      </c>
      <c r="K46" s="27"/>
    </row>
    <row r="47" spans="2:18" x14ac:dyDescent="0.25">
      <c r="D47" s="26"/>
      <c r="G47" t="s">
        <v>26</v>
      </c>
      <c r="H47" s="26">
        <f>SUM(H10:H44)</f>
        <v>16.000000000000039</v>
      </c>
      <c r="M47" t="s">
        <v>26</v>
      </c>
      <c r="N47" s="26">
        <f>SUM(N10:N44)</f>
        <v>5.058096223516503</v>
      </c>
    </row>
    <row r="48" spans="2:18" x14ac:dyDescent="0.25">
      <c r="D48" s="26"/>
    </row>
    <row r="49" spans="2:14" x14ac:dyDescent="0.25">
      <c r="D49" s="26"/>
    </row>
    <row r="50" spans="2:14" x14ac:dyDescent="0.25">
      <c r="B50" s="17" t="s">
        <v>27</v>
      </c>
    </row>
    <row r="51" spans="2:14" x14ac:dyDescent="0.25">
      <c r="C51" t="s">
        <v>28</v>
      </c>
      <c r="H51">
        <f>COUNTBLANK(H10:H44)</f>
        <v>22</v>
      </c>
      <c r="N51">
        <f>COUNTBLANK(N10:N44)</f>
        <v>26</v>
      </c>
    </row>
    <row r="52" spans="2:14" x14ac:dyDescent="0.25">
      <c r="C52" t="s">
        <v>29</v>
      </c>
      <c r="H52">
        <f>COUNTIF(H10:H44,"&lt;0")</f>
        <v>7</v>
      </c>
      <c r="N52">
        <f>COUNTIF(N10:N44,"&lt;0")</f>
        <v>4</v>
      </c>
    </row>
    <row r="53" spans="2:14" x14ac:dyDescent="0.25">
      <c r="C53" t="s">
        <v>30</v>
      </c>
      <c r="H53">
        <f>COUNTIF(H10:H44,H57)</f>
        <v>1</v>
      </c>
      <c r="N53">
        <f>COUNTIF(N10:N44,N57)</f>
        <v>1</v>
      </c>
    </row>
    <row r="54" spans="2:14" x14ac:dyDescent="0.25">
      <c r="C54" t="s">
        <v>31</v>
      </c>
      <c r="H54">
        <f>COUNTIF(H10:H44,"&gt;0")</f>
        <v>6</v>
      </c>
      <c r="N54">
        <f>COUNTIF(N10:N44,"&gt;0")</f>
        <v>5</v>
      </c>
    </row>
    <row r="56" spans="2:14" x14ac:dyDescent="0.25">
      <c r="B56" s="17" t="s">
        <v>32</v>
      </c>
    </row>
    <row r="57" spans="2:14" x14ac:dyDescent="0.25">
      <c r="C57" t="s">
        <v>33</v>
      </c>
      <c r="H57" s="28">
        <f>MIN(H10:H44)</f>
        <v>-7.0939863480879097</v>
      </c>
      <c r="N57" s="28">
        <f>MIN(N10:N44)</f>
        <v>-4.137408511379121</v>
      </c>
    </row>
    <row r="58" spans="2:14" x14ac:dyDescent="0.25">
      <c r="C58" t="s">
        <v>34</v>
      </c>
      <c r="H58" s="28">
        <f>MAX(H10:H44)</f>
        <v>23.279026563142864</v>
      </c>
      <c r="N58" s="28">
        <f>MAX(N10:N44)</f>
        <v>8.2402412988351745</v>
      </c>
    </row>
    <row r="59" spans="2:14" x14ac:dyDescent="0.25">
      <c r="C59" t="s">
        <v>35</v>
      </c>
      <c r="H59" s="28">
        <f>H63/H54</f>
        <v>8.4487320351630082</v>
      </c>
      <c r="N59" s="28">
        <f>N63/N54</f>
        <v>3.5448804501175859</v>
      </c>
    </row>
    <row r="60" spans="2:14" x14ac:dyDescent="0.25">
      <c r="C60" t="s">
        <v>36</v>
      </c>
      <c r="H60" s="26">
        <f>H47</f>
        <v>16.000000000000039</v>
      </c>
      <c r="N60" s="26">
        <f>N47</f>
        <v>5.058096223516503</v>
      </c>
    </row>
    <row r="63" spans="2:14" x14ac:dyDescent="0.25">
      <c r="B63" s="17" t="s">
        <v>37</v>
      </c>
      <c r="H63">
        <f>SUMIF(H10:H44,"&gt;0")</f>
        <v>50.692392210978049</v>
      </c>
      <c r="N63">
        <f>SUMIF(N10:N44,"&gt;0")</f>
        <v>17.724402250587929</v>
      </c>
    </row>
  </sheetData>
  <mergeCells count="6">
    <mergeCell ref="E7:I7"/>
    <mergeCell ref="K7:O7"/>
    <mergeCell ref="E8:F8"/>
    <mergeCell ref="H8:I8"/>
    <mergeCell ref="K8:L8"/>
    <mergeCell ref="N8:O8"/>
  </mergeCells>
  <pageMargins left="0.7" right="0.7" top="0.75" bottom="0.75" header="0.3" footer="0.3"/>
  <pageSetup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4"/>
  <sheetViews>
    <sheetView showGridLines="0" tabSelected="1" view="pageBreakPreview" topLeftCell="A4" zoomScaleNormal="100" zoomScaleSheetLayoutView="100" workbookViewId="0">
      <selection activeCell="H12" sqref="H12"/>
    </sheetView>
  </sheetViews>
  <sheetFormatPr defaultRowHeight="15" x14ac:dyDescent="0.25"/>
  <cols>
    <col min="1" max="1" width="2.140625" customWidth="1"/>
    <col min="2" max="2" width="6.7109375" customWidth="1"/>
    <col min="3" max="3" width="2.5703125" customWidth="1"/>
    <col min="4" max="4" width="12.5703125" customWidth="1"/>
    <col min="7" max="7" width="4.7109375" customWidth="1"/>
    <col min="9" max="9" width="6.42578125" customWidth="1"/>
    <col min="10" max="10" width="4" customWidth="1"/>
    <col min="11" max="11" width="9.140625" bestFit="1" customWidth="1"/>
    <col min="13" max="13" width="4.28515625" customWidth="1"/>
    <col min="14" max="14" width="7.28515625" customWidth="1"/>
    <col min="15" max="15" width="9" customWidth="1"/>
    <col min="16" max="16" width="4" customWidth="1"/>
  </cols>
  <sheetData>
    <row r="2" spans="2:15" x14ac:dyDescent="0.25">
      <c r="B2" s="17" t="s">
        <v>62</v>
      </c>
    </row>
    <row r="3" spans="2:15" x14ac:dyDescent="0.25">
      <c r="B3" s="17" t="s">
        <v>56</v>
      </c>
    </row>
    <row r="4" spans="2:15" x14ac:dyDescent="0.25">
      <c r="C4" s="17" t="s">
        <v>9</v>
      </c>
      <c r="D4" s="17"/>
      <c r="E4" s="18">
        <v>8</v>
      </c>
      <c r="F4" s="17" t="s">
        <v>10</v>
      </c>
      <c r="K4" s="19"/>
    </row>
    <row r="5" spans="2:15" x14ac:dyDescent="0.25">
      <c r="B5" t="s">
        <v>11</v>
      </c>
      <c r="E5" s="20">
        <f>D47</f>
        <v>51.059450549450553</v>
      </c>
      <c r="F5" t="s">
        <v>12</v>
      </c>
      <c r="K5" s="20"/>
    </row>
    <row r="6" spans="2:15" x14ac:dyDescent="0.25">
      <c r="B6" t="s">
        <v>13</v>
      </c>
      <c r="E6" s="21">
        <v>0.14668</v>
      </c>
      <c r="F6" t="s">
        <v>14</v>
      </c>
      <c r="J6" s="22" t="s">
        <v>15</v>
      </c>
      <c r="K6" s="21">
        <f>E6*L6+E7*(1-L6)</f>
        <v>0.15834500000000001</v>
      </c>
      <c r="L6" s="23">
        <v>0.9</v>
      </c>
      <c r="M6" t="s">
        <v>16</v>
      </c>
    </row>
    <row r="7" spans="2:15" x14ac:dyDescent="0.25">
      <c r="B7" t="s">
        <v>17</v>
      </c>
      <c r="E7" s="21">
        <v>0.26333000000000001</v>
      </c>
      <c r="F7" t="s">
        <v>14</v>
      </c>
    </row>
    <row r="8" spans="2:15" x14ac:dyDescent="0.25">
      <c r="E8" s="40" t="s">
        <v>18</v>
      </c>
      <c r="F8" s="43"/>
      <c r="G8" s="43"/>
      <c r="H8" s="43"/>
      <c r="I8" s="41"/>
      <c r="K8" s="40" t="s">
        <v>19</v>
      </c>
      <c r="L8" s="43"/>
      <c r="M8" s="43"/>
      <c r="N8" s="43"/>
      <c r="O8" s="41"/>
    </row>
    <row r="9" spans="2:15" ht="34.9" customHeight="1" x14ac:dyDescent="0.25">
      <c r="E9" s="39" t="s">
        <v>20</v>
      </c>
      <c r="F9" s="39"/>
      <c r="H9" s="39" t="s">
        <v>21</v>
      </c>
      <c r="I9" s="39"/>
      <c r="K9" s="39" t="s">
        <v>20</v>
      </c>
      <c r="L9" s="39"/>
      <c r="N9" s="39" t="s">
        <v>21</v>
      </c>
      <c r="O9" s="39"/>
    </row>
    <row r="10" spans="2:15" ht="29.1" customHeight="1" x14ac:dyDescent="0.25">
      <c r="B10" s="24" t="s">
        <v>2</v>
      </c>
      <c r="D10" s="24" t="s">
        <v>22</v>
      </c>
      <c r="E10" s="24" t="s">
        <v>23</v>
      </c>
      <c r="F10" s="24" t="s">
        <v>24</v>
      </c>
      <c r="H10" s="24" t="s">
        <v>25</v>
      </c>
      <c r="I10" s="25" t="s">
        <v>24</v>
      </c>
      <c r="K10" s="24" t="s">
        <v>23</v>
      </c>
      <c r="L10" s="24" t="s">
        <v>24</v>
      </c>
      <c r="N10" s="24" t="s">
        <v>25</v>
      </c>
      <c r="O10" s="25" t="s">
        <v>24</v>
      </c>
    </row>
    <row r="11" spans="2:15" x14ac:dyDescent="0.25">
      <c r="B11">
        <v>1981</v>
      </c>
      <c r="D11" s="26">
        <f>'Table 3.4-4'!G7</f>
        <v>20.092761538461534</v>
      </c>
      <c r="E11" s="32">
        <f>($E$5-$D11)*$E$7</f>
        <v>8.1544582172637377</v>
      </c>
      <c r="F11" s="26">
        <f>E11</f>
        <v>8.1544582172637377</v>
      </c>
      <c r="H11" s="19">
        <f>IF(E11&gt;$E$4,$E$4-(E11),IF(E11&lt;-$E$4,(-$E$4)-(E11),0))</f>
        <v>-0.15445821726373765</v>
      </c>
      <c r="I11" s="26">
        <f>E11+H11</f>
        <v>8</v>
      </c>
      <c r="K11" s="26">
        <f>($E$5-$D11)*$K$6</f>
        <v>4.9034203714450566</v>
      </c>
      <c r="L11" s="26">
        <f>K11</f>
        <v>4.9034203714450566</v>
      </c>
      <c r="O11" s="26">
        <f>K11</f>
        <v>4.9034203714450566</v>
      </c>
    </row>
    <row r="12" spans="2:15" x14ac:dyDescent="0.25">
      <c r="B12">
        <v>1982</v>
      </c>
      <c r="D12" s="26">
        <f>'Table 3.4-4'!G8</f>
        <v>51.767700000000005</v>
      </c>
      <c r="E12" s="36">
        <f>($E$5-$D12)*$E$7</f>
        <v>-0.18650332781318729</v>
      </c>
      <c r="F12" s="26">
        <f>F11+E12</f>
        <v>7.9679548894505503</v>
      </c>
      <c r="H12" s="19"/>
      <c r="I12" s="26">
        <f>I11+E12+H12</f>
        <v>7.8134966721868127</v>
      </c>
      <c r="K12" s="26">
        <f t="shared" ref="K12:K45" si="0">($E$5-$D12)*$K$6</f>
        <v>-0.11214775924725304</v>
      </c>
      <c r="L12" s="26">
        <f>L11+K12</f>
        <v>4.7912726121978038</v>
      </c>
      <c r="N12" s="19"/>
      <c r="O12" s="26">
        <f>O11+K12+N12</f>
        <v>4.7912726121978038</v>
      </c>
    </row>
    <row r="13" spans="2:15" x14ac:dyDescent="0.25">
      <c r="B13">
        <v>1983</v>
      </c>
      <c r="D13" s="26">
        <f>'Table 3.4-4'!G9</f>
        <v>52.716769230769252</v>
      </c>
      <c r="E13" s="36">
        <f>($E$5-$D13)*$E$7</f>
        <v>-0.4364217283516531</v>
      </c>
      <c r="F13" s="26">
        <f t="shared" ref="F13:F45" si="1">F12+E13</f>
        <v>7.5315331610988974</v>
      </c>
      <c r="H13" s="19"/>
      <c r="I13" s="26">
        <f t="shared" ref="I13:I30" si="2">I12+E13+H13</f>
        <v>7.3770749438351597</v>
      </c>
      <c r="K13" s="26">
        <f t="shared" si="0"/>
        <v>-0.26242812659340947</v>
      </c>
      <c r="L13" s="26">
        <f t="shared" ref="L13:L45" si="3">L12+K13</f>
        <v>4.5288444856043943</v>
      </c>
      <c r="N13" s="19"/>
      <c r="O13" s="26">
        <f t="shared" ref="O13:O25" si="4">O12+K13+N13</f>
        <v>4.5288444856043943</v>
      </c>
    </row>
    <row r="14" spans="2:15" x14ac:dyDescent="0.25">
      <c r="B14">
        <v>1984</v>
      </c>
      <c r="D14" s="26">
        <f>'Table 3.4-4'!G10</f>
        <v>85.495176923076897</v>
      </c>
      <c r="E14" s="36">
        <f>($E$5-$D14)*$E$7</f>
        <v>-9.0679598259670264</v>
      </c>
      <c r="F14" s="26">
        <f t="shared" si="1"/>
        <v>-1.5364266648681291</v>
      </c>
      <c r="H14" s="19"/>
      <c r="I14" s="26">
        <f t="shared" si="2"/>
        <v>-1.6908848821318667</v>
      </c>
      <c r="K14" s="26">
        <f t="shared" si="0"/>
        <v>-5.452725092631864</v>
      </c>
      <c r="L14" s="26">
        <f t="shared" si="3"/>
        <v>-0.92388060702746966</v>
      </c>
      <c r="N14" s="19"/>
      <c r="O14" s="26">
        <f t="shared" si="4"/>
        <v>-0.92388060702746966</v>
      </c>
    </row>
    <row r="15" spans="2:15" x14ac:dyDescent="0.25">
      <c r="B15">
        <v>1985</v>
      </c>
      <c r="D15" s="26">
        <f>'Table 3.4-4'!G11</f>
        <v>66.478815384615388</v>
      </c>
      <c r="E15" s="36">
        <f>($E$5-$D15)*$E$7</f>
        <v>-4.0603813420439563</v>
      </c>
      <c r="F15" s="26">
        <f t="shared" si="1"/>
        <v>-5.5968080069120854</v>
      </c>
      <c r="H15" s="19"/>
      <c r="I15" s="26">
        <f>I14+E15+H15</f>
        <v>-5.751266224175823</v>
      </c>
      <c r="K15" s="26">
        <f t="shared" si="0"/>
        <v>-2.4415793248241759</v>
      </c>
      <c r="L15" s="26">
        <f t="shared" si="3"/>
        <v>-3.3654599318516456</v>
      </c>
      <c r="N15" s="19"/>
      <c r="O15" s="26">
        <f t="shared" si="4"/>
        <v>-3.3654599318516456</v>
      </c>
    </row>
    <row r="16" spans="2:15" x14ac:dyDescent="0.25">
      <c r="B16">
        <v>1986</v>
      </c>
      <c r="D16" s="26">
        <f>'Table 3.4-4'!G12</f>
        <v>59.192184615384612</v>
      </c>
      <c r="E16" s="36">
        <f t="shared" ref="E16:E45" si="5">($E$5-$D16)*$E$7</f>
        <v>-2.1415928615824158</v>
      </c>
      <c r="F16" s="26">
        <f t="shared" si="1"/>
        <v>-7.7384008684945016</v>
      </c>
      <c r="H16" s="19"/>
      <c r="I16" s="26">
        <f t="shared" si="2"/>
        <v>-7.8928590857582392</v>
      </c>
      <c r="K16" s="26">
        <f>($E$5-$D16)*$K$6</f>
        <v>-1.2877777756703288</v>
      </c>
      <c r="L16" s="26">
        <f t="shared" si="3"/>
        <v>-4.6532377075219742</v>
      </c>
      <c r="N16" s="19"/>
      <c r="O16" s="26">
        <f t="shared" si="4"/>
        <v>-4.6532377075219742</v>
      </c>
    </row>
    <row r="17" spans="2:17" x14ac:dyDescent="0.25">
      <c r="B17">
        <v>1987</v>
      </c>
      <c r="D17" s="26">
        <f>'Table 3.4-4'!G13</f>
        <v>46.014115384615387</v>
      </c>
      <c r="E17" s="32">
        <f t="shared" si="5"/>
        <v>1.3285881089560443</v>
      </c>
      <c r="F17" s="26">
        <f t="shared" si="1"/>
        <v>-6.4098127595384575</v>
      </c>
      <c r="H17" s="19"/>
      <c r="I17" s="26">
        <f t="shared" si="2"/>
        <v>-6.5642709768021952</v>
      </c>
      <c r="K17" s="26">
        <f t="shared" si="0"/>
        <v>0.79890359667582433</v>
      </c>
      <c r="L17" s="26">
        <f t="shared" si="3"/>
        <v>-3.8543341108461497</v>
      </c>
      <c r="N17" s="19"/>
      <c r="O17" s="26">
        <f t="shared" si="4"/>
        <v>-3.8543341108461497</v>
      </c>
    </row>
    <row r="18" spans="2:17" x14ac:dyDescent="0.25">
      <c r="B18">
        <v>1988</v>
      </c>
      <c r="D18" s="26">
        <f>'Table 3.4-4'!G14</f>
        <v>46.73473846153847</v>
      </c>
      <c r="E18" s="32">
        <f t="shared" si="5"/>
        <v>1.1388264341098888</v>
      </c>
      <c r="F18" s="26">
        <f t="shared" si="1"/>
        <v>-5.2709863254285683</v>
      </c>
      <c r="H18" s="19"/>
      <c r="I18" s="26">
        <f t="shared" si="2"/>
        <v>-5.4254445426923059</v>
      </c>
      <c r="K18" s="26">
        <f t="shared" si="0"/>
        <v>0.68479653556043885</v>
      </c>
      <c r="L18" s="26">
        <f t="shared" si="3"/>
        <v>-3.1695375752857107</v>
      </c>
      <c r="N18" s="19"/>
      <c r="O18" s="26">
        <f t="shared" si="4"/>
        <v>-3.1695375752857107</v>
      </c>
    </row>
    <row r="19" spans="2:17" x14ac:dyDescent="0.25">
      <c r="B19">
        <v>1989</v>
      </c>
      <c r="D19" s="26">
        <f>'Table 3.4-4'!G15</f>
        <v>21.779892307692315</v>
      </c>
      <c r="E19" s="32">
        <f t="shared" si="5"/>
        <v>7.7101860718021973</v>
      </c>
      <c r="F19" s="26">
        <f t="shared" si="1"/>
        <v>2.439199746373629</v>
      </c>
      <c r="H19" s="19"/>
      <c r="I19" s="26">
        <f t="shared" si="2"/>
        <v>2.2847415291098914</v>
      </c>
      <c r="K19" s="26">
        <f t="shared" si="0"/>
        <v>4.6362716497912082</v>
      </c>
      <c r="L19" s="26">
        <f t="shared" si="3"/>
        <v>1.4667340745054975</v>
      </c>
      <c r="N19" s="19"/>
      <c r="O19" s="26">
        <f t="shared" si="4"/>
        <v>1.4667340745054975</v>
      </c>
    </row>
    <row r="20" spans="2:17" x14ac:dyDescent="0.25">
      <c r="B20">
        <v>1990</v>
      </c>
      <c r="D20" s="26">
        <f>'Table 3.4-4'!G16</f>
        <v>33.516023076923091</v>
      </c>
      <c r="E20" s="32">
        <f t="shared" si="5"/>
        <v>4.6197107563406563</v>
      </c>
      <c r="F20" s="26">
        <f t="shared" si="1"/>
        <v>7.0589105027142853</v>
      </c>
      <c r="H20" s="19"/>
      <c r="I20" s="26">
        <f t="shared" si="2"/>
        <v>6.9044522854505477</v>
      </c>
      <c r="K20" s="26">
        <f t="shared" si="0"/>
        <v>2.7779140231373614</v>
      </c>
      <c r="L20" s="26">
        <f t="shared" si="3"/>
        <v>4.2446480976428589</v>
      </c>
      <c r="N20" s="19"/>
      <c r="O20" s="26">
        <f t="shared" si="4"/>
        <v>4.2446480976428589</v>
      </c>
    </row>
    <row r="21" spans="2:17" x14ac:dyDescent="0.25">
      <c r="B21">
        <v>1991</v>
      </c>
      <c r="D21" s="26">
        <f>'Table 3.4-4'!G17</f>
        <v>16.000392307692309</v>
      </c>
      <c r="E21" s="32">
        <f t="shared" si="5"/>
        <v>9.2321018068021985</v>
      </c>
      <c r="F21" s="26">
        <f t="shared" si="1"/>
        <v>16.291012309516482</v>
      </c>
      <c r="H21" s="19">
        <f t="shared" ref="H21:H45" si="6">IF(I20+E21&gt;$E$4,$E$4-(I20+E21),IF(I20+E21&lt;-$E$4,(-$E$4)-(I20+E21),0))</f>
        <v>-8.1365540922527444</v>
      </c>
      <c r="I21" s="26">
        <f t="shared" si="2"/>
        <v>8</v>
      </c>
      <c r="K21" s="26">
        <f t="shared" si="0"/>
        <v>5.5514265772912097</v>
      </c>
      <c r="L21" s="26">
        <f t="shared" si="3"/>
        <v>9.7960746749340686</v>
      </c>
      <c r="N21" s="19">
        <f t="shared" ref="N21:N45" si="7">IF(O20+K21&gt;$E$4,$E$4-(O20+K21),IF(O20+K21&lt;-$E$4,(-$E$4)-(O20+K21),0))</f>
        <v>-1.7960746749340686</v>
      </c>
      <c r="O21" s="26">
        <f t="shared" si="4"/>
        <v>8</v>
      </c>
    </row>
    <row r="22" spans="2:17" x14ac:dyDescent="0.25">
      <c r="B22">
        <v>1992</v>
      </c>
      <c r="D22" s="26">
        <f>'Table 3.4-4'!G18</f>
        <v>5.7728230769230757</v>
      </c>
      <c r="E22" s="32">
        <f t="shared" si="5"/>
        <v>11.925327612340661</v>
      </c>
      <c r="F22" s="26">
        <f t="shared" si="1"/>
        <v>28.216339921857141</v>
      </c>
      <c r="H22" s="19">
        <f t="shared" si="6"/>
        <v>-11.925327612340659</v>
      </c>
      <c r="I22" s="26">
        <f t="shared" si="2"/>
        <v>8</v>
      </c>
      <c r="K22" s="26">
        <f t="shared" si="0"/>
        <v>7.1709110271373637</v>
      </c>
      <c r="L22" s="26">
        <f t="shared" si="3"/>
        <v>16.966985702071433</v>
      </c>
      <c r="N22" s="19">
        <f t="shared" si="7"/>
        <v>-7.1709110271373646</v>
      </c>
      <c r="O22" s="26">
        <f t="shared" si="4"/>
        <v>8</v>
      </c>
    </row>
    <row r="23" spans="2:17" x14ac:dyDescent="0.25">
      <c r="B23">
        <v>1993</v>
      </c>
      <c r="D23" s="26">
        <f>'Table 3.4-4'!G19</f>
        <v>12.642915384615382</v>
      </c>
      <c r="E23" s="32">
        <f t="shared" si="5"/>
        <v>10.116226204956044</v>
      </c>
      <c r="F23" s="26">
        <f t="shared" si="1"/>
        <v>38.332566126813184</v>
      </c>
      <c r="H23" s="19">
        <f t="shared" si="6"/>
        <v>-10.116226204956043</v>
      </c>
      <c r="I23" s="26">
        <f t="shared" si="2"/>
        <v>8</v>
      </c>
      <c r="K23" s="26">
        <f t="shared" si="0"/>
        <v>6.0830662606758255</v>
      </c>
      <c r="L23" s="26">
        <f t="shared" si="3"/>
        <v>23.050051962747258</v>
      </c>
      <c r="N23" s="19">
        <f t="shared" si="7"/>
        <v>-6.0830662606758246</v>
      </c>
      <c r="O23" s="26">
        <f t="shared" si="4"/>
        <v>8</v>
      </c>
    </row>
    <row r="24" spans="2:17" x14ac:dyDescent="0.25">
      <c r="B24">
        <v>1994</v>
      </c>
      <c r="D24" s="26">
        <f>'Table 3.4-4'!G20</f>
        <v>50.524699999999996</v>
      </c>
      <c r="E24" s="32">
        <f>($E$5-$D24)*$E$7</f>
        <v>0.14081586218681516</v>
      </c>
      <c r="F24" s="26">
        <f t="shared" si="1"/>
        <v>38.473381988999996</v>
      </c>
      <c r="H24" s="19">
        <f t="shared" si="6"/>
        <v>-0.1408158621868143</v>
      </c>
      <c r="I24" s="26">
        <f t="shared" si="2"/>
        <v>8</v>
      </c>
      <c r="K24" s="26">
        <f t="shared" si="0"/>
        <v>8.4675075752748435E-2</v>
      </c>
      <c r="L24" s="26">
        <f t="shared" si="3"/>
        <v>23.134727038500007</v>
      </c>
      <c r="N24" s="19">
        <f t="shared" si="7"/>
        <v>-8.4675075752748796E-2</v>
      </c>
      <c r="O24" s="26">
        <f t="shared" si="4"/>
        <v>8</v>
      </c>
    </row>
    <row r="25" spans="2:17" x14ac:dyDescent="0.25">
      <c r="B25">
        <v>1995</v>
      </c>
      <c r="D25" s="26">
        <f>'Table 3.4-4'!G21</f>
        <v>113.07503846153848</v>
      </c>
      <c r="E25" s="36">
        <f t="shared" si="5"/>
        <v>-16.330564764890116</v>
      </c>
      <c r="F25" s="26">
        <f t="shared" si="1"/>
        <v>22.14281722410988</v>
      </c>
      <c r="H25" s="19">
        <f t="shared" si="6"/>
        <v>0.33056476489011644</v>
      </c>
      <c r="I25" s="26">
        <f t="shared" si="2"/>
        <v>-8</v>
      </c>
      <c r="K25" s="26">
        <f t="shared" si="0"/>
        <v>-9.8198582679395638</v>
      </c>
      <c r="L25" s="26">
        <f t="shared" si="3"/>
        <v>13.314868770560443</v>
      </c>
      <c r="N25" s="19"/>
      <c r="O25" s="26">
        <f t="shared" si="4"/>
        <v>-1.8198582679395638</v>
      </c>
    </row>
    <row r="26" spans="2:17" x14ac:dyDescent="0.25">
      <c r="B26">
        <v>1996</v>
      </c>
      <c r="D26" s="26">
        <f>'Table 3.4-4'!G22</f>
        <v>120.36643846153849</v>
      </c>
      <c r="E26" s="36">
        <f t="shared" si="5"/>
        <v>-18.250609126890119</v>
      </c>
      <c r="F26" s="26">
        <f t="shared" si="1"/>
        <v>3.8922080972197612</v>
      </c>
      <c r="H26" s="19">
        <f t="shared" si="6"/>
        <v>18.250609126890119</v>
      </c>
      <c r="I26" s="26">
        <f t="shared" si="2"/>
        <v>-8</v>
      </c>
      <c r="K26" s="26">
        <f t="shared" si="0"/>
        <v>-10.974415000939567</v>
      </c>
      <c r="L26" s="26">
        <f t="shared" si="3"/>
        <v>2.3404537696208756</v>
      </c>
      <c r="N26" s="19">
        <f t="shared" si="7"/>
        <v>4.794273268879131</v>
      </c>
      <c r="O26" s="26">
        <f>O25+K26+N26</f>
        <v>-8</v>
      </c>
    </row>
    <row r="27" spans="2:17" x14ac:dyDescent="0.25">
      <c r="B27">
        <v>1997</v>
      </c>
      <c r="D27" s="26">
        <f>'Table 3.4-4'!G23</f>
        <v>101.60387692307692</v>
      </c>
      <c r="E27" s="36">
        <f t="shared" si="5"/>
        <v>-13.309863796967033</v>
      </c>
      <c r="F27" s="26">
        <f t="shared" si="1"/>
        <v>-9.4176556997472716</v>
      </c>
      <c r="H27" s="19">
        <f t="shared" si="6"/>
        <v>13.309863796967033</v>
      </c>
      <c r="I27" s="26">
        <f t="shared" si="2"/>
        <v>-8</v>
      </c>
      <c r="K27" s="26">
        <f t="shared" si="0"/>
        <v>-8.0034571941318688</v>
      </c>
      <c r="L27" s="26">
        <f t="shared" si="3"/>
        <v>-5.6630034245109933</v>
      </c>
      <c r="N27" s="19">
        <f t="shared" si="7"/>
        <v>8.0034571941318688</v>
      </c>
      <c r="O27" s="26">
        <f t="shared" ref="O27:O45" si="8">O26+K27+N27</f>
        <v>-8</v>
      </c>
    </row>
    <row r="28" spans="2:17" x14ac:dyDescent="0.25">
      <c r="B28">
        <v>1998</v>
      </c>
      <c r="D28" s="26">
        <f>'Table 3.4-4'!G24</f>
        <v>105.8979615384615</v>
      </c>
      <c r="E28" s="36">
        <f t="shared" si="5"/>
        <v>-14.440625098736254</v>
      </c>
      <c r="F28" s="26">
        <f t="shared" si="1"/>
        <v>-23.858280798483527</v>
      </c>
      <c r="H28" s="19">
        <f t="shared" si="6"/>
        <v>14.440625098736255</v>
      </c>
      <c r="I28" s="26">
        <f t="shared" si="2"/>
        <v>-8</v>
      </c>
      <c r="K28" s="26">
        <f t="shared" si="0"/>
        <v>-8.6834040225549387</v>
      </c>
      <c r="L28" s="26">
        <f t="shared" si="3"/>
        <v>-14.346407447065932</v>
      </c>
      <c r="N28" s="19">
        <f t="shared" si="7"/>
        <v>8.6834040225549387</v>
      </c>
      <c r="O28" s="26">
        <f t="shared" si="8"/>
        <v>-8</v>
      </c>
    </row>
    <row r="29" spans="2:17" x14ac:dyDescent="0.25">
      <c r="B29">
        <v>1999</v>
      </c>
      <c r="D29" s="26">
        <f>'Table 3.4-4'!G25</f>
        <v>125.5052923076923</v>
      </c>
      <c r="E29" s="36">
        <f t="shared" si="5"/>
        <v>-19.603823510197802</v>
      </c>
      <c r="F29" s="26">
        <f t="shared" si="1"/>
        <v>-43.462104308681333</v>
      </c>
      <c r="H29" s="19">
        <f t="shared" si="6"/>
        <v>19.603823510197802</v>
      </c>
      <c r="I29" s="26">
        <f>I28+E29+H29</f>
        <v>-8</v>
      </c>
      <c r="K29" s="26">
        <f t="shared" si="0"/>
        <v>-11.788126813208791</v>
      </c>
      <c r="L29" s="26">
        <f t="shared" si="3"/>
        <v>-26.134534260274723</v>
      </c>
      <c r="N29" s="19">
        <f t="shared" si="7"/>
        <v>11.788126813208791</v>
      </c>
      <c r="O29" s="26">
        <f t="shared" si="8"/>
        <v>-8</v>
      </c>
      <c r="Q29" s="26"/>
    </row>
    <row r="30" spans="2:17" x14ac:dyDescent="0.25">
      <c r="B30">
        <v>2000</v>
      </c>
      <c r="D30" s="26">
        <f>'Table 3.4-4'!G26</f>
        <v>59.799861538461535</v>
      </c>
      <c r="E30" s="36">
        <f t="shared" si="5"/>
        <v>-2.3016124257362622</v>
      </c>
      <c r="F30" s="26">
        <f t="shared" si="1"/>
        <v>-45.763716734417592</v>
      </c>
      <c r="H30" s="19">
        <f t="shared" si="6"/>
        <v>2.3016124257362627</v>
      </c>
      <c r="I30" s="26">
        <f t="shared" si="2"/>
        <v>-8</v>
      </c>
      <c r="K30" s="26">
        <f t="shared" si="0"/>
        <v>-1.3840003780549441</v>
      </c>
      <c r="L30" s="26">
        <f t="shared" si="3"/>
        <v>-27.518534638329669</v>
      </c>
      <c r="N30" s="19">
        <f t="shared" si="7"/>
        <v>1.3840003780549441</v>
      </c>
      <c r="O30" s="26">
        <f t="shared" si="8"/>
        <v>-8</v>
      </c>
    </row>
    <row r="31" spans="2:17" x14ac:dyDescent="0.25">
      <c r="B31">
        <v>2001</v>
      </c>
      <c r="D31" s="26">
        <f>'Table 3.4-4'!G27</f>
        <v>28.569453846153849</v>
      </c>
      <c r="E31" s="32">
        <f t="shared" si="5"/>
        <v>5.9222908318791214</v>
      </c>
      <c r="F31" s="26">
        <f t="shared" si="1"/>
        <v>-39.841425902538468</v>
      </c>
      <c r="H31" s="19"/>
      <c r="I31" s="26">
        <f>I30+E31+H31</f>
        <v>-2.0777091681208786</v>
      </c>
      <c r="K31" s="26">
        <f t="shared" si="0"/>
        <v>3.5611785279835169</v>
      </c>
      <c r="L31" s="26">
        <f t="shared" si="3"/>
        <v>-23.957356110346151</v>
      </c>
      <c r="N31" s="19"/>
      <c r="O31" s="26">
        <f t="shared" si="8"/>
        <v>-4.4388214720164836</v>
      </c>
    </row>
    <row r="32" spans="2:17" x14ac:dyDescent="0.25">
      <c r="B32">
        <v>2002</v>
      </c>
      <c r="D32" s="26">
        <f>'Table 3.4-4'!G28</f>
        <v>38.142684615384624</v>
      </c>
      <c r="E32" s="32">
        <f t="shared" si="5"/>
        <v>3.4013719734175809</v>
      </c>
      <c r="F32" s="26">
        <f t="shared" si="1"/>
        <v>-36.440053929120886</v>
      </c>
      <c r="H32" s="19"/>
      <c r="I32" s="26">
        <f t="shared" ref="I32:I45" si="9">I31+E32+H32</f>
        <v>1.3236628052967023</v>
      </c>
      <c r="K32" s="26">
        <f t="shared" si="0"/>
        <v>2.0453053018296696</v>
      </c>
      <c r="L32" s="26">
        <f t="shared" si="3"/>
        <v>-21.912050808516483</v>
      </c>
      <c r="N32" s="19"/>
      <c r="O32" s="26">
        <f t="shared" si="8"/>
        <v>-2.393516170186814</v>
      </c>
    </row>
    <row r="33" spans="2:18" x14ac:dyDescent="0.25">
      <c r="B33">
        <v>2003</v>
      </c>
      <c r="D33" s="26">
        <f>'Table 3.4-4'!G29</f>
        <v>65.39354615384616</v>
      </c>
      <c r="E33" s="36">
        <f t="shared" si="5"/>
        <v>-3.7745973955054954</v>
      </c>
      <c r="F33" s="26">
        <f t="shared" si="1"/>
        <v>-40.214651324626381</v>
      </c>
      <c r="H33" s="19"/>
      <c r="I33" s="26">
        <f t="shared" si="9"/>
        <v>-2.4509345902087931</v>
      </c>
      <c r="K33" s="26">
        <f t="shared" si="0"/>
        <v>-2.2697323684780226</v>
      </c>
      <c r="L33" s="26">
        <f t="shared" si="3"/>
        <v>-24.181783176994507</v>
      </c>
      <c r="N33" s="19"/>
      <c r="O33" s="26">
        <f t="shared" si="8"/>
        <v>-4.6632485386648366</v>
      </c>
    </row>
    <row r="34" spans="2:18" x14ac:dyDescent="0.25">
      <c r="B34">
        <v>2004</v>
      </c>
      <c r="D34" s="26">
        <f>'Table 3.4-4'!G30</f>
        <v>66.155007692307706</v>
      </c>
      <c r="E34" s="36">
        <f t="shared" si="5"/>
        <v>-3.9751130624285742</v>
      </c>
      <c r="F34" s="26">
        <f t="shared" si="1"/>
        <v>-44.189764387054957</v>
      </c>
      <c r="H34" s="19"/>
      <c r="I34" s="26">
        <f t="shared" si="9"/>
        <v>-6.4260476526373669</v>
      </c>
      <c r="K34" s="26">
        <f t="shared" si="0"/>
        <v>-2.3903059957857162</v>
      </c>
      <c r="L34" s="26">
        <f t="shared" si="3"/>
        <v>-26.572089172780224</v>
      </c>
      <c r="N34" s="19"/>
      <c r="O34" s="26">
        <f t="shared" si="8"/>
        <v>-7.0535545344505532</v>
      </c>
    </row>
    <row r="35" spans="2:18" x14ac:dyDescent="0.25">
      <c r="B35">
        <v>2005</v>
      </c>
      <c r="D35" s="26">
        <f>'Table 3.4-4'!G31</f>
        <v>64.042553846153851</v>
      </c>
      <c r="E35" s="36">
        <f t="shared" si="5"/>
        <v>-3.4188405911208797</v>
      </c>
      <c r="F35" s="26">
        <f t="shared" si="1"/>
        <v>-47.608604978175833</v>
      </c>
      <c r="H35" s="19">
        <f t="shared" si="6"/>
        <v>1.8448882437582466</v>
      </c>
      <c r="I35" s="26">
        <f t="shared" si="9"/>
        <v>-8</v>
      </c>
      <c r="K35" s="26">
        <f t="shared" si="0"/>
        <v>-2.055809491516484</v>
      </c>
      <c r="L35" s="26">
        <f t="shared" si="3"/>
        <v>-28.627898664296708</v>
      </c>
      <c r="N35" s="19">
        <f t="shared" si="7"/>
        <v>1.1093640259670376</v>
      </c>
      <c r="O35" s="26">
        <f t="shared" si="8"/>
        <v>-8</v>
      </c>
      <c r="Q35" s="19"/>
      <c r="R35" s="19"/>
    </row>
    <row r="36" spans="2:18" x14ac:dyDescent="0.25">
      <c r="B36">
        <v>2006</v>
      </c>
      <c r="D36" s="26">
        <f>'Table 3.4-4'!G32</f>
        <v>61.863823076923083</v>
      </c>
      <c r="E36" s="36">
        <f t="shared" si="5"/>
        <v>-2.8451154176593416</v>
      </c>
      <c r="F36" s="26">
        <f t="shared" si="1"/>
        <v>-50.453720395835177</v>
      </c>
      <c r="H36" s="19">
        <f t="shared" si="6"/>
        <v>2.8451154176593416</v>
      </c>
      <c r="I36" s="26">
        <f t="shared" si="9"/>
        <v>-8</v>
      </c>
      <c r="K36" s="26">
        <f t="shared" si="0"/>
        <v>-1.7108183678626381</v>
      </c>
      <c r="L36" s="26">
        <f t="shared" si="3"/>
        <v>-30.338717032159348</v>
      </c>
      <c r="N36" s="19">
        <f t="shared" si="7"/>
        <v>1.7108183678626379</v>
      </c>
      <c r="O36" s="26">
        <f t="shared" si="8"/>
        <v>-8</v>
      </c>
      <c r="Q36" s="19"/>
      <c r="R36" s="19"/>
    </row>
    <row r="37" spans="2:18" x14ac:dyDescent="0.25">
      <c r="B37">
        <v>2007</v>
      </c>
      <c r="D37" s="26">
        <f>'Table 3.4-4'!G33</f>
        <v>53.336176923076927</v>
      </c>
      <c r="E37" s="36">
        <f t="shared" si="5"/>
        <v>-0.59953035596703319</v>
      </c>
      <c r="F37" s="26">
        <f t="shared" si="1"/>
        <v>-51.05325075180221</v>
      </c>
      <c r="H37" s="19">
        <f t="shared" si="6"/>
        <v>0.5995303559670333</v>
      </c>
      <c r="I37" s="26">
        <f t="shared" si="9"/>
        <v>-8</v>
      </c>
      <c r="K37" s="26">
        <f>($E$5-$D37)*$K$6</f>
        <v>-0.36050823763186829</v>
      </c>
      <c r="L37" s="26">
        <f t="shared" si="3"/>
        <v>-30.699225269791217</v>
      </c>
      <c r="N37" s="19">
        <f t="shared" si="7"/>
        <v>0.36050823763186912</v>
      </c>
      <c r="O37" s="26">
        <f t="shared" si="8"/>
        <v>-8</v>
      </c>
    </row>
    <row r="38" spans="2:18" x14ac:dyDescent="0.25">
      <c r="B38">
        <v>2008</v>
      </c>
      <c r="D38" s="26">
        <f>'Table 3.4-4'!G34</f>
        <v>44.101561538461553</v>
      </c>
      <c r="E38" s="32">
        <f t="shared" si="5"/>
        <v>1.8322209132637333</v>
      </c>
      <c r="F38" s="26">
        <f t="shared" si="1"/>
        <v>-49.221029838538477</v>
      </c>
      <c r="H38" s="19"/>
      <c r="I38" s="26">
        <f t="shared" si="9"/>
        <v>-6.1677790867362665</v>
      </c>
      <c r="K38" s="26">
        <f t="shared" si="0"/>
        <v>1.1017469354450533</v>
      </c>
      <c r="L38" s="26">
        <f t="shared" si="3"/>
        <v>-29.597478334346164</v>
      </c>
      <c r="N38" s="19"/>
      <c r="O38" s="26">
        <f t="shared" si="8"/>
        <v>-6.8982530645549467</v>
      </c>
    </row>
    <row r="39" spans="2:18" x14ac:dyDescent="0.25">
      <c r="B39">
        <v>2009</v>
      </c>
      <c r="D39" s="26">
        <f>'Table 3.4-4'!G35</f>
        <v>28.609830769230758</v>
      </c>
      <c r="E39" s="32">
        <f t="shared" si="5"/>
        <v>5.9116583767252786</v>
      </c>
      <c r="F39" s="26">
        <f t="shared" si="1"/>
        <v>-43.3093714618132</v>
      </c>
      <c r="H39" s="19"/>
      <c r="I39" s="26">
        <f t="shared" si="9"/>
        <v>-0.25612071001098791</v>
      </c>
      <c r="K39" s="26">
        <f t="shared" si="0"/>
        <v>3.5547850440989035</v>
      </c>
      <c r="L39" s="26">
        <f t="shared" si="3"/>
        <v>-26.042693290247261</v>
      </c>
      <c r="N39" s="19"/>
      <c r="O39" s="26">
        <f t="shared" si="8"/>
        <v>-3.3434680204560432</v>
      </c>
    </row>
    <row r="40" spans="2:18" x14ac:dyDescent="0.25">
      <c r="B40">
        <v>2010</v>
      </c>
      <c r="D40" s="26">
        <f>'Table 3.4-4'!G36</f>
        <v>50.388476923076929</v>
      </c>
      <c r="E40" s="32">
        <f t="shared" si="5"/>
        <v>0.17668748503296622</v>
      </c>
      <c r="F40" s="26">
        <f t="shared" si="1"/>
        <v>-43.132683976780235</v>
      </c>
      <c r="H40" s="19"/>
      <c r="I40" s="26">
        <f t="shared" si="9"/>
        <v>-7.9433224978021688E-2</v>
      </c>
      <c r="K40" s="26">
        <f t="shared" si="0"/>
        <v>0.10624531886813138</v>
      </c>
      <c r="L40" s="26">
        <f t="shared" si="3"/>
        <v>-25.936447971379131</v>
      </c>
      <c r="N40" s="19"/>
      <c r="O40" s="26">
        <f t="shared" si="8"/>
        <v>-3.2372227015879118</v>
      </c>
    </row>
    <row r="41" spans="2:18" x14ac:dyDescent="0.25">
      <c r="B41">
        <v>2011</v>
      </c>
      <c r="D41" s="26">
        <f>'Table 3.4-4'!G37</f>
        <v>51.089961538461552</v>
      </c>
      <c r="E41" s="36">
        <f t="shared" si="5"/>
        <v>-8.0344587362663443E-3</v>
      </c>
      <c r="F41" s="26">
        <f t="shared" si="1"/>
        <v>-43.140718435516504</v>
      </c>
      <c r="H41" s="19"/>
      <c r="I41" s="26">
        <f t="shared" si="9"/>
        <v>-8.7467683714288036E-2</v>
      </c>
      <c r="K41" s="26">
        <f t="shared" si="0"/>
        <v>-4.8312625549466236E-3</v>
      </c>
      <c r="L41" s="26">
        <f t="shared" si="3"/>
        <v>-25.941279233934079</v>
      </c>
      <c r="N41" s="19"/>
      <c r="O41" s="26">
        <f t="shared" si="8"/>
        <v>-3.2420539641428583</v>
      </c>
    </row>
    <row r="42" spans="2:18" x14ac:dyDescent="0.25">
      <c r="B42">
        <v>2012</v>
      </c>
      <c r="D42" s="26">
        <f>'Table 3.4-4'!G38</f>
        <v>16.008769230769232</v>
      </c>
      <c r="E42" s="32">
        <f t="shared" si="5"/>
        <v>9.2298959116483523</v>
      </c>
      <c r="F42" s="26">
        <f t="shared" si="1"/>
        <v>-33.910822523868148</v>
      </c>
      <c r="H42" s="19">
        <f t="shared" si="6"/>
        <v>-1.1424282279340652</v>
      </c>
      <c r="I42" s="26">
        <f t="shared" si="9"/>
        <v>8</v>
      </c>
      <c r="K42" s="26">
        <f t="shared" si="0"/>
        <v>5.5501001334065938</v>
      </c>
      <c r="L42" s="26">
        <f t="shared" si="3"/>
        <v>-20.391179100527484</v>
      </c>
      <c r="N42" s="19"/>
      <c r="O42" s="26">
        <f t="shared" si="8"/>
        <v>2.3080461692637355</v>
      </c>
    </row>
    <row r="43" spans="2:18" x14ac:dyDescent="0.25">
      <c r="B43">
        <v>2013</v>
      </c>
      <c r="D43" s="26">
        <f>'Table 3.4-4'!G39</f>
        <v>6.2056307692307682</v>
      </c>
      <c r="E43" s="32">
        <f t="shared" si="5"/>
        <v>11.811356362725277</v>
      </c>
      <c r="F43" s="26">
        <f t="shared" si="1"/>
        <v>-22.099466161142871</v>
      </c>
      <c r="H43" s="19">
        <f t="shared" si="6"/>
        <v>-11.811356362725277</v>
      </c>
      <c r="I43" s="26">
        <f t="shared" si="9"/>
        <v>8</v>
      </c>
      <c r="K43" s="26">
        <f t="shared" si="0"/>
        <v>7.1023780930989027</v>
      </c>
      <c r="L43" s="26">
        <f t="shared" si="3"/>
        <v>-13.288801007428582</v>
      </c>
      <c r="N43" s="19">
        <f t="shared" si="7"/>
        <v>-1.4104242623626391</v>
      </c>
      <c r="O43" s="26">
        <f t="shared" si="8"/>
        <v>8</v>
      </c>
    </row>
    <row r="44" spans="2:18" x14ac:dyDescent="0.25">
      <c r="B44">
        <v>2014</v>
      </c>
      <c r="D44" s="26">
        <f>'Table 3.4-4'!G40</f>
        <v>6.8072307692307668</v>
      </c>
      <c r="E44" s="32">
        <f t="shared" si="5"/>
        <v>11.652937034725278</v>
      </c>
      <c r="F44" s="26">
        <f t="shared" si="1"/>
        <v>-10.446529126417593</v>
      </c>
      <c r="H44" s="19">
        <f t="shared" si="6"/>
        <v>-11.652937034725277</v>
      </c>
      <c r="I44" s="26">
        <f t="shared" si="9"/>
        <v>8</v>
      </c>
      <c r="K44" s="26">
        <f t="shared" si="0"/>
        <v>7.0071177410989032</v>
      </c>
      <c r="L44" s="26">
        <f t="shared" si="3"/>
        <v>-6.2816832663296784</v>
      </c>
      <c r="N44" s="19">
        <f t="shared" si="7"/>
        <v>-7.0071177410989023</v>
      </c>
      <c r="O44" s="26">
        <f t="shared" si="8"/>
        <v>8</v>
      </c>
    </row>
    <row r="45" spans="2:18" x14ac:dyDescent="0.25">
      <c r="B45">
        <v>2015</v>
      </c>
      <c r="D45" s="26">
        <f>'Table 3.4-4'!G41</f>
        <v>11.388584615384616</v>
      </c>
      <c r="E45" s="32">
        <f t="shared" si="5"/>
        <v>10.446529126417584</v>
      </c>
      <c r="F45" s="26">
        <f t="shared" si="1"/>
        <v>0</v>
      </c>
      <c r="H45" s="19">
        <f t="shared" si="6"/>
        <v>-10.446529126417584</v>
      </c>
      <c r="I45" s="26">
        <f t="shared" si="9"/>
        <v>8</v>
      </c>
      <c r="K45" s="26">
        <f t="shared" si="0"/>
        <v>6.2816832663296713</v>
      </c>
      <c r="L45" s="26">
        <f t="shared" si="3"/>
        <v>-7.1054273576010019E-15</v>
      </c>
      <c r="N45" s="19">
        <f t="shared" si="7"/>
        <v>-6.2816832663296722</v>
      </c>
      <c r="O45" s="26">
        <f t="shared" si="8"/>
        <v>8</v>
      </c>
    </row>
    <row r="46" spans="2:18" ht="9" customHeight="1" x14ac:dyDescent="0.25">
      <c r="D46" s="26"/>
    </row>
    <row r="47" spans="2:18" x14ac:dyDescent="0.25">
      <c r="B47" t="s">
        <v>49</v>
      </c>
      <c r="D47" s="27">
        <f>AVERAGE(D11:D45)</f>
        <v>51.059450549450553</v>
      </c>
      <c r="K47" s="27"/>
    </row>
    <row r="48" spans="2:18" x14ac:dyDescent="0.25">
      <c r="D48" s="26"/>
      <c r="G48" t="s">
        <v>26</v>
      </c>
      <c r="H48" s="26">
        <f>SUM(H11:H45)</f>
        <v>8.0000000000000249</v>
      </c>
      <c r="M48" t="s">
        <v>26</v>
      </c>
      <c r="N48" s="26">
        <f>SUM(N11:N45)</f>
        <v>8</v>
      </c>
    </row>
    <row r="49" spans="2:14" x14ac:dyDescent="0.25">
      <c r="D49" s="26"/>
    </row>
    <row r="50" spans="2:14" x14ac:dyDescent="0.25">
      <c r="D50" s="26"/>
    </row>
    <row r="51" spans="2:14" x14ac:dyDescent="0.25">
      <c r="B51" s="17" t="s">
        <v>27</v>
      </c>
    </row>
    <row r="52" spans="2:14" x14ac:dyDescent="0.25">
      <c r="C52" t="s">
        <v>28</v>
      </c>
      <c r="H52">
        <f>COUNTBLANK(H11:H45)</f>
        <v>17</v>
      </c>
      <c r="N52">
        <f>COUNTBLANK(N11:N45)</f>
        <v>20</v>
      </c>
    </row>
    <row r="53" spans="2:14" x14ac:dyDescent="0.25">
      <c r="C53" t="s">
        <v>29</v>
      </c>
      <c r="H53">
        <f>COUNTIF(H11:H45,"&lt;0")</f>
        <v>9</v>
      </c>
      <c r="N53">
        <f>COUNTIF(N11:N45,"&lt;0")</f>
        <v>7</v>
      </c>
    </row>
    <row r="54" spans="2:14" x14ac:dyDescent="0.25">
      <c r="C54" t="s">
        <v>30</v>
      </c>
      <c r="H54">
        <f>COUNTIF(H11:H45,H58)</f>
        <v>1</v>
      </c>
      <c r="N54">
        <f>COUNTIF(N11:N45,N58)</f>
        <v>1</v>
      </c>
    </row>
    <row r="55" spans="2:14" x14ac:dyDescent="0.25">
      <c r="C55" t="s">
        <v>31</v>
      </c>
      <c r="H55">
        <f>COUNTIF(H11:H45,"&gt;0")</f>
        <v>9</v>
      </c>
      <c r="N55">
        <f>COUNTIF(N11:N45,"&gt;0")</f>
        <v>8</v>
      </c>
    </row>
    <row r="57" spans="2:14" x14ac:dyDescent="0.25">
      <c r="B57" s="17" t="s">
        <v>32</v>
      </c>
    </row>
    <row r="58" spans="2:14" x14ac:dyDescent="0.25">
      <c r="C58" t="s">
        <v>33</v>
      </c>
      <c r="H58" s="28">
        <f>MIN(H11:H45)</f>
        <v>-11.925327612340659</v>
      </c>
      <c r="N58" s="28">
        <f>MIN(N11:N45)</f>
        <v>-7.1709110271373646</v>
      </c>
    </row>
    <row r="59" spans="2:14" x14ac:dyDescent="0.25">
      <c r="C59" t="s">
        <v>34</v>
      </c>
      <c r="H59" s="28">
        <f>MAX(H11:H45)</f>
        <v>19.603823510197802</v>
      </c>
      <c r="N59" s="28">
        <f>MAX(N11:N45)</f>
        <v>11.788126813208791</v>
      </c>
    </row>
    <row r="60" spans="2:14" x14ac:dyDescent="0.25">
      <c r="C60" t="s">
        <v>35</v>
      </c>
      <c r="H60" s="28">
        <f>H64/H55</f>
        <v>8.1696258600891341</v>
      </c>
      <c r="N60" s="28">
        <f>N64/N55</f>
        <v>4.7292440385364021</v>
      </c>
    </row>
    <row r="61" spans="2:14" x14ac:dyDescent="0.25">
      <c r="C61" t="s">
        <v>36</v>
      </c>
      <c r="H61" s="26">
        <f>H48</f>
        <v>8.0000000000000249</v>
      </c>
      <c r="N61" s="26">
        <f>N48</f>
        <v>8</v>
      </c>
    </row>
    <row r="64" spans="2:14" x14ac:dyDescent="0.25">
      <c r="B64" s="17" t="s">
        <v>37</v>
      </c>
      <c r="H64">
        <f>SUMIF(H11:H45,"&gt;0")</f>
        <v>73.526632740802214</v>
      </c>
      <c r="N64">
        <f>SUMIF(N11:N45,"&gt;0")</f>
        <v>37.833952308291217</v>
      </c>
    </row>
  </sheetData>
  <mergeCells count="6">
    <mergeCell ref="E8:I8"/>
    <mergeCell ref="K8:O8"/>
    <mergeCell ref="E9:F9"/>
    <mergeCell ref="H9:I9"/>
    <mergeCell ref="K9:L9"/>
    <mergeCell ref="N9:O9"/>
  </mergeCells>
  <pageMargins left="0.7" right="0.7" top="0.75" bottom="0.75" header="0.3" footer="0.3"/>
  <pageSetup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4"/>
  <sheetViews>
    <sheetView showGridLines="0"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2.140625" customWidth="1"/>
    <col min="2" max="2" width="6.7109375" customWidth="1"/>
    <col min="3" max="3" width="2.5703125" customWidth="1"/>
    <col min="4" max="4" width="11.5703125" customWidth="1"/>
    <col min="7" max="7" width="4.7109375" customWidth="1"/>
    <col min="9" max="9" width="6.42578125" customWidth="1"/>
    <col min="10" max="10" width="4" customWidth="1"/>
    <col min="13" max="13" width="4.42578125" customWidth="1"/>
    <col min="14" max="14" width="7.28515625" customWidth="1"/>
    <col min="15" max="15" width="9" customWidth="1"/>
    <col min="16" max="16" width="3.42578125" customWidth="1"/>
  </cols>
  <sheetData>
    <row r="2" spans="2:15" x14ac:dyDescent="0.25">
      <c r="B2" s="17" t="s">
        <v>61</v>
      </c>
    </row>
    <row r="3" spans="2:15" x14ac:dyDescent="0.25">
      <c r="B3" s="17" t="s">
        <v>56</v>
      </c>
    </row>
    <row r="4" spans="2:15" x14ac:dyDescent="0.25">
      <c r="C4" s="17" t="s">
        <v>9</v>
      </c>
      <c r="D4" s="17"/>
      <c r="E4" s="18">
        <v>16</v>
      </c>
      <c r="F4" s="17" t="s">
        <v>10</v>
      </c>
      <c r="K4" s="19"/>
    </row>
    <row r="5" spans="2:15" x14ac:dyDescent="0.25">
      <c r="B5" t="s">
        <v>11</v>
      </c>
      <c r="E5" s="20">
        <f>D47</f>
        <v>51.059450549450553</v>
      </c>
      <c r="F5" t="s">
        <v>12</v>
      </c>
      <c r="K5" s="20"/>
    </row>
    <row r="6" spans="2:15" x14ac:dyDescent="0.25">
      <c r="B6" t="s">
        <v>13</v>
      </c>
      <c r="E6" s="21">
        <v>0.14668</v>
      </c>
      <c r="F6" t="s">
        <v>14</v>
      </c>
      <c r="J6" s="22" t="s">
        <v>15</v>
      </c>
      <c r="K6" s="21">
        <f>E6*L6+E7*(1-L6)</f>
        <v>0.15834500000000001</v>
      </c>
      <c r="L6" s="23">
        <v>0.9</v>
      </c>
      <c r="M6" t="s">
        <v>16</v>
      </c>
    </row>
    <row r="7" spans="2:15" x14ac:dyDescent="0.25">
      <c r="B7" t="s">
        <v>17</v>
      </c>
      <c r="E7" s="21">
        <v>0.26333000000000001</v>
      </c>
      <c r="F7" t="s">
        <v>14</v>
      </c>
    </row>
    <row r="8" spans="2:15" x14ac:dyDescent="0.25">
      <c r="E8" s="40" t="s">
        <v>18</v>
      </c>
      <c r="F8" s="43"/>
      <c r="G8" s="43"/>
      <c r="H8" s="43"/>
      <c r="I8" s="41"/>
      <c r="K8" s="40" t="s">
        <v>19</v>
      </c>
      <c r="L8" s="43"/>
      <c r="M8" s="43"/>
      <c r="N8" s="43"/>
      <c r="O8" s="41"/>
    </row>
    <row r="9" spans="2:15" ht="34.9" customHeight="1" x14ac:dyDescent="0.25">
      <c r="E9" s="39" t="s">
        <v>20</v>
      </c>
      <c r="F9" s="39"/>
      <c r="H9" s="39" t="s">
        <v>21</v>
      </c>
      <c r="I9" s="39"/>
      <c r="K9" s="39" t="s">
        <v>20</v>
      </c>
      <c r="L9" s="39"/>
      <c r="N9" s="39" t="s">
        <v>21</v>
      </c>
      <c r="O9" s="39"/>
    </row>
    <row r="10" spans="2:15" ht="29.1" customHeight="1" x14ac:dyDescent="0.25">
      <c r="B10" s="24" t="s">
        <v>2</v>
      </c>
      <c r="D10" s="24" t="s">
        <v>22</v>
      </c>
      <c r="E10" s="24" t="s">
        <v>23</v>
      </c>
      <c r="F10" s="24" t="s">
        <v>24</v>
      </c>
      <c r="H10" s="24" t="s">
        <v>25</v>
      </c>
      <c r="I10" s="25" t="s">
        <v>24</v>
      </c>
      <c r="K10" s="24" t="s">
        <v>23</v>
      </c>
      <c r="L10" s="24" t="s">
        <v>24</v>
      </c>
      <c r="N10" s="24" t="s">
        <v>25</v>
      </c>
      <c r="O10" s="25" t="s">
        <v>24</v>
      </c>
    </row>
    <row r="11" spans="2:15" x14ac:dyDescent="0.25">
      <c r="B11">
        <v>1981</v>
      </c>
      <c r="D11" s="26">
        <f>'Table 3.4-8A -490 GWh $8 M '!D11</f>
        <v>20.092761538461534</v>
      </c>
      <c r="E11" s="32">
        <f>($E$5-$D11)*$E$7</f>
        <v>8.1544582172637377</v>
      </c>
      <c r="F11" s="26">
        <f>E11</f>
        <v>8.1544582172637377</v>
      </c>
      <c r="I11" s="26">
        <f>E11</f>
        <v>8.1544582172637377</v>
      </c>
      <c r="K11" s="26">
        <f>($E$5-$D11)*$K$6</f>
        <v>4.9034203714450566</v>
      </c>
      <c r="L11" s="26">
        <f>K11</f>
        <v>4.9034203714450566</v>
      </c>
      <c r="O11" s="26">
        <f>K11</f>
        <v>4.9034203714450566</v>
      </c>
    </row>
    <row r="12" spans="2:15" x14ac:dyDescent="0.25">
      <c r="B12">
        <v>1982</v>
      </c>
      <c r="D12" s="26">
        <f>'Table 3.4-8A -490 GWh $8 M '!D12</f>
        <v>51.767700000000005</v>
      </c>
      <c r="E12" s="36">
        <f>($E$5-$D12)*$E$7</f>
        <v>-0.18650332781318729</v>
      </c>
      <c r="F12" s="26">
        <f>F11+E12</f>
        <v>7.9679548894505503</v>
      </c>
      <c r="H12" s="19"/>
      <c r="I12" s="26">
        <f>I11+E12+H12</f>
        <v>7.9679548894505503</v>
      </c>
      <c r="K12" s="26">
        <f t="shared" ref="K12:K45" si="0">($E$5-$D12)*$K$6</f>
        <v>-0.11214775924725304</v>
      </c>
      <c r="L12" s="26">
        <f>L11+K12</f>
        <v>4.7912726121978038</v>
      </c>
      <c r="M12" s="19"/>
      <c r="N12" s="19"/>
      <c r="O12" s="26">
        <f>O11+K12+N12</f>
        <v>4.7912726121978038</v>
      </c>
    </row>
    <row r="13" spans="2:15" x14ac:dyDescent="0.25">
      <c r="B13">
        <v>1983</v>
      </c>
      <c r="D13" s="26">
        <f>'Table 3.4-8A -490 GWh $8 M '!D13</f>
        <v>52.716769230769252</v>
      </c>
      <c r="E13" s="36">
        <f>($E$5-$D13)*$E$7</f>
        <v>-0.4364217283516531</v>
      </c>
      <c r="F13" s="26">
        <f t="shared" ref="F13:F45" si="1">F12+E13</f>
        <v>7.5315331610988974</v>
      </c>
      <c r="H13" s="19"/>
      <c r="I13" s="26">
        <f t="shared" ref="I13:I30" si="2">I12+E13+H13</f>
        <v>7.5315331610988974</v>
      </c>
      <c r="K13" s="26">
        <f t="shared" si="0"/>
        <v>-0.26242812659340947</v>
      </c>
      <c r="L13" s="26">
        <f t="shared" ref="L13:L45" si="3">L12+K13</f>
        <v>4.5288444856043943</v>
      </c>
      <c r="N13" s="19"/>
      <c r="O13" s="26">
        <f t="shared" ref="O13:O25" si="4">O12+K13+N13</f>
        <v>4.5288444856043943</v>
      </c>
    </row>
    <row r="14" spans="2:15" x14ac:dyDescent="0.25">
      <c r="B14">
        <v>1984</v>
      </c>
      <c r="D14" s="26">
        <f>'Table 3.4-8A -490 GWh $8 M '!D14</f>
        <v>85.495176923076897</v>
      </c>
      <c r="E14" s="36">
        <f>($E$5-$D14)*$E$7</f>
        <v>-9.0679598259670264</v>
      </c>
      <c r="F14" s="26">
        <f t="shared" si="1"/>
        <v>-1.5364266648681291</v>
      </c>
      <c r="H14" s="19"/>
      <c r="I14" s="26">
        <f t="shared" si="2"/>
        <v>-1.5364266648681291</v>
      </c>
      <c r="K14" s="26">
        <f t="shared" si="0"/>
        <v>-5.452725092631864</v>
      </c>
      <c r="L14" s="26">
        <f t="shared" si="3"/>
        <v>-0.92388060702746966</v>
      </c>
      <c r="N14" s="19"/>
      <c r="O14" s="26">
        <f t="shared" si="4"/>
        <v>-0.92388060702746966</v>
      </c>
    </row>
    <row r="15" spans="2:15" x14ac:dyDescent="0.25">
      <c r="B15">
        <v>1985</v>
      </c>
      <c r="D15" s="26">
        <f>'Table 3.4-8A -490 GWh $8 M '!D15</f>
        <v>66.478815384615388</v>
      </c>
      <c r="E15" s="36">
        <f>($E$5-$D15)*$E$7</f>
        <v>-4.0603813420439563</v>
      </c>
      <c r="F15" s="26">
        <f t="shared" si="1"/>
        <v>-5.5968080069120854</v>
      </c>
      <c r="H15" s="19"/>
      <c r="I15" s="26">
        <f>I14+E15+H15</f>
        <v>-5.5968080069120854</v>
      </c>
      <c r="K15" s="26">
        <f t="shared" si="0"/>
        <v>-2.4415793248241759</v>
      </c>
      <c r="L15" s="26">
        <f t="shared" si="3"/>
        <v>-3.3654599318516456</v>
      </c>
      <c r="N15" s="19"/>
      <c r="O15" s="26">
        <f t="shared" si="4"/>
        <v>-3.3654599318516456</v>
      </c>
    </row>
    <row r="16" spans="2:15" x14ac:dyDescent="0.25">
      <c r="B16">
        <v>1986</v>
      </c>
      <c r="D16" s="26">
        <f>'Table 3.4-8A -490 GWh $8 M '!D16</f>
        <v>59.192184615384612</v>
      </c>
      <c r="E16" s="36">
        <f t="shared" ref="E16:E45" si="5">($E$5-$D16)*$E$7</f>
        <v>-2.1415928615824158</v>
      </c>
      <c r="F16" s="26">
        <f t="shared" si="1"/>
        <v>-7.7384008684945016</v>
      </c>
      <c r="H16" s="19"/>
      <c r="I16" s="26">
        <f t="shared" si="2"/>
        <v>-7.7384008684945016</v>
      </c>
      <c r="K16" s="26">
        <f>($E$5-$D16)*$K$6</f>
        <v>-1.2877777756703288</v>
      </c>
      <c r="L16" s="26">
        <f t="shared" si="3"/>
        <v>-4.6532377075219742</v>
      </c>
      <c r="N16" s="19"/>
      <c r="O16" s="26">
        <f t="shared" si="4"/>
        <v>-4.6532377075219742</v>
      </c>
    </row>
    <row r="17" spans="2:17" x14ac:dyDescent="0.25">
      <c r="B17">
        <v>1987</v>
      </c>
      <c r="D17" s="26">
        <f>'Table 3.4-8A -490 GWh $8 M '!D17</f>
        <v>46.014115384615387</v>
      </c>
      <c r="E17" s="32">
        <f t="shared" si="5"/>
        <v>1.3285881089560443</v>
      </c>
      <c r="F17" s="26">
        <f t="shared" si="1"/>
        <v>-6.4098127595384575</v>
      </c>
      <c r="H17" s="19"/>
      <c r="I17" s="26">
        <f t="shared" si="2"/>
        <v>-6.4098127595384575</v>
      </c>
      <c r="K17" s="26">
        <f t="shared" si="0"/>
        <v>0.79890359667582433</v>
      </c>
      <c r="L17" s="26">
        <f t="shared" si="3"/>
        <v>-3.8543341108461497</v>
      </c>
      <c r="N17" s="19"/>
      <c r="O17" s="26">
        <f t="shared" si="4"/>
        <v>-3.8543341108461497</v>
      </c>
    </row>
    <row r="18" spans="2:17" x14ac:dyDescent="0.25">
      <c r="B18">
        <v>1988</v>
      </c>
      <c r="D18" s="26">
        <f>'Table 3.4-8A -490 GWh $8 M '!D18</f>
        <v>46.73473846153847</v>
      </c>
      <c r="E18" s="32">
        <f t="shared" si="5"/>
        <v>1.1388264341098888</v>
      </c>
      <c r="F18" s="26">
        <f t="shared" si="1"/>
        <v>-5.2709863254285683</v>
      </c>
      <c r="H18" s="19"/>
      <c r="I18" s="26">
        <f t="shared" si="2"/>
        <v>-5.2709863254285683</v>
      </c>
      <c r="K18" s="26">
        <f t="shared" si="0"/>
        <v>0.68479653556043885</v>
      </c>
      <c r="L18" s="26">
        <f t="shared" si="3"/>
        <v>-3.1695375752857107</v>
      </c>
      <c r="N18" s="19"/>
      <c r="O18" s="26">
        <f t="shared" si="4"/>
        <v>-3.1695375752857107</v>
      </c>
    </row>
    <row r="19" spans="2:17" x14ac:dyDescent="0.25">
      <c r="B19">
        <v>1989</v>
      </c>
      <c r="D19" s="26">
        <f>'Table 3.4-8A -490 GWh $8 M '!D19</f>
        <v>21.779892307692315</v>
      </c>
      <c r="E19" s="32">
        <f t="shared" si="5"/>
        <v>7.7101860718021973</v>
      </c>
      <c r="F19" s="26">
        <f t="shared" si="1"/>
        <v>2.439199746373629</v>
      </c>
      <c r="H19" s="19"/>
      <c r="I19" s="26">
        <f t="shared" si="2"/>
        <v>2.439199746373629</v>
      </c>
      <c r="K19" s="26">
        <f t="shared" si="0"/>
        <v>4.6362716497912082</v>
      </c>
      <c r="L19" s="26">
        <f t="shared" si="3"/>
        <v>1.4667340745054975</v>
      </c>
      <c r="N19" s="19"/>
      <c r="O19" s="26">
        <f t="shared" si="4"/>
        <v>1.4667340745054975</v>
      </c>
    </row>
    <row r="20" spans="2:17" x14ac:dyDescent="0.25">
      <c r="B20">
        <v>1990</v>
      </c>
      <c r="D20" s="26">
        <f>'Table 3.4-8A -490 GWh $8 M '!D20</f>
        <v>33.516023076923091</v>
      </c>
      <c r="E20" s="32">
        <f t="shared" si="5"/>
        <v>4.6197107563406563</v>
      </c>
      <c r="F20" s="26">
        <f t="shared" si="1"/>
        <v>7.0589105027142853</v>
      </c>
      <c r="H20" s="19"/>
      <c r="I20" s="26">
        <f t="shared" si="2"/>
        <v>7.0589105027142853</v>
      </c>
      <c r="K20" s="26">
        <f t="shared" si="0"/>
        <v>2.7779140231373614</v>
      </c>
      <c r="L20" s="26">
        <f t="shared" si="3"/>
        <v>4.2446480976428589</v>
      </c>
      <c r="N20" s="19"/>
      <c r="O20" s="26">
        <f t="shared" si="4"/>
        <v>4.2446480976428589</v>
      </c>
    </row>
    <row r="21" spans="2:17" x14ac:dyDescent="0.25">
      <c r="B21">
        <v>1991</v>
      </c>
      <c r="D21" s="26">
        <f>'Table 3.4-8A -490 GWh $8 M '!D21</f>
        <v>16.000392307692309</v>
      </c>
      <c r="E21" s="32">
        <f t="shared" si="5"/>
        <v>9.2321018068021985</v>
      </c>
      <c r="F21" s="26">
        <f t="shared" si="1"/>
        <v>16.291012309516482</v>
      </c>
      <c r="H21" s="19">
        <f t="shared" ref="H21:H45" si="6">IF(I20+E21&gt;$E$4,$E$4-(I20+E21),IF(I20+E21&lt;-$E$4,(-$E$4)-(I20+E21),0))</f>
        <v>-0.29101230951648205</v>
      </c>
      <c r="I21" s="26">
        <f t="shared" si="2"/>
        <v>16</v>
      </c>
      <c r="K21" s="26">
        <f t="shared" si="0"/>
        <v>5.5514265772912097</v>
      </c>
      <c r="L21" s="26">
        <f t="shared" si="3"/>
        <v>9.7960746749340686</v>
      </c>
      <c r="N21" s="19"/>
      <c r="O21" s="26">
        <f t="shared" si="4"/>
        <v>9.7960746749340686</v>
      </c>
    </row>
    <row r="22" spans="2:17" x14ac:dyDescent="0.25">
      <c r="B22">
        <v>1992</v>
      </c>
      <c r="D22" s="26">
        <f>'Table 3.4-8A -490 GWh $8 M '!D22</f>
        <v>5.7728230769230757</v>
      </c>
      <c r="E22" s="32">
        <f t="shared" si="5"/>
        <v>11.925327612340661</v>
      </c>
      <c r="F22" s="26">
        <f t="shared" si="1"/>
        <v>28.216339921857141</v>
      </c>
      <c r="H22" s="19">
        <f t="shared" si="6"/>
        <v>-11.925327612340659</v>
      </c>
      <c r="I22" s="26">
        <f t="shared" si="2"/>
        <v>16</v>
      </c>
      <c r="K22" s="26">
        <f t="shared" si="0"/>
        <v>7.1709110271373637</v>
      </c>
      <c r="L22" s="26">
        <f t="shared" si="3"/>
        <v>16.966985702071433</v>
      </c>
      <c r="N22" s="19">
        <f t="shared" ref="N22:N37" si="7">IF(O21+K22&gt;$E$4,$E$4-(O21+K22),IF(O21+K22&lt;-$E$4,(-$E$4)-(O21+K22),0))</f>
        <v>-0.9669857020714332</v>
      </c>
      <c r="O22" s="26">
        <f t="shared" si="4"/>
        <v>16</v>
      </c>
    </row>
    <row r="23" spans="2:17" x14ac:dyDescent="0.25">
      <c r="B23">
        <v>1993</v>
      </c>
      <c r="D23" s="26">
        <f>'Table 3.4-8A -490 GWh $8 M '!D23</f>
        <v>12.642915384615382</v>
      </c>
      <c r="E23" s="32">
        <f t="shared" si="5"/>
        <v>10.116226204956044</v>
      </c>
      <c r="F23" s="26">
        <f t="shared" si="1"/>
        <v>38.332566126813184</v>
      </c>
      <c r="H23" s="19">
        <f t="shared" si="6"/>
        <v>-10.116226204956043</v>
      </c>
      <c r="I23" s="26">
        <f t="shared" si="2"/>
        <v>16</v>
      </c>
      <c r="K23" s="26">
        <f t="shared" si="0"/>
        <v>6.0830662606758255</v>
      </c>
      <c r="L23" s="26">
        <f t="shared" si="3"/>
        <v>23.050051962747258</v>
      </c>
      <c r="N23" s="19">
        <f t="shared" si="7"/>
        <v>-6.0830662606758246</v>
      </c>
      <c r="O23" s="26">
        <f t="shared" si="4"/>
        <v>16</v>
      </c>
    </row>
    <row r="24" spans="2:17" x14ac:dyDescent="0.25">
      <c r="B24">
        <v>1994</v>
      </c>
      <c r="D24" s="26">
        <f>'Table 3.4-8A -490 GWh $8 M '!D24</f>
        <v>50.524699999999996</v>
      </c>
      <c r="E24" s="32">
        <f>($E$5-$D24)*$E$7</f>
        <v>0.14081586218681516</v>
      </c>
      <c r="F24" s="26">
        <f t="shared" si="1"/>
        <v>38.473381988999996</v>
      </c>
      <c r="H24" s="19">
        <f t="shared" si="6"/>
        <v>-0.14081586218681608</v>
      </c>
      <c r="I24" s="26">
        <f t="shared" si="2"/>
        <v>16</v>
      </c>
      <c r="K24" s="26">
        <f t="shared" si="0"/>
        <v>8.4675075752748435E-2</v>
      </c>
      <c r="L24" s="26">
        <f t="shared" si="3"/>
        <v>23.134727038500007</v>
      </c>
      <c r="N24" s="19">
        <f t="shared" si="7"/>
        <v>-8.4675075752748796E-2</v>
      </c>
      <c r="O24" s="26">
        <f t="shared" si="4"/>
        <v>16</v>
      </c>
    </row>
    <row r="25" spans="2:17" x14ac:dyDescent="0.25">
      <c r="B25">
        <v>1995</v>
      </c>
      <c r="D25" s="26">
        <f>'Table 3.4-8A -490 GWh $8 M '!D25</f>
        <v>113.07503846153848</v>
      </c>
      <c r="E25" s="36">
        <f t="shared" si="5"/>
        <v>-16.330564764890116</v>
      </c>
      <c r="F25" s="26">
        <f t="shared" si="1"/>
        <v>22.14281722410988</v>
      </c>
      <c r="H25" s="19"/>
      <c r="I25" s="26">
        <f t="shared" si="2"/>
        <v>-0.33056476489011644</v>
      </c>
      <c r="K25" s="26">
        <f t="shared" si="0"/>
        <v>-9.8198582679395638</v>
      </c>
      <c r="L25" s="26">
        <f t="shared" si="3"/>
        <v>13.314868770560443</v>
      </c>
      <c r="N25" s="19"/>
      <c r="O25" s="26">
        <f t="shared" si="4"/>
        <v>6.1801417320604362</v>
      </c>
    </row>
    <row r="26" spans="2:17" x14ac:dyDescent="0.25">
      <c r="B26">
        <v>1996</v>
      </c>
      <c r="D26" s="26">
        <f>'Table 3.4-8A -490 GWh $8 M '!D26</f>
        <v>120.36643846153849</v>
      </c>
      <c r="E26" s="36">
        <f t="shared" si="5"/>
        <v>-18.250609126890119</v>
      </c>
      <c r="F26" s="26">
        <f t="shared" si="1"/>
        <v>3.8922080972197612</v>
      </c>
      <c r="H26" s="19">
        <f t="shared" si="6"/>
        <v>2.5811738917802352</v>
      </c>
      <c r="I26" s="26">
        <f t="shared" si="2"/>
        <v>-16</v>
      </c>
      <c r="K26" s="26">
        <f t="shared" si="0"/>
        <v>-10.974415000939567</v>
      </c>
      <c r="L26" s="26">
        <f t="shared" si="3"/>
        <v>2.3404537696208756</v>
      </c>
      <c r="N26" s="19"/>
      <c r="O26" s="26">
        <f>O25+K26+N26</f>
        <v>-4.794273268879131</v>
      </c>
    </row>
    <row r="27" spans="2:17" x14ac:dyDescent="0.25">
      <c r="B27">
        <v>1997</v>
      </c>
      <c r="D27" s="26">
        <f>'Table 3.4-8A -490 GWh $8 M '!D27</f>
        <v>101.60387692307692</v>
      </c>
      <c r="E27" s="36">
        <f t="shared" si="5"/>
        <v>-13.309863796967033</v>
      </c>
      <c r="F27" s="26">
        <f t="shared" si="1"/>
        <v>-9.4176556997472716</v>
      </c>
      <c r="H27" s="19">
        <f t="shared" si="6"/>
        <v>13.309863796967033</v>
      </c>
      <c r="I27" s="26">
        <f t="shared" si="2"/>
        <v>-16</v>
      </c>
      <c r="K27" s="26">
        <f t="shared" si="0"/>
        <v>-8.0034571941318688</v>
      </c>
      <c r="L27" s="26">
        <f t="shared" si="3"/>
        <v>-5.6630034245109933</v>
      </c>
      <c r="N27" s="19"/>
      <c r="O27" s="26">
        <f t="shared" ref="O27:O45" si="8">O26+K27+N27</f>
        <v>-12.797730463011</v>
      </c>
    </row>
    <row r="28" spans="2:17" x14ac:dyDescent="0.25">
      <c r="B28">
        <v>1998</v>
      </c>
      <c r="D28" s="26">
        <f>'Table 3.4-8A -490 GWh $8 M '!D28</f>
        <v>105.8979615384615</v>
      </c>
      <c r="E28" s="36">
        <f t="shared" si="5"/>
        <v>-14.440625098736254</v>
      </c>
      <c r="F28" s="26">
        <f t="shared" si="1"/>
        <v>-23.858280798483527</v>
      </c>
      <c r="H28" s="19">
        <f t="shared" si="6"/>
        <v>14.440625098736255</v>
      </c>
      <c r="I28" s="26">
        <f t="shared" si="2"/>
        <v>-16</v>
      </c>
      <c r="K28" s="26">
        <f t="shared" si="0"/>
        <v>-8.6834040225549387</v>
      </c>
      <c r="L28" s="26">
        <f t="shared" si="3"/>
        <v>-14.346407447065932</v>
      </c>
      <c r="N28" s="19">
        <f t="shared" si="7"/>
        <v>5.4811344855659385</v>
      </c>
      <c r="O28" s="26">
        <f t="shared" si="8"/>
        <v>-16</v>
      </c>
    </row>
    <row r="29" spans="2:17" x14ac:dyDescent="0.25">
      <c r="B29">
        <v>1999</v>
      </c>
      <c r="D29" s="26">
        <f>'Table 3.4-8A -490 GWh $8 M '!D29</f>
        <v>125.5052923076923</v>
      </c>
      <c r="E29" s="36">
        <f t="shared" si="5"/>
        <v>-19.603823510197802</v>
      </c>
      <c r="F29" s="26">
        <f t="shared" si="1"/>
        <v>-43.462104308681333</v>
      </c>
      <c r="H29" s="19">
        <f t="shared" si="6"/>
        <v>19.603823510197799</v>
      </c>
      <c r="I29" s="26">
        <f>I28+E29+H29</f>
        <v>-16</v>
      </c>
      <c r="K29" s="26">
        <f t="shared" si="0"/>
        <v>-11.788126813208791</v>
      </c>
      <c r="L29" s="26">
        <f t="shared" si="3"/>
        <v>-26.134534260274723</v>
      </c>
      <c r="N29" s="19">
        <f t="shared" si="7"/>
        <v>11.788126813208791</v>
      </c>
      <c r="O29" s="26">
        <f t="shared" si="8"/>
        <v>-16</v>
      </c>
      <c r="Q29" s="26"/>
    </row>
    <row r="30" spans="2:17" x14ac:dyDescent="0.25">
      <c r="B30">
        <v>2000</v>
      </c>
      <c r="D30" s="26">
        <f>'Table 3.4-8A -490 GWh $8 M '!D30</f>
        <v>59.799861538461535</v>
      </c>
      <c r="E30" s="36">
        <f t="shared" si="5"/>
        <v>-2.3016124257362622</v>
      </c>
      <c r="F30" s="26">
        <f t="shared" si="1"/>
        <v>-45.763716734417592</v>
      </c>
      <c r="H30" s="19">
        <f t="shared" si="6"/>
        <v>2.3016124257362627</v>
      </c>
      <c r="I30" s="26">
        <f t="shared" si="2"/>
        <v>-16</v>
      </c>
      <c r="K30" s="26">
        <f t="shared" si="0"/>
        <v>-1.3840003780549441</v>
      </c>
      <c r="L30" s="26">
        <f t="shared" si="3"/>
        <v>-27.518534638329669</v>
      </c>
      <c r="N30" s="19">
        <f t="shared" si="7"/>
        <v>1.3840003780549424</v>
      </c>
      <c r="O30" s="26">
        <f t="shared" si="8"/>
        <v>-16</v>
      </c>
    </row>
    <row r="31" spans="2:17" x14ac:dyDescent="0.25">
      <c r="B31">
        <v>2001</v>
      </c>
      <c r="D31" s="26">
        <f>'Table 3.4-8A -490 GWh $8 M '!D31</f>
        <v>28.569453846153849</v>
      </c>
      <c r="E31" s="32">
        <f t="shared" si="5"/>
        <v>5.9222908318791214</v>
      </c>
      <c r="F31" s="26">
        <f t="shared" si="1"/>
        <v>-39.841425902538468</v>
      </c>
      <c r="H31" s="19"/>
      <c r="I31" s="26">
        <f>I30+E31+H31</f>
        <v>-10.077709168120879</v>
      </c>
      <c r="K31" s="26">
        <f t="shared" si="0"/>
        <v>3.5611785279835169</v>
      </c>
      <c r="L31" s="26">
        <f t="shared" si="3"/>
        <v>-23.957356110346151</v>
      </c>
      <c r="N31" s="19"/>
      <c r="O31" s="26">
        <f t="shared" si="8"/>
        <v>-12.438821472016484</v>
      </c>
    </row>
    <row r="32" spans="2:17" x14ac:dyDescent="0.25">
      <c r="B32">
        <v>2002</v>
      </c>
      <c r="D32" s="26">
        <f>'Table 3.4-8A -490 GWh $8 M '!D32</f>
        <v>38.142684615384624</v>
      </c>
      <c r="E32" s="32">
        <f t="shared" si="5"/>
        <v>3.4013719734175809</v>
      </c>
      <c r="F32" s="26">
        <f t="shared" si="1"/>
        <v>-36.440053929120886</v>
      </c>
      <c r="H32" s="19"/>
      <c r="I32" s="26">
        <f t="shared" ref="I32:I45" si="9">I31+E32+H32</f>
        <v>-6.676337194703299</v>
      </c>
      <c r="K32" s="26">
        <f t="shared" si="0"/>
        <v>2.0453053018296696</v>
      </c>
      <c r="L32" s="26">
        <f t="shared" si="3"/>
        <v>-21.912050808516483</v>
      </c>
      <c r="N32" s="19"/>
      <c r="O32" s="26">
        <f t="shared" si="8"/>
        <v>-10.393516170186814</v>
      </c>
    </row>
    <row r="33" spans="2:18" x14ac:dyDescent="0.25">
      <c r="B33">
        <v>2003</v>
      </c>
      <c r="D33" s="26">
        <f>'Table 3.4-8A -490 GWh $8 M '!D33</f>
        <v>65.39354615384616</v>
      </c>
      <c r="E33" s="36">
        <f t="shared" si="5"/>
        <v>-3.7745973955054954</v>
      </c>
      <c r="F33" s="26">
        <f t="shared" si="1"/>
        <v>-40.214651324626381</v>
      </c>
      <c r="H33" s="19"/>
      <c r="I33" s="26">
        <f t="shared" si="9"/>
        <v>-10.450934590208794</v>
      </c>
      <c r="K33" s="26">
        <f t="shared" si="0"/>
        <v>-2.2697323684780226</v>
      </c>
      <c r="L33" s="26">
        <f t="shared" si="3"/>
        <v>-24.181783176994507</v>
      </c>
      <c r="N33" s="19"/>
      <c r="O33" s="26">
        <f t="shared" si="8"/>
        <v>-12.663248538664837</v>
      </c>
    </row>
    <row r="34" spans="2:18" x14ac:dyDescent="0.25">
      <c r="B34">
        <v>2004</v>
      </c>
      <c r="D34" s="26">
        <f>'Table 3.4-8A -490 GWh $8 M '!D34</f>
        <v>66.155007692307706</v>
      </c>
      <c r="E34" s="36">
        <f t="shared" si="5"/>
        <v>-3.9751130624285742</v>
      </c>
      <c r="F34" s="26">
        <f t="shared" si="1"/>
        <v>-44.189764387054957</v>
      </c>
      <c r="H34" s="19"/>
      <c r="I34" s="26">
        <f t="shared" si="9"/>
        <v>-14.426047652637369</v>
      </c>
      <c r="K34" s="26">
        <f t="shared" si="0"/>
        <v>-2.3903059957857162</v>
      </c>
      <c r="L34" s="26">
        <f t="shared" si="3"/>
        <v>-26.572089172780224</v>
      </c>
      <c r="N34" s="19"/>
      <c r="O34" s="26">
        <f t="shared" si="8"/>
        <v>-15.053554534450553</v>
      </c>
    </row>
    <row r="35" spans="2:18" x14ac:dyDescent="0.25">
      <c r="B35">
        <v>2005</v>
      </c>
      <c r="D35" s="26">
        <f>'Table 3.4-8A -490 GWh $8 M '!D35</f>
        <v>64.042553846153851</v>
      </c>
      <c r="E35" s="36">
        <f t="shared" si="5"/>
        <v>-3.4188405911208797</v>
      </c>
      <c r="F35" s="26">
        <f t="shared" si="1"/>
        <v>-47.608604978175833</v>
      </c>
      <c r="H35" s="19">
        <f t="shared" si="6"/>
        <v>1.8448882437582483</v>
      </c>
      <c r="I35" s="26">
        <f t="shared" si="9"/>
        <v>-16</v>
      </c>
      <c r="K35" s="26">
        <f t="shared" si="0"/>
        <v>-2.055809491516484</v>
      </c>
      <c r="L35" s="26">
        <f t="shared" si="3"/>
        <v>-28.627898664296708</v>
      </c>
      <c r="N35" s="19">
        <f t="shared" si="7"/>
        <v>1.1093640259670359</v>
      </c>
      <c r="O35" s="26">
        <f t="shared" si="8"/>
        <v>-16</v>
      </c>
      <c r="Q35" s="19"/>
      <c r="R35" s="19"/>
    </row>
    <row r="36" spans="2:18" x14ac:dyDescent="0.25">
      <c r="B36">
        <v>2006</v>
      </c>
      <c r="D36" s="26">
        <f>'Table 3.4-8A -490 GWh $8 M '!D36</f>
        <v>61.863823076923083</v>
      </c>
      <c r="E36" s="36">
        <f t="shared" si="5"/>
        <v>-2.8451154176593416</v>
      </c>
      <c r="F36" s="26">
        <f t="shared" si="1"/>
        <v>-50.453720395835177</v>
      </c>
      <c r="H36" s="19">
        <f t="shared" si="6"/>
        <v>2.8451154176593434</v>
      </c>
      <c r="I36" s="26">
        <f t="shared" si="9"/>
        <v>-16</v>
      </c>
      <c r="K36" s="26">
        <f t="shared" si="0"/>
        <v>-1.7108183678626381</v>
      </c>
      <c r="L36" s="26">
        <f t="shared" si="3"/>
        <v>-30.338717032159348</v>
      </c>
      <c r="N36" s="19">
        <f t="shared" si="7"/>
        <v>1.7108183678626396</v>
      </c>
      <c r="O36" s="26">
        <f t="shared" si="8"/>
        <v>-16</v>
      </c>
      <c r="Q36" s="19"/>
      <c r="R36" s="19"/>
    </row>
    <row r="37" spans="2:18" x14ac:dyDescent="0.25">
      <c r="B37">
        <v>2007</v>
      </c>
      <c r="D37" s="26">
        <f>'Table 3.4-8A -490 GWh $8 M '!D37</f>
        <v>53.336176923076927</v>
      </c>
      <c r="E37" s="36">
        <f t="shared" si="5"/>
        <v>-0.59953035596703319</v>
      </c>
      <c r="F37" s="26">
        <f t="shared" si="1"/>
        <v>-51.05325075180221</v>
      </c>
      <c r="H37" s="19">
        <f t="shared" si="6"/>
        <v>0.5995303559670333</v>
      </c>
      <c r="I37" s="26">
        <f t="shared" si="9"/>
        <v>-16</v>
      </c>
      <c r="K37" s="26">
        <f>($E$5-$D37)*$K$6</f>
        <v>-0.36050823763186829</v>
      </c>
      <c r="L37" s="26">
        <f t="shared" si="3"/>
        <v>-30.699225269791217</v>
      </c>
      <c r="N37" s="19">
        <f t="shared" si="7"/>
        <v>0.36050823763186912</v>
      </c>
      <c r="O37" s="26">
        <f t="shared" si="8"/>
        <v>-16</v>
      </c>
    </row>
    <row r="38" spans="2:18" x14ac:dyDescent="0.25">
      <c r="B38">
        <v>2008</v>
      </c>
      <c r="D38" s="26">
        <f>'Table 3.4-8A -490 GWh $8 M '!D38</f>
        <v>44.101561538461553</v>
      </c>
      <c r="E38" s="32">
        <f t="shared" si="5"/>
        <v>1.8322209132637333</v>
      </c>
      <c r="F38" s="26">
        <f t="shared" si="1"/>
        <v>-49.221029838538477</v>
      </c>
      <c r="H38" s="19"/>
      <c r="I38" s="26">
        <f t="shared" si="9"/>
        <v>-14.167779086736267</v>
      </c>
      <c r="K38" s="26">
        <f t="shared" si="0"/>
        <v>1.1017469354450533</v>
      </c>
      <c r="L38" s="26">
        <f t="shared" si="3"/>
        <v>-29.597478334346164</v>
      </c>
      <c r="N38" s="19"/>
      <c r="O38" s="26">
        <f t="shared" si="8"/>
        <v>-14.898253064554947</v>
      </c>
    </row>
    <row r="39" spans="2:18" x14ac:dyDescent="0.25">
      <c r="B39">
        <v>2009</v>
      </c>
      <c r="D39" s="26">
        <f>'Table 3.4-8A -490 GWh $8 M '!D39</f>
        <v>28.609830769230758</v>
      </c>
      <c r="E39" s="32">
        <f t="shared" si="5"/>
        <v>5.9116583767252786</v>
      </c>
      <c r="F39" s="26">
        <f t="shared" si="1"/>
        <v>-43.3093714618132</v>
      </c>
      <c r="H39" s="19"/>
      <c r="I39" s="26">
        <f t="shared" si="9"/>
        <v>-8.2561207100109897</v>
      </c>
      <c r="K39" s="26">
        <f t="shared" si="0"/>
        <v>3.5547850440989035</v>
      </c>
      <c r="L39" s="26">
        <f t="shared" si="3"/>
        <v>-26.042693290247261</v>
      </c>
      <c r="N39" s="19"/>
      <c r="O39" s="26">
        <f t="shared" si="8"/>
        <v>-11.343468020456044</v>
      </c>
    </row>
    <row r="40" spans="2:18" x14ac:dyDescent="0.25">
      <c r="B40">
        <v>2010</v>
      </c>
      <c r="D40" s="26">
        <f>'Table 3.4-8A -490 GWh $8 M '!D40</f>
        <v>50.388476923076929</v>
      </c>
      <c r="E40" s="32">
        <f t="shared" si="5"/>
        <v>0.17668748503296622</v>
      </c>
      <c r="F40" s="26">
        <f t="shared" si="1"/>
        <v>-43.132683976780235</v>
      </c>
      <c r="H40" s="19"/>
      <c r="I40" s="26">
        <f t="shared" si="9"/>
        <v>-8.0794332249780236</v>
      </c>
      <c r="K40" s="26">
        <f t="shared" si="0"/>
        <v>0.10624531886813138</v>
      </c>
      <c r="L40" s="26">
        <f t="shared" si="3"/>
        <v>-25.936447971379131</v>
      </c>
      <c r="N40" s="19"/>
      <c r="O40" s="26">
        <f t="shared" si="8"/>
        <v>-11.237222701587912</v>
      </c>
    </row>
    <row r="41" spans="2:18" x14ac:dyDescent="0.25">
      <c r="B41">
        <v>2011</v>
      </c>
      <c r="D41" s="26">
        <f>'Table 3.4-8A -490 GWh $8 M '!D41</f>
        <v>51.089961538461552</v>
      </c>
      <c r="E41" s="36">
        <f t="shared" si="5"/>
        <v>-8.0344587362663443E-3</v>
      </c>
      <c r="F41" s="26">
        <f t="shared" si="1"/>
        <v>-43.140718435516504</v>
      </c>
      <c r="H41" s="19"/>
      <c r="I41" s="26">
        <f t="shared" si="9"/>
        <v>-8.0874676837142907</v>
      </c>
      <c r="K41" s="26">
        <f t="shared" si="0"/>
        <v>-4.8312625549466236E-3</v>
      </c>
      <c r="L41" s="26">
        <f t="shared" si="3"/>
        <v>-25.941279233934079</v>
      </c>
      <c r="N41" s="19"/>
      <c r="O41" s="26">
        <f t="shared" si="8"/>
        <v>-11.242053964142858</v>
      </c>
    </row>
    <row r="42" spans="2:18" x14ac:dyDescent="0.25">
      <c r="B42">
        <v>2012</v>
      </c>
      <c r="D42" s="26">
        <f>'Table 3.4-8A -490 GWh $8 M '!D42</f>
        <v>16.008769230769232</v>
      </c>
      <c r="E42" s="32">
        <f t="shared" si="5"/>
        <v>9.2298959116483523</v>
      </c>
      <c r="F42" s="26">
        <f t="shared" si="1"/>
        <v>-33.910822523868148</v>
      </c>
      <c r="H42" s="19"/>
      <c r="I42" s="26">
        <f t="shared" si="9"/>
        <v>1.1424282279340616</v>
      </c>
      <c r="K42" s="26">
        <f t="shared" si="0"/>
        <v>5.5501001334065938</v>
      </c>
      <c r="L42" s="26">
        <f t="shared" si="3"/>
        <v>-20.391179100527484</v>
      </c>
      <c r="N42" s="19"/>
      <c r="O42" s="26">
        <f t="shared" si="8"/>
        <v>-5.6919538307362645</v>
      </c>
    </row>
    <row r="43" spans="2:18" x14ac:dyDescent="0.25">
      <c r="B43">
        <v>2013</v>
      </c>
      <c r="D43" s="26">
        <f>'Table 3.4-8A -490 GWh $8 M '!D43</f>
        <v>6.2056307692307682</v>
      </c>
      <c r="E43" s="32">
        <f t="shared" si="5"/>
        <v>11.811356362725277</v>
      </c>
      <c r="F43" s="26">
        <f t="shared" si="1"/>
        <v>-22.099466161142871</v>
      </c>
      <c r="H43" s="19"/>
      <c r="I43" s="26">
        <f t="shared" si="9"/>
        <v>12.953784590659339</v>
      </c>
      <c r="K43" s="26">
        <f t="shared" si="0"/>
        <v>7.1023780930989027</v>
      </c>
      <c r="L43" s="26">
        <f t="shared" si="3"/>
        <v>-13.288801007428582</v>
      </c>
      <c r="N43" s="19"/>
      <c r="O43" s="26">
        <f t="shared" si="8"/>
        <v>1.4104242623626382</v>
      </c>
    </row>
    <row r="44" spans="2:18" x14ac:dyDescent="0.25">
      <c r="B44">
        <v>2014</v>
      </c>
      <c r="D44" s="26">
        <f>'Table 3.4-8A -490 GWh $8 M '!D44</f>
        <v>6.8072307692307668</v>
      </c>
      <c r="E44" s="32">
        <f t="shared" si="5"/>
        <v>11.652937034725278</v>
      </c>
      <c r="F44" s="26">
        <f t="shared" si="1"/>
        <v>-10.446529126417593</v>
      </c>
      <c r="H44" s="19">
        <f t="shared" si="6"/>
        <v>-8.6067216253846155</v>
      </c>
      <c r="I44" s="26">
        <f t="shared" si="9"/>
        <v>16</v>
      </c>
      <c r="K44" s="26">
        <f t="shared" si="0"/>
        <v>7.0071177410989032</v>
      </c>
      <c r="L44" s="26">
        <f t="shared" si="3"/>
        <v>-6.2816832663296784</v>
      </c>
      <c r="N44" s="19"/>
      <c r="O44" s="26">
        <f t="shared" si="8"/>
        <v>8.4175420034615414</v>
      </c>
    </row>
    <row r="45" spans="2:18" x14ac:dyDescent="0.25">
      <c r="B45">
        <v>2015</v>
      </c>
      <c r="D45" s="26">
        <f>'Table 3.4-8A -490 GWh $8 M '!D45</f>
        <v>11.388584615384616</v>
      </c>
      <c r="E45" s="32">
        <f t="shared" si="5"/>
        <v>10.446529126417584</v>
      </c>
      <c r="F45" s="26">
        <f t="shared" si="1"/>
        <v>0</v>
      </c>
      <c r="H45" s="19">
        <f t="shared" si="6"/>
        <v>-10.446529126417584</v>
      </c>
      <c r="I45" s="26">
        <f t="shared" si="9"/>
        <v>16</v>
      </c>
      <c r="K45" s="26">
        <f t="shared" si="0"/>
        <v>6.2816832663296713</v>
      </c>
      <c r="L45" s="26">
        <f t="shared" si="3"/>
        <v>-7.1054273576010019E-15</v>
      </c>
      <c r="N45" s="19"/>
      <c r="O45" s="26">
        <f t="shared" si="8"/>
        <v>14.699225269791214</v>
      </c>
      <c r="Q45" s="26"/>
    </row>
    <row r="46" spans="2:18" ht="9" customHeight="1" x14ac:dyDescent="0.25">
      <c r="D46" s="26"/>
      <c r="E46" s="34"/>
    </row>
    <row r="47" spans="2:18" x14ac:dyDescent="0.25">
      <c r="B47" t="s">
        <v>49</v>
      </c>
      <c r="D47" s="27">
        <f>AVERAGE(D11:D45)</f>
        <v>51.059450549450553</v>
      </c>
      <c r="E47" s="34"/>
      <c r="K47" s="27"/>
    </row>
    <row r="48" spans="2:18" x14ac:dyDescent="0.25">
      <c r="D48" s="26"/>
      <c r="G48" t="s">
        <v>26</v>
      </c>
      <c r="H48" s="26">
        <f>SUM(H11:H45)</f>
        <v>16.000000000000011</v>
      </c>
      <c r="M48" t="s">
        <v>26</v>
      </c>
      <c r="N48" s="26">
        <f>SUM(N11:N45)</f>
        <v>14.69922526979121</v>
      </c>
    </row>
    <row r="49" spans="2:14" x14ac:dyDescent="0.25">
      <c r="D49" s="26"/>
    </row>
    <row r="50" spans="2:14" x14ac:dyDescent="0.25">
      <c r="D50" s="26"/>
    </row>
    <row r="51" spans="2:14" x14ac:dyDescent="0.25">
      <c r="B51" s="17" t="s">
        <v>27</v>
      </c>
    </row>
    <row r="52" spans="2:14" x14ac:dyDescent="0.25">
      <c r="C52" t="s">
        <v>28</v>
      </c>
      <c r="H52">
        <f>COUNTBLANK(H11:H45)</f>
        <v>21</v>
      </c>
      <c r="N52">
        <f>COUNTBLANK(N11:N45)</f>
        <v>26</v>
      </c>
    </row>
    <row r="53" spans="2:14" x14ac:dyDescent="0.25">
      <c r="C53" t="s">
        <v>29</v>
      </c>
      <c r="H53">
        <f>COUNTIF(H11:H45,"&lt;0")</f>
        <v>6</v>
      </c>
      <c r="N53">
        <f>COUNTIF(N11:N45,"&lt;0")</f>
        <v>3</v>
      </c>
    </row>
    <row r="54" spans="2:14" x14ac:dyDescent="0.25">
      <c r="C54" t="s">
        <v>30</v>
      </c>
      <c r="H54">
        <f>COUNTIF(H11:H45,H58)</f>
        <v>1</v>
      </c>
      <c r="N54">
        <f>COUNTIF(N11:N45,N58)</f>
        <v>1</v>
      </c>
    </row>
    <row r="55" spans="2:14" x14ac:dyDescent="0.25">
      <c r="C55" t="s">
        <v>31</v>
      </c>
      <c r="H55">
        <f>COUNTIF(H11:H45,"&gt;0")</f>
        <v>8</v>
      </c>
      <c r="N55">
        <f>COUNTIF(N11:N45,"&gt;0")</f>
        <v>6</v>
      </c>
    </row>
    <row r="57" spans="2:14" x14ac:dyDescent="0.25">
      <c r="B57" s="17" t="s">
        <v>32</v>
      </c>
    </row>
    <row r="58" spans="2:14" x14ac:dyDescent="0.25">
      <c r="C58" t="s">
        <v>33</v>
      </c>
      <c r="H58" s="28">
        <f>MIN(H11:H45)</f>
        <v>-11.925327612340659</v>
      </c>
      <c r="N58" s="28">
        <f>MIN(N11:N45)</f>
        <v>-6.0830662606758246</v>
      </c>
    </row>
    <row r="59" spans="2:14" x14ac:dyDescent="0.25">
      <c r="C59" t="s">
        <v>34</v>
      </c>
      <c r="H59" s="28">
        <f>MAX(H11:H45)</f>
        <v>19.603823510197799</v>
      </c>
      <c r="N59" s="28">
        <f>MAX(N11:N45)</f>
        <v>11.788126813208791</v>
      </c>
    </row>
    <row r="60" spans="2:14" x14ac:dyDescent="0.25">
      <c r="C60" t="s">
        <v>35</v>
      </c>
      <c r="H60" s="28">
        <f>H64/H55</f>
        <v>7.1908290926002767</v>
      </c>
      <c r="N60" s="28">
        <f>N64/N55</f>
        <v>3.6389920513818694</v>
      </c>
    </row>
    <row r="61" spans="2:14" x14ac:dyDescent="0.25">
      <c r="C61" t="s">
        <v>36</v>
      </c>
      <c r="H61" s="26">
        <f>H48</f>
        <v>16.000000000000011</v>
      </c>
      <c r="N61" s="26">
        <f>N48</f>
        <v>14.69922526979121</v>
      </c>
    </row>
    <row r="64" spans="2:14" x14ac:dyDescent="0.25">
      <c r="B64" s="17" t="s">
        <v>37</v>
      </c>
      <c r="H64">
        <f>SUMIF(H11:H45,"&gt;0")</f>
        <v>57.526632740802214</v>
      </c>
      <c r="N64">
        <f>SUMIF(N11:N45,"&gt;0")</f>
        <v>21.833952308291217</v>
      </c>
    </row>
  </sheetData>
  <mergeCells count="6">
    <mergeCell ref="E8:I8"/>
    <mergeCell ref="K8:O8"/>
    <mergeCell ref="E9:F9"/>
    <mergeCell ref="H9:I9"/>
    <mergeCell ref="K9:L9"/>
    <mergeCell ref="N9:O9"/>
  </mergeCells>
  <pageMargins left="0.7" right="0.7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4"/>
  <sheetViews>
    <sheetView showGridLines="0"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2.140625" customWidth="1"/>
    <col min="2" max="2" width="6.7109375" customWidth="1"/>
    <col min="3" max="3" width="2.5703125" customWidth="1"/>
    <col min="4" max="4" width="11.5703125" customWidth="1"/>
    <col min="7" max="7" width="4.7109375" customWidth="1"/>
    <col min="9" max="9" width="6.42578125" customWidth="1"/>
    <col min="10" max="10" width="4" customWidth="1"/>
    <col min="13" max="13" width="4.42578125" customWidth="1"/>
    <col min="14" max="14" width="7.28515625" customWidth="1"/>
    <col min="15" max="15" width="9" customWidth="1"/>
    <col min="16" max="16" width="3.42578125" customWidth="1"/>
  </cols>
  <sheetData>
    <row r="2" spans="2:15" x14ac:dyDescent="0.25">
      <c r="B2" s="17" t="s">
        <v>66</v>
      </c>
    </row>
    <row r="3" spans="2:15" x14ac:dyDescent="0.25">
      <c r="B3" s="17" t="s">
        <v>56</v>
      </c>
    </row>
    <row r="4" spans="2:15" x14ac:dyDescent="0.25">
      <c r="C4" s="17" t="s">
        <v>9</v>
      </c>
      <c r="D4" s="17"/>
      <c r="E4" s="18">
        <v>22</v>
      </c>
      <c r="F4" s="17" t="s">
        <v>10</v>
      </c>
      <c r="K4" s="19"/>
    </row>
    <row r="5" spans="2:15" x14ac:dyDescent="0.25">
      <c r="B5" t="s">
        <v>11</v>
      </c>
      <c r="E5" s="20">
        <f>D47</f>
        <v>51.059450549450553</v>
      </c>
      <c r="F5" t="s">
        <v>12</v>
      </c>
      <c r="K5" s="20"/>
    </row>
    <row r="6" spans="2:15" x14ac:dyDescent="0.25">
      <c r="B6" t="s">
        <v>13</v>
      </c>
      <c r="E6" s="21">
        <v>0.14668</v>
      </c>
      <c r="F6" t="s">
        <v>14</v>
      </c>
      <c r="J6" s="22" t="s">
        <v>15</v>
      </c>
      <c r="K6" s="21">
        <f>E6*L6+E7*(1-L6)</f>
        <v>0.15834500000000001</v>
      </c>
      <c r="L6" s="23">
        <v>0.9</v>
      </c>
      <c r="M6" t="s">
        <v>16</v>
      </c>
    </row>
    <row r="7" spans="2:15" x14ac:dyDescent="0.25">
      <c r="B7" t="s">
        <v>17</v>
      </c>
      <c r="E7" s="21">
        <v>0.26333000000000001</v>
      </c>
      <c r="F7" t="s">
        <v>14</v>
      </c>
    </row>
    <row r="8" spans="2:15" x14ac:dyDescent="0.25">
      <c r="E8" s="40" t="s">
        <v>18</v>
      </c>
      <c r="F8" s="43"/>
      <c r="G8" s="43"/>
      <c r="H8" s="43"/>
      <c r="I8" s="41"/>
      <c r="K8" s="40" t="s">
        <v>19</v>
      </c>
      <c r="L8" s="43"/>
      <c r="M8" s="43"/>
      <c r="N8" s="43"/>
      <c r="O8" s="41"/>
    </row>
    <row r="9" spans="2:15" ht="34.9" customHeight="1" x14ac:dyDescent="0.25">
      <c r="E9" s="39" t="s">
        <v>20</v>
      </c>
      <c r="F9" s="39"/>
      <c r="H9" s="39" t="s">
        <v>21</v>
      </c>
      <c r="I9" s="39"/>
      <c r="K9" s="39" t="s">
        <v>20</v>
      </c>
      <c r="L9" s="39"/>
      <c r="N9" s="39" t="s">
        <v>21</v>
      </c>
      <c r="O9" s="39"/>
    </row>
    <row r="10" spans="2:15" ht="29.1" customHeight="1" x14ac:dyDescent="0.25">
      <c r="B10" s="24" t="s">
        <v>2</v>
      </c>
      <c r="D10" s="24" t="s">
        <v>22</v>
      </c>
      <c r="E10" s="24" t="s">
        <v>23</v>
      </c>
      <c r="F10" s="24" t="s">
        <v>24</v>
      </c>
      <c r="H10" s="24" t="s">
        <v>25</v>
      </c>
      <c r="I10" s="25" t="s">
        <v>24</v>
      </c>
      <c r="K10" s="24" t="s">
        <v>23</v>
      </c>
      <c r="L10" s="24" t="s">
        <v>24</v>
      </c>
      <c r="N10" s="24" t="s">
        <v>25</v>
      </c>
      <c r="O10" s="25" t="s">
        <v>24</v>
      </c>
    </row>
    <row r="11" spans="2:15" x14ac:dyDescent="0.25">
      <c r="B11">
        <v>1981</v>
      </c>
      <c r="D11" s="26">
        <f>'Table 3.4-8A -490 GWh $8 M '!D11</f>
        <v>20.092761538461534</v>
      </c>
      <c r="E11" s="32">
        <f>($E$5-$D11)*$E$7</f>
        <v>8.1544582172637377</v>
      </c>
      <c r="F11" s="26">
        <f>E11</f>
        <v>8.1544582172637377</v>
      </c>
      <c r="H11" s="19"/>
      <c r="I11" s="26">
        <f>E11</f>
        <v>8.1544582172637377</v>
      </c>
      <c r="K11" s="26">
        <f>($E$5-$D11)*$K$6</f>
        <v>4.9034203714450566</v>
      </c>
      <c r="L11" s="26">
        <f>K11</f>
        <v>4.9034203714450566</v>
      </c>
      <c r="O11" s="26">
        <f>K11</f>
        <v>4.9034203714450566</v>
      </c>
    </row>
    <row r="12" spans="2:15" x14ac:dyDescent="0.25">
      <c r="B12">
        <v>1982</v>
      </c>
      <c r="D12" s="26">
        <f>'Table 3.4-8A -490 GWh $8 M '!D12</f>
        <v>51.767700000000005</v>
      </c>
      <c r="E12" s="36">
        <f>($E$5-$D12)*$E$7</f>
        <v>-0.18650332781318729</v>
      </c>
      <c r="F12" s="26">
        <f>F11+E12</f>
        <v>7.9679548894505503</v>
      </c>
      <c r="H12" s="19"/>
      <c r="I12" s="26">
        <f>I11+E12+H12</f>
        <v>7.9679548894505503</v>
      </c>
      <c r="K12" s="26">
        <f t="shared" ref="K12:K45" si="0">($E$5-$D12)*$K$6</f>
        <v>-0.11214775924725304</v>
      </c>
      <c r="L12" s="26">
        <f>L11+K12</f>
        <v>4.7912726121978038</v>
      </c>
      <c r="M12" s="19"/>
      <c r="N12" s="19"/>
      <c r="O12" s="26">
        <f>O11+K12+N12</f>
        <v>4.7912726121978038</v>
      </c>
    </row>
    <row r="13" spans="2:15" x14ac:dyDescent="0.25">
      <c r="B13">
        <v>1983</v>
      </c>
      <c r="D13" s="26">
        <f>'Table 3.4-8A -490 GWh $8 M '!D13</f>
        <v>52.716769230769252</v>
      </c>
      <c r="E13" s="36">
        <f>($E$5-$D13)*$E$7</f>
        <v>-0.4364217283516531</v>
      </c>
      <c r="F13" s="26">
        <f t="shared" ref="F13:F45" si="1">F12+E13</f>
        <v>7.5315331610988974</v>
      </c>
      <c r="H13" s="19"/>
      <c r="I13" s="26">
        <f t="shared" ref="I13:I30" si="2">I12+E13+H13</f>
        <v>7.5315331610988974</v>
      </c>
      <c r="K13" s="26">
        <f t="shared" si="0"/>
        <v>-0.26242812659340947</v>
      </c>
      <c r="L13" s="26">
        <f t="shared" ref="L13:L45" si="3">L12+K13</f>
        <v>4.5288444856043943</v>
      </c>
      <c r="N13" s="19"/>
      <c r="O13" s="26">
        <f t="shared" ref="O13:O25" si="4">O12+K13+N13</f>
        <v>4.5288444856043943</v>
      </c>
    </row>
    <row r="14" spans="2:15" x14ac:dyDescent="0.25">
      <c r="B14">
        <v>1984</v>
      </c>
      <c r="D14" s="26">
        <f>'Table 3.4-8A -490 GWh $8 M '!D14</f>
        <v>85.495176923076897</v>
      </c>
      <c r="E14" s="36">
        <f>($E$5-$D14)*$E$7</f>
        <v>-9.0679598259670264</v>
      </c>
      <c r="F14" s="26">
        <f t="shared" si="1"/>
        <v>-1.5364266648681291</v>
      </c>
      <c r="H14" s="19"/>
      <c r="I14" s="26">
        <f t="shared" si="2"/>
        <v>-1.5364266648681291</v>
      </c>
      <c r="K14" s="26">
        <f t="shared" si="0"/>
        <v>-5.452725092631864</v>
      </c>
      <c r="L14" s="26">
        <f t="shared" si="3"/>
        <v>-0.92388060702746966</v>
      </c>
      <c r="N14" s="19"/>
      <c r="O14" s="26">
        <f t="shared" si="4"/>
        <v>-0.92388060702746966</v>
      </c>
    </row>
    <row r="15" spans="2:15" x14ac:dyDescent="0.25">
      <c r="B15">
        <v>1985</v>
      </c>
      <c r="D15" s="26">
        <f>'Table 3.4-8A -490 GWh $8 M '!D15</f>
        <v>66.478815384615388</v>
      </c>
      <c r="E15" s="36">
        <f>($E$5-$D15)*$E$7</f>
        <v>-4.0603813420439563</v>
      </c>
      <c r="F15" s="26">
        <f t="shared" si="1"/>
        <v>-5.5968080069120854</v>
      </c>
      <c r="H15" s="19"/>
      <c r="I15" s="26">
        <f>I14+E15+H15</f>
        <v>-5.5968080069120854</v>
      </c>
      <c r="K15" s="26">
        <f t="shared" si="0"/>
        <v>-2.4415793248241759</v>
      </c>
      <c r="L15" s="26">
        <f t="shared" si="3"/>
        <v>-3.3654599318516456</v>
      </c>
      <c r="N15" s="19"/>
      <c r="O15" s="26">
        <f t="shared" si="4"/>
        <v>-3.3654599318516456</v>
      </c>
    </row>
    <row r="16" spans="2:15" x14ac:dyDescent="0.25">
      <c r="B16">
        <v>1986</v>
      </c>
      <c r="D16" s="26">
        <f>'Table 3.4-8A -490 GWh $8 M '!D16</f>
        <v>59.192184615384612</v>
      </c>
      <c r="E16" s="36">
        <f t="shared" ref="E16:E45" si="5">($E$5-$D16)*$E$7</f>
        <v>-2.1415928615824158</v>
      </c>
      <c r="F16" s="26">
        <f t="shared" si="1"/>
        <v>-7.7384008684945016</v>
      </c>
      <c r="H16" s="19"/>
      <c r="I16" s="26">
        <f t="shared" si="2"/>
        <v>-7.7384008684945016</v>
      </c>
      <c r="K16" s="26">
        <f>($E$5-$D16)*$K$6</f>
        <v>-1.2877777756703288</v>
      </c>
      <c r="L16" s="26">
        <f t="shared" si="3"/>
        <v>-4.6532377075219742</v>
      </c>
      <c r="N16" s="19"/>
      <c r="O16" s="26">
        <f t="shared" si="4"/>
        <v>-4.6532377075219742</v>
      </c>
    </row>
    <row r="17" spans="2:17" x14ac:dyDescent="0.25">
      <c r="B17">
        <v>1987</v>
      </c>
      <c r="D17" s="26">
        <f>'Table 3.4-8A -490 GWh $8 M '!D17</f>
        <v>46.014115384615387</v>
      </c>
      <c r="E17" s="32">
        <f t="shared" si="5"/>
        <v>1.3285881089560443</v>
      </c>
      <c r="F17" s="26">
        <f t="shared" si="1"/>
        <v>-6.4098127595384575</v>
      </c>
      <c r="H17" s="19"/>
      <c r="I17" s="26">
        <f t="shared" si="2"/>
        <v>-6.4098127595384575</v>
      </c>
      <c r="K17" s="26">
        <f t="shared" si="0"/>
        <v>0.79890359667582433</v>
      </c>
      <c r="L17" s="26">
        <f t="shared" si="3"/>
        <v>-3.8543341108461497</v>
      </c>
      <c r="N17" s="19"/>
      <c r="O17" s="26">
        <f t="shared" si="4"/>
        <v>-3.8543341108461497</v>
      </c>
    </row>
    <row r="18" spans="2:17" x14ac:dyDescent="0.25">
      <c r="B18">
        <v>1988</v>
      </c>
      <c r="D18" s="26">
        <f>'Table 3.4-8A -490 GWh $8 M '!D18</f>
        <v>46.73473846153847</v>
      </c>
      <c r="E18" s="32">
        <f t="shared" si="5"/>
        <v>1.1388264341098888</v>
      </c>
      <c r="F18" s="26">
        <f t="shared" si="1"/>
        <v>-5.2709863254285683</v>
      </c>
      <c r="H18" s="19"/>
      <c r="I18" s="26">
        <f t="shared" si="2"/>
        <v>-5.2709863254285683</v>
      </c>
      <c r="K18" s="26">
        <f t="shared" si="0"/>
        <v>0.68479653556043885</v>
      </c>
      <c r="L18" s="26">
        <f t="shared" si="3"/>
        <v>-3.1695375752857107</v>
      </c>
      <c r="N18" s="19"/>
      <c r="O18" s="26">
        <f t="shared" si="4"/>
        <v>-3.1695375752857107</v>
      </c>
    </row>
    <row r="19" spans="2:17" x14ac:dyDescent="0.25">
      <c r="B19">
        <v>1989</v>
      </c>
      <c r="D19" s="26">
        <f>'Table 3.4-8A -490 GWh $8 M '!D19</f>
        <v>21.779892307692315</v>
      </c>
      <c r="E19" s="32">
        <f t="shared" si="5"/>
        <v>7.7101860718021973</v>
      </c>
      <c r="F19" s="26">
        <f t="shared" si="1"/>
        <v>2.439199746373629</v>
      </c>
      <c r="H19" s="19"/>
      <c r="I19" s="26">
        <f t="shared" si="2"/>
        <v>2.439199746373629</v>
      </c>
      <c r="K19" s="26">
        <f t="shared" si="0"/>
        <v>4.6362716497912082</v>
      </c>
      <c r="L19" s="26">
        <f t="shared" si="3"/>
        <v>1.4667340745054975</v>
      </c>
      <c r="N19" s="19"/>
      <c r="O19" s="26">
        <f t="shared" si="4"/>
        <v>1.4667340745054975</v>
      </c>
    </row>
    <row r="20" spans="2:17" x14ac:dyDescent="0.25">
      <c r="B20">
        <v>1990</v>
      </c>
      <c r="D20" s="26">
        <f>'Table 3.4-8A -490 GWh $8 M '!D20</f>
        <v>33.516023076923091</v>
      </c>
      <c r="E20" s="32">
        <f t="shared" si="5"/>
        <v>4.6197107563406563</v>
      </c>
      <c r="F20" s="26">
        <f t="shared" si="1"/>
        <v>7.0589105027142853</v>
      </c>
      <c r="H20" s="19"/>
      <c r="I20" s="26">
        <f t="shared" si="2"/>
        <v>7.0589105027142853</v>
      </c>
      <c r="K20" s="26">
        <f t="shared" si="0"/>
        <v>2.7779140231373614</v>
      </c>
      <c r="L20" s="26">
        <f t="shared" si="3"/>
        <v>4.2446480976428589</v>
      </c>
      <c r="N20" s="19"/>
      <c r="O20" s="26">
        <f t="shared" si="4"/>
        <v>4.2446480976428589</v>
      </c>
    </row>
    <row r="21" spans="2:17" x14ac:dyDescent="0.25">
      <c r="B21">
        <v>1991</v>
      </c>
      <c r="D21" s="26">
        <f>'Table 3.4-8A -490 GWh $8 M '!D21</f>
        <v>16.000392307692309</v>
      </c>
      <c r="E21" s="32">
        <f t="shared" si="5"/>
        <v>9.2321018068021985</v>
      </c>
      <c r="F21" s="26">
        <f t="shared" si="1"/>
        <v>16.291012309516482</v>
      </c>
      <c r="H21" s="19"/>
      <c r="I21" s="26">
        <f t="shared" si="2"/>
        <v>16.291012309516482</v>
      </c>
      <c r="K21" s="26">
        <f t="shared" si="0"/>
        <v>5.5514265772912097</v>
      </c>
      <c r="L21" s="26">
        <f t="shared" si="3"/>
        <v>9.7960746749340686</v>
      </c>
      <c r="N21" s="19"/>
      <c r="O21" s="26">
        <f t="shared" si="4"/>
        <v>9.7960746749340686</v>
      </c>
    </row>
    <row r="22" spans="2:17" x14ac:dyDescent="0.25">
      <c r="B22">
        <v>1992</v>
      </c>
      <c r="D22" s="26">
        <f>'Table 3.4-8A -490 GWh $8 M '!D22</f>
        <v>5.7728230769230757</v>
      </c>
      <c r="E22" s="32">
        <f t="shared" si="5"/>
        <v>11.925327612340661</v>
      </c>
      <c r="F22" s="26">
        <f t="shared" si="1"/>
        <v>28.216339921857141</v>
      </c>
      <c r="H22" s="19">
        <f t="shared" ref="H22:H45" si="6">IF(I21+E22&gt;$E$4,$E$4-(I21+E22),IF(I21+E22&lt;-$E$4,(-$E$4)-(I21+E22),0))</f>
        <v>-6.2163399218571413</v>
      </c>
      <c r="I22" s="26">
        <f t="shared" si="2"/>
        <v>22</v>
      </c>
      <c r="K22" s="26">
        <f t="shared" si="0"/>
        <v>7.1709110271373637</v>
      </c>
      <c r="L22" s="26">
        <f t="shared" si="3"/>
        <v>16.966985702071433</v>
      </c>
      <c r="N22" s="19"/>
      <c r="O22" s="26">
        <f t="shared" si="4"/>
        <v>16.966985702071433</v>
      </c>
    </row>
    <row r="23" spans="2:17" x14ac:dyDescent="0.25">
      <c r="B23">
        <v>1993</v>
      </c>
      <c r="D23" s="26">
        <f>'Table 3.4-8A -490 GWh $8 M '!D23</f>
        <v>12.642915384615382</v>
      </c>
      <c r="E23" s="32">
        <f t="shared" si="5"/>
        <v>10.116226204956044</v>
      </c>
      <c r="F23" s="26">
        <f t="shared" si="1"/>
        <v>38.332566126813184</v>
      </c>
      <c r="H23" s="19">
        <f t="shared" si="6"/>
        <v>-10.116226204956043</v>
      </c>
      <c r="I23" s="26">
        <f t="shared" si="2"/>
        <v>22</v>
      </c>
      <c r="K23" s="26">
        <f t="shared" si="0"/>
        <v>6.0830662606758255</v>
      </c>
      <c r="L23" s="26">
        <f t="shared" si="3"/>
        <v>23.050051962747258</v>
      </c>
      <c r="N23" s="19">
        <f t="shared" ref="N23:N24" si="7">IF(O22+K23&gt;$E$4,$E$4-(O22+K23),IF(O22+K23&lt;-$E$4,(-$E$4)-(O22+K23),0))</f>
        <v>-1.0500519627472578</v>
      </c>
      <c r="O23" s="26">
        <f t="shared" si="4"/>
        <v>22</v>
      </c>
    </row>
    <row r="24" spans="2:17" x14ac:dyDescent="0.25">
      <c r="B24">
        <v>1994</v>
      </c>
      <c r="D24" s="26">
        <f>'Table 3.4-8A -490 GWh $8 M '!D24</f>
        <v>50.524699999999996</v>
      </c>
      <c r="E24" s="32">
        <f>($E$5-$D24)*$E$7</f>
        <v>0.14081586218681516</v>
      </c>
      <c r="F24" s="26">
        <f t="shared" si="1"/>
        <v>38.473381988999996</v>
      </c>
      <c r="H24" s="19">
        <f t="shared" si="6"/>
        <v>-0.14081586218681608</v>
      </c>
      <c r="I24" s="26">
        <f t="shared" si="2"/>
        <v>22</v>
      </c>
      <c r="K24" s="26">
        <f t="shared" si="0"/>
        <v>8.4675075752748435E-2</v>
      </c>
      <c r="L24" s="26">
        <f t="shared" si="3"/>
        <v>23.134727038500007</v>
      </c>
      <c r="N24" s="19">
        <f t="shared" si="7"/>
        <v>-8.4675075752748796E-2</v>
      </c>
      <c r="O24" s="26">
        <f t="shared" si="4"/>
        <v>22</v>
      </c>
    </row>
    <row r="25" spans="2:17" x14ac:dyDescent="0.25">
      <c r="B25">
        <v>1995</v>
      </c>
      <c r="D25" s="26">
        <f>'Table 3.4-8A -490 GWh $8 M '!D25</f>
        <v>113.07503846153848</v>
      </c>
      <c r="E25" s="36">
        <f t="shared" si="5"/>
        <v>-16.330564764890116</v>
      </c>
      <c r="F25" s="26">
        <f t="shared" si="1"/>
        <v>22.14281722410988</v>
      </c>
      <c r="H25" s="19"/>
      <c r="I25" s="26">
        <f t="shared" si="2"/>
        <v>5.6694352351098836</v>
      </c>
      <c r="K25" s="26">
        <f t="shared" si="0"/>
        <v>-9.8198582679395638</v>
      </c>
      <c r="L25" s="26">
        <f t="shared" si="3"/>
        <v>13.314868770560443</v>
      </c>
      <c r="N25" s="19"/>
      <c r="O25" s="26">
        <f t="shared" si="4"/>
        <v>12.180141732060436</v>
      </c>
    </row>
    <row r="26" spans="2:17" x14ac:dyDescent="0.25">
      <c r="B26">
        <v>1996</v>
      </c>
      <c r="D26" s="26">
        <f>'Table 3.4-8A -490 GWh $8 M '!D26</f>
        <v>120.36643846153849</v>
      </c>
      <c r="E26" s="36">
        <f t="shared" si="5"/>
        <v>-18.250609126890119</v>
      </c>
      <c r="F26" s="26">
        <f t="shared" si="1"/>
        <v>3.8922080972197612</v>
      </c>
      <c r="H26" s="19"/>
      <c r="I26" s="26">
        <f t="shared" si="2"/>
        <v>-12.581173891780235</v>
      </c>
      <c r="K26" s="26">
        <f t="shared" si="0"/>
        <v>-10.974415000939567</v>
      </c>
      <c r="L26" s="26">
        <f t="shared" si="3"/>
        <v>2.3404537696208756</v>
      </c>
      <c r="N26" s="19"/>
      <c r="O26" s="26">
        <f>O25+K26+N26</f>
        <v>1.205726731120869</v>
      </c>
    </row>
    <row r="27" spans="2:17" x14ac:dyDescent="0.25">
      <c r="B27">
        <v>1997</v>
      </c>
      <c r="D27" s="26">
        <f>'Table 3.4-8A -490 GWh $8 M '!D27</f>
        <v>101.60387692307692</v>
      </c>
      <c r="E27" s="36">
        <f t="shared" si="5"/>
        <v>-13.309863796967033</v>
      </c>
      <c r="F27" s="26">
        <f t="shared" si="1"/>
        <v>-9.4176556997472716</v>
      </c>
      <c r="H27" s="19">
        <f t="shared" si="6"/>
        <v>3.891037688747268</v>
      </c>
      <c r="I27" s="26">
        <f t="shared" si="2"/>
        <v>-22</v>
      </c>
      <c r="K27" s="26">
        <f t="shared" si="0"/>
        <v>-8.0034571941318688</v>
      </c>
      <c r="L27" s="26">
        <f t="shared" si="3"/>
        <v>-5.6630034245109933</v>
      </c>
      <c r="N27" s="19"/>
      <c r="O27" s="26">
        <f t="shared" ref="O27:O45" si="8">O26+K27+N27</f>
        <v>-6.7977304630109998</v>
      </c>
    </row>
    <row r="28" spans="2:17" x14ac:dyDescent="0.25">
      <c r="B28">
        <v>1998</v>
      </c>
      <c r="D28" s="26">
        <f>'Table 3.4-8A -490 GWh $8 M '!D28</f>
        <v>105.8979615384615</v>
      </c>
      <c r="E28" s="36">
        <f t="shared" si="5"/>
        <v>-14.440625098736254</v>
      </c>
      <c r="F28" s="26">
        <f t="shared" si="1"/>
        <v>-23.858280798483527</v>
      </c>
      <c r="H28" s="19">
        <f t="shared" si="6"/>
        <v>14.440625098736255</v>
      </c>
      <c r="I28" s="26">
        <f t="shared" si="2"/>
        <v>-22</v>
      </c>
      <c r="K28" s="26">
        <f t="shared" si="0"/>
        <v>-8.6834040225549387</v>
      </c>
      <c r="L28" s="26">
        <f t="shared" si="3"/>
        <v>-14.346407447065932</v>
      </c>
      <c r="N28" s="19"/>
      <c r="O28" s="26">
        <f t="shared" si="8"/>
        <v>-15.481134485565939</v>
      </c>
    </row>
    <row r="29" spans="2:17" x14ac:dyDescent="0.25">
      <c r="B29">
        <v>1999</v>
      </c>
      <c r="D29" s="26">
        <f>'Table 3.4-8A -490 GWh $8 M '!D29</f>
        <v>125.5052923076923</v>
      </c>
      <c r="E29" s="36">
        <f t="shared" si="5"/>
        <v>-19.603823510197802</v>
      </c>
      <c r="F29" s="26">
        <f t="shared" si="1"/>
        <v>-43.462104308681333</v>
      </c>
      <c r="H29" s="19">
        <f t="shared" si="6"/>
        <v>19.603823510197799</v>
      </c>
      <c r="I29" s="26">
        <f>I28+E29+H29</f>
        <v>-22</v>
      </c>
      <c r="K29" s="26">
        <f t="shared" si="0"/>
        <v>-11.788126813208791</v>
      </c>
      <c r="L29" s="26">
        <f t="shared" si="3"/>
        <v>-26.134534260274723</v>
      </c>
      <c r="N29" s="19">
        <f t="shared" ref="N29:N37" si="9">IF(O28+K29&gt;$E$4,$E$4-(O28+K29),IF(O28+K29&lt;-$E$4,(-$E$4)-(O28+K29),0))</f>
        <v>5.2692612987747296</v>
      </c>
      <c r="O29" s="26">
        <f t="shared" si="8"/>
        <v>-22</v>
      </c>
      <c r="Q29" s="26"/>
    </row>
    <row r="30" spans="2:17" x14ac:dyDescent="0.25">
      <c r="B30">
        <v>2000</v>
      </c>
      <c r="D30" s="26">
        <f>'Table 3.4-8A -490 GWh $8 M '!D30</f>
        <v>59.799861538461535</v>
      </c>
      <c r="E30" s="36">
        <f t="shared" si="5"/>
        <v>-2.3016124257362622</v>
      </c>
      <c r="F30" s="26">
        <f t="shared" si="1"/>
        <v>-45.763716734417592</v>
      </c>
      <c r="H30" s="19">
        <f t="shared" si="6"/>
        <v>2.3016124257362627</v>
      </c>
      <c r="I30" s="26">
        <f t="shared" si="2"/>
        <v>-22</v>
      </c>
      <c r="K30" s="26">
        <f t="shared" si="0"/>
        <v>-1.3840003780549441</v>
      </c>
      <c r="L30" s="26">
        <f t="shared" si="3"/>
        <v>-27.518534638329669</v>
      </c>
      <c r="N30" s="19">
        <f t="shared" si="9"/>
        <v>1.3840003780549424</v>
      </c>
      <c r="O30" s="26">
        <f t="shared" si="8"/>
        <v>-22</v>
      </c>
    </row>
    <row r="31" spans="2:17" x14ac:dyDescent="0.25">
      <c r="B31">
        <v>2001</v>
      </c>
      <c r="D31" s="26">
        <f>'Table 3.4-8A -490 GWh $8 M '!D31</f>
        <v>28.569453846153849</v>
      </c>
      <c r="E31" s="32">
        <f t="shared" si="5"/>
        <v>5.9222908318791214</v>
      </c>
      <c r="F31" s="26">
        <f t="shared" si="1"/>
        <v>-39.841425902538468</v>
      </c>
      <c r="H31" s="19"/>
      <c r="I31" s="26">
        <f>I30+E31+H31</f>
        <v>-16.077709168120879</v>
      </c>
      <c r="K31" s="26">
        <f t="shared" si="0"/>
        <v>3.5611785279835169</v>
      </c>
      <c r="L31" s="26">
        <f t="shared" si="3"/>
        <v>-23.957356110346151</v>
      </c>
      <c r="N31" s="19"/>
      <c r="O31" s="26">
        <f t="shared" si="8"/>
        <v>-18.438821472016482</v>
      </c>
    </row>
    <row r="32" spans="2:17" x14ac:dyDescent="0.25">
      <c r="B32">
        <v>2002</v>
      </c>
      <c r="D32" s="26">
        <f>'Table 3.4-8A -490 GWh $8 M '!D32</f>
        <v>38.142684615384624</v>
      </c>
      <c r="E32" s="32">
        <f t="shared" si="5"/>
        <v>3.4013719734175809</v>
      </c>
      <c r="F32" s="26">
        <f t="shared" si="1"/>
        <v>-36.440053929120886</v>
      </c>
      <c r="H32" s="19"/>
      <c r="I32" s="26">
        <f t="shared" ref="I32:I45" si="10">I31+E32+H32</f>
        <v>-12.676337194703299</v>
      </c>
      <c r="K32" s="26">
        <f t="shared" si="0"/>
        <v>2.0453053018296696</v>
      </c>
      <c r="L32" s="26">
        <f t="shared" si="3"/>
        <v>-21.912050808516483</v>
      </c>
      <c r="N32" s="19"/>
      <c r="O32" s="26">
        <f t="shared" si="8"/>
        <v>-16.393516170186814</v>
      </c>
    </row>
    <row r="33" spans="2:18" x14ac:dyDescent="0.25">
      <c r="B33">
        <v>2003</v>
      </c>
      <c r="D33" s="26">
        <f>'Table 3.4-8A -490 GWh $8 M '!D33</f>
        <v>65.39354615384616</v>
      </c>
      <c r="E33" s="36">
        <f t="shared" si="5"/>
        <v>-3.7745973955054954</v>
      </c>
      <c r="F33" s="26">
        <f t="shared" si="1"/>
        <v>-40.214651324626381</v>
      </c>
      <c r="H33" s="19"/>
      <c r="I33" s="26">
        <f t="shared" si="10"/>
        <v>-16.450934590208796</v>
      </c>
      <c r="K33" s="26">
        <f t="shared" si="0"/>
        <v>-2.2697323684780226</v>
      </c>
      <c r="L33" s="26">
        <f t="shared" si="3"/>
        <v>-24.181783176994507</v>
      </c>
      <c r="N33" s="19"/>
      <c r="O33" s="26">
        <f t="shared" si="8"/>
        <v>-18.663248538664838</v>
      </c>
    </row>
    <row r="34" spans="2:18" x14ac:dyDescent="0.25">
      <c r="B34">
        <v>2004</v>
      </c>
      <c r="D34" s="26">
        <f>'Table 3.4-8A -490 GWh $8 M '!D34</f>
        <v>66.155007692307706</v>
      </c>
      <c r="E34" s="36">
        <f t="shared" si="5"/>
        <v>-3.9751130624285742</v>
      </c>
      <c r="F34" s="26">
        <f t="shared" si="1"/>
        <v>-44.189764387054957</v>
      </c>
      <c r="H34" s="19"/>
      <c r="I34" s="26">
        <f t="shared" si="10"/>
        <v>-20.426047652637369</v>
      </c>
      <c r="K34" s="26">
        <f t="shared" si="0"/>
        <v>-2.3903059957857162</v>
      </c>
      <c r="L34" s="26">
        <f t="shared" si="3"/>
        <v>-26.572089172780224</v>
      </c>
      <c r="N34" s="19"/>
      <c r="O34" s="26">
        <f t="shared" si="8"/>
        <v>-21.053554534450555</v>
      </c>
    </row>
    <row r="35" spans="2:18" x14ac:dyDescent="0.25">
      <c r="B35">
        <v>2005</v>
      </c>
      <c r="D35" s="26">
        <f>'Table 3.4-8A -490 GWh $8 M '!D35</f>
        <v>64.042553846153851</v>
      </c>
      <c r="E35" s="36">
        <f t="shared" si="5"/>
        <v>-3.4188405911208797</v>
      </c>
      <c r="F35" s="26">
        <f t="shared" si="1"/>
        <v>-47.608604978175833</v>
      </c>
      <c r="H35" s="19">
        <f t="shared" si="6"/>
        <v>1.8448882437582483</v>
      </c>
      <c r="I35" s="26">
        <f t="shared" si="10"/>
        <v>-22</v>
      </c>
      <c r="K35" s="26">
        <f t="shared" si="0"/>
        <v>-2.055809491516484</v>
      </c>
      <c r="L35" s="26">
        <f t="shared" si="3"/>
        <v>-28.627898664296708</v>
      </c>
      <c r="N35" s="19">
        <f t="shared" si="9"/>
        <v>1.1093640259670394</v>
      </c>
      <c r="O35" s="26">
        <f t="shared" si="8"/>
        <v>-22</v>
      </c>
      <c r="Q35" s="19"/>
      <c r="R35" s="19"/>
    </row>
    <row r="36" spans="2:18" x14ac:dyDescent="0.25">
      <c r="B36">
        <v>2006</v>
      </c>
      <c r="D36" s="26">
        <f>'Table 3.4-8A -490 GWh $8 M '!D36</f>
        <v>61.863823076923083</v>
      </c>
      <c r="E36" s="36">
        <f t="shared" si="5"/>
        <v>-2.8451154176593416</v>
      </c>
      <c r="F36" s="26">
        <f t="shared" si="1"/>
        <v>-50.453720395835177</v>
      </c>
      <c r="H36" s="19">
        <f t="shared" si="6"/>
        <v>2.8451154176593434</v>
      </c>
      <c r="I36" s="26">
        <f t="shared" si="10"/>
        <v>-22</v>
      </c>
      <c r="K36" s="26">
        <f t="shared" si="0"/>
        <v>-1.7108183678626381</v>
      </c>
      <c r="L36" s="26">
        <f t="shared" si="3"/>
        <v>-30.338717032159348</v>
      </c>
      <c r="N36" s="19">
        <f t="shared" si="9"/>
        <v>1.7108183678626396</v>
      </c>
      <c r="O36" s="26">
        <f t="shared" si="8"/>
        <v>-22</v>
      </c>
      <c r="Q36" s="19"/>
      <c r="R36" s="19"/>
    </row>
    <row r="37" spans="2:18" x14ac:dyDescent="0.25">
      <c r="B37">
        <v>2007</v>
      </c>
      <c r="D37" s="26">
        <f>'Table 3.4-8A -490 GWh $8 M '!D37</f>
        <v>53.336176923076927</v>
      </c>
      <c r="E37" s="36">
        <f t="shared" si="5"/>
        <v>-0.59953035596703319</v>
      </c>
      <c r="F37" s="26">
        <f t="shared" si="1"/>
        <v>-51.05325075180221</v>
      </c>
      <c r="H37" s="19">
        <f t="shared" si="6"/>
        <v>0.5995303559670333</v>
      </c>
      <c r="I37" s="26">
        <f t="shared" si="10"/>
        <v>-22</v>
      </c>
      <c r="K37" s="26">
        <f>($E$5-$D37)*$K$6</f>
        <v>-0.36050823763186829</v>
      </c>
      <c r="L37" s="26">
        <f t="shared" si="3"/>
        <v>-30.699225269791217</v>
      </c>
      <c r="N37" s="19">
        <f t="shared" si="9"/>
        <v>0.36050823763186912</v>
      </c>
      <c r="O37" s="26">
        <f t="shared" si="8"/>
        <v>-22</v>
      </c>
    </row>
    <row r="38" spans="2:18" x14ac:dyDescent="0.25">
      <c r="B38">
        <v>2008</v>
      </c>
      <c r="D38" s="26">
        <f>'Table 3.4-8A -490 GWh $8 M '!D38</f>
        <v>44.101561538461553</v>
      </c>
      <c r="E38" s="32">
        <f t="shared" si="5"/>
        <v>1.8322209132637333</v>
      </c>
      <c r="F38" s="26">
        <f t="shared" si="1"/>
        <v>-49.221029838538477</v>
      </c>
      <c r="H38" s="19"/>
      <c r="I38" s="26">
        <f t="shared" si="10"/>
        <v>-20.167779086736267</v>
      </c>
      <c r="K38" s="26">
        <f t="shared" si="0"/>
        <v>1.1017469354450533</v>
      </c>
      <c r="L38" s="26">
        <f t="shared" si="3"/>
        <v>-29.597478334346164</v>
      </c>
      <c r="N38" s="19"/>
      <c r="O38" s="26">
        <f t="shared" si="8"/>
        <v>-20.898253064554947</v>
      </c>
    </row>
    <row r="39" spans="2:18" x14ac:dyDescent="0.25">
      <c r="B39">
        <v>2009</v>
      </c>
      <c r="D39" s="26">
        <f>'Table 3.4-8A -490 GWh $8 M '!D39</f>
        <v>28.609830769230758</v>
      </c>
      <c r="E39" s="32">
        <f t="shared" si="5"/>
        <v>5.9116583767252786</v>
      </c>
      <c r="F39" s="26">
        <f t="shared" si="1"/>
        <v>-43.3093714618132</v>
      </c>
      <c r="H39" s="19"/>
      <c r="I39" s="26">
        <f t="shared" si="10"/>
        <v>-14.25612071001099</v>
      </c>
      <c r="K39" s="26">
        <f t="shared" si="0"/>
        <v>3.5547850440989035</v>
      </c>
      <c r="L39" s="26">
        <f t="shared" si="3"/>
        <v>-26.042693290247261</v>
      </c>
      <c r="N39" s="19"/>
      <c r="O39" s="26">
        <f t="shared" si="8"/>
        <v>-17.343468020456044</v>
      </c>
    </row>
    <row r="40" spans="2:18" x14ac:dyDescent="0.25">
      <c r="B40">
        <v>2010</v>
      </c>
      <c r="D40" s="26">
        <f>'Table 3.4-8A -490 GWh $8 M '!D40</f>
        <v>50.388476923076929</v>
      </c>
      <c r="E40" s="32">
        <f t="shared" si="5"/>
        <v>0.17668748503296622</v>
      </c>
      <c r="F40" s="26">
        <f t="shared" si="1"/>
        <v>-43.132683976780235</v>
      </c>
      <c r="H40" s="19"/>
      <c r="I40" s="26">
        <f t="shared" si="10"/>
        <v>-14.079433224978024</v>
      </c>
      <c r="K40" s="26">
        <f t="shared" si="0"/>
        <v>0.10624531886813138</v>
      </c>
      <c r="L40" s="26">
        <f t="shared" si="3"/>
        <v>-25.936447971379131</v>
      </c>
      <c r="N40" s="19"/>
      <c r="O40" s="26">
        <f t="shared" si="8"/>
        <v>-17.23722270158791</v>
      </c>
    </row>
    <row r="41" spans="2:18" x14ac:dyDescent="0.25">
      <c r="B41">
        <v>2011</v>
      </c>
      <c r="D41" s="26">
        <f>'Table 3.4-8A -490 GWh $8 M '!D41</f>
        <v>51.089961538461552</v>
      </c>
      <c r="E41" s="36">
        <f t="shared" si="5"/>
        <v>-8.0344587362663443E-3</v>
      </c>
      <c r="F41" s="26">
        <f t="shared" si="1"/>
        <v>-43.140718435516504</v>
      </c>
      <c r="H41" s="19"/>
      <c r="I41" s="26">
        <f t="shared" si="10"/>
        <v>-14.087467683714291</v>
      </c>
      <c r="K41" s="26">
        <f t="shared" si="0"/>
        <v>-4.8312625549466236E-3</v>
      </c>
      <c r="L41" s="26">
        <f t="shared" si="3"/>
        <v>-25.941279233934079</v>
      </c>
      <c r="N41" s="19"/>
      <c r="O41" s="26">
        <f t="shared" si="8"/>
        <v>-17.242053964142858</v>
      </c>
    </row>
    <row r="42" spans="2:18" x14ac:dyDescent="0.25">
      <c r="B42">
        <v>2012</v>
      </c>
      <c r="D42" s="26">
        <f>'Table 3.4-8A -490 GWh $8 M '!D42</f>
        <v>16.008769230769232</v>
      </c>
      <c r="E42" s="32">
        <f t="shared" si="5"/>
        <v>9.2298959116483523</v>
      </c>
      <c r="F42" s="26">
        <f t="shared" si="1"/>
        <v>-33.910822523868148</v>
      </c>
      <c r="H42" s="19"/>
      <c r="I42" s="26">
        <f t="shared" si="10"/>
        <v>-4.8575717720659384</v>
      </c>
      <c r="K42" s="26">
        <f t="shared" si="0"/>
        <v>5.5501001334065938</v>
      </c>
      <c r="L42" s="26">
        <f t="shared" si="3"/>
        <v>-20.391179100527484</v>
      </c>
      <c r="N42" s="19"/>
      <c r="O42" s="26">
        <f t="shared" si="8"/>
        <v>-11.691953830736264</v>
      </c>
    </row>
    <row r="43" spans="2:18" x14ac:dyDescent="0.25">
      <c r="B43">
        <v>2013</v>
      </c>
      <c r="D43" s="26">
        <f>'Table 3.4-8A -490 GWh $8 M '!D43</f>
        <v>6.2056307692307682</v>
      </c>
      <c r="E43" s="32">
        <f t="shared" si="5"/>
        <v>11.811356362725277</v>
      </c>
      <c r="F43" s="26">
        <f t="shared" si="1"/>
        <v>-22.099466161142871</v>
      </c>
      <c r="H43" s="19"/>
      <c r="I43" s="26">
        <f t="shared" si="10"/>
        <v>6.953784590659339</v>
      </c>
      <c r="K43" s="26">
        <f t="shared" si="0"/>
        <v>7.1023780930989027</v>
      </c>
      <c r="L43" s="26">
        <f t="shared" si="3"/>
        <v>-13.288801007428582</v>
      </c>
      <c r="N43" s="19"/>
      <c r="O43" s="26">
        <f t="shared" si="8"/>
        <v>-4.5895757376373609</v>
      </c>
    </row>
    <row r="44" spans="2:18" x14ac:dyDescent="0.25">
      <c r="B44">
        <v>2014</v>
      </c>
      <c r="D44" s="26">
        <f>'Table 3.4-8A -490 GWh $8 M '!D44</f>
        <v>6.8072307692307668</v>
      </c>
      <c r="E44" s="32">
        <f t="shared" si="5"/>
        <v>11.652937034725278</v>
      </c>
      <c r="F44" s="26">
        <f t="shared" si="1"/>
        <v>-10.446529126417593</v>
      </c>
      <c r="H44" s="19"/>
      <c r="I44" s="26">
        <f t="shared" si="10"/>
        <v>18.606721625384615</v>
      </c>
      <c r="K44" s="26">
        <f t="shared" si="0"/>
        <v>7.0071177410989032</v>
      </c>
      <c r="L44" s="26">
        <f t="shared" si="3"/>
        <v>-6.2816832663296784</v>
      </c>
      <c r="N44" s="19"/>
      <c r="O44" s="26">
        <f t="shared" si="8"/>
        <v>2.4175420034615422</v>
      </c>
    </row>
    <row r="45" spans="2:18" x14ac:dyDescent="0.25">
      <c r="B45">
        <v>2015</v>
      </c>
      <c r="D45" s="26">
        <f>'Table 3.4-8A -490 GWh $8 M '!D45</f>
        <v>11.388584615384616</v>
      </c>
      <c r="E45" s="32">
        <f t="shared" si="5"/>
        <v>10.446529126417584</v>
      </c>
      <c r="F45" s="26">
        <f t="shared" si="1"/>
        <v>0</v>
      </c>
      <c r="H45" s="19">
        <f t="shared" si="6"/>
        <v>-7.0532507518021994</v>
      </c>
      <c r="I45" s="26">
        <f t="shared" si="10"/>
        <v>22</v>
      </c>
      <c r="K45" s="26">
        <f t="shared" si="0"/>
        <v>6.2816832663296713</v>
      </c>
      <c r="L45" s="26">
        <f t="shared" si="3"/>
        <v>-7.1054273576010019E-15</v>
      </c>
      <c r="N45" s="19"/>
      <c r="O45" s="26">
        <f t="shared" si="8"/>
        <v>8.6992252697912136</v>
      </c>
      <c r="Q45" s="26"/>
    </row>
    <row r="46" spans="2:18" ht="9" customHeight="1" x14ac:dyDescent="0.25">
      <c r="D46" s="26"/>
      <c r="E46" s="34"/>
    </row>
    <row r="47" spans="2:18" x14ac:dyDescent="0.25">
      <c r="B47" t="s">
        <v>49</v>
      </c>
      <c r="D47" s="27">
        <f>AVERAGE(D11:D45)</f>
        <v>51.059450549450553</v>
      </c>
      <c r="E47" s="34"/>
      <c r="K47" s="27"/>
    </row>
    <row r="48" spans="2:18" x14ac:dyDescent="0.25">
      <c r="D48" s="26"/>
      <c r="G48" t="s">
        <v>26</v>
      </c>
      <c r="H48" s="26">
        <f>SUM(H11:H45)</f>
        <v>22.000000000000011</v>
      </c>
      <c r="M48" t="s">
        <v>26</v>
      </c>
      <c r="N48" s="26">
        <f>SUM(N11:N45)</f>
        <v>8.6992252697912136</v>
      </c>
    </row>
    <row r="49" spans="2:14" x14ac:dyDescent="0.25">
      <c r="D49" s="26"/>
    </row>
    <row r="50" spans="2:14" x14ac:dyDescent="0.25">
      <c r="D50" s="26"/>
    </row>
    <row r="51" spans="2:14" x14ac:dyDescent="0.25">
      <c r="B51" s="17" t="s">
        <v>27</v>
      </c>
    </row>
    <row r="52" spans="2:14" x14ac:dyDescent="0.25">
      <c r="C52" t="s">
        <v>28</v>
      </c>
      <c r="H52">
        <f>COUNTBLANK(H11:H45)</f>
        <v>24</v>
      </c>
      <c r="N52">
        <f>COUNTBLANK(N11:N45)</f>
        <v>28</v>
      </c>
    </row>
    <row r="53" spans="2:14" x14ac:dyDescent="0.25">
      <c r="C53" t="s">
        <v>29</v>
      </c>
      <c r="H53">
        <f>COUNTIF(H11:H45,"&lt;0")</f>
        <v>4</v>
      </c>
      <c r="N53">
        <f>COUNTIF(N11:N45,"&lt;0")</f>
        <v>2</v>
      </c>
    </row>
    <row r="54" spans="2:14" x14ac:dyDescent="0.25">
      <c r="C54" t="s">
        <v>30</v>
      </c>
      <c r="H54">
        <f>COUNTIF(H11:H45,H58)</f>
        <v>1</v>
      </c>
      <c r="N54">
        <f>COUNTIF(N11:N45,N58)</f>
        <v>1</v>
      </c>
    </row>
    <row r="55" spans="2:14" x14ac:dyDescent="0.25">
      <c r="C55" t="s">
        <v>31</v>
      </c>
      <c r="H55">
        <f>COUNTIF(H11:H45,"&gt;0")</f>
        <v>7</v>
      </c>
      <c r="N55">
        <f>COUNTIF(N11:N45,"&gt;0")</f>
        <v>5</v>
      </c>
    </row>
    <row r="57" spans="2:14" x14ac:dyDescent="0.25">
      <c r="B57" s="17" t="s">
        <v>32</v>
      </c>
    </row>
    <row r="58" spans="2:14" x14ac:dyDescent="0.25">
      <c r="C58" t="s">
        <v>33</v>
      </c>
      <c r="H58" s="28">
        <f>MIN(H11:H45)</f>
        <v>-10.116226204956043</v>
      </c>
      <c r="N58" s="28">
        <f>MIN(N11:N45)</f>
        <v>-1.0500519627472578</v>
      </c>
    </row>
    <row r="59" spans="2:14" x14ac:dyDescent="0.25">
      <c r="C59" t="s">
        <v>34</v>
      </c>
      <c r="H59" s="28">
        <f>MAX(H11:H45)</f>
        <v>19.603823510197799</v>
      </c>
      <c r="N59" s="28">
        <f>MAX(N11:N45)</f>
        <v>5.2692612987747296</v>
      </c>
    </row>
    <row r="60" spans="2:14" x14ac:dyDescent="0.25">
      <c r="C60" t="s">
        <v>35</v>
      </c>
      <c r="H60" s="28">
        <f>H64/H55</f>
        <v>6.5038046772574587</v>
      </c>
      <c r="N60" s="28">
        <f>N64/N55</f>
        <v>1.9667904616582441</v>
      </c>
    </row>
    <row r="61" spans="2:14" x14ac:dyDescent="0.25">
      <c r="C61" t="s">
        <v>36</v>
      </c>
      <c r="H61" s="26">
        <f>H48</f>
        <v>22.000000000000011</v>
      </c>
      <c r="N61" s="26">
        <f>N48</f>
        <v>8.6992252697912136</v>
      </c>
    </row>
    <row r="64" spans="2:14" x14ac:dyDescent="0.25">
      <c r="B64" s="17" t="s">
        <v>37</v>
      </c>
      <c r="H64">
        <f>SUMIF(H11:H45,"&gt;0")</f>
        <v>45.526632740802214</v>
      </c>
      <c r="N64">
        <f>SUMIF(N11:N45,"&gt;0")</f>
        <v>9.8339523082912201</v>
      </c>
    </row>
  </sheetData>
  <mergeCells count="6">
    <mergeCell ref="E8:I8"/>
    <mergeCell ref="K8:O8"/>
    <mergeCell ref="E9:F9"/>
    <mergeCell ref="H9:I9"/>
    <mergeCell ref="K9:L9"/>
    <mergeCell ref="N9:O9"/>
  </mergeCells>
  <pageMargins left="0.7" right="0.7" top="0.75" bottom="0.75" header="0.3" footer="0.3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4C50305BE10458CD404A5428DFAFC" ma:contentTypeVersion="18" ma:contentTypeDescription="Create a new document." ma:contentTypeScope="" ma:versionID="9f75fc61c6759d535cad9c591186f491">
  <xsd:schema xmlns:xsd="http://www.w3.org/2001/XMLSchema" xmlns:xs="http://www.w3.org/2001/XMLSchema" xmlns:p="http://schemas.microsoft.com/office/2006/metadata/properties" xmlns:ns1="http://schemas.microsoft.com/sharepoint/v3" xmlns:ns2="5bfdca30-96b2-4830-9e6a-55665cf1f43a" xmlns:ns3="a982a263-ee9f-41c6-b5fa-2fdd33119a79" targetNamespace="http://schemas.microsoft.com/office/2006/metadata/properties" ma:root="true" ma:fieldsID="648507ec280a474bc5de0dc8da8f7bfe" ns1:_="" ns2:_="" ns3:_="">
    <xsd:import namespace="http://schemas.microsoft.com/sharepoint/v3"/>
    <xsd:import namespace="5bfdca30-96b2-4830-9e6a-55665cf1f43a"/>
    <xsd:import namespace="a982a263-ee9f-41c6-b5fa-2fdd33119a79"/>
    <xsd:element name="properties">
      <xsd:complexType>
        <xsd:sequence>
          <xsd:element name="documentManagement">
            <xsd:complexType>
              <xsd:all>
                <xsd:element ref="ns2:Primary0" minOccurs="0"/>
                <xsd:element ref="ns3:File" minOccurs="0"/>
                <xsd:element ref="ns3:Record_x0020_Type" minOccurs="0"/>
                <xsd:element ref="ns3:Record_x0020_Date" minOccurs="0"/>
                <xsd:element ref="ns1:PublishingStartDate" minOccurs="0"/>
                <xsd:element ref="ns1:PublishingExpirationDate" minOccurs="0"/>
                <xsd:element ref="ns2:C_Primary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dca30-96b2-4830-9e6a-55665cf1f43a" elementFormDefault="qualified">
    <xsd:import namespace="http://schemas.microsoft.com/office/2006/documentManagement/types"/>
    <xsd:import namespace="http://schemas.microsoft.com/office/infopath/2007/PartnerControls"/>
    <xsd:element name="Primary0" ma:index="1" nillable="true" ma:displayName="Primary" ma:list="{232132A6-3F26-4228-B0B1-3737A219D610}" ma:internalName="Primary0" ma:readOnly="false" ma:showField="Title" ma:web="e5db508d-f132-4833-80a7-d32b4d3b12db">
      <xsd:simpleType>
        <xsd:restriction base="dms:Lookup"/>
      </xsd:simpleType>
    </xsd:element>
    <xsd:element name="C_Primary0" ma:index="11" nillable="true" ma:displayName="C_Primary" ma:internalName="C_Primary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a263-ee9f-41c6-b5fa-2fdd33119a79" elementFormDefault="qualified">
    <xsd:import namespace="http://schemas.microsoft.com/office/2006/documentManagement/types"/>
    <xsd:import namespace="http://schemas.microsoft.com/office/infopath/2007/PartnerControls"/>
    <xsd:element name="File" ma:index="2" nillable="true" ma:displayName="File" ma:list="{93605203-C9C8-4A6A-8351-CAAB20E3C00B}" ma:internalName="File" ma:readOnly="false" ma:showField="File" ma:web="2de80cbe-736b-47a8-a178-f9284634e602">
      <xsd:simpleType>
        <xsd:restriction base="dms:Lookup"/>
      </xsd:simpleType>
    </xsd:element>
    <xsd:element name="Record_x0020_Type" ma:index="3" nillable="true" ma:displayName="Record Type" ma:list="{0182e605-c9a4-41b2-8cac-ad1103909fa5}" ma:internalName="Record_x0020_Type" ma:readOnly="false" ma:showField="Title" ma:web="e5db508d-f132-4833-80a7-d32b4d3b12db">
      <xsd:simpleType>
        <xsd:restriction base="dms:Lookup"/>
      </xsd:simpleType>
    </xsd:element>
    <xsd:element name="Record_x0020_Date" ma:index="4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_Primary0 xmlns="5bfdca30-96b2-4830-9e6a-55665cf1f43a" xsi:nil="true"/>
    <Record_x0020_Date xmlns="a982a263-ee9f-41c6-b5fa-2fdd33119a79" xsi:nil="true"/>
    <File xmlns="a982a263-ee9f-41c6-b5fa-2fdd33119a79" xsi:nil="true"/>
    <Record_x0020_Type xmlns="a982a263-ee9f-41c6-b5fa-2fdd33119a79" xsi:nil="true"/>
    <PublishingExpirationDate xmlns="http://schemas.microsoft.com/sharepoint/v3" xsi:nil="true"/>
    <PublishingStartDate xmlns="http://schemas.microsoft.com/sharepoint/v3" xsi:nil="true"/>
    <Primary0 xmlns="5bfdca30-96b2-4830-9e6a-55665cf1f43a" xsi:nil="true"/>
  </documentManagement>
</p:properties>
</file>

<file path=customXml/itemProps1.xml><?xml version="1.0" encoding="utf-8"?>
<ds:datastoreItem xmlns:ds="http://schemas.openxmlformats.org/officeDocument/2006/customXml" ds:itemID="{6E0D7DD9-213E-4A96-9AD7-94EAB3B3C762}"/>
</file>

<file path=customXml/itemProps2.xml><?xml version="1.0" encoding="utf-8"?>
<ds:datastoreItem xmlns:ds="http://schemas.openxmlformats.org/officeDocument/2006/customXml" ds:itemID="{8888B074-6046-4744-A347-7F40BC509586}"/>
</file>

<file path=customXml/itemProps3.xml><?xml version="1.0" encoding="utf-8"?>
<ds:datastoreItem xmlns:ds="http://schemas.openxmlformats.org/officeDocument/2006/customXml" ds:itemID="{19440516-2148-49C2-86AC-C3E28DDDD7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Table 3.4-4</vt:lpstr>
      <vt:lpstr>Table 3.4-5</vt:lpstr>
      <vt:lpstr>Table 3.4-6A -420 GWh $8 M</vt:lpstr>
      <vt:lpstr>Table 3.4-6B-420 GWh- $16 M</vt:lpstr>
      <vt:lpstr>Table 3.4-7A -450 GWh $8 M </vt:lpstr>
      <vt:lpstr>Table 3.4-7B -450 GWh $16 M</vt:lpstr>
      <vt:lpstr>Table 3.4-8A -490 GWh $8 M </vt:lpstr>
      <vt:lpstr>Table 3.4-8B -490 GWh $16 M</vt:lpstr>
      <vt:lpstr>Table 3.4-8C -490 GWh $22 M </vt:lpstr>
      <vt:lpstr>'Table 3.4-4'!Print_Area</vt:lpstr>
      <vt:lpstr>'Table 3.4-5'!Print_Area</vt:lpstr>
      <vt:lpstr>'Table 3.4-6A -420 GWh $8 M'!Print_Area</vt:lpstr>
      <vt:lpstr>'Table 3.4-6B-420 GWh- $16 M'!Print_Area</vt:lpstr>
      <vt:lpstr>'Table 3.4-7A -450 GWh $8 M '!Print_Area</vt:lpstr>
      <vt:lpstr>'Table 3.4-7B -450 GWh $16 M'!Print_Area</vt:lpstr>
      <vt:lpstr>'Table 3.4-8A -490 GWh $8 M '!Print_Area</vt:lpstr>
      <vt:lpstr>'Table 3.4-8B -490 GWh $16 M'!Print_Area</vt:lpstr>
      <vt:lpstr>'Table 3.4-8C -490 GWh $22 M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2017-11-22T20:35:54Z</dcterms:created>
  <dcterms:modified xsi:type="dcterms:W3CDTF">2017-11-30T20:59:11Z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fd529a34-474c-45dd-9d63-212db579197c</vt:lpwstr>
  </property>
  <property fmtid="{D5CDD505-2E9C-101B-9397-08002B2CF9AE}" pid="3" name="ContentTypeId">
    <vt:lpwstr>0x01010070D4C50305BE10458CD404A5428DFAFC</vt:lpwstr>
  </property>
  <property fmtid="{D5CDD505-2E9C-101B-9397-08002B2CF9AE}" pid="4" name="_dlc_DocId">
    <vt:lpwstr>7UVQ43MC76ES-870-2214</vt:lpwstr>
  </property>
  <property fmtid="{D5CDD505-2E9C-101B-9397-08002B2CF9AE}" pid="5" name="_dlc_DocIdUrl">
    <vt:lpwstr>https://sp2010.yec.yk.ca/Projects/2716/_layouts/DocIdRedir.aspx?ID=7UVQ43MC76ES-870-2214, 7UVQ43MC76ES-870-2214</vt:lpwstr>
  </property>
</Properties>
</file>