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 codeName="ThisWorkbook" defaultThemeVersion="124226"/>
  <xr:revisionPtr revIDLastSave="0" documentId="13_ncr:1_{B225BC49-E861-411B-89E6-045B993104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5.1" sheetId="17" r:id="rId1"/>
    <sheet name="5.2 - 2021" sheetId="34" r:id="rId2"/>
    <sheet name="5.3 - 2022" sheetId="32" r:id="rId3"/>
    <sheet name="5.4 - 2023" sheetId="31" r:id="rId4"/>
    <sheet name="5.5 - 2024" sheetId="29" r:id="rId5"/>
    <sheet name="5.6 - completed projects" sheetId="36" r:id="rId6"/>
    <sheet name="5.7 - Not Impacting Rate Base" sheetId="35" r:id="rId7"/>
  </sheets>
  <definedNames>
    <definedName name="\c">#N/A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 localSheetId="1">#REF!</definedName>
    <definedName name="___INDEX_SHEET___ASAP_Utilities" localSheetId="2">#REF!</definedName>
    <definedName name="___INDEX_SHEET___ASAP_Utilities" localSheetId="3">#REF!</definedName>
    <definedName name="___INDEX_SHEET___ASAP_Utilities" localSheetId="4">#REF!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 localSheetId="1">#REF!</definedName>
    <definedName name="___REV1" localSheetId="2">#REF!</definedName>
    <definedName name="___REV1" localSheetId="3">#REF!</definedName>
    <definedName name="___REV1" localSheetId="4">#REF!</definedName>
    <definedName name="___REV1">#REF!</definedName>
    <definedName name="___REV2" localSheetId="1">#REF!</definedName>
    <definedName name="___REV2" localSheetId="2">#REF!</definedName>
    <definedName name="___REV2" localSheetId="3">#REF!</definedName>
    <definedName name="___REV2" localSheetId="4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 localSheetId="1">#REF!</definedName>
    <definedName name="__REV1" localSheetId="2">#REF!</definedName>
    <definedName name="__REV1" localSheetId="3">#REF!</definedName>
    <definedName name="__REV1" localSheetId="4">#REF!</definedName>
    <definedName name="__REV1">#REF!</definedName>
    <definedName name="__REV2" localSheetId="1">#REF!</definedName>
    <definedName name="__REV2" localSheetId="2">#REF!</definedName>
    <definedName name="__REV2" localSheetId="3">#REF!</definedName>
    <definedName name="__REV2" localSheetId="4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Order1" hidden="1">255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 localSheetId="1">#REF!</definedName>
    <definedName name="_REV1" localSheetId="2">#REF!</definedName>
    <definedName name="_REV1" localSheetId="3">#REF!</definedName>
    <definedName name="_REV1" localSheetId="4">#REF!</definedName>
    <definedName name="_REV1">#REF!</definedName>
    <definedName name="_REV2" localSheetId="1">#REF!</definedName>
    <definedName name="_REV2" localSheetId="2">#REF!</definedName>
    <definedName name="_REV2" localSheetId="3">#REF!</definedName>
    <definedName name="_REV2" localSheetId="4">#REF!</definedName>
    <definedName name="_REV2">#REF!</definedName>
    <definedName name="_RR4">#N/A</definedName>
    <definedName name="_RR5">#N/A</definedName>
    <definedName name="_RR6">#N/A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PT1">#N/A</definedName>
    <definedName name="_SPT2">#N/A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WD2">#N/A</definedName>
    <definedName name="_WD4">#N/A</definedName>
    <definedName name="_WD5">#N/A</definedName>
    <definedName name="_WD6">#N/A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FUDC" localSheetId="1">#REF!</definedName>
    <definedName name="AFUDC" localSheetId="2">#REF!</definedName>
    <definedName name="AFUDC" localSheetId="3">#REF!</definedName>
    <definedName name="AFUDC" localSheetId="4">#REF!</definedName>
    <definedName name="AFUDC" localSheetId="5">#REF!</definedName>
    <definedName name="AFUDC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BP_Query_for_Planning">#REF!</definedName>
    <definedName name="BP_with_Future_Year">#REF!</definedName>
    <definedName name="BP_YEC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SH1" localSheetId="1">#REF!</definedName>
    <definedName name="CASH1" localSheetId="2">#REF!</definedName>
    <definedName name="CASH1" localSheetId="3">#REF!</definedName>
    <definedName name="CASH1" localSheetId="4">#REF!</definedName>
    <definedName name="CASH1">#REF!</definedName>
    <definedName name="CASH2">#REF!</definedName>
    <definedName name="CHOICE">#N/A</definedName>
    <definedName name="CLOAN">#N/A</definedName>
    <definedName name="COGS" localSheetId="5">#REF!</definedName>
    <definedName name="COGS">#REF!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ffectiveTaxRate" localSheetId="5">#REF!</definedName>
    <definedName name="EffectiveTaxRate">#REF!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ff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 localSheetId="1">#REF!</definedName>
    <definedName name="FTN_CALCULATION_AND_PMT_AMOUNTS" localSheetId="2">#REF!</definedName>
    <definedName name="FTN_CALCULATION_AND_PMT_AMOUNTS" localSheetId="3">#REF!</definedName>
    <definedName name="FTN_CALCULATION_AND_PMT_AMOUNTS" localSheetId="4">#REF!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rossMargins" localSheetId="5">#REF!</definedName>
    <definedName name="GrossMargins">#REF!</definedName>
    <definedName name="GSCAPFIN">#N/A</definedName>
    <definedName name="GSCAPIN">#N/A</definedName>
    <definedName name="hh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INDET">#N/A</definedName>
    <definedName name="INDPY1">#N/A</definedName>
    <definedName name="INDPY2">#N/A</definedName>
    <definedName name="INDTERMPY">#N/A</definedName>
    <definedName name="Insurance" localSheetId="1">#REF!</definedName>
    <definedName name="Insurance" localSheetId="2">#REF!</definedName>
    <definedName name="Insurance" localSheetId="3">#REF!</definedName>
    <definedName name="Insurance" localSheetId="4">#REF!</definedName>
    <definedName name="Insurance">#REF!</definedName>
    <definedName name="INTAX1">#N/A</definedName>
    <definedName name="INTAX2">#N/A</definedName>
    <definedName name="InventoryDaysCOGSBasis" localSheetId="5">#REF!</definedName>
    <definedName name="InventoryDaysCOGSBasis">#REF!</definedName>
    <definedName name="INVEST1">#N/A</definedName>
    <definedName name="INVEST2">#N/A</definedName>
    <definedName name="jj" localSheetId="1">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>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CInterestRate" localSheetId="5">#REF!</definedName>
    <definedName name="LOCInterestRate">#REF!</definedName>
    <definedName name="MACRO">#N/A</definedName>
    <definedName name="MaxLineOfCredit" localSheetId="5">#REF!</definedName>
    <definedName name="MaxLineOfCredit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 localSheetId="1">#REF!</definedName>
    <definedName name="no" localSheetId="2">#REF!</definedName>
    <definedName name="no" localSheetId="3">#REF!</definedName>
    <definedName name="no" localSheetId="4">#REF!</definedName>
    <definedName name="no">#REF!</definedName>
    <definedName name="Number" localSheetId="1">#REF!</definedName>
    <definedName name="Number" localSheetId="2">#REF!</definedName>
    <definedName name="Number" localSheetId="3">#REF!</definedName>
    <definedName name="Number" localSheetId="4">#REF!</definedName>
    <definedName name="Number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LDC">#N/A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REV">#N/A</definedName>
    <definedName name="Other" localSheetId="1">#REF!</definedName>
    <definedName name="Other" localSheetId="2">#REF!</definedName>
    <definedName name="Other" localSheetId="3">#REF!</definedName>
    <definedName name="Other" localSheetId="4">#REF!</definedName>
    <definedName name="Other">#REF!</definedName>
    <definedName name="page2">#REF!</definedName>
    <definedName name="page3">#REF!</definedName>
    <definedName name="PAGE6">#REF!</definedName>
    <definedName name="page6_7" localSheetId="1">#REF!,#REF!</definedName>
    <definedName name="page6_7" localSheetId="2">#REF!,#REF!</definedName>
    <definedName name="page6_7" localSheetId="3">#REF!,#REF!</definedName>
    <definedName name="page6_7" localSheetId="4">#REF!,#REF!</definedName>
    <definedName name="page6_7">#REF!,#REF!</definedName>
    <definedName name="PAGE7" localSheetId="1">#REF!</definedName>
    <definedName name="PAGE7" localSheetId="2">#REF!</definedName>
    <definedName name="PAGE7" localSheetId="3">#REF!</definedName>
    <definedName name="PAGE7" localSheetId="4">#REF!</definedName>
    <definedName name="PAGE7">#REF!</definedName>
    <definedName name="PAGE9">#REF!</definedName>
    <definedName name="PayableDaysCOGSBasis" localSheetId="5">#REF!</definedName>
    <definedName name="PayableDaysCOGSBasis">#REF!</definedName>
    <definedName name="PERSON">#N/A</definedName>
    <definedName name="PHOT1">#N/A</definedName>
    <definedName name="PHOT2">#N/A</definedName>
    <definedName name="PRINT">#N/A</definedName>
    <definedName name="_xlnm.Print_Area" localSheetId="0">'5.1'!$A$1:$F$65</definedName>
    <definedName name="_xlnm.Print_Area" localSheetId="1">'5.2 - 2021'!$A$1:$G$115</definedName>
    <definedName name="_xlnm.Print_Area" localSheetId="2">'5.3 - 2022'!$A$1:$G$132</definedName>
    <definedName name="_xlnm.Print_Area" localSheetId="3">'5.4 - 2023'!$A$1:$G$133</definedName>
    <definedName name="_xlnm.Print_Area" localSheetId="4">'5.5 - 2024'!$A$1:$G$104</definedName>
    <definedName name="_xlnm.Print_Area" localSheetId="5">'5.6 - completed projects'!$A$1:$J$163</definedName>
    <definedName name="_xlnm.Print_Area" localSheetId="6">'5.7 - Not Impacting Rate Base'!$A$1:$Y$85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_xlnm.Print_Titles" localSheetId="1">'5.2 - 2021'!$1:$6</definedName>
    <definedName name="_xlnm.Print_Titles" localSheetId="2">'5.3 - 2022'!$1:$6</definedName>
    <definedName name="_xlnm.Print_Titles" localSheetId="3">'5.4 - 2023'!$1:$6</definedName>
    <definedName name="_xlnm.Print_Titles" localSheetId="4">'5.5 - 2024'!$1:$6</definedName>
    <definedName name="PRINTALLOT">#N/A</definedName>
    <definedName name="PRINTCAPPY1">#N/A</definedName>
    <definedName name="PRINTCAPPY2">#N/A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eceivableDaysSalesBasis" localSheetId="5">#REF!</definedName>
    <definedName name="ReceivableDaysSalesBasis">#REF!</definedName>
    <definedName name="REV">#N/A</definedName>
    <definedName name="REVENUE">#N/A</definedName>
    <definedName name="REVENUES">#N/A</definedName>
    <definedName name="RiderJForecast" localSheetId="1">#REF!</definedName>
    <definedName name="RiderJForecast" localSheetId="2">#REF!</definedName>
    <definedName name="RiderJForecast" localSheetId="3">#REF!</definedName>
    <definedName name="RiderJForecast" localSheetId="4">#REF!</definedName>
    <definedName name="RiderJForecast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R3O">#N/A</definedName>
    <definedName name="RR3P">#N/A</definedName>
    <definedName name="RR3T">#N/A</definedName>
    <definedName name="RR5I">#N/A</definedName>
    <definedName name="RR5T">#N/A</definedName>
    <definedName name="Salesforecastdollars" localSheetId="1">#REF!</definedName>
    <definedName name="Salesforecastdollars" localSheetId="2">#REF!</definedName>
    <definedName name="Salesforecastdollars" localSheetId="3">#REF!</definedName>
    <definedName name="Salesforecastdollars" localSheetId="4">#REF!</definedName>
    <definedName name="Salesforecastdollars">#REF!</definedName>
    <definedName name="SalesforecastKWh">#REF!</definedName>
    <definedName name="Sch2OMDetail">#REF!</definedName>
    <definedName name="SGAPercentOfRevenues" localSheetId="5">#REF!</definedName>
    <definedName name="SGAPercentOfRevenues">#REF!</definedName>
    <definedName name="START">#N/A</definedName>
    <definedName name="SUMMARY">#N/A</definedName>
    <definedName name="TABLE">#N/A</definedName>
    <definedName name="taxes" localSheetId="1">#REF!</definedName>
    <definedName name="taxes" localSheetId="2">#REF!</definedName>
    <definedName name="taxes" localSheetId="3">#REF!</definedName>
    <definedName name="taxes" localSheetId="4">#REF!</definedName>
    <definedName name="taxes">#REF!</definedName>
    <definedName name="TERM">#N/A</definedName>
    <definedName name="TermDebtAmount" localSheetId="5">#REF!</definedName>
    <definedName name="TermDebtAmount">#REF!</definedName>
    <definedName name="TermDebtAmPeriodYears" localSheetId="5">#REF!</definedName>
    <definedName name="TermDebtAmPeriodYears">#REF!</definedName>
    <definedName name="TermDebtPayments" localSheetId="5">#REF!</definedName>
    <definedName name="TermDebtPayments">#REF!</definedName>
    <definedName name="TermDebtRate" localSheetId="5">#REF!</definedName>
    <definedName name="TermDebtRate">#REF!</definedName>
    <definedName name="TERPY1">#N/A</definedName>
    <definedName name="TERPY2">#N/A</definedName>
    <definedName name="TEST">#N/A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NSFER">#N/A</definedName>
    <definedName name="TREV">#N/A</definedName>
    <definedName name="ttlannualdiesel" localSheetId="1">#REF!</definedName>
    <definedName name="ttlannualdiesel" localSheetId="2">#REF!</definedName>
    <definedName name="ttlannualdiesel" localSheetId="3">#REF!</definedName>
    <definedName name="ttlannualdiesel" localSheetId="4">#REF!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IP" localSheetId="1">#REF!</definedName>
    <definedName name="WIP" localSheetId="2">#REF!</definedName>
    <definedName name="WIP" localSheetId="3">#REF!</definedName>
    <definedName name="WIP" localSheetId="4">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C_7__Flex_Note" localSheetId="1">#REF!</definedName>
    <definedName name="YEC_7__Flex_Note" localSheetId="2">#REF!</definedName>
    <definedName name="YEC_7__Flex_Note" localSheetId="3">#REF!</definedName>
    <definedName name="YEC_7__Flex_Note" localSheetId="4">#REF!</definedName>
    <definedName name="YEC_7__Flex_Note">#REF!</definedName>
    <definedName name="yes" localSheetId="1">#REF!</definedName>
    <definedName name="yes" localSheetId="2">#REF!</definedName>
    <definedName name="yes" localSheetId="3">#REF!</definedName>
    <definedName name="yes" localSheetId="4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 localSheetId="1">#REF!</definedName>
    <definedName name="YHCC" localSheetId="2">#REF!</definedName>
    <definedName name="YHCC" localSheetId="3">#REF!</definedName>
    <definedName name="YHCC" localSheetId="4">#REF!</definedName>
    <definedName name="YHCC">#REF!</definedName>
    <definedName name="YHCFC" localSheetId="1">#REF!</definedName>
    <definedName name="YHCFC" localSheetId="2">#REF!</definedName>
    <definedName name="YHCFC" localSheetId="3">#REF!</definedName>
    <definedName name="YHCFC" localSheetId="4">#REF!</definedName>
    <definedName name="YHCFC">#REF!</definedName>
    <definedName name="YHCFR" localSheetId="1">#REF!</definedName>
    <definedName name="YHCFR" localSheetId="2">#REF!</definedName>
    <definedName name="YHCFR" localSheetId="3">#REF!</definedName>
    <definedName name="YHCFR" localSheetId="4">#REF!</definedName>
    <definedName name="YHCFR">#REF!</definedName>
    <definedName name="YHCOLDC" localSheetId="1">#REF!</definedName>
    <definedName name="YHCOLDC" localSheetId="2">#REF!</definedName>
    <definedName name="YHCOLDC" localSheetId="3">#REF!</definedName>
    <definedName name="YHCOLDC" localSheetId="4">#REF!</definedName>
    <definedName name="YHCOLDC">#REF!</definedName>
    <definedName name="YHCOLDCR">#REF!</definedName>
    <definedName name="YHCOLDOM">#N/A</definedName>
    <definedName name="YHCOLDOMR">#N/A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Z_2E51B7C0_6CEE_11D3_AD1A_A5A650036065_.wvu.Cols" hidden="1">#REF!</definedName>
    <definedName name="Z_418DF6FE_13EF_11D2_8C37_00A0C92A9A63_.wvu.PrintArea" localSheetId="1" hidden="1">#REF!</definedName>
    <definedName name="Z_418DF6FE_13EF_11D2_8C37_00A0C92A9A63_.wvu.PrintArea" localSheetId="2" hidden="1">#REF!</definedName>
    <definedName name="Z_418DF6FE_13EF_11D2_8C37_00A0C92A9A63_.wvu.PrintArea" localSheetId="3" hidden="1">#REF!</definedName>
    <definedName name="Z_418DF6FE_13EF_11D2_8C37_00A0C92A9A63_.wvu.PrintArea" localSheetId="4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localSheetId="3" hidden="1">#REF!,#REF!,#REF!,#REF!,#REF!,#REF!,#REF!</definedName>
    <definedName name="Z_418DF6FE_13EF_11D2_8C37_00A0C92A9A63_.wvu.Rows" localSheetId="4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3" i="35" l="1"/>
  <c r="S53" i="35"/>
  <c r="N53" i="35"/>
  <c r="X1" i="35" l="1"/>
  <c r="L2" i="35"/>
  <c r="X2" i="35" s="1"/>
  <c r="G2" i="34" l="1"/>
  <c r="G2" i="32"/>
  <c r="G2" i="31"/>
  <c r="G2" i="29"/>
  <c r="I2" i="36"/>
  <c r="F21" i="17" l="1"/>
  <c r="C21" i="17"/>
  <c r="L75" i="35" l="1"/>
  <c r="K75" i="35"/>
  <c r="J75" i="35"/>
  <c r="I75" i="35"/>
  <c r="G75" i="35"/>
  <c r="F75" i="35"/>
  <c r="E75" i="35"/>
  <c r="D75" i="35"/>
  <c r="S75" i="35"/>
  <c r="R75" i="35"/>
  <c r="Q75" i="35"/>
  <c r="P75" i="35"/>
  <c r="V81" i="35" l="1"/>
  <c r="J81" i="35"/>
  <c r="I81" i="35"/>
  <c r="F81" i="35"/>
  <c r="E81" i="35"/>
  <c r="D81" i="35"/>
  <c r="N45" i="35"/>
  <c r="N44" i="35"/>
  <c r="N12" i="35"/>
  <c r="G44" i="35" l="1"/>
  <c r="G45" i="35"/>
  <c r="G81" i="35" s="1"/>
  <c r="B150" i="36" l="1"/>
  <c r="B136" i="36"/>
  <c r="B82" i="36"/>
  <c r="B67" i="36"/>
  <c r="B57" i="36"/>
  <c r="B44" i="36"/>
  <c r="C22" i="17" l="1"/>
  <c r="N26" i="35" l="1"/>
  <c r="N62" i="35"/>
  <c r="B135" i="36"/>
  <c r="B134" i="36"/>
  <c r="B78" i="36"/>
  <c r="N51" i="35"/>
  <c r="L55" i="35"/>
  <c r="K55" i="35"/>
  <c r="J55" i="35"/>
  <c r="I55" i="35"/>
  <c r="G55" i="35"/>
  <c r="F55" i="35"/>
  <c r="E55" i="35"/>
  <c r="D55" i="35"/>
  <c r="V75" i="35"/>
  <c r="N34" i="35"/>
  <c r="N21" i="35"/>
  <c r="L74" i="35"/>
  <c r="L73" i="35"/>
  <c r="K74" i="35"/>
  <c r="K73" i="35"/>
  <c r="J74" i="35"/>
  <c r="J73" i="35"/>
  <c r="I74" i="35"/>
  <c r="I73" i="35"/>
  <c r="G74" i="35"/>
  <c r="G73" i="35"/>
  <c r="F74" i="35"/>
  <c r="F73" i="35"/>
  <c r="E74" i="35"/>
  <c r="E73" i="35"/>
  <c r="D74" i="35"/>
  <c r="D73" i="35"/>
  <c r="P74" i="35"/>
  <c r="P73" i="35"/>
  <c r="Q74" i="35"/>
  <c r="Q73" i="35"/>
  <c r="R74" i="35"/>
  <c r="R73" i="35"/>
  <c r="S74" i="35"/>
  <c r="S73" i="35"/>
  <c r="N54" i="35"/>
  <c r="B148" i="36"/>
  <c r="V74" i="35"/>
  <c r="N33" i="35"/>
  <c r="B41" i="36"/>
  <c r="B131" i="36"/>
  <c r="B53" i="36"/>
  <c r="B66" i="36"/>
  <c r="B23" i="36"/>
  <c r="J77" i="35"/>
  <c r="F77" i="35"/>
  <c r="E77" i="35"/>
  <c r="N10" i="35"/>
  <c r="N9" i="35"/>
  <c r="I64" i="35" l="1"/>
  <c r="F64" i="35"/>
  <c r="E64" i="35"/>
  <c r="J64" i="35"/>
  <c r="G62" i="35"/>
  <c r="G64" i="35" s="1"/>
  <c r="D64" i="35"/>
  <c r="G10" i="35"/>
  <c r="I10" i="35" s="1"/>
  <c r="G9" i="35"/>
  <c r="I9" i="35" s="1"/>
  <c r="D77" i="35"/>
  <c r="I77" i="35" l="1"/>
  <c r="G77" i="35"/>
  <c r="N66" i="35" l="1"/>
  <c r="N64" i="35"/>
  <c r="N63" i="35"/>
  <c r="N61" i="35"/>
  <c r="N59" i="35"/>
  <c r="N57" i="35"/>
  <c r="N55" i="35"/>
  <c r="N49" i="35"/>
  <c r="N47" i="35"/>
  <c r="N39" i="35"/>
  <c r="N37" i="35"/>
  <c r="N36" i="35"/>
  <c r="N30" i="35"/>
  <c r="N28" i="35"/>
  <c r="N8" i="35"/>
  <c r="C46" i="17" l="1"/>
  <c r="B124" i="36" l="1"/>
  <c r="B81" i="36"/>
  <c r="B80" i="36"/>
  <c r="G71" i="29" l="1"/>
  <c r="F71" i="29"/>
  <c r="E71" i="29"/>
  <c r="D71" i="29"/>
  <c r="B22" i="36"/>
  <c r="G20" i="34" l="1"/>
  <c r="F59" i="35"/>
  <c r="E59" i="35"/>
  <c r="D59" i="35"/>
  <c r="J59" i="35"/>
  <c r="I59" i="35"/>
  <c r="V64" i="35"/>
  <c r="V73" i="35"/>
  <c r="N35" i="35"/>
  <c r="N58" i="35"/>
  <c r="N52" i="35"/>
  <c r="N50" i="35"/>
  <c r="N46" i="35"/>
  <c r="N43" i="35"/>
  <c r="N42" i="35"/>
  <c r="N41" i="35"/>
  <c r="N40" i="35"/>
  <c r="N27" i="35"/>
  <c r="N32" i="35"/>
  <c r="N25" i="35"/>
  <c r="N24" i="35"/>
  <c r="N23" i="35"/>
  <c r="N22" i="35"/>
  <c r="N31" i="35"/>
  <c r="N20" i="35"/>
  <c r="N19" i="35"/>
  <c r="N18" i="35"/>
  <c r="N17" i="35"/>
  <c r="N16" i="35"/>
  <c r="N15" i="35"/>
  <c r="N14" i="35"/>
  <c r="N13" i="35"/>
  <c r="N11" i="35"/>
  <c r="D57" i="34"/>
  <c r="B71" i="36"/>
  <c r="B36" i="36"/>
  <c r="B42" i="36"/>
  <c r="B119" i="36"/>
  <c r="B50" i="36"/>
  <c r="B49" i="36"/>
  <c r="B48" i="36"/>
  <c r="B72" i="36"/>
  <c r="B43" i="36"/>
  <c r="B21" i="36"/>
  <c r="B18" i="36"/>
  <c r="G72" i="36" l="1"/>
  <c r="F72" i="36"/>
  <c r="V55" i="35"/>
  <c r="I72" i="35"/>
  <c r="J72" i="35"/>
  <c r="I28" i="35"/>
  <c r="I69" i="35" s="1"/>
  <c r="J28" i="35"/>
  <c r="J69" i="35" s="1"/>
  <c r="D28" i="35"/>
  <c r="D69" i="35" s="1"/>
  <c r="E28" i="35"/>
  <c r="E69" i="35" s="1"/>
  <c r="F28" i="35"/>
  <c r="F69" i="35" s="1"/>
  <c r="F47" i="35"/>
  <c r="F79" i="35" s="1"/>
  <c r="D47" i="35"/>
  <c r="D79" i="35" s="1"/>
  <c r="E47" i="35"/>
  <c r="E79" i="35" s="1"/>
  <c r="F72" i="35"/>
  <c r="D72" i="35"/>
  <c r="V72" i="35"/>
  <c r="E72" i="35"/>
  <c r="I47" i="35"/>
  <c r="I79" i="35" s="1"/>
  <c r="J47" i="35"/>
  <c r="J79" i="35" s="1"/>
  <c r="V47" i="35"/>
  <c r="J37" i="35"/>
  <c r="I37" i="35"/>
  <c r="G58" i="34"/>
  <c r="G103" i="34" s="1"/>
  <c r="D57" i="36"/>
  <c r="G22" i="35"/>
  <c r="G43" i="35"/>
  <c r="G40" i="35"/>
  <c r="G58" i="35"/>
  <c r="G59" i="35" s="1"/>
  <c r="G50" i="34"/>
  <c r="G27" i="34"/>
  <c r="G29" i="34"/>
  <c r="G73" i="34"/>
  <c r="G37" i="34"/>
  <c r="G36" i="34"/>
  <c r="G79" i="34"/>
  <c r="G35" i="34"/>
  <c r="G51" i="34"/>
  <c r="G30" i="34"/>
  <c r="G15" i="34"/>
  <c r="G18" i="34"/>
  <c r="V79" i="35" l="1"/>
  <c r="V37" i="35"/>
  <c r="G28" i="35"/>
  <c r="G69" i="35" s="1"/>
  <c r="F37" i="35"/>
  <c r="E37" i="35"/>
  <c r="D37" i="35"/>
  <c r="G72" i="35"/>
  <c r="G47" i="35"/>
  <c r="G79" i="35" s="1"/>
  <c r="F80" i="34"/>
  <c r="D101" i="36"/>
  <c r="F40" i="34"/>
  <c r="F93" i="34" s="1"/>
  <c r="E84" i="34"/>
  <c r="E80" i="34"/>
  <c r="E40" i="34"/>
  <c r="E93" i="34" s="1"/>
  <c r="C18" i="17" s="1"/>
  <c r="D84" i="34"/>
  <c r="D80" i="34"/>
  <c r="D40" i="34"/>
  <c r="D93" i="34" s="1"/>
  <c r="B118" i="36"/>
  <c r="B114" i="36"/>
  <c r="B113" i="36"/>
  <c r="B111" i="36"/>
  <c r="B110" i="36"/>
  <c r="B102" i="36"/>
  <c r="B101" i="36"/>
  <c r="B64" i="36"/>
  <c r="B63" i="36"/>
  <c r="B65" i="36"/>
  <c r="B62" i="36"/>
  <c r="B61" i="36"/>
  <c r="B51" i="36"/>
  <c r="B37" i="36"/>
  <c r="B35" i="36"/>
  <c r="B26" i="36"/>
  <c r="B20" i="36"/>
  <c r="B19" i="36"/>
  <c r="B17" i="36"/>
  <c r="B16" i="36"/>
  <c r="B15" i="36"/>
  <c r="B14" i="36"/>
  <c r="B13" i="36"/>
  <c r="B12" i="36"/>
  <c r="B11" i="36"/>
  <c r="B123" i="36"/>
  <c r="B95" i="36"/>
  <c r="B96" i="36"/>
  <c r="B145" i="36"/>
  <c r="B75" i="36"/>
  <c r="B87" i="36"/>
  <c r="E124" i="32"/>
  <c r="D124" i="32"/>
  <c r="E93" i="32"/>
  <c r="E70" i="32"/>
  <c r="E120" i="32" s="1"/>
  <c r="D24" i="17" s="1"/>
  <c r="D93" i="32"/>
  <c r="D70" i="32"/>
  <c r="D120" i="32" s="1"/>
  <c r="B122" i="36"/>
  <c r="B121" i="36"/>
  <c r="B120" i="36"/>
  <c r="B112" i="36"/>
  <c r="B86" i="36"/>
  <c r="B74" i="36"/>
  <c r="B73" i="36"/>
  <c r="B24" i="36"/>
  <c r="B25" i="36"/>
  <c r="B106" i="36"/>
  <c r="B125" i="36"/>
  <c r="B129" i="36"/>
  <c r="B128" i="36"/>
  <c r="B127" i="36"/>
  <c r="B126" i="36"/>
  <c r="B97" i="36"/>
  <c r="B146" i="36"/>
  <c r="B147" i="36"/>
  <c r="B79" i="36"/>
  <c r="B77" i="36"/>
  <c r="B76" i="36"/>
  <c r="B52" i="36"/>
  <c r="B38" i="36"/>
  <c r="B89" i="36"/>
  <c r="B88" i="36"/>
  <c r="D66" i="32" l="1"/>
  <c r="E101" i="36"/>
  <c r="E66" i="32"/>
  <c r="D11" i="17"/>
  <c r="D97" i="34"/>
  <c r="C51" i="17" s="1"/>
  <c r="C57" i="17" s="1"/>
  <c r="E97" i="34"/>
  <c r="F97" i="34"/>
  <c r="D112" i="32"/>
  <c r="E61" i="32"/>
  <c r="E114" i="32" s="1"/>
  <c r="D21" i="17" s="1"/>
  <c r="D61" i="32"/>
  <c r="D114" i="32" s="1"/>
  <c r="E112" i="32"/>
  <c r="D52" i="17" s="1"/>
  <c r="D63" i="17" s="1"/>
  <c r="D53" i="36"/>
  <c r="E53" i="36"/>
  <c r="D35" i="32"/>
  <c r="E35" i="32"/>
  <c r="D52" i="36"/>
  <c r="E52" i="36"/>
  <c r="D107" i="34"/>
  <c r="E107" i="34"/>
  <c r="F107" i="34"/>
  <c r="F75" i="36"/>
  <c r="D75" i="36"/>
  <c r="D146" i="36"/>
  <c r="E146" i="36"/>
  <c r="E128" i="36"/>
  <c r="D128" i="36"/>
  <c r="D106" i="36"/>
  <c r="D107" i="36" s="1"/>
  <c r="D160" i="36" s="1"/>
  <c r="E141" i="36"/>
  <c r="E134" i="36"/>
  <c r="E23" i="36"/>
  <c r="E41" i="36"/>
  <c r="E135" i="36"/>
  <c r="E148" i="36"/>
  <c r="E66" i="36"/>
  <c r="E131" i="36"/>
  <c r="E124" i="36"/>
  <c r="E80" i="36"/>
  <c r="E81" i="36"/>
  <c r="E43" i="36"/>
  <c r="E119" i="36"/>
  <c r="E50" i="36"/>
  <c r="E71" i="36"/>
  <c r="E18" i="36"/>
  <c r="E72" i="36"/>
  <c r="E49" i="36"/>
  <c r="E21" i="36"/>
  <c r="E42" i="36"/>
  <c r="E48" i="36"/>
  <c r="E36" i="36"/>
  <c r="D24" i="36"/>
  <c r="D74" i="36"/>
  <c r="F95" i="36"/>
  <c r="D95" i="36"/>
  <c r="D11" i="36"/>
  <c r="D15" i="36"/>
  <c r="D20" i="36"/>
  <c r="F20" i="36"/>
  <c r="F37" i="36"/>
  <c r="D37" i="36"/>
  <c r="D64" i="36"/>
  <c r="D110" i="36"/>
  <c r="F110" i="36"/>
  <c r="F84" i="34"/>
  <c r="F109" i="34" s="1"/>
  <c r="D150" i="36"/>
  <c r="F141" i="36"/>
  <c r="F134" i="36"/>
  <c r="F131" i="36"/>
  <c r="F41" i="36"/>
  <c r="F148" i="36"/>
  <c r="F135" i="36"/>
  <c r="F22" i="36"/>
  <c r="F36" i="36"/>
  <c r="F119" i="36"/>
  <c r="F50" i="36"/>
  <c r="F71" i="36"/>
  <c r="F49" i="36"/>
  <c r="F18" i="36"/>
  <c r="F21" i="36"/>
  <c r="F42" i="36"/>
  <c r="F48" i="36"/>
  <c r="F43" i="36"/>
  <c r="E47" i="34"/>
  <c r="E94" i="34" s="1"/>
  <c r="D88" i="36"/>
  <c r="E88" i="36"/>
  <c r="D25" i="36"/>
  <c r="D120" i="36"/>
  <c r="D12" i="36"/>
  <c r="F16" i="36"/>
  <c r="D16" i="36"/>
  <c r="E51" i="36"/>
  <c r="D51" i="36"/>
  <c r="D111" i="36"/>
  <c r="F145" i="36"/>
  <c r="D145" i="36"/>
  <c r="F87" i="36"/>
  <c r="D87" i="36"/>
  <c r="D89" i="36"/>
  <c r="E89" i="36"/>
  <c r="D38" i="36"/>
  <c r="E126" i="36"/>
  <c r="D126" i="36"/>
  <c r="E129" i="36"/>
  <c r="D129" i="36"/>
  <c r="D86" i="36"/>
  <c r="D121" i="36"/>
  <c r="D13" i="36"/>
  <c r="F17" i="36"/>
  <c r="D17" i="36"/>
  <c r="D26" i="36"/>
  <c r="E61" i="36"/>
  <c r="D61" i="36"/>
  <c r="D65" i="36"/>
  <c r="D113" i="36"/>
  <c r="D118" i="36"/>
  <c r="F96" i="36"/>
  <c r="D96" i="36"/>
  <c r="D79" i="36"/>
  <c r="E79" i="36"/>
  <c r="D147" i="36"/>
  <c r="F123" i="36"/>
  <c r="D123" i="36"/>
  <c r="D77" i="36"/>
  <c r="E77" i="36"/>
  <c r="D76" i="36"/>
  <c r="E127" i="36"/>
  <c r="D127" i="36"/>
  <c r="E125" i="36"/>
  <c r="D125" i="36"/>
  <c r="D73" i="36"/>
  <c r="D112" i="36"/>
  <c r="D122" i="36"/>
  <c r="D141" i="36"/>
  <c r="D140" i="36"/>
  <c r="B10" i="36"/>
  <c r="D131" i="36"/>
  <c r="D41" i="36"/>
  <c r="D23" i="36"/>
  <c r="D134" i="36"/>
  <c r="D148" i="36"/>
  <c r="D66" i="36"/>
  <c r="D135" i="36"/>
  <c r="D78" i="36"/>
  <c r="D124" i="36"/>
  <c r="D80" i="36"/>
  <c r="D81" i="36"/>
  <c r="D22" i="36"/>
  <c r="D50" i="36"/>
  <c r="D71" i="36"/>
  <c r="D43" i="36"/>
  <c r="D119" i="36"/>
  <c r="D49" i="36"/>
  <c r="D18" i="36"/>
  <c r="D72" i="36"/>
  <c r="D48" i="36"/>
  <c r="D21" i="36"/>
  <c r="D36" i="36"/>
  <c r="D42" i="36"/>
  <c r="D14" i="36"/>
  <c r="F19" i="36"/>
  <c r="D19" i="36"/>
  <c r="F35" i="36"/>
  <c r="D35" i="36"/>
  <c r="E62" i="36"/>
  <c r="D62" i="36"/>
  <c r="D63" i="36"/>
  <c r="F102" i="36"/>
  <c r="D102" i="36"/>
  <c r="D103" i="36" s="1"/>
  <c r="D159" i="36" s="1"/>
  <c r="E114" i="36"/>
  <c r="D114" i="36"/>
  <c r="E56" i="32"/>
  <c r="E116" i="32" s="1"/>
  <c r="D22" i="17" s="1"/>
  <c r="E109" i="34"/>
  <c r="G37" i="35"/>
  <c r="D109" i="34"/>
  <c r="F58" i="34"/>
  <c r="F103" i="34" s="1"/>
  <c r="E44" i="32"/>
  <c r="D99" i="32"/>
  <c r="D126" i="32" s="1"/>
  <c r="E99" i="32"/>
  <c r="E126" i="32" s="1"/>
  <c r="D75" i="34"/>
  <c r="F68" i="34"/>
  <c r="E75" i="34"/>
  <c r="E53" i="34"/>
  <c r="E95" i="34" s="1"/>
  <c r="C20" i="17" s="1"/>
  <c r="D58" i="34"/>
  <c r="D68" i="34"/>
  <c r="E68" i="34"/>
  <c r="D53" i="34"/>
  <c r="D95" i="34" s="1"/>
  <c r="D47" i="34"/>
  <c r="D94" i="34" s="1"/>
  <c r="F32" i="34"/>
  <c r="D32" i="34"/>
  <c r="D21" i="34"/>
  <c r="E32" i="34"/>
  <c r="F21" i="34"/>
  <c r="F89" i="34" s="1"/>
  <c r="E21" i="34"/>
  <c r="E89" i="34" s="1"/>
  <c r="D51" i="32"/>
  <c r="D110" i="32" s="1"/>
  <c r="D44" i="32"/>
  <c r="D109" i="32" s="1"/>
  <c r="D56" i="32"/>
  <c r="D116" i="32" s="1"/>
  <c r="D79" i="32"/>
  <c r="E51" i="32"/>
  <c r="E22" i="32"/>
  <c r="E30" i="32"/>
  <c r="D22" i="32"/>
  <c r="D104" i="32" s="1"/>
  <c r="G67" i="34"/>
  <c r="G14" i="34"/>
  <c r="G13" i="34"/>
  <c r="G44" i="34"/>
  <c r="G72" i="34"/>
  <c r="G38" i="34"/>
  <c r="G40" i="34" s="1"/>
  <c r="G93" i="34" s="1"/>
  <c r="G17" i="34"/>
  <c r="G19" i="34"/>
  <c r="G12" i="34"/>
  <c r="G78" i="34"/>
  <c r="G80" i="34" s="1"/>
  <c r="G84" i="34"/>
  <c r="G16" i="34"/>
  <c r="G11" i="34"/>
  <c r="G10" i="34"/>
  <c r="G62" i="34"/>
  <c r="G43" i="34"/>
  <c r="G28" i="34"/>
  <c r="G26" i="34"/>
  <c r="G63" i="34"/>
  <c r="G65" i="34"/>
  <c r="G9" i="34"/>
  <c r="G64" i="34"/>
  <c r="G8" i="34"/>
  <c r="G45" i="34"/>
  <c r="G61" i="34"/>
  <c r="G71" i="34"/>
  <c r="G66" i="34"/>
  <c r="G64" i="32"/>
  <c r="G39" i="32"/>
  <c r="G38" i="32"/>
  <c r="G33" i="32"/>
  <c r="G8" i="32"/>
  <c r="G97" i="34" l="1"/>
  <c r="D98" i="36"/>
  <c r="D157" i="36" s="1"/>
  <c r="D105" i="34"/>
  <c r="C19" i="17"/>
  <c r="E109" i="32"/>
  <c r="D19" i="17" s="1"/>
  <c r="E92" i="34"/>
  <c r="C17" i="17" s="1"/>
  <c r="D92" i="34"/>
  <c r="C52" i="17"/>
  <c r="C63" i="17" s="1"/>
  <c r="C64" i="17" s="1"/>
  <c r="E108" i="32"/>
  <c r="D18" i="17" s="1"/>
  <c r="D30" i="32"/>
  <c r="D107" i="32" s="1"/>
  <c r="G107" i="34"/>
  <c r="F47" i="34"/>
  <c r="F94" i="34" s="1"/>
  <c r="D67" i="36"/>
  <c r="F92" i="34"/>
  <c r="D44" i="36"/>
  <c r="D115" i="36"/>
  <c r="F75" i="34"/>
  <c r="F105" i="34" s="1"/>
  <c r="D136" i="36"/>
  <c r="C14" i="17"/>
  <c r="E58" i="34"/>
  <c r="E103" i="34" s="1"/>
  <c r="C23" i="17" s="1"/>
  <c r="C29" i="17" s="1"/>
  <c r="F53" i="34"/>
  <c r="F95" i="34" s="1"/>
  <c r="D82" i="36"/>
  <c r="E10" i="36"/>
  <c r="D10" i="36"/>
  <c r="D142" i="36"/>
  <c r="D89" i="34"/>
  <c r="E104" i="32"/>
  <c r="D14" i="17" s="1"/>
  <c r="D103" i="34"/>
  <c r="E105" i="34"/>
  <c r="G109" i="34"/>
  <c r="D86" i="34"/>
  <c r="G75" i="34"/>
  <c r="E110" i="32"/>
  <c r="D20" i="17" s="1"/>
  <c r="E107" i="32"/>
  <c r="D17" i="17" s="1"/>
  <c r="G47" i="34"/>
  <c r="G68" i="34"/>
  <c r="G53" i="34"/>
  <c r="G95" i="34" s="1"/>
  <c r="G32" i="34"/>
  <c r="G21" i="34"/>
  <c r="G89" i="34" s="1"/>
  <c r="C10" i="17" l="1"/>
  <c r="C12" i="17" s="1"/>
  <c r="C34" i="17"/>
  <c r="G94" i="34"/>
  <c r="G92" i="34"/>
  <c r="D108" i="32"/>
  <c r="C55" i="17"/>
  <c r="C54" i="17" s="1"/>
  <c r="E86" i="34"/>
  <c r="E111" i="34"/>
  <c r="F111" i="34"/>
  <c r="D161" i="36"/>
  <c r="F86" i="34"/>
  <c r="D83" i="36"/>
  <c r="D68" i="36"/>
  <c r="D111" i="34"/>
  <c r="G105" i="34"/>
  <c r="G86" i="34"/>
  <c r="G111" i="34" l="1"/>
  <c r="B133" i="36" l="1"/>
  <c r="B91" i="36"/>
  <c r="B55" i="36"/>
  <c r="B40" i="36"/>
  <c r="B39" i="36"/>
  <c r="B28" i="36"/>
  <c r="B27" i="36"/>
  <c r="B54" i="36"/>
  <c r="B130" i="36"/>
  <c r="B149" i="36"/>
  <c r="B90" i="36"/>
  <c r="E90" i="29"/>
  <c r="E130" i="36" l="1"/>
  <c r="D130" i="36"/>
  <c r="E91" i="36"/>
  <c r="F91" i="36"/>
  <c r="D91" i="36"/>
  <c r="F55" i="36"/>
  <c r="D55" i="36"/>
  <c r="E55" i="36"/>
  <c r="F90" i="36"/>
  <c r="E90" i="36"/>
  <c r="D90" i="36"/>
  <c r="F39" i="36"/>
  <c r="E39" i="36"/>
  <c r="D39" i="36"/>
  <c r="D149" i="36"/>
  <c r="E149" i="36"/>
  <c r="F149" i="36"/>
  <c r="D54" i="36"/>
  <c r="E54" i="36"/>
  <c r="D40" i="36"/>
  <c r="F40" i="36"/>
  <c r="E40" i="36"/>
  <c r="D27" i="36"/>
  <c r="E27" i="36"/>
  <c r="F27" i="36"/>
  <c r="D133" i="36"/>
  <c r="E133" i="36"/>
  <c r="F133" i="36"/>
  <c r="E28" i="36"/>
  <c r="D28" i="36"/>
  <c r="F28" i="36"/>
  <c r="E77" i="29"/>
  <c r="E102" i="29" s="1"/>
  <c r="E49" i="29"/>
  <c r="E94" i="29" s="1"/>
  <c r="F22" i="17" s="1"/>
  <c r="E44" i="29"/>
  <c r="E36" i="29"/>
  <c r="E87" i="29" s="1"/>
  <c r="F19" i="17" s="1"/>
  <c r="E23" i="29"/>
  <c r="E85" i="29" s="1"/>
  <c r="F17" i="17" s="1"/>
  <c r="B56" i="36"/>
  <c r="B132" i="36"/>
  <c r="E57" i="29"/>
  <c r="E14" i="29" l="1"/>
  <c r="E30" i="29"/>
  <c r="E86" i="29" s="1"/>
  <c r="F18" i="17" s="1"/>
  <c r="G53" i="36"/>
  <c r="G52" i="36"/>
  <c r="D45" i="36"/>
  <c r="G141" i="36"/>
  <c r="I141" i="36" s="1"/>
  <c r="G140" i="36"/>
  <c r="G78" i="36"/>
  <c r="G23" i="36"/>
  <c r="G66" i="36"/>
  <c r="G22" i="36"/>
  <c r="G119" i="36"/>
  <c r="I119" i="36" s="1"/>
  <c r="G50" i="36"/>
  <c r="I50" i="36" s="1"/>
  <c r="G42" i="36"/>
  <c r="I42" i="36" s="1"/>
  <c r="G48" i="36"/>
  <c r="G49" i="36"/>
  <c r="I49" i="36" s="1"/>
  <c r="G21" i="36"/>
  <c r="I21" i="36" s="1"/>
  <c r="G18" i="36"/>
  <c r="I18" i="36" s="1"/>
  <c r="G36" i="36"/>
  <c r="I36" i="36" s="1"/>
  <c r="G43" i="36"/>
  <c r="I43" i="36" s="1"/>
  <c r="G75" i="36"/>
  <c r="G86" i="36"/>
  <c r="G88" i="36"/>
  <c r="G87" i="36"/>
  <c r="G126" i="36"/>
  <c r="G65" i="36"/>
  <c r="G96" i="36"/>
  <c r="G106" i="36"/>
  <c r="G107" i="36" s="1"/>
  <c r="G160" i="36" s="1"/>
  <c r="G74" i="36"/>
  <c r="G64" i="36"/>
  <c r="G51" i="36"/>
  <c r="G123" i="36"/>
  <c r="G15" i="36"/>
  <c r="G25" i="36"/>
  <c r="G89" i="36"/>
  <c r="G121" i="36"/>
  <c r="G113" i="36"/>
  <c r="G79" i="36"/>
  <c r="G125" i="36"/>
  <c r="G114" i="36"/>
  <c r="G16" i="36"/>
  <c r="G26" i="36"/>
  <c r="G110" i="36"/>
  <c r="G111" i="36"/>
  <c r="G129" i="36"/>
  <c r="G77" i="36"/>
  <c r="G14" i="36"/>
  <c r="G95" i="36"/>
  <c r="G63" i="36"/>
  <c r="G19" i="36"/>
  <c r="G146" i="36"/>
  <c r="G20" i="36"/>
  <c r="G145" i="36"/>
  <c r="G38" i="36"/>
  <c r="G147" i="36"/>
  <c r="G76" i="36"/>
  <c r="G122" i="36"/>
  <c r="G120" i="36"/>
  <c r="G128" i="36"/>
  <c r="G24" i="36"/>
  <c r="G37" i="36"/>
  <c r="G118" i="36"/>
  <c r="G17" i="36"/>
  <c r="G127" i="36"/>
  <c r="G35" i="36"/>
  <c r="G102" i="36"/>
  <c r="D56" i="36"/>
  <c r="D58" i="36" s="1"/>
  <c r="E56" i="36"/>
  <c r="F56" i="36"/>
  <c r="E68" i="29"/>
  <c r="D151" i="36"/>
  <c r="D92" i="36"/>
  <c r="D158" i="36" s="1"/>
  <c r="E132" i="36"/>
  <c r="F132" i="36"/>
  <c r="D132" i="36"/>
  <c r="G98" i="36" l="1"/>
  <c r="G157" i="36" s="1"/>
  <c r="I48" i="36"/>
  <c r="D30" i="36"/>
  <c r="D155" i="36" s="1"/>
  <c r="D137" i="36"/>
  <c r="G142" i="36"/>
  <c r="D156" i="36" l="1"/>
  <c r="C32" i="17" l="1"/>
  <c r="B27" i="17"/>
  <c r="C25" i="17" l="1"/>
  <c r="C27" i="17" l="1"/>
  <c r="C37" i="17" l="1"/>
  <c r="D45" i="17" l="1"/>
  <c r="C58" i="17" l="1"/>
  <c r="C60" i="17" s="1"/>
  <c r="D51" i="17"/>
  <c r="D57" i="17" l="1"/>
  <c r="D62" i="17" l="1"/>
  <c r="D64" i="17" s="1"/>
  <c r="E62" i="17" l="1"/>
  <c r="E45" i="17" l="1"/>
  <c r="D46" i="17"/>
  <c r="F45" i="17" l="1"/>
  <c r="E46" i="17"/>
  <c r="F46" i="17" l="1"/>
  <c r="E98" i="29" l="1"/>
  <c r="D83" i="35" l="1"/>
  <c r="D85" i="35" s="1"/>
  <c r="D66" i="35"/>
  <c r="C39" i="17" l="1"/>
  <c r="E83" i="35"/>
  <c r="E85" i="35" s="1"/>
  <c r="F83" i="35"/>
  <c r="F85" i="35" s="1"/>
  <c r="G83" i="35"/>
  <c r="E66" i="35"/>
  <c r="G66" i="35"/>
  <c r="G85" i="35" l="1"/>
  <c r="C43" i="17"/>
  <c r="C40" i="17" s="1"/>
  <c r="C36" i="17" s="1"/>
  <c r="D10" i="17"/>
  <c r="D12" i="17" s="1"/>
  <c r="F66" i="35"/>
  <c r="J83" i="35"/>
  <c r="J85" i="35" s="1"/>
  <c r="I83" i="35"/>
  <c r="I85" i="35" s="1"/>
  <c r="I66" i="35"/>
  <c r="D39" i="17" l="1"/>
  <c r="J66" i="35"/>
  <c r="E88" i="29" l="1"/>
  <c r="F20" i="17" l="1"/>
  <c r="D89" i="32" l="1"/>
  <c r="D122" i="32" s="1"/>
  <c r="E89" i="32"/>
  <c r="E65" i="31" l="1"/>
  <c r="E119" i="31" s="1"/>
  <c r="E21" i="17" s="1"/>
  <c r="E82" i="29" l="1"/>
  <c r="D101" i="32" l="1"/>
  <c r="D118" i="32"/>
  <c r="D128" i="32" l="1"/>
  <c r="E118" i="32"/>
  <c r="D23" i="17" s="1"/>
  <c r="D29" i="17" l="1"/>
  <c r="D32" i="17" s="1"/>
  <c r="D25" i="17"/>
  <c r="D27" i="17" s="1"/>
  <c r="D162" i="36" l="1"/>
  <c r="D153" i="36"/>
  <c r="E98" i="31" l="1"/>
  <c r="E79" i="32"/>
  <c r="E122" i="32" s="1"/>
  <c r="E128" i="32" s="1"/>
  <c r="G78" i="32"/>
  <c r="E101" i="32"/>
  <c r="G10" i="36" l="1"/>
  <c r="W81" i="35"/>
  <c r="W59" i="35"/>
  <c r="W74" i="35"/>
  <c r="W75" i="35"/>
  <c r="W73" i="35"/>
  <c r="W77" i="35" l="1"/>
  <c r="W55" i="35"/>
  <c r="W47" i="35"/>
  <c r="W28" i="35"/>
  <c r="W69" i="35" s="1"/>
  <c r="W64" i="35"/>
  <c r="W83" i="35" s="1"/>
  <c r="W72" i="35"/>
  <c r="W79" i="35" l="1"/>
  <c r="W85" i="35"/>
  <c r="W37" i="35"/>
  <c r="W66" i="35" s="1"/>
  <c r="F66" i="36" l="1"/>
  <c r="I66" i="36" s="1"/>
  <c r="F53" i="36"/>
  <c r="I53" i="36" s="1"/>
  <c r="V59" i="35"/>
  <c r="V83" i="35" s="1"/>
  <c r="G31" i="31" l="1"/>
  <c r="G41" i="31"/>
  <c r="R77" i="35"/>
  <c r="F13" i="36"/>
  <c r="F11" i="36"/>
  <c r="R59" i="35"/>
  <c r="F80" i="36"/>
  <c r="F81" i="36"/>
  <c r="F130" i="36"/>
  <c r="F124" i="36"/>
  <c r="R64" i="35"/>
  <c r="V77" i="35" l="1"/>
  <c r="F52" i="17" s="1"/>
  <c r="F63" i="17" s="1"/>
  <c r="V28" i="35"/>
  <c r="V69" i="35" s="1"/>
  <c r="F10" i="36"/>
  <c r="I10" i="36" s="1"/>
  <c r="R83" i="35"/>
  <c r="X14" i="35"/>
  <c r="R55" i="35"/>
  <c r="R28" i="35"/>
  <c r="R69" i="35" s="1"/>
  <c r="F54" i="36"/>
  <c r="V66" i="35" l="1"/>
  <c r="V85" i="35"/>
  <c r="F14" i="17"/>
  <c r="E129" i="31" l="1"/>
  <c r="Q77" i="35" l="1"/>
  <c r="D129" i="31"/>
  <c r="S46" i="35" l="1"/>
  <c r="D65" i="31"/>
  <c r="D119" i="31" s="1"/>
  <c r="G84" i="31"/>
  <c r="F97" i="36" l="1"/>
  <c r="F65" i="31"/>
  <c r="F119" i="31" s="1"/>
  <c r="F129" i="31"/>
  <c r="F111" i="36"/>
  <c r="G77" i="31"/>
  <c r="G129" i="31" s="1"/>
  <c r="G64" i="31"/>
  <c r="G65" i="31" s="1"/>
  <c r="G119" i="31" s="1"/>
  <c r="X46" i="35"/>
  <c r="F98" i="36" l="1"/>
  <c r="F157" i="36" s="1"/>
  <c r="I97" i="36"/>
  <c r="G124" i="36" l="1"/>
  <c r="G60" i="29"/>
  <c r="E80" i="31" l="1"/>
  <c r="E117" i="31"/>
  <c r="E52" i="17" s="1"/>
  <c r="E63" i="17" s="1"/>
  <c r="E64" i="17" s="1"/>
  <c r="F62" i="17" s="1"/>
  <c r="F64" i="17" s="1"/>
  <c r="Q64" i="35"/>
  <c r="E69" i="31"/>
  <c r="E123" i="31" s="1"/>
  <c r="E23" i="17" s="1"/>
  <c r="E73" i="31"/>
  <c r="E125" i="31" s="1"/>
  <c r="E24" i="17" s="1"/>
  <c r="Q59" i="35"/>
  <c r="E33" i="31"/>
  <c r="E113" i="31" s="1"/>
  <c r="E18" i="17" s="1"/>
  <c r="Q81" i="35"/>
  <c r="I124" i="36"/>
  <c r="F23" i="36"/>
  <c r="I23" i="36" s="1"/>
  <c r="E29" i="17" l="1"/>
  <c r="E32" i="17" s="1"/>
  <c r="Q83" i="35"/>
  <c r="E43" i="31"/>
  <c r="E114" i="31" s="1"/>
  <c r="E19" i="17" s="1"/>
  <c r="Q47" i="35"/>
  <c r="E61" i="31"/>
  <c r="E121" i="31" s="1"/>
  <c r="E22" i="17" s="1"/>
  <c r="Q72" i="35"/>
  <c r="E55" i="31"/>
  <c r="E115" i="31" s="1"/>
  <c r="E20" i="17" s="1"/>
  <c r="E18" i="31"/>
  <c r="E109" i="31" s="1"/>
  <c r="Q28" i="35"/>
  <c r="Q69" i="35" s="1"/>
  <c r="Q55" i="35"/>
  <c r="Q79" i="35" s="1"/>
  <c r="E25" i="31"/>
  <c r="E112" i="31" s="1"/>
  <c r="E17" i="17" s="1"/>
  <c r="E94" i="31"/>
  <c r="E127" i="31" s="1"/>
  <c r="E104" i="31"/>
  <c r="E131" i="31" s="1"/>
  <c r="G13" i="31"/>
  <c r="E25" i="17" l="1"/>
  <c r="Q37" i="35"/>
  <c r="Q85" i="35"/>
  <c r="E133" i="31"/>
  <c r="E14" i="17"/>
  <c r="E27" i="17" s="1"/>
  <c r="E106" i="31"/>
  <c r="Q66" i="35"/>
  <c r="F62" i="36" l="1"/>
  <c r="S43" i="35"/>
  <c r="S22" i="35"/>
  <c r="S12" i="35"/>
  <c r="S13" i="35"/>
  <c r="S41" i="35"/>
  <c r="D73" i="31" l="1"/>
  <c r="D125" i="31" s="1"/>
  <c r="P81" i="35"/>
  <c r="D43" i="31"/>
  <c r="D114" i="31" s="1"/>
  <c r="D69" i="31"/>
  <c r="D123" i="31" s="1"/>
  <c r="G15" i="31"/>
  <c r="D18" i="31"/>
  <c r="D109" i="31" s="1"/>
  <c r="G8" i="31"/>
  <c r="P59" i="35"/>
  <c r="S58" i="35"/>
  <c r="S59" i="35" s="1"/>
  <c r="G9" i="31"/>
  <c r="S40" i="35"/>
  <c r="D61" i="31"/>
  <c r="D121" i="31" s="1"/>
  <c r="D117" i="31"/>
  <c r="G37" i="31"/>
  <c r="D98" i="31"/>
  <c r="F147" i="36"/>
  <c r="F89" i="36"/>
  <c r="I89" i="36" s="1"/>
  <c r="F57" i="36"/>
  <c r="R81" i="35"/>
  <c r="F76" i="36"/>
  <c r="F64" i="36"/>
  <c r="F88" i="36"/>
  <c r="I88" i="36" s="1"/>
  <c r="F73" i="36"/>
  <c r="F25" i="36"/>
  <c r="G10" i="31"/>
  <c r="F26" i="36"/>
  <c r="R47" i="35"/>
  <c r="R79" i="35" s="1"/>
  <c r="F63" i="36"/>
  <c r="F24" i="36"/>
  <c r="F78" i="36"/>
  <c r="F12" i="36"/>
  <c r="F15" i="36"/>
  <c r="F65" i="36"/>
  <c r="F150" i="36" l="1"/>
  <c r="F67" i="36"/>
  <c r="S31" i="35"/>
  <c r="F106" i="36"/>
  <c r="F107" i="36" s="1"/>
  <c r="F160" i="36" s="1"/>
  <c r="F73" i="31"/>
  <c r="F125" i="31" s="1"/>
  <c r="F38" i="36"/>
  <c r="G16" i="31"/>
  <c r="F51" i="36"/>
  <c r="F33" i="31"/>
  <c r="F113" i="31" s="1"/>
  <c r="G39" i="31"/>
  <c r="G46" i="31"/>
  <c r="F74" i="36"/>
  <c r="F86" i="36"/>
  <c r="F92" i="36" s="1"/>
  <c r="F158" i="36" s="1"/>
  <c r="F61" i="31"/>
  <c r="F121" i="31" s="1"/>
  <c r="G47" i="31"/>
  <c r="G40" i="31"/>
  <c r="G60" i="31"/>
  <c r="S45" i="35"/>
  <c r="S81" i="35" s="1"/>
  <c r="F69" i="31"/>
  <c r="F123" i="31" s="1"/>
  <c r="F101" i="36"/>
  <c r="G17" i="31"/>
  <c r="G38" i="31"/>
  <c r="G8" i="29"/>
  <c r="G48" i="31"/>
  <c r="G12" i="31"/>
  <c r="G72" i="31"/>
  <c r="G73" i="31" s="1"/>
  <c r="G125" i="31" s="1"/>
  <c r="G30" i="31"/>
  <c r="F52" i="36"/>
  <c r="I52" i="36" s="1"/>
  <c r="F117" i="31"/>
  <c r="G14" i="31"/>
  <c r="S44" i="35"/>
  <c r="G50" i="31"/>
  <c r="G29" i="31"/>
  <c r="F14" i="36"/>
  <c r="F30" i="36" s="1"/>
  <c r="F18" i="31"/>
  <c r="F109" i="31" s="1"/>
  <c r="G102" i="31"/>
  <c r="G36" i="31"/>
  <c r="F61" i="36"/>
  <c r="F68" i="36" s="1"/>
  <c r="F43" i="31"/>
  <c r="F114" i="31" s="1"/>
  <c r="G11" i="31"/>
  <c r="G58" i="31"/>
  <c r="G23" i="31"/>
  <c r="G59" i="31"/>
  <c r="G68" i="31"/>
  <c r="G69" i="31" s="1"/>
  <c r="G123" i="31" s="1"/>
  <c r="G18" i="31" l="1"/>
  <c r="G109" i="31" s="1"/>
  <c r="G43" i="31"/>
  <c r="G114" i="31" s="1"/>
  <c r="F122" i="36"/>
  <c r="G87" i="31"/>
  <c r="F58" i="36"/>
  <c r="I51" i="36"/>
  <c r="G97" i="31"/>
  <c r="G98" i="31" s="1"/>
  <c r="F98" i="31"/>
  <c r="F140" i="36"/>
  <c r="F142" i="36" s="1"/>
  <c r="G76" i="31"/>
  <c r="F112" i="36"/>
  <c r="G117" i="31"/>
  <c r="F103" i="36"/>
  <c r="F159" i="36" s="1"/>
  <c r="F118" i="36"/>
  <c r="G92" i="31"/>
  <c r="F121" i="36"/>
  <c r="G88" i="31"/>
  <c r="G61" i="31"/>
  <c r="G121" i="31" s="1"/>
  <c r="F113" i="36"/>
  <c r="G78" i="31"/>
  <c r="F120" i="36"/>
  <c r="G83" i="31"/>
  <c r="D80" i="31" l="1"/>
  <c r="G79" i="31" l="1"/>
  <c r="G80" i="31" s="1"/>
  <c r="F114" i="36"/>
  <c r="F80" i="31"/>
  <c r="I114" i="36" l="1"/>
  <c r="F115" i="36"/>
  <c r="F155" i="36" s="1"/>
  <c r="E53" i="29" l="1"/>
  <c r="E96" i="29" s="1"/>
  <c r="E79" i="29"/>
  <c r="D53" i="29"/>
  <c r="D96" i="29" s="1"/>
  <c r="U81" i="35"/>
  <c r="X45" i="35"/>
  <c r="X81" i="35" s="1"/>
  <c r="X44" i="35"/>
  <c r="D57" i="29"/>
  <c r="D90" i="29"/>
  <c r="G47" i="29"/>
  <c r="I72" i="36"/>
  <c r="G12" i="36"/>
  <c r="G73" i="36"/>
  <c r="G34" i="29"/>
  <c r="G90" i="29" s="1"/>
  <c r="G9" i="29"/>
  <c r="G33" i="29"/>
  <c r="F23" i="17" l="1"/>
  <c r="E104" i="29"/>
  <c r="G40" i="29"/>
  <c r="G61" i="36"/>
  <c r="I61" i="36" s="1"/>
  <c r="F53" i="29"/>
  <c r="F96" i="29" s="1"/>
  <c r="G101" i="36"/>
  <c r="G90" i="36"/>
  <c r="G62" i="36"/>
  <c r="I62" i="36" s="1"/>
  <c r="F90" i="29"/>
  <c r="G10" i="29"/>
  <c r="G52" i="29"/>
  <c r="G53" i="29" s="1"/>
  <c r="G96" i="29" s="1"/>
  <c r="G11" i="36"/>
  <c r="F29" i="17" l="1"/>
  <c r="F32" i="17" s="1"/>
  <c r="F25" i="17"/>
  <c r="F27" i="17" s="1"/>
  <c r="G103" i="36"/>
  <c r="G159" i="36" s="1"/>
  <c r="I101" i="36"/>
  <c r="I90" i="36"/>
  <c r="F57" i="29"/>
  <c r="G112" i="36"/>
  <c r="G115" i="36" s="1"/>
  <c r="G56" i="29"/>
  <c r="G57" i="29" s="1"/>
  <c r="S50" i="35" l="1"/>
  <c r="G53" i="31"/>
  <c r="G52" i="31"/>
  <c r="D104" i="31"/>
  <c r="D131" i="31" s="1"/>
  <c r="F79" i="36"/>
  <c r="I79" i="36" s="1"/>
  <c r="G51" i="31" l="1"/>
  <c r="G18" i="32"/>
  <c r="E24" i="36"/>
  <c r="I24" i="36" s="1"/>
  <c r="F127" i="36" l="1"/>
  <c r="I127" i="36" s="1"/>
  <c r="G89" i="31"/>
  <c r="F128" i="36"/>
  <c r="I128" i="36" s="1"/>
  <c r="G90" i="31"/>
  <c r="F126" i="36"/>
  <c r="I126" i="36" s="1"/>
  <c r="G86" i="31"/>
  <c r="F104" i="31"/>
  <c r="F131" i="31" s="1"/>
  <c r="F146" i="36"/>
  <c r="G101" i="31"/>
  <c r="G104" i="31" s="1"/>
  <c r="G131" i="31" s="1"/>
  <c r="F151" i="36" l="1"/>
  <c r="I146" i="36"/>
  <c r="P64" i="35" l="1"/>
  <c r="P83" i="35" s="1"/>
  <c r="S62" i="35"/>
  <c r="S64" i="35" s="1"/>
  <c r="S83" i="35" s="1"/>
  <c r="G28" i="31"/>
  <c r="G33" i="31" s="1"/>
  <c r="G113" i="31" s="1"/>
  <c r="D33" i="31"/>
  <c r="D113" i="31" s="1"/>
  <c r="S51" i="35"/>
  <c r="K64" i="35" l="1"/>
  <c r="L62" i="35"/>
  <c r="L64" i="35" s="1"/>
  <c r="G55" i="36"/>
  <c r="I55" i="36" s="1"/>
  <c r="G19" i="29"/>
  <c r="G57" i="36"/>
  <c r="F136" i="36" l="1"/>
  <c r="G54" i="36"/>
  <c r="X34" i="35"/>
  <c r="X75" i="35" s="1"/>
  <c r="U75" i="35"/>
  <c r="X26" i="35"/>
  <c r="X23" i="35"/>
  <c r="D36" i="29"/>
  <c r="D87" i="29" s="1"/>
  <c r="X19" i="35"/>
  <c r="X51" i="35"/>
  <c r="U73" i="35"/>
  <c r="X35" i="35"/>
  <c r="X73" i="35" s="1"/>
  <c r="G39" i="36"/>
  <c r="I39" i="36" s="1"/>
  <c r="G26" i="29"/>
  <c r="G27" i="29"/>
  <c r="X62" i="35"/>
  <c r="G85" i="31"/>
  <c r="F125" i="36"/>
  <c r="G28" i="36"/>
  <c r="I28" i="36" s="1"/>
  <c r="G40" i="36"/>
  <c r="I40" i="36" s="1"/>
  <c r="G41" i="36"/>
  <c r="I41" i="36" s="1"/>
  <c r="G13" i="29" l="1"/>
  <c r="G67" i="36"/>
  <c r="G68" i="36" s="1"/>
  <c r="F36" i="29"/>
  <c r="F87" i="29" s="1"/>
  <c r="G21" i="29"/>
  <c r="G132" i="36"/>
  <c r="I132" i="36" s="1"/>
  <c r="G63" i="29"/>
  <c r="I125" i="36"/>
  <c r="X24" i="35"/>
  <c r="G82" i="36"/>
  <c r="X27" i="35"/>
  <c r="G150" i="36"/>
  <c r="G36" i="29"/>
  <c r="G87" i="29" s="1"/>
  <c r="X21" i="35"/>
  <c r="I54" i="36"/>
  <c r="G20" i="29"/>
  <c r="X20" i="35" l="1"/>
  <c r="G135" i="36"/>
  <c r="I135" i="36" s="1"/>
  <c r="G66" i="29"/>
  <c r="G148" i="36"/>
  <c r="G74" i="29"/>
  <c r="G131" i="36"/>
  <c r="I131" i="36" s="1"/>
  <c r="G62" i="29"/>
  <c r="G134" i="36"/>
  <c r="I134" i="36" s="1"/>
  <c r="G65" i="29"/>
  <c r="G133" i="36"/>
  <c r="I133" i="36" s="1"/>
  <c r="G64" i="29"/>
  <c r="S11" i="35"/>
  <c r="I148" i="36" l="1"/>
  <c r="X25" i="35" l="1"/>
  <c r="X11" i="35"/>
  <c r="X18" i="35" l="1"/>
  <c r="X50" i="35"/>
  <c r="G130" i="36" l="1"/>
  <c r="I130" i="36" s="1"/>
  <c r="G61" i="29"/>
  <c r="F44" i="36" l="1"/>
  <c r="F45" i="36" s="1"/>
  <c r="F25" i="31"/>
  <c r="F112" i="31" s="1"/>
  <c r="D25" i="31"/>
  <c r="D112" i="31" s="1"/>
  <c r="G81" i="36"/>
  <c r="I81" i="36" s="1"/>
  <c r="G80" i="36"/>
  <c r="I80" i="36" s="1"/>
  <c r="G41" i="29" l="1"/>
  <c r="G42" i="29"/>
  <c r="G25" i="31"/>
  <c r="G112" i="31" s="1"/>
  <c r="E96" i="36"/>
  <c r="I96" i="36" s="1"/>
  <c r="G60" i="32"/>
  <c r="G49" i="32" l="1"/>
  <c r="E75" i="36"/>
  <c r="I75" i="36" s="1"/>
  <c r="E112" i="36" l="1"/>
  <c r="I112" i="36" s="1"/>
  <c r="G74" i="32"/>
  <c r="S15" i="35" l="1"/>
  <c r="D55" i="31" l="1"/>
  <c r="D115" i="31" s="1"/>
  <c r="S52" i="35"/>
  <c r="S55" i="35" s="1"/>
  <c r="P55" i="35"/>
  <c r="D94" i="31"/>
  <c r="D127" i="31" s="1"/>
  <c r="F82" i="36"/>
  <c r="F161" i="36" s="1"/>
  <c r="G49" i="31"/>
  <c r="D106" i="31" l="1"/>
  <c r="P37" i="35"/>
  <c r="P72" i="35"/>
  <c r="R37" i="35"/>
  <c r="R66" i="35" s="1"/>
  <c r="R72" i="35"/>
  <c r="R85" i="35" s="1"/>
  <c r="D133" i="31"/>
  <c r="G55" i="31"/>
  <c r="G115" i="31" s="1"/>
  <c r="G35" i="32"/>
  <c r="G108" i="32" s="1"/>
  <c r="F77" i="36"/>
  <c r="F55" i="31"/>
  <c r="F115" i="31" s="1"/>
  <c r="G91" i="31" l="1"/>
  <c r="G94" i="31" s="1"/>
  <c r="G127" i="31" s="1"/>
  <c r="F129" i="36"/>
  <c r="F94" i="31"/>
  <c r="E34" i="17"/>
  <c r="S37" i="35"/>
  <c r="S72" i="35"/>
  <c r="I77" i="36"/>
  <c r="F83" i="36"/>
  <c r="E57" i="36"/>
  <c r="F35" i="32"/>
  <c r="F108" i="32" s="1"/>
  <c r="G106" i="31"/>
  <c r="I57" i="36" l="1"/>
  <c r="E58" i="36"/>
  <c r="I129" i="36"/>
  <c r="F137" i="36"/>
  <c r="G133" i="31"/>
  <c r="F127" i="31"/>
  <c r="F106" i="31"/>
  <c r="F156" i="36" l="1"/>
  <c r="F162" i="36" s="1"/>
  <c r="F153" i="36"/>
  <c r="F133" i="31"/>
  <c r="E120" i="36" l="1"/>
  <c r="I120" i="36" s="1"/>
  <c r="G82" i="32"/>
  <c r="D49" i="29" l="1"/>
  <c r="D94" i="29" s="1"/>
  <c r="G91" i="36" l="1"/>
  <c r="F49" i="29"/>
  <c r="F94" i="29" s="1"/>
  <c r="G48" i="29"/>
  <c r="G49" i="29" s="1"/>
  <c r="G94" i="29" s="1"/>
  <c r="I91" i="36" l="1"/>
  <c r="G92" i="36"/>
  <c r="G158" i="36" s="1"/>
  <c r="X16" i="35" l="1"/>
  <c r="X15" i="35" l="1"/>
  <c r="E121" i="36" l="1"/>
  <c r="I121" i="36" s="1"/>
  <c r="G83" i="32"/>
  <c r="L42" i="35" l="1"/>
  <c r="F61" i="32" l="1"/>
  <c r="F114" i="32" s="1"/>
  <c r="E95" i="36"/>
  <c r="G59" i="32"/>
  <c r="G61" i="32" s="1"/>
  <c r="G114" i="32" s="1"/>
  <c r="S42" i="35"/>
  <c r="S47" i="35" s="1"/>
  <c r="S79" i="35" s="1"/>
  <c r="P47" i="35"/>
  <c r="P79" i="35" s="1"/>
  <c r="X42" i="35" l="1"/>
  <c r="E98" i="36"/>
  <c r="E157" i="36" s="1"/>
  <c r="I95" i="36"/>
  <c r="X31" i="35" l="1"/>
  <c r="U64" i="35"/>
  <c r="X64" i="35"/>
  <c r="I98" i="36"/>
  <c r="I157" i="36" s="1"/>
  <c r="D77" i="29"/>
  <c r="D102" i="29" s="1"/>
  <c r="L13" i="35"/>
  <c r="E145" i="36" l="1"/>
  <c r="G96" i="32"/>
  <c r="G84" i="32"/>
  <c r="E122" i="36"/>
  <c r="I122" i="36" s="1"/>
  <c r="X13" i="35"/>
  <c r="X52" i="35"/>
  <c r="X55" i="35" s="1"/>
  <c r="U55" i="35"/>
  <c r="E123" i="36"/>
  <c r="I123" i="36" s="1"/>
  <c r="G85" i="32"/>
  <c r="E25" i="36"/>
  <c r="I25" i="36" s="1"/>
  <c r="G19" i="32"/>
  <c r="L31" i="35"/>
  <c r="E147" i="36"/>
  <c r="I147" i="36" s="1"/>
  <c r="E78" i="36"/>
  <c r="I78" i="36" s="1"/>
  <c r="G27" i="36"/>
  <c r="I27" i="36" s="1"/>
  <c r="L45" i="35" l="1"/>
  <c r="L81" i="35" s="1"/>
  <c r="K81" i="35"/>
  <c r="G12" i="29"/>
  <c r="I145" i="36"/>
  <c r="G149" i="36"/>
  <c r="F77" i="29"/>
  <c r="F102" i="29" s="1"/>
  <c r="G75" i="29"/>
  <c r="G77" i="29" s="1"/>
  <c r="G102" i="29" s="1"/>
  <c r="I149" i="36" l="1"/>
  <c r="G151" i="36"/>
  <c r="F66" i="32" l="1"/>
  <c r="F118" i="32" s="1"/>
  <c r="E102" i="36"/>
  <c r="G65" i="32"/>
  <c r="G66" i="32" s="1"/>
  <c r="G118" i="32" s="1"/>
  <c r="E103" i="36" l="1"/>
  <c r="E159" i="36" s="1"/>
  <c r="I102" i="36"/>
  <c r="L43" i="35"/>
  <c r="L22" i="35"/>
  <c r="L41" i="35"/>
  <c r="L12" i="35"/>
  <c r="L40" i="35" l="1"/>
  <c r="E20" i="36"/>
  <c r="I20" i="36" s="1"/>
  <c r="G17" i="32"/>
  <c r="G16" i="32"/>
  <c r="E19" i="36"/>
  <c r="I19" i="36" s="1"/>
  <c r="G14" i="32"/>
  <c r="E16" i="36"/>
  <c r="I16" i="36" s="1"/>
  <c r="E26" i="36"/>
  <c r="I26" i="36" s="1"/>
  <c r="G20" i="32"/>
  <c r="E113" i="36"/>
  <c r="I113" i="36" s="1"/>
  <c r="G77" i="32"/>
  <c r="G11" i="32"/>
  <c r="E13" i="36"/>
  <c r="K59" i="35"/>
  <c r="K83" i="35" s="1"/>
  <c r="L58" i="35"/>
  <c r="L59" i="35" s="1"/>
  <c r="L83" i="35" s="1"/>
  <c r="G15" i="32"/>
  <c r="E17" i="36"/>
  <c r="I17" i="36" s="1"/>
  <c r="I103" i="36"/>
  <c r="I159" i="36" s="1"/>
  <c r="E118" i="36"/>
  <c r="G87" i="32"/>
  <c r="I118" i="36" l="1"/>
  <c r="E37" i="36" l="1"/>
  <c r="I37" i="36" s="1"/>
  <c r="G28" i="32"/>
  <c r="E35" i="36" l="1"/>
  <c r="G27" i="32"/>
  <c r="I35" i="36" l="1"/>
  <c r="G21" i="32" l="1"/>
  <c r="E22" i="36"/>
  <c r="I22" i="36" s="1"/>
  <c r="G13" i="32" l="1"/>
  <c r="E15" i="36"/>
  <c r="I15" i="36" s="1"/>
  <c r="E11" i="36" l="1"/>
  <c r="G9" i="32"/>
  <c r="X12" i="35"/>
  <c r="E12" i="36"/>
  <c r="I12" i="36" s="1"/>
  <c r="G10" i="32"/>
  <c r="X17" i="35"/>
  <c r="D23" i="29" l="1"/>
  <c r="D85" i="29" s="1"/>
  <c r="E74" i="36"/>
  <c r="I74" i="36" s="1"/>
  <c r="G48" i="32"/>
  <c r="I11" i="36"/>
  <c r="G44" i="36" l="1"/>
  <c r="G45" i="36" s="1"/>
  <c r="F23" i="29"/>
  <c r="F85" i="29" s="1"/>
  <c r="G23" i="29"/>
  <c r="G85" i="29" s="1"/>
  <c r="G99" i="32" l="1"/>
  <c r="E150" i="36" l="1"/>
  <c r="F70" i="32"/>
  <c r="F120" i="32" s="1"/>
  <c r="E106" i="36"/>
  <c r="G69" i="32"/>
  <c r="G70" i="32" s="1"/>
  <c r="G120" i="32" s="1"/>
  <c r="E67" i="36"/>
  <c r="I67" i="36" s="1"/>
  <c r="F99" i="32" l="1"/>
  <c r="E107" i="36"/>
  <c r="E160" i="36" s="1"/>
  <c r="I106" i="36"/>
  <c r="I150" i="36"/>
  <c r="E151" i="36"/>
  <c r="I151" i="36" l="1"/>
  <c r="I107" i="36"/>
  <c r="I160" i="36" s="1"/>
  <c r="D68" i="29" l="1"/>
  <c r="D98" i="29" s="1"/>
  <c r="G136" i="36" l="1"/>
  <c r="G161" i="36" l="1"/>
  <c r="X22" i="35" l="1"/>
  <c r="L44" i="35" l="1"/>
  <c r="L47" i="35" s="1"/>
  <c r="L79" i="35" s="1"/>
  <c r="K47" i="35"/>
  <c r="K79" i="35" s="1"/>
  <c r="E76" i="36" l="1"/>
  <c r="I76" i="36" s="1"/>
  <c r="E14" i="36" l="1"/>
  <c r="G12" i="32"/>
  <c r="F22" i="32"/>
  <c r="F104" i="32" s="1"/>
  <c r="G22" i="32" l="1"/>
  <c r="G104" i="32" s="1"/>
  <c r="I14" i="36"/>
  <c r="E30" i="36"/>
  <c r="F124" i="32" l="1"/>
  <c r="G76" i="32"/>
  <c r="G124" i="32" s="1"/>
  <c r="E111" i="36"/>
  <c r="I111" i="36" s="1"/>
  <c r="G55" i="32" l="1"/>
  <c r="E87" i="36"/>
  <c r="I87" i="36" s="1"/>
  <c r="E86" i="36" l="1"/>
  <c r="F56" i="32"/>
  <c r="F116" i="32" s="1"/>
  <c r="G54" i="32"/>
  <c r="G56" i="32" s="1"/>
  <c r="G116" i="32" s="1"/>
  <c r="I86" i="36" l="1"/>
  <c r="E92" i="36"/>
  <c r="E158" i="36" s="1"/>
  <c r="I92" i="36" l="1"/>
  <c r="I158" i="36" s="1"/>
  <c r="D44" i="29" l="1"/>
  <c r="D88" i="29" s="1"/>
  <c r="G71" i="36" l="1"/>
  <c r="F44" i="29"/>
  <c r="F88" i="29" s="1"/>
  <c r="G39" i="29"/>
  <c r="G44" i="29" s="1"/>
  <c r="G88" i="29" s="1"/>
  <c r="I71" i="36" l="1"/>
  <c r="G83" i="36"/>
  <c r="X32" i="35" l="1"/>
  <c r="U72" i="35"/>
  <c r="E38" i="36"/>
  <c r="E44" i="36" l="1"/>
  <c r="I44" i="36" s="1"/>
  <c r="F30" i="32"/>
  <c r="F107" i="32" s="1"/>
  <c r="I38" i="36"/>
  <c r="G30" i="32"/>
  <c r="G107" i="32" s="1"/>
  <c r="X72" i="35"/>
  <c r="E45" i="36" l="1"/>
  <c r="I45" i="36"/>
  <c r="E63" i="36" l="1"/>
  <c r="G40" i="32"/>
  <c r="E64" i="36"/>
  <c r="I64" i="36" s="1"/>
  <c r="G41" i="32"/>
  <c r="G112" i="32" s="1"/>
  <c r="F112" i="32"/>
  <c r="I63" i="36" l="1"/>
  <c r="D30" i="29" l="1"/>
  <c r="D86" i="29" s="1"/>
  <c r="G56" i="36" l="1"/>
  <c r="F30" i="29"/>
  <c r="F86" i="29" s="1"/>
  <c r="G28" i="29"/>
  <c r="G30" i="29" s="1"/>
  <c r="G86" i="29" s="1"/>
  <c r="D14" i="29" l="1"/>
  <c r="D82" i="29" s="1"/>
  <c r="I56" i="36"/>
  <c r="G58" i="36"/>
  <c r="D79" i="29" l="1"/>
  <c r="F14" i="29"/>
  <c r="F82" i="29" s="1"/>
  <c r="G13" i="36"/>
  <c r="I58" i="36"/>
  <c r="G11" i="29"/>
  <c r="D104" i="29"/>
  <c r="G14" i="29" l="1"/>
  <c r="G82" i="29" s="1"/>
  <c r="G30" i="36"/>
  <c r="I13" i="36"/>
  <c r="F34" i="17"/>
  <c r="I30" i="36" l="1"/>
  <c r="G155" i="36"/>
  <c r="E65" i="36" l="1"/>
  <c r="G42" i="32"/>
  <c r="G44" i="32" s="1"/>
  <c r="G109" i="32" s="1"/>
  <c r="F44" i="32"/>
  <c r="F109" i="32" s="1"/>
  <c r="I65" i="36" l="1"/>
  <c r="E68" i="36"/>
  <c r="I68" i="36" l="1"/>
  <c r="E136" i="36" l="1"/>
  <c r="I136" i="36" l="1"/>
  <c r="E137" i="36"/>
  <c r="U59" i="35" l="1"/>
  <c r="U83" i="35" s="1"/>
  <c r="X58" i="35"/>
  <c r="X59" i="35" s="1"/>
  <c r="X83" i="35" s="1"/>
  <c r="E140" i="36" l="1"/>
  <c r="G92" i="32"/>
  <c r="G93" i="32" s="1"/>
  <c r="F93" i="32"/>
  <c r="G75" i="32" l="1"/>
  <c r="G79" i="32" s="1"/>
  <c r="E110" i="36"/>
  <c r="F79" i="32"/>
  <c r="G47" i="32"/>
  <c r="E73" i="36"/>
  <c r="F126" i="32"/>
  <c r="G126" i="32"/>
  <c r="E142" i="36"/>
  <c r="I140" i="36"/>
  <c r="I73" i="36" l="1"/>
  <c r="I142" i="36"/>
  <c r="I110" i="36"/>
  <c r="E115" i="36"/>
  <c r="E155" i="36" s="1"/>
  <c r="E82" i="36" l="1"/>
  <c r="F51" i="32"/>
  <c r="F110" i="32" s="1"/>
  <c r="I115" i="36"/>
  <c r="I155" i="36" s="1"/>
  <c r="G51" i="32"/>
  <c r="G110" i="32" s="1"/>
  <c r="D34" i="17" l="1"/>
  <c r="I82" i="36"/>
  <c r="E161" i="36"/>
  <c r="E83" i="36"/>
  <c r="D37" i="17" l="1"/>
  <c r="D36" i="17" s="1"/>
  <c r="E156" i="36"/>
  <c r="E162" i="36" s="1"/>
  <c r="E153" i="36"/>
  <c r="I161" i="36"/>
  <c r="I83" i="36"/>
  <c r="D43" i="17" l="1"/>
  <c r="D40" i="17" s="1"/>
  <c r="E10" i="17"/>
  <c r="E39" i="17" l="1"/>
  <c r="E12" i="17"/>
  <c r="E37" i="17" s="1"/>
  <c r="E36" i="17" s="1"/>
  <c r="E43" i="17" l="1"/>
  <c r="E40" i="17" s="1"/>
  <c r="F10" i="17"/>
  <c r="F12" i="17" l="1"/>
  <c r="F37" i="17" s="1"/>
  <c r="F36" i="17" s="1"/>
  <c r="F39" i="17"/>
  <c r="F43" i="17" l="1"/>
  <c r="F40" i="17" s="1"/>
  <c r="X41" i="35" l="1"/>
  <c r="L10" i="35"/>
  <c r="K77" i="35"/>
  <c r="L77" i="35" l="1"/>
  <c r="D55" i="17" s="1"/>
  <c r="P10" i="35"/>
  <c r="P77" i="35" l="1"/>
  <c r="S10" i="35"/>
  <c r="D54" i="17"/>
  <c r="D58" i="17" s="1"/>
  <c r="D60" i="17" s="1"/>
  <c r="E57" i="17" s="1"/>
  <c r="E51" i="17"/>
  <c r="S77" i="35" l="1"/>
  <c r="E55" i="17" s="1"/>
  <c r="F51" i="17" s="1"/>
  <c r="U10" i="35"/>
  <c r="X10" i="35" l="1"/>
  <c r="X77" i="35" s="1"/>
  <c r="F55" i="17" s="1"/>
  <c r="F54" i="17" s="1"/>
  <c r="F58" i="17" s="1"/>
  <c r="U77" i="35"/>
  <c r="E54" i="17"/>
  <c r="E58" i="17" s="1"/>
  <c r="E60" i="17" s="1"/>
  <c r="F57" i="17" s="1"/>
  <c r="F60" i="17" l="1"/>
  <c r="G86" i="32" l="1"/>
  <c r="F89" i="32"/>
  <c r="F122" i="32" s="1"/>
  <c r="F101" i="32"/>
  <c r="F128" i="32" l="1"/>
  <c r="G89" i="32"/>
  <c r="G122" i="32" s="1"/>
  <c r="G101" i="32"/>
  <c r="G128" i="32" l="1"/>
  <c r="X40" i="35" l="1"/>
  <c r="X43" i="35" l="1"/>
  <c r="X47" i="35" s="1"/>
  <c r="X79" i="35" s="1"/>
  <c r="U47" i="35"/>
  <c r="U79" i="35" s="1"/>
  <c r="K72" i="35" l="1"/>
  <c r="K37" i="35"/>
  <c r="L37" i="35"/>
  <c r="L72" i="35"/>
  <c r="K28" i="35" l="1"/>
  <c r="K69" i="35" s="1"/>
  <c r="K85" i="35" s="1"/>
  <c r="L9" i="35"/>
  <c r="K66" i="35" l="1"/>
  <c r="L28" i="35"/>
  <c r="L69" i="35" s="1"/>
  <c r="P9" i="35"/>
  <c r="L66" i="35" l="1"/>
  <c r="S9" i="35"/>
  <c r="P28" i="35"/>
  <c r="P69" i="35" s="1"/>
  <c r="P85" i="35" s="1"/>
  <c r="L85" i="35"/>
  <c r="P66" i="35" l="1"/>
  <c r="X33" i="35"/>
  <c r="U74" i="35"/>
  <c r="U37" i="35"/>
  <c r="U9" i="35"/>
  <c r="S28" i="35"/>
  <c r="S69" i="35" s="1"/>
  <c r="S66" i="35" l="1"/>
  <c r="S85" i="35"/>
  <c r="X9" i="35"/>
  <c r="U28" i="35"/>
  <c r="U69" i="35" s="1"/>
  <c r="U85" i="35" s="1"/>
  <c r="X74" i="35"/>
  <c r="X37" i="35"/>
  <c r="U66" i="35" l="1"/>
  <c r="X28" i="35"/>
  <c r="X69" i="35" s="1"/>
  <c r="X66" i="35" l="1"/>
  <c r="X85" i="35"/>
  <c r="F68" i="29" l="1"/>
  <c r="F98" i="29" s="1"/>
  <c r="F79" i="29"/>
  <c r="F104" i="29" l="1"/>
  <c r="G68" i="29"/>
  <c r="G98" i="29" s="1"/>
  <c r="G79" i="29"/>
  <c r="G137" i="36"/>
  <c r="I137" i="36" l="1"/>
  <c r="G156" i="36"/>
  <c r="G162" i="36" s="1"/>
  <c r="G153" i="36"/>
  <c r="G104" i="29"/>
  <c r="I156" i="36" l="1"/>
  <c r="I162" i="36" s="1"/>
  <c r="I153" i="36"/>
</calcChain>
</file>

<file path=xl/sharedStrings.xml><?xml version="1.0" encoding="utf-8"?>
<sst xmlns="http://schemas.openxmlformats.org/spreadsheetml/2006/main" count="597" uniqueCount="246">
  <si>
    <t>Opening PPE in-service</t>
  </si>
  <si>
    <t>Closing PPE in-service</t>
  </si>
  <si>
    <t>RECONCILIATION OF CUSTOMER CONTRIBUTIONS</t>
  </si>
  <si>
    <t>Opening Customer Contributions WIP</t>
  </si>
  <si>
    <t>Customer Contributions Received</t>
  </si>
  <si>
    <t>less: transfer to Rate Base</t>
  </si>
  <si>
    <t>Customer Contributions WIP end of year</t>
  </si>
  <si>
    <t xml:space="preserve">Opening Gross Customer Contributions in Service </t>
  </si>
  <si>
    <t>Transfers from WIP</t>
  </si>
  <si>
    <t xml:space="preserve">Closing Gross Customer Contributions in Service </t>
  </si>
  <si>
    <t>Total Transmission</t>
  </si>
  <si>
    <t>Total Distribution</t>
  </si>
  <si>
    <t>Total Generation</t>
  </si>
  <si>
    <t>Total General Plant &amp; Equipment</t>
  </si>
  <si>
    <t>SUMMARY - RECONCILIATION OF PROPERTY, PLANT AND EQUIPMENT</t>
  </si>
  <si>
    <t>($000S)</t>
  </si>
  <si>
    <t>Description</t>
  </si>
  <si>
    <t>Transfer to Ratebase</t>
  </si>
  <si>
    <t>Total WIP Adjustments and Transfers</t>
  </si>
  <si>
    <t>WIP end of year</t>
  </si>
  <si>
    <t>Opening Total PPE (in-service plus WIP)</t>
  </si>
  <si>
    <t>Change to total PPE</t>
  </si>
  <si>
    <t>Closing total PPE</t>
  </si>
  <si>
    <t>Opening Total Contribution (in-service plus WIP)</t>
  </si>
  <si>
    <t>Closing total Contribution</t>
  </si>
  <si>
    <t>Work in Progress (WIP), Beginning of Year</t>
  </si>
  <si>
    <t>Transmission</t>
  </si>
  <si>
    <t>Distribution</t>
  </si>
  <si>
    <t>Actual</t>
  </si>
  <si>
    <t>Generation</t>
  </si>
  <si>
    <t>Total Major Projects</t>
  </si>
  <si>
    <t>Change to total Contribution</t>
  </si>
  <si>
    <t>Table 5.1</t>
  </si>
  <si>
    <t>Subtotal Ongoing Capital</t>
  </si>
  <si>
    <t xml:space="preserve">Total Expenditures </t>
  </si>
  <si>
    <t>Table 5.3</t>
  </si>
  <si>
    <t>Forecast</t>
  </si>
  <si>
    <t>Adjustments</t>
  </si>
  <si>
    <t>Table 5.4</t>
  </si>
  <si>
    <t>Table 5.5</t>
  </si>
  <si>
    <t>Retirements and other adjustments</t>
  </si>
  <si>
    <t>Net transfer from WIP</t>
  </si>
  <si>
    <t>Notes:</t>
  </si>
  <si>
    <t>EXPENDITURES ON PROPERTY, PLANT AND EQUIPMENT - SUMMARY</t>
  </si>
  <si>
    <t>Total Overhaul</t>
  </si>
  <si>
    <t>Retirements, Disposals and Adjustments</t>
  </si>
  <si>
    <t>Total RFID</t>
  </si>
  <si>
    <t>Category of capital project</t>
  </si>
  <si>
    <t>Opening WIP</t>
  </si>
  <si>
    <t>Capital Expenditures</t>
  </si>
  <si>
    <t>Completed Projects</t>
  </si>
  <si>
    <t>Closing WIP</t>
  </si>
  <si>
    <t>Capital Projects – Major projects &gt; $1 million – Rate Base Additions</t>
  </si>
  <si>
    <t>Capital Projects  – Projects $100,000 to $1 million - Rate Base Additions</t>
  </si>
  <si>
    <t>Deferred Costs – Major projects &gt; $1 million – Rate Base Additions</t>
  </si>
  <si>
    <t>Deferred Costs – Projects $100,000 to $1  million - Rate Base Additions</t>
  </si>
  <si>
    <t>Intangible Assets – Major projects &gt; $1 million - Rate Base Additions</t>
  </si>
  <si>
    <t>Intangible Assets – Projects $100,000 to $1 million - Rate Base Additions</t>
  </si>
  <si>
    <t>Capital Projects – Major projects &gt; $1 million – Not impacting Rate Base</t>
  </si>
  <si>
    <t>Capital Projects – Projects $100,000 to $1 million – Not impacting Rate Base</t>
  </si>
  <si>
    <t>Deferred Costs – Projects $100,000 to $1 million – Not impacting Rate Base</t>
  </si>
  <si>
    <t>Intangible Assets – Major projects &gt; $1 million – Not impacting Rate Base</t>
  </si>
  <si>
    <t>Intangible Assets – Projects $100,000 to $1 million – Not impacting Rate Base</t>
  </si>
  <si>
    <t>Right of Use Assets</t>
  </si>
  <si>
    <t>RFID</t>
  </si>
  <si>
    <t>RFSR</t>
  </si>
  <si>
    <t>General Plant</t>
  </si>
  <si>
    <t>Overhaul</t>
  </si>
  <si>
    <t>Deferred Costs – Major projects &gt;$1 million – Not impacting Rate Base</t>
  </si>
  <si>
    <t>WIP Opening Balance</t>
  </si>
  <si>
    <t>Expenditures</t>
  </si>
  <si>
    <t>WIP Closing Balance</t>
  </si>
  <si>
    <t>Other Projects with &lt;$100k Spending by 2024</t>
  </si>
  <si>
    <t>Total</t>
  </si>
  <si>
    <t>Subtotal</t>
  </si>
  <si>
    <t>Other Projects with &lt;$100k Spending</t>
  </si>
  <si>
    <t>Total Major Projects [before contributions]</t>
  </si>
  <si>
    <t>Maintenance Capital [before contributions]</t>
  </si>
  <si>
    <t>Capital Contributions</t>
  </si>
  <si>
    <t>Deferred Costs [before contributions]</t>
  </si>
  <si>
    <t>Deferred Cost Contributions</t>
  </si>
  <si>
    <t>Intangible Assets</t>
  </si>
  <si>
    <t>Ongoing Maintenance Capital</t>
  </si>
  <si>
    <t>Total Net RFID</t>
  </si>
  <si>
    <t>WORK IN PROGRESS CONTINUITY SCHEDULE - 2021</t>
  </si>
  <si>
    <t>Table 5.2</t>
  </si>
  <si>
    <t>YUKON ENERGY CORPORATION 2023/24 GRA</t>
  </si>
  <si>
    <t>WORK IN PROGRESS CONTINUITY SCHEDULE - Projects Not impacting Rate Base</t>
  </si>
  <si>
    <t>WORK IN PROGRESS CONTINUITY SCHEDULE - 2024</t>
  </si>
  <si>
    <t>WORK IN PROGRESS CONTINUITY SCHEDULE - 2023</t>
  </si>
  <si>
    <t>WORK IN PROGRESS CONTINUITY SCHEDULE - 2022</t>
  </si>
  <si>
    <t>Completed Projects ($000)</t>
  </si>
  <si>
    <t>Total added to rate base</t>
  </si>
  <si>
    <t>Major Projects (Capital, Deferred, Intangible net contrib)</t>
  </si>
  <si>
    <t>Projects $100,000 to $1 million</t>
  </si>
  <si>
    <t>PAMMS Asset Management Framework</t>
  </si>
  <si>
    <t>EAM Purchase and Implementation</t>
  </si>
  <si>
    <t>Transfers</t>
  </si>
  <si>
    <t>*</t>
  </si>
  <si>
    <t>August 2023</t>
  </si>
  <si>
    <t>Table 5.6</t>
  </si>
  <si>
    <t>SUMMARY OF COMPLETED PROJECTS FOR 2021-2024 YEARS</t>
  </si>
  <si>
    <t>**</t>
  </si>
  <si>
    <t>** In 2021 Thermal Replacement Project and IPP Connections Projects were under Deferred costs.</t>
  </si>
  <si>
    <t xml:space="preserve">* Total project cost at $2.072 million including $1.923 million closed in 2020 and $0.149 million closed in 2021. </t>
  </si>
  <si>
    <t>Reserve for Site Restoration</t>
  </si>
  <si>
    <t>Total Net RFSR</t>
  </si>
  <si>
    <t>Overhauls</t>
  </si>
  <si>
    <t>***</t>
  </si>
  <si>
    <t>* In 2021 Thermal Replacement Project and IPP Connections Projects were under Deferred costs. The $0.150 million Thermal Replacement Project adjustment reflects the closed cost to feasibility deferred costs.</t>
  </si>
  <si>
    <t>** Reflects $1.3 million spending in 2022 and $5.7 million transfer to long-term relicensing project [25-year license].</t>
  </si>
  <si>
    <t>2023 Mayo-Faro Diesel Infrastructure</t>
  </si>
  <si>
    <t>Total RFSR</t>
  </si>
  <si>
    <t>Transfer to RFID/RFSR</t>
  </si>
  <si>
    <t>Other Adjustments</t>
  </si>
  <si>
    <t>Table 5.7</t>
  </si>
  <si>
    <t>Right of Use Asset Battery Land Lease</t>
  </si>
  <si>
    <t>Whitehorse Interconnection</t>
  </si>
  <si>
    <t>Transmission Line Replacement L178</t>
  </si>
  <si>
    <t>Dawson Voltage Conversion</t>
  </si>
  <si>
    <t>Whitehorse Stoplog Crane Replacement</t>
  </si>
  <si>
    <t>MH0 Road &amp; Road Slope Stability</t>
  </si>
  <si>
    <t>WH4 Servomotor Replacement</t>
  </si>
  <si>
    <t>WH2 Uprate Construction</t>
  </si>
  <si>
    <t>WH2 Uprate Engineering</t>
  </si>
  <si>
    <t>Mayo - McQuesten Transmission Line Upgrade</t>
  </si>
  <si>
    <t>Mayo - McQuesten Contributions</t>
  </si>
  <si>
    <t>Replace P125 WH2 Head Gate</t>
  </si>
  <si>
    <t>Wareham Spillway Concrete Repair</t>
  </si>
  <si>
    <t>WH1 Headgate Replacement</t>
  </si>
  <si>
    <t>Faro Fuel System</t>
  </si>
  <si>
    <t>Wareham Spillway Stoplogs - New Set</t>
  </si>
  <si>
    <t>WH3 Tailrace Gate Certification</t>
  </si>
  <si>
    <t xml:space="preserve">WH1&amp;2 Penstock Repair </t>
  </si>
  <si>
    <t>Wareham Spillway - Gate Refurbishment</t>
  </si>
  <si>
    <t>Transmission Line Access</t>
  </si>
  <si>
    <t>Alexco Mobile Substation Connection</t>
  </si>
  <si>
    <t>Alexco Mobile Substation Connection Contributions</t>
  </si>
  <si>
    <t>L177 Re Route</t>
  </si>
  <si>
    <t>Customer Extensions</t>
  </si>
  <si>
    <t>Customer Extensions Customer Contributions</t>
  </si>
  <si>
    <t>Synchronous Condenser Overhaul</t>
  </si>
  <si>
    <t>Major Crane Assessment/Refurbishment</t>
  </si>
  <si>
    <t>Server Replacements</t>
  </si>
  <si>
    <t>Compact Digger Truck</t>
  </si>
  <si>
    <t>Vehicle Purchases</t>
  </si>
  <si>
    <t>RFID Contributions</t>
  </si>
  <si>
    <t>DSM Program Development</t>
  </si>
  <si>
    <t>DSM Program Development Contributions</t>
  </si>
  <si>
    <t>Thermal Replacement (16.5 MW)</t>
  </si>
  <si>
    <t>IPP Connections</t>
  </si>
  <si>
    <t>IPP Connections Customer Contributions</t>
  </si>
  <si>
    <t>Southern Lakes Storage</t>
  </si>
  <si>
    <t>Aishihik 5-Year License Renewal</t>
  </si>
  <si>
    <t>GRA 2020-2021 (Hearing Reserve Acct)</t>
  </si>
  <si>
    <t>IPP Standing Offer Program Implementation</t>
  </si>
  <si>
    <t>Dam Safety Review</t>
  </si>
  <si>
    <t>P&amp;C: S250 Callison Protection, Control and SCADA Upgrade</t>
  </si>
  <si>
    <t>Schwatka Lake Safety/Debris Boom</t>
  </si>
  <si>
    <t>MBH1/2 Seal Water Filtration</t>
  </si>
  <si>
    <t>New Mobile Office Unit - IT</t>
  </si>
  <si>
    <t>Aishihik Bridge Redecking</t>
  </si>
  <si>
    <t>Mayo-McQuesten Radio to Fiber Migration</t>
  </si>
  <si>
    <t>AH1 10 Year Overhaul</t>
  </si>
  <si>
    <t>AH2 Overhaul</t>
  </si>
  <si>
    <t>Right of Use Asset Kulan Land</t>
  </si>
  <si>
    <t>Reserve for Site Restoration Bucket</t>
  </si>
  <si>
    <t>DSM Program 2022-2030</t>
  </si>
  <si>
    <t>Atlin EPA Section 18 Proceeding (Hearing Reserve Acct)</t>
  </si>
  <si>
    <t>Mayo Civil Infrastructure Refurbishment Planning</t>
  </si>
  <si>
    <t>System Wide Arc Flash Study</t>
  </si>
  <si>
    <t>Whitehorse Post-Flood Assessment</t>
  </si>
  <si>
    <t>EAM Enhancements Review</t>
  </si>
  <si>
    <t>CIS Replacement</t>
  </si>
  <si>
    <t>P&amp;C: S170 Protection, Control and SCADA Upgrade</t>
  </si>
  <si>
    <t>L177 Re Route Contributions</t>
  </si>
  <si>
    <t>NWTEL Make Ready Work</t>
  </si>
  <si>
    <t>Dawson Distribution 3 Phase Loop</t>
  </si>
  <si>
    <t>Skid Steer</t>
  </si>
  <si>
    <t>Waste Management Equipment</t>
  </si>
  <si>
    <t>HQ Datacenter Server Replacement</t>
  </si>
  <si>
    <t>SCADA Operation Network Segregation</t>
  </si>
  <si>
    <t>WG1 Overhaul</t>
  </si>
  <si>
    <t>WG2 Overhaul</t>
  </si>
  <si>
    <t>Right of Use Asset 1 Lindeman Road</t>
  </si>
  <si>
    <t>WRGS Thermal Assessment &amp; Permitting</t>
  </si>
  <si>
    <t>Public Safety Plans</t>
  </si>
  <si>
    <t>System Wide Stability Study</t>
  </si>
  <si>
    <t>Digital Strategy and Policy Development</t>
  </si>
  <si>
    <t>Privacy Management Program</t>
  </si>
  <si>
    <t>Vegetation Management Plan Update</t>
  </si>
  <si>
    <t>Cyber Security Framework</t>
  </si>
  <si>
    <t>Network Software Traffic Shaping</t>
  </si>
  <si>
    <t>Whitehorse Spillway Stoplog Refurbishment</t>
  </si>
  <si>
    <t>Lewes River Boat Lock Road Access Rebuild</t>
  </si>
  <si>
    <t>WH4 Air Admission Valve Automation</t>
  </si>
  <si>
    <t>WG2 Cylinder Heads Swap</t>
  </si>
  <si>
    <t>WG1 Radiator Replacement</t>
  </si>
  <si>
    <t>L177 Gang Switches</t>
  </si>
  <si>
    <t>Transmission Line Test and Treat Program 2020-22</t>
  </si>
  <si>
    <t>WG3 Overhaul</t>
  </si>
  <si>
    <t>DD4 Overhaul</t>
  </si>
  <si>
    <t>Transmission Line Detailed Inspection Program</t>
  </si>
  <si>
    <t>Gates/TIV's Certification Assessment System Wide</t>
  </si>
  <si>
    <t>Digital Reporting Review</t>
  </si>
  <si>
    <t>Records Policy Planning and Program Development</t>
  </si>
  <si>
    <t>Breaker Condition Assessment</t>
  </si>
  <si>
    <t>P&amp;C Central Event Data Collection System</t>
  </si>
  <si>
    <t>SharePoint Upgrades</t>
  </si>
  <si>
    <t xml:space="preserve">Energy Storage System </t>
  </si>
  <si>
    <t>Energy Storage System Contributions</t>
  </si>
  <si>
    <t>MH0 rockslide Stabilization and Remediation</t>
  </si>
  <si>
    <t>MH0 Surge Chamber Replacement</t>
  </si>
  <si>
    <t>Lewes River Boat Lock</t>
  </si>
  <si>
    <t>Lewes River Boat Lock Contributions</t>
  </si>
  <si>
    <t>Mayo Civil/Structural Infrastructure Program</t>
  </si>
  <si>
    <t>Aishihik Roof Replacement</t>
  </si>
  <si>
    <t>Whitehorse WH0 P125 Trash Rake</t>
  </si>
  <si>
    <t>Whitehorse WH4 Trash Rake</t>
  </si>
  <si>
    <t>P126 Building Renovation</t>
  </si>
  <si>
    <t>P&amp;C: WH4 Protection, Control, SCADA and Installation</t>
  </si>
  <si>
    <t>P&amp;C: S150 Protection, Control and SCADA Upgrade</t>
  </si>
  <si>
    <t>Pumped Storage</t>
  </si>
  <si>
    <t>AH1 and AH2 Governor Upgrades</t>
  </si>
  <si>
    <t>Lewes Gate Automation</t>
  </si>
  <si>
    <t>Faro 870S and S140 Substation Interconnection</t>
  </si>
  <si>
    <t>Mayo Lake Control Structure Valve Clean Out System</t>
  </si>
  <si>
    <t>WH3 Headgate Replacement</t>
  </si>
  <si>
    <t>Lewes Gate/Seal Refurbishment</t>
  </si>
  <si>
    <t>MBH1/MBH2 LP/HP Oil Supply System replacement</t>
  </si>
  <si>
    <t>Carmacks Substation Relocate</t>
  </si>
  <si>
    <t>Central Storeroom for Generation Parts</t>
  </si>
  <si>
    <t>P&amp;C: DD0 Exciter, Governor and Load Sharing</t>
  </si>
  <si>
    <t>Whitehorse Water Use License Renewal</t>
  </si>
  <si>
    <t>MGS Water Use License Renewal</t>
  </si>
  <si>
    <t>Aishihik 25-Year License Renewal</t>
  </si>
  <si>
    <t>Mayo Lake Storage (see also P11-073)</t>
  </si>
  <si>
    <t>Atlin Hydro SIS and EPA</t>
  </si>
  <si>
    <t>Atlin Hydro SIS and EPA Contributions</t>
  </si>
  <si>
    <t>2024 Resource Plan</t>
  </si>
  <si>
    <t>Renewable Diesel Pilot Project</t>
  </si>
  <si>
    <t>Substation and Distribution Load Planning Study</t>
  </si>
  <si>
    <t>Skagway Shoreside Power</t>
  </si>
  <si>
    <t>GRA 2023-2024 (Hearing Reserve Acct)</t>
  </si>
  <si>
    <t>ERP Replacement</t>
  </si>
  <si>
    <t>Project Management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</si>
</sst>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,"/>
    <numFmt numFmtId="167" formatCode="&quot;$&quot;#,##0;[Red]&quot;$&quot;#,##0"/>
    <numFmt numFmtId="168" formatCode="#,##0.0"/>
    <numFmt numFmtId="169" formatCode="_(* #,##0.0_);_(* \(#,##0.0\);_(* &quot;-&quot;??_);_(@_)"/>
    <numFmt numFmtId="170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0"/>
      <name val="Tahoma"/>
      <family val="2"/>
    </font>
    <font>
      <sz val="8.25"/>
      <color rgb="FF00000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ahoma"/>
      <family val="2"/>
    </font>
    <font>
      <b/>
      <sz val="10"/>
      <name val="MS Sans Serif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mediumGray">
        <fgColor indexed="2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16">
    <xf numFmtId="0" fontId="0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" fillId="0" borderId="0"/>
    <xf numFmtId="0" fontId="9" fillId="2" borderId="0" applyNumberFormat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37" fontId="11" fillId="0" borderId="0" applyFill="0" applyBorder="0" applyProtection="0"/>
    <xf numFmtId="0" fontId="1" fillId="0" borderId="0"/>
    <xf numFmtId="0" fontId="10" fillId="0" borderId="0" applyAlignment="0"/>
    <xf numFmtId="0" fontId="10" fillId="0" borderId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0" fillId="0" borderId="0" applyAlignment="0"/>
    <xf numFmtId="0" fontId="4" fillId="0" borderId="0"/>
    <xf numFmtId="0" fontId="4" fillId="0" borderId="0"/>
    <xf numFmtId="0" fontId="1" fillId="0" borderId="0"/>
    <xf numFmtId="0" fontId="10" fillId="0" borderId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Alignment="0"/>
    <xf numFmtId="0" fontId="4" fillId="0" borderId="0"/>
    <xf numFmtId="0" fontId="10" fillId="0" borderId="0" applyAlignment="0"/>
    <xf numFmtId="0" fontId="14" fillId="0" borderId="0"/>
    <xf numFmtId="0" fontId="11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5" fillId="0" borderId="3">
      <alignment horizontal="center"/>
    </xf>
    <xf numFmtId="3" fontId="11" fillId="0" borderId="0" applyFont="0" applyFill="0" applyBorder="0" applyAlignment="0" applyProtection="0"/>
    <xf numFmtId="0" fontId="11" fillId="3" borderId="0" applyNumberFormat="0" applyFont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quotePrefix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0" fontId="5" fillId="0" borderId="1" xfId="0" applyFont="1" applyBorder="1"/>
    <xf numFmtId="0" fontId="7" fillId="0" borderId="0" xfId="0" applyFont="1"/>
    <xf numFmtId="0" fontId="5" fillId="0" borderId="2" xfId="0" applyFont="1" applyBorder="1"/>
    <xf numFmtId="3" fontId="5" fillId="0" borderId="0" xfId="0" applyNumberFormat="1" applyFont="1"/>
    <xf numFmtId="0" fontId="3" fillId="0" borderId="0" xfId="0" applyFont="1" applyAlignment="1">
      <alignment horizontal="left" indent="10"/>
    </xf>
    <xf numFmtId="9" fontId="5" fillId="0" borderId="0" xfId="4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165" fontId="17" fillId="0" borderId="0" xfId="1" applyFont="1"/>
    <xf numFmtId="165" fontId="0" fillId="0" borderId="0" xfId="1" applyFont="1"/>
    <xf numFmtId="168" fontId="0" fillId="0" borderId="0" xfId="1" applyNumberFormat="1" applyFont="1"/>
    <xf numFmtId="168" fontId="17" fillId="0" borderId="0" xfId="1" applyNumberFormat="1" applyFont="1"/>
    <xf numFmtId="168" fontId="0" fillId="0" borderId="0" xfId="0" applyNumberFormat="1"/>
    <xf numFmtId="0" fontId="17" fillId="0" borderId="0" xfId="0" applyFont="1" applyAlignment="1">
      <alignment horizontal="center" vertical="center" wrapText="1"/>
    </xf>
    <xf numFmtId="168" fontId="17" fillId="0" borderId="0" xfId="0" applyNumberFormat="1" applyFont="1"/>
    <xf numFmtId="3" fontId="6" fillId="0" borderId="0" xfId="0" applyNumberFormat="1" applyFont="1"/>
    <xf numFmtId="0" fontId="17" fillId="0" borderId="7" xfId="0" applyFont="1" applyBorder="1"/>
    <xf numFmtId="168" fontId="17" fillId="0" borderId="7" xfId="1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7" fontId="17" fillId="0" borderId="0" xfId="0" applyNumberFormat="1" applyFont="1"/>
    <xf numFmtId="0" fontId="17" fillId="0" borderId="0" xfId="0" quotePrefix="1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9" fontId="0" fillId="0" borderId="0" xfId="1" applyNumberFormat="1" applyFont="1"/>
    <xf numFmtId="169" fontId="0" fillId="0" borderId="0" xfId="0" applyNumberFormat="1"/>
    <xf numFmtId="169" fontId="17" fillId="0" borderId="0" xfId="1" applyNumberFormat="1" applyFont="1"/>
    <xf numFmtId="169" fontId="17" fillId="0" borderId="0" xfId="0" applyNumberFormat="1" applyFont="1"/>
    <xf numFmtId="170" fontId="17" fillId="0" borderId="0" xfId="0" applyNumberFormat="1" applyFont="1"/>
    <xf numFmtId="170" fontId="0" fillId="0" borderId="0" xfId="0" applyNumberFormat="1"/>
    <xf numFmtId="43" fontId="0" fillId="0" borderId="0" xfId="0" applyNumberFormat="1"/>
    <xf numFmtId="3" fontId="5" fillId="0" borderId="1" xfId="0" applyNumberFormat="1" applyFont="1" applyBorder="1"/>
    <xf numFmtId="3" fontId="7" fillId="0" borderId="0" xfId="0" applyNumberFormat="1" applyFont="1"/>
    <xf numFmtId="168" fontId="0" fillId="0" borderId="0" xfId="1" applyNumberFormat="1" applyFont="1" applyFill="1"/>
    <xf numFmtId="3" fontId="16" fillId="0" borderId="2" xfId="0" applyNumberFormat="1" applyFont="1" applyBorder="1"/>
    <xf numFmtId="168" fontId="17" fillId="0" borderId="0" xfId="1" applyNumberFormat="1" applyFont="1" applyBorder="1"/>
    <xf numFmtId="0" fontId="0" fillId="0" borderId="0" xfId="0" applyAlignment="1">
      <alignment horizontal="right"/>
    </xf>
    <xf numFmtId="168" fontId="17" fillId="0" borderId="0" xfId="1" applyNumberFormat="1" applyFont="1" applyFill="1"/>
    <xf numFmtId="169" fontId="0" fillId="0" borderId="0" xfId="1" applyNumberFormat="1" applyFont="1" applyFill="1"/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</cellXfs>
  <cellStyles count="116">
    <cellStyle name="60% - Accent4 2" xfId="8" xr:uid="{00000000-0005-0000-0000-000000000000}"/>
    <cellStyle name="Comma" xfId="1" builtinId="3"/>
    <cellStyle name="Comma 10" xfId="9" xr:uid="{00000000-0005-0000-0000-000002000000}"/>
    <cellStyle name="Comma 11" xfId="10" xr:uid="{00000000-0005-0000-0000-000003000000}"/>
    <cellStyle name="Comma 11 2" xfId="11" xr:uid="{00000000-0005-0000-0000-000004000000}"/>
    <cellStyle name="Comma 12" xfId="12" xr:uid="{00000000-0005-0000-0000-000005000000}"/>
    <cellStyle name="Comma 2" xfId="2" xr:uid="{00000000-0005-0000-0000-000006000000}"/>
    <cellStyle name="Comma 2 2" xfId="13" xr:uid="{00000000-0005-0000-0000-000007000000}"/>
    <cellStyle name="Comma 2 3" xfId="14" xr:uid="{00000000-0005-0000-0000-000008000000}"/>
    <cellStyle name="Comma 2 4" xfId="15" xr:uid="{00000000-0005-0000-0000-000009000000}"/>
    <cellStyle name="Comma 3" xfId="16" xr:uid="{00000000-0005-0000-0000-00000A000000}"/>
    <cellStyle name="Comma 3 2" xfId="17" xr:uid="{00000000-0005-0000-0000-00000B000000}"/>
    <cellStyle name="Comma 3 2 2" xfId="18" xr:uid="{00000000-0005-0000-0000-00000C000000}"/>
    <cellStyle name="Comma 3 3" xfId="19" xr:uid="{00000000-0005-0000-0000-00000D000000}"/>
    <cellStyle name="Comma 3 3 2" xfId="20" xr:uid="{00000000-0005-0000-0000-00000E000000}"/>
    <cellStyle name="Comma 3 4" xfId="21" xr:uid="{00000000-0005-0000-0000-00000F000000}"/>
    <cellStyle name="Comma 3 5" xfId="22" xr:uid="{00000000-0005-0000-0000-000010000000}"/>
    <cellStyle name="Comma 4" xfId="23" xr:uid="{00000000-0005-0000-0000-000011000000}"/>
    <cellStyle name="Comma 4 2" xfId="24" xr:uid="{00000000-0005-0000-0000-000012000000}"/>
    <cellStyle name="Comma 4 2 2" xfId="25" xr:uid="{00000000-0005-0000-0000-000013000000}"/>
    <cellStyle name="Comma 4 3" xfId="26" xr:uid="{00000000-0005-0000-0000-000014000000}"/>
    <cellStyle name="Comma 5" xfId="27" xr:uid="{00000000-0005-0000-0000-000015000000}"/>
    <cellStyle name="Comma 5 2" xfId="28" xr:uid="{00000000-0005-0000-0000-000016000000}"/>
    <cellStyle name="Comma 6" xfId="29" xr:uid="{00000000-0005-0000-0000-000017000000}"/>
    <cellStyle name="Comma 6 2" xfId="30" xr:uid="{00000000-0005-0000-0000-000018000000}"/>
    <cellStyle name="Comma 6 2 2" xfId="31" xr:uid="{00000000-0005-0000-0000-000019000000}"/>
    <cellStyle name="Comma 6 3" xfId="32" xr:uid="{00000000-0005-0000-0000-00001A000000}"/>
    <cellStyle name="Comma 7" xfId="33" xr:uid="{00000000-0005-0000-0000-00001B000000}"/>
    <cellStyle name="Comma 7 2" xfId="34" xr:uid="{00000000-0005-0000-0000-00001C000000}"/>
    <cellStyle name="Comma 7 2 2" xfId="35" xr:uid="{00000000-0005-0000-0000-00001D000000}"/>
    <cellStyle name="Comma 7 3" xfId="36" xr:uid="{00000000-0005-0000-0000-00001E000000}"/>
    <cellStyle name="Comma 8" xfId="37" xr:uid="{00000000-0005-0000-0000-00001F000000}"/>
    <cellStyle name="Comma 8 2" xfId="38" xr:uid="{00000000-0005-0000-0000-000020000000}"/>
    <cellStyle name="Comma 9" xfId="39" xr:uid="{00000000-0005-0000-0000-000021000000}"/>
    <cellStyle name="Comma 9 2" xfId="40" xr:uid="{00000000-0005-0000-0000-000022000000}"/>
    <cellStyle name="Currency 2" xfId="6" xr:uid="{00000000-0005-0000-0000-000023000000}"/>
    <cellStyle name="Currency 2 2" xfId="41" xr:uid="{00000000-0005-0000-0000-000024000000}"/>
    <cellStyle name="Currency 2 2 2" xfId="42" xr:uid="{00000000-0005-0000-0000-000025000000}"/>
    <cellStyle name="Currency 2 3" xfId="43" xr:uid="{00000000-0005-0000-0000-000026000000}"/>
    <cellStyle name="Currency 2 3 2" xfId="44" xr:uid="{00000000-0005-0000-0000-000027000000}"/>
    <cellStyle name="Currency 2 4" xfId="45" xr:uid="{00000000-0005-0000-0000-000028000000}"/>
    <cellStyle name="Currency 3" xfId="46" xr:uid="{00000000-0005-0000-0000-000029000000}"/>
    <cellStyle name="Currency 3 2" xfId="47" xr:uid="{00000000-0005-0000-0000-00002A000000}"/>
    <cellStyle name="Currency 3 3" xfId="48" xr:uid="{00000000-0005-0000-0000-00002B000000}"/>
    <cellStyle name="Currency 4" xfId="49" xr:uid="{00000000-0005-0000-0000-00002C000000}"/>
    <cellStyle name="Currency 4 2" xfId="50" xr:uid="{00000000-0005-0000-0000-00002D000000}"/>
    <cellStyle name="Currency 4 2 2" xfId="51" xr:uid="{00000000-0005-0000-0000-00002E000000}"/>
    <cellStyle name="Currency 4 3" xfId="52" xr:uid="{00000000-0005-0000-0000-00002F000000}"/>
    <cellStyle name="Currency 5" xfId="53" xr:uid="{00000000-0005-0000-0000-000030000000}"/>
    <cellStyle name="Currency 6" xfId="54" xr:uid="{00000000-0005-0000-0000-000031000000}"/>
    <cellStyle name="Normal" xfId="0" builtinId="0"/>
    <cellStyle name="Normal 10" xfId="55" xr:uid="{00000000-0005-0000-0000-000033000000}"/>
    <cellStyle name="Normal 11" xfId="56" xr:uid="{00000000-0005-0000-0000-000034000000}"/>
    <cellStyle name="Normal 12" xfId="57" xr:uid="{00000000-0005-0000-0000-000035000000}"/>
    <cellStyle name="Normal 13" xfId="58" xr:uid="{00000000-0005-0000-0000-000036000000}"/>
    <cellStyle name="Normal 14" xfId="59" xr:uid="{00000000-0005-0000-0000-000037000000}"/>
    <cellStyle name="Normal 14 2" xfId="60" xr:uid="{00000000-0005-0000-0000-000038000000}"/>
    <cellStyle name="Normal 15" xfId="61" xr:uid="{00000000-0005-0000-0000-000039000000}"/>
    <cellStyle name="Normal 15 2" xfId="62" xr:uid="{00000000-0005-0000-0000-00003A000000}"/>
    <cellStyle name="Normal 16" xfId="63" xr:uid="{00000000-0005-0000-0000-00003B000000}"/>
    <cellStyle name="Normal 17" xfId="64" xr:uid="{00000000-0005-0000-0000-00003C000000}"/>
    <cellStyle name="Normal 17 2" xfId="65" xr:uid="{00000000-0005-0000-0000-00003D000000}"/>
    <cellStyle name="Normal 18" xfId="66" xr:uid="{00000000-0005-0000-0000-00003E000000}"/>
    <cellStyle name="Normal 2" xfId="3" xr:uid="{00000000-0005-0000-0000-00003F000000}"/>
    <cellStyle name="Normal 2 2" xfId="7" xr:uid="{00000000-0005-0000-0000-000040000000}"/>
    <cellStyle name="Normal 2 3" xfId="67" xr:uid="{00000000-0005-0000-0000-000041000000}"/>
    <cellStyle name="Normal 2 4" xfId="68" xr:uid="{00000000-0005-0000-0000-000042000000}"/>
    <cellStyle name="Normal 2 5" xfId="69" xr:uid="{00000000-0005-0000-0000-000043000000}"/>
    <cellStyle name="Normal 3" xfId="5" xr:uid="{00000000-0005-0000-0000-000044000000}"/>
    <cellStyle name="Normal 3 2" xfId="70" xr:uid="{00000000-0005-0000-0000-000045000000}"/>
    <cellStyle name="Normal 3 3" xfId="71" xr:uid="{00000000-0005-0000-0000-000046000000}"/>
    <cellStyle name="Normal 3 3 2" xfId="72" xr:uid="{00000000-0005-0000-0000-000047000000}"/>
    <cellStyle name="Normal 3 4" xfId="73" xr:uid="{00000000-0005-0000-0000-000048000000}"/>
    <cellStyle name="Normal 4" xfId="74" xr:uid="{00000000-0005-0000-0000-000049000000}"/>
    <cellStyle name="Normal 4 2" xfId="75" xr:uid="{00000000-0005-0000-0000-00004A000000}"/>
    <cellStyle name="Normal 4 2 2" xfId="76" xr:uid="{00000000-0005-0000-0000-00004B000000}"/>
    <cellStyle name="Normal 4 3" xfId="77" xr:uid="{00000000-0005-0000-0000-00004C000000}"/>
    <cellStyle name="Normal 5" xfId="78" xr:uid="{00000000-0005-0000-0000-00004D000000}"/>
    <cellStyle name="Normal 5 2" xfId="79" xr:uid="{00000000-0005-0000-0000-00004E000000}"/>
    <cellStyle name="Normal 5 3" xfId="80" xr:uid="{00000000-0005-0000-0000-00004F000000}"/>
    <cellStyle name="Normal 5 4" xfId="81" xr:uid="{00000000-0005-0000-0000-000050000000}"/>
    <cellStyle name="Normal 6" xfId="82" xr:uid="{00000000-0005-0000-0000-000051000000}"/>
    <cellStyle name="Normal 6 2" xfId="83" xr:uid="{00000000-0005-0000-0000-000052000000}"/>
    <cellStyle name="Normal 6 2 2" xfId="84" xr:uid="{00000000-0005-0000-0000-000053000000}"/>
    <cellStyle name="Normal 6 3" xfId="85" xr:uid="{00000000-0005-0000-0000-000054000000}"/>
    <cellStyle name="Normal 7" xfId="86" xr:uid="{00000000-0005-0000-0000-000055000000}"/>
    <cellStyle name="Normal 7 2" xfId="87" xr:uid="{00000000-0005-0000-0000-000056000000}"/>
    <cellStyle name="Normal 7 3" xfId="88" xr:uid="{00000000-0005-0000-0000-000057000000}"/>
    <cellStyle name="Normal 8" xfId="89" xr:uid="{00000000-0005-0000-0000-000058000000}"/>
    <cellStyle name="Normal 8 2" xfId="90" xr:uid="{00000000-0005-0000-0000-000059000000}"/>
    <cellStyle name="Normal 9" xfId="91" xr:uid="{00000000-0005-0000-0000-00005A000000}"/>
    <cellStyle name="Normal 9 2" xfId="92" xr:uid="{00000000-0005-0000-0000-00005B000000}"/>
    <cellStyle name="Percent" xfId="4" builtinId="5"/>
    <cellStyle name="Percent 2" xfId="93" xr:uid="{00000000-0005-0000-0000-00005D000000}"/>
    <cellStyle name="Percent 2 2" xfId="94" xr:uid="{00000000-0005-0000-0000-00005E000000}"/>
    <cellStyle name="Percent 3" xfId="95" xr:uid="{00000000-0005-0000-0000-00005F000000}"/>
    <cellStyle name="Percent 3 2" xfId="96" xr:uid="{00000000-0005-0000-0000-000060000000}"/>
    <cellStyle name="Percent 3 2 2" xfId="97" xr:uid="{00000000-0005-0000-0000-000061000000}"/>
    <cellStyle name="Percent 3 3" xfId="98" xr:uid="{00000000-0005-0000-0000-000062000000}"/>
    <cellStyle name="Percent 4" xfId="99" xr:uid="{00000000-0005-0000-0000-000063000000}"/>
    <cellStyle name="Percent 4 2" xfId="100" xr:uid="{00000000-0005-0000-0000-000064000000}"/>
    <cellStyle name="Percent 4 2 2" xfId="101" xr:uid="{00000000-0005-0000-0000-000065000000}"/>
    <cellStyle name="Percent 4 3" xfId="102" xr:uid="{00000000-0005-0000-0000-000066000000}"/>
    <cellStyle name="Percent 5" xfId="103" xr:uid="{00000000-0005-0000-0000-000067000000}"/>
    <cellStyle name="Percent 5 2" xfId="104" xr:uid="{00000000-0005-0000-0000-000068000000}"/>
    <cellStyle name="Percent 6" xfId="105" xr:uid="{00000000-0005-0000-0000-000069000000}"/>
    <cellStyle name="Percent 6 2" xfId="106" xr:uid="{00000000-0005-0000-0000-00006A000000}"/>
    <cellStyle name="Percent 7" xfId="107" xr:uid="{00000000-0005-0000-0000-00006B000000}"/>
    <cellStyle name="Percent 7 2" xfId="108" xr:uid="{00000000-0005-0000-0000-00006C000000}"/>
    <cellStyle name="Percent 8" xfId="109" xr:uid="{00000000-0005-0000-0000-00006D000000}"/>
    <cellStyle name="PSChar" xfId="110" xr:uid="{00000000-0005-0000-0000-00006E000000}"/>
    <cellStyle name="PSDate" xfId="111" xr:uid="{00000000-0005-0000-0000-00006F000000}"/>
    <cellStyle name="PSDec" xfId="112" xr:uid="{00000000-0005-0000-0000-000070000000}"/>
    <cellStyle name="PSHeading" xfId="113" xr:uid="{00000000-0005-0000-0000-000071000000}"/>
    <cellStyle name="PSInt" xfId="114" xr:uid="{00000000-0005-0000-0000-000072000000}"/>
    <cellStyle name="PSSpacer" xfId="115" xr:uid="{00000000-0005-0000-0000-00007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tabSelected="1" view="pageBreakPreview" zoomScaleSheetLayoutView="100" workbookViewId="0">
      <pane ySplit="6" topLeftCell="A7" activePane="bottomLeft" state="frozen"/>
      <selection pane="bottomLeft" activeCell="A18" sqref="A18"/>
    </sheetView>
  </sheetViews>
  <sheetFormatPr defaultColWidth="9.08984375" defaultRowHeight="12.5" x14ac:dyDescent="0.25"/>
  <cols>
    <col min="1" max="1" width="50" style="9" customWidth="1"/>
    <col min="2" max="2" width="1.453125" style="9" customWidth="1"/>
    <col min="3" max="6" width="10.36328125" style="9" customWidth="1"/>
    <col min="7" max="16384" width="9.08984375" style="9"/>
  </cols>
  <sheetData>
    <row r="1" spans="1:7" ht="13" x14ac:dyDescent="0.3">
      <c r="A1" s="21" t="s">
        <v>86</v>
      </c>
      <c r="B1" s="21"/>
      <c r="C1" s="21"/>
      <c r="D1" s="21"/>
      <c r="E1" s="21"/>
      <c r="F1" s="22" t="s">
        <v>32</v>
      </c>
    </row>
    <row r="2" spans="1:7" ht="13" x14ac:dyDescent="0.3">
      <c r="A2" s="11" t="s">
        <v>43</v>
      </c>
      <c r="B2" s="11"/>
      <c r="C2" s="11"/>
      <c r="D2" s="11"/>
      <c r="E2" s="23"/>
      <c r="F2" s="10" t="s">
        <v>99</v>
      </c>
    </row>
    <row r="3" spans="1:7" ht="13" x14ac:dyDescent="0.3">
      <c r="A3" s="59" t="s">
        <v>15</v>
      </c>
      <c r="B3" s="59"/>
      <c r="C3" s="59"/>
      <c r="D3" s="59"/>
      <c r="E3" s="59"/>
      <c r="F3" s="59"/>
    </row>
    <row r="5" spans="1:7" ht="13" x14ac:dyDescent="0.3">
      <c r="B5" s="20"/>
      <c r="C5" s="12" t="s">
        <v>28</v>
      </c>
      <c r="D5" s="12" t="s">
        <v>28</v>
      </c>
      <c r="E5" s="12" t="s">
        <v>36</v>
      </c>
      <c r="F5" s="12" t="s">
        <v>36</v>
      </c>
    </row>
    <row r="6" spans="1:7" ht="13" x14ac:dyDescent="0.3">
      <c r="A6" s="4" t="s">
        <v>16</v>
      </c>
      <c r="B6" s="4"/>
      <c r="C6" s="4">
        <v>2021</v>
      </c>
      <c r="D6" s="4">
        <v>2022</v>
      </c>
      <c r="E6" s="4">
        <v>2023</v>
      </c>
      <c r="F6" s="4">
        <v>2024</v>
      </c>
    </row>
    <row r="8" spans="1:7" ht="13" x14ac:dyDescent="0.25">
      <c r="A8" s="2" t="s">
        <v>14</v>
      </c>
    </row>
    <row r="9" spans="1:7" ht="13" x14ac:dyDescent="0.25">
      <c r="A9" s="2"/>
      <c r="D9" s="13"/>
      <c r="E9" s="13"/>
      <c r="F9" s="13"/>
    </row>
    <row r="10" spans="1:7" ht="13" x14ac:dyDescent="0.25">
      <c r="A10" s="2" t="s">
        <v>25</v>
      </c>
      <c r="C10" s="17">
        <f>'5.2 - 2021'!D89+SUM('5.2 - 2021'!D92:D95)+'5.2 - 2021'!D99+'5.2 - 2021'!D101+'5.7 - Not Impacting Rate Base'!D69+SUM('5.7 - Not Impacting Rate Base'!D72:D75)</f>
        <v>25294.987180000004</v>
      </c>
      <c r="D10" s="17">
        <f t="shared" ref="D10:F10" si="0">C37</f>
        <v>3808.3901400000104</v>
      </c>
      <c r="E10" s="17">
        <f t="shared" si="0"/>
        <v>33637.833770000019</v>
      </c>
      <c r="F10" s="17">
        <f t="shared" si="0"/>
        <v>81643.673850000021</v>
      </c>
    </row>
    <row r="11" spans="1:7" ht="13" x14ac:dyDescent="0.25">
      <c r="A11" s="2" t="s">
        <v>97</v>
      </c>
      <c r="C11" s="17"/>
      <c r="D11" s="17">
        <f>'5.3 - 2022'!D8+'5.3 - 2022'!D40</f>
        <v>3246.9603999999999</v>
      </c>
      <c r="E11" s="17"/>
      <c r="F11" s="17"/>
    </row>
    <row r="12" spans="1:7" ht="13" x14ac:dyDescent="0.25">
      <c r="A12" s="2" t="s">
        <v>25</v>
      </c>
      <c r="C12" s="17">
        <f>SUM(C10:C11)</f>
        <v>25294.987180000004</v>
      </c>
      <c r="D12" s="17">
        <f t="shared" ref="D12:F12" si="1">SUM(D10:D11)</f>
        <v>7055.3505400000104</v>
      </c>
      <c r="E12" s="17">
        <f t="shared" si="1"/>
        <v>33637.833770000019</v>
      </c>
      <c r="F12" s="17">
        <f t="shared" si="1"/>
        <v>81643.673850000021</v>
      </c>
    </row>
    <row r="13" spans="1:7" ht="13" x14ac:dyDescent="0.25">
      <c r="A13" s="2"/>
      <c r="C13" s="17"/>
      <c r="D13" s="17"/>
      <c r="E13" s="17"/>
      <c r="F13" s="17"/>
    </row>
    <row r="14" spans="1:7" ht="13" x14ac:dyDescent="0.25">
      <c r="A14" s="2" t="s">
        <v>30</v>
      </c>
      <c r="C14" s="17">
        <f>'5.2 - 2021'!E89+'5.7 - Not Impacting Rate Base'!E69</f>
        <v>23088.035230000001</v>
      </c>
      <c r="D14" s="17">
        <f>'5.3 - 2022'!E104+'5.7 - Not Impacting Rate Base'!J69</f>
        <v>32741.426670000001</v>
      </c>
      <c r="E14" s="17">
        <f>'5.4 - 2023'!E109+'5.7 - Not Impacting Rate Base'!Q69</f>
        <v>68563.234540000005</v>
      </c>
      <c r="F14" s="17">
        <f>'5.5 - 2024'!E82+'5.7 - Not Impacting Rate Base'!V69</f>
        <v>56690</v>
      </c>
      <c r="G14" s="19"/>
    </row>
    <row r="15" spans="1:7" ht="13" x14ac:dyDescent="0.25">
      <c r="A15" s="2"/>
      <c r="C15" s="17"/>
      <c r="D15" s="17"/>
      <c r="E15" s="17"/>
      <c r="F15" s="17"/>
    </row>
    <row r="16" spans="1:7" ht="13" x14ac:dyDescent="0.25">
      <c r="A16" s="2" t="s">
        <v>82</v>
      </c>
      <c r="C16" s="17"/>
      <c r="D16" s="17"/>
      <c r="E16" s="17"/>
      <c r="F16" s="17"/>
    </row>
    <row r="17" spans="1:6" x14ac:dyDescent="0.25">
      <c r="A17" s="8" t="s">
        <v>12</v>
      </c>
      <c r="C17" s="17">
        <f>'5.2 - 2021'!E92+'5.7 - Not Impacting Rate Base'!E72</f>
        <v>1735.2214899999999</v>
      </c>
      <c r="D17" s="17">
        <f>'5.3 - 2022'!E107+'5.7 - Not Impacting Rate Base'!J72</f>
        <v>565.39375999999993</v>
      </c>
      <c r="E17" s="17">
        <f>'5.4 - 2023'!E112+'5.7 - Not Impacting Rate Base'!Q72</f>
        <v>520</v>
      </c>
      <c r="F17" s="17">
        <f>'5.5 - 2024'!E85+'5.7 - Not Impacting Rate Base'!V72</f>
        <v>1559.99</v>
      </c>
    </row>
    <row r="18" spans="1:6" x14ac:dyDescent="0.25">
      <c r="A18" s="8" t="s">
        <v>10</v>
      </c>
      <c r="C18" s="17">
        <f>'5.2 - 2021'!E93+'5.7 - Not Impacting Rate Base'!E73</f>
        <v>253.3929</v>
      </c>
      <c r="D18" s="17">
        <f>'5.3 - 2022'!E108+'5.7 - Not Impacting Rate Base'!J73</f>
        <v>451.81689999999992</v>
      </c>
      <c r="E18" s="17">
        <f>'5.4 - 2023'!E113+'5.7 - Not Impacting Rate Base'!Q73</f>
        <v>1103.5748900000001</v>
      </c>
      <c r="F18" s="17">
        <f>'5.5 - 2024'!E86+'5.7 - Not Impacting Rate Base'!V73</f>
        <v>1179</v>
      </c>
    </row>
    <row r="19" spans="1:6" x14ac:dyDescent="0.25">
      <c r="A19" s="8" t="s">
        <v>11</v>
      </c>
      <c r="C19" s="17">
        <f>'5.2 - 2021'!E94+'5.7 - Not Impacting Rate Base'!E74</f>
        <v>996.15630999999996</v>
      </c>
      <c r="D19" s="17">
        <f>'5.3 - 2022'!E109+'5.7 - Not Impacting Rate Base'!J74</f>
        <v>3390.0317600000003</v>
      </c>
      <c r="E19" s="17">
        <f>'5.4 - 2023'!E114+'5.7 - Not Impacting Rate Base'!Q74</f>
        <v>2800</v>
      </c>
      <c r="F19" s="17">
        <f>'5.5 - 2024'!E87+'5.7 - Not Impacting Rate Base'!V74</f>
        <v>1005</v>
      </c>
    </row>
    <row r="20" spans="1:6" x14ac:dyDescent="0.25">
      <c r="A20" s="8" t="s">
        <v>13</v>
      </c>
      <c r="C20" s="17">
        <f>'5.2 - 2021'!E95+'5.7 - Not Impacting Rate Base'!E75</f>
        <v>716.09530999999993</v>
      </c>
      <c r="D20" s="17">
        <f>'5.3 - 2022'!E110+'5.7 - Not Impacting Rate Base'!J75</f>
        <v>1487.5440600000002</v>
      </c>
      <c r="E20" s="17">
        <f>'5.4 - 2023'!E115+'5.7 - Not Impacting Rate Base'!Q75</f>
        <v>2596.0610000000001</v>
      </c>
      <c r="F20" s="17">
        <f>'5.5 - 2024'!E88+'5.7 - Not Impacting Rate Base'!V75</f>
        <v>2872.01</v>
      </c>
    </row>
    <row r="21" spans="1:6" x14ac:dyDescent="0.25">
      <c r="A21" s="8" t="s">
        <v>63</v>
      </c>
      <c r="C21" s="17">
        <f>'5.2 - 2021'!E99</f>
        <v>0</v>
      </c>
      <c r="D21" s="17">
        <f>'5.3 - 2022'!E114</f>
        <v>1180.856</v>
      </c>
      <c r="E21" s="17">
        <f>'5.4 - 2023'!E119</f>
        <v>750.13410999999996</v>
      </c>
      <c r="F21" s="17">
        <f>'5.5 - 2024'!E92</f>
        <v>0</v>
      </c>
    </row>
    <row r="22" spans="1:6" x14ac:dyDescent="0.25">
      <c r="A22" s="8" t="s">
        <v>44</v>
      </c>
      <c r="C22" s="17">
        <f>'5.2 - 2021'!E101</f>
        <v>0</v>
      </c>
      <c r="D22" s="17">
        <f>'5.3 - 2022'!E116</f>
        <v>2371.8199199999999</v>
      </c>
      <c r="E22" s="17">
        <f>'5.4 - 2023'!E121</f>
        <v>3230</v>
      </c>
      <c r="F22" s="17">
        <f>'5.5 - 2024'!E94</f>
        <v>850</v>
      </c>
    </row>
    <row r="23" spans="1:6" x14ac:dyDescent="0.25">
      <c r="A23" s="8" t="s">
        <v>46</v>
      </c>
      <c r="C23" s="17">
        <f>'5.2 - 2021'!E103</f>
        <v>916.49708999999984</v>
      </c>
      <c r="D23" s="17">
        <f>'5.3 - 2022'!E118</f>
        <v>2085.8006700000001</v>
      </c>
      <c r="E23" s="17">
        <f>'5.4 - 2023'!E123</f>
        <v>554</v>
      </c>
      <c r="F23" s="17">
        <f>'5.5 - 2024'!E96</f>
        <v>681.74099999999999</v>
      </c>
    </row>
    <row r="24" spans="1:6" x14ac:dyDescent="0.25">
      <c r="A24" s="8" t="s">
        <v>112</v>
      </c>
      <c r="C24" s="51">
        <v>0</v>
      </c>
      <c r="D24" s="51">
        <f>'5.3 - 2022'!E120</f>
        <v>40.0929</v>
      </c>
      <c r="E24" s="51">
        <f>'5.4 - 2023'!E125</f>
        <v>723</v>
      </c>
      <c r="F24" s="51">
        <v>0</v>
      </c>
    </row>
    <row r="25" spans="1:6" ht="13" x14ac:dyDescent="0.25">
      <c r="A25" s="2" t="s">
        <v>33</v>
      </c>
      <c r="C25" s="17">
        <f>SUM(C17:C24)</f>
        <v>4617.3630999999996</v>
      </c>
      <c r="D25" s="17">
        <f>SUM(D17:D24)</f>
        <v>11573.355970000001</v>
      </c>
      <c r="E25" s="17">
        <f>SUM(E17:E24)</f>
        <v>12276.77</v>
      </c>
      <c r="F25" s="17">
        <f>SUM(F17:F24)</f>
        <v>8147.741</v>
      </c>
    </row>
    <row r="26" spans="1:6" ht="13" x14ac:dyDescent="0.25">
      <c r="A26" s="5"/>
      <c r="B26" s="14"/>
      <c r="C26" s="51"/>
      <c r="D26" s="51"/>
      <c r="E26" s="51"/>
      <c r="F26" s="51"/>
    </row>
    <row r="27" spans="1:6" ht="13" x14ac:dyDescent="0.25">
      <c r="A27" s="2" t="s">
        <v>34</v>
      </c>
      <c r="B27" s="13">
        <f>SUM(B14:B20)</f>
        <v>0</v>
      </c>
      <c r="C27" s="17">
        <f>C14+C25</f>
        <v>27705.39833</v>
      </c>
      <c r="D27" s="17">
        <f>D14+D25</f>
        <v>44314.782640000005</v>
      </c>
      <c r="E27" s="17">
        <f>E14+E25</f>
        <v>80840.004540000009</v>
      </c>
      <c r="F27" s="17">
        <f>F14+F25</f>
        <v>64837.741000000002</v>
      </c>
    </row>
    <row r="28" spans="1:6" s="15" customFormat="1" ht="13" x14ac:dyDescent="0.3">
      <c r="A28" s="18"/>
      <c r="C28" s="52"/>
      <c r="D28" s="52"/>
      <c r="E28" s="52"/>
      <c r="F28" s="52"/>
    </row>
    <row r="29" spans="1:6" x14ac:dyDescent="0.25">
      <c r="A29" s="1" t="s">
        <v>113</v>
      </c>
      <c r="C29" s="17">
        <f>-C23-C24</f>
        <v>-916.49708999999984</v>
      </c>
      <c r="D29" s="17">
        <f t="shared" ref="D29:F29" si="2">-D23-D24</f>
        <v>-2125.8935700000002</v>
      </c>
      <c r="E29" s="17">
        <f t="shared" si="2"/>
        <v>-1277</v>
      </c>
      <c r="F29" s="17">
        <f t="shared" si="2"/>
        <v>-681.74099999999999</v>
      </c>
    </row>
    <row r="30" spans="1:6" x14ac:dyDescent="0.25">
      <c r="A30" s="1" t="s">
        <v>114</v>
      </c>
      <c r="C30" s="17"/>
      <c r="D30" s="17"/>
      <c r="E30" s="17"/>
      <c r="F30" s="17"/>
    </row>
    <row r="31" spans="1:6" x14ac:dyDescent="0.25">
      <c r="A31" s="6"/>
      <c r="B31" s="14"/>
      <c r="C31" s="51"/>
      <c r="D31" s="51"/>
      <c r="E31" s="51"/>
      <c r="F31" s="51"/>
    </row>
    <row r="32" spans="1:6" ht="13" x14ac:dyDescent="0.25">
      <c r="A32" s="2" t="s">
        <v>18</v>
      </c>
      <c r="C32" s="17">
        <f>SUM(C29:C30)</f>
        <v>-916.49708999999984</v>
      </c>
      <c r="D32" s="17">
        <f>SUM(D29:D30)</f>
        <v>-2125.8935700000002</v>
      </c>
      <c r="E32" s="17">
        <f>SUM(E29:E30)</f>
        <v>-1277</v>
      </c>
      <c r="F32" s="17">
        <f>SUM(F29:F30)</f>
        <v>-681.74099999999999</v>
      </c>
    </row>
    <row r="33" spans="1:6" x14ac:dyDescent="0.25">
      <c r="A33" s="1"/>
      <c r="C33" s="17"/>
      <c r="D33" s="17"/>
      <c r="E33" s="17"/>
      <c r="F33" s="17"/>
    </row>
    <row r="34" spans="1:6" ht="13" x14ac:dyDescent="0.3">
      <c r="A34" s="3" t="s">
        <v>17</v>
      </c>
      <c r="C34" s="17">
        <f>SUM('5.2 - 2021'!F89:F95)+'5.2 - 2021'!F99+'5.2 - 2021'!F101+SUM('5.7 - Not Impacting Rate Base'!F69:F75)</f>
        <v>-48275.49828</v>
      </c>
      <c r="D34" s="17">
        <f>SUM('5.3 - 2022'!F104:F110)+'5.3 - 2022'!F114+'5.3 - 2022'!F116</f>
        <v>-15606.405839999999</v>
      </c>
      <c r="E34" s="17">
        <f>SUM('5.4 - 2023'!F109:F115)+'5.4 - 2023'!F119+'5.4 - 2023'!F121</f>
        <v>-31557.164459999996</v>
      </c>
      <c r="F34" s="17">
        <f>SUM('5.5 - 2024'!F82:F88)+'5.5 - 2024'!F92+'5.5 - 2024'!F94</f>
        <v>-45222.07215</v>
      </c>
    </row>
    <row r="35" spans="1:6" ht="13" x14ac:dyDescent="0.3">
      <c r="A35" s="15"/>
      <c r="C35" s="17"/>
      <c r="D35" s="17"/>
      <c r="E35" s="17"/>
      <c r="F35" s="17"/>
    </row>
    <row r="36" spans="1:6" ht="13" thickBot="1" x14ac:dyDescent="0.3">
      <c r="A36" s="7"/>
      <c r="B36" s="16"/>
      <c r="C36" s="54">
        <f>C10+C27+C32+C34-C37</f>
        <v>0</v>
      </c>
      <c r="D36" s="54">
        <f>D10+D27+D32+D34-D37</f>
        <v>-3246.9604000000036</v>
      </c>
      <c r="E36" s="54">
        <f>E10+E27+E32+E34-E37</f>
        <v>0</v>
      </c>
      <c r="F36" s="54">
        <f>F10+F27+F32+F34-F37</f>
        <v>0</v>
      </c>
    </row>
    <row r="37" spans="1:6" ht="13.5" thickTop="1" x14ac:dyDescent="0.3">
      <c r="A37" s="3" t="s">
        <v>19</v>
      </c>
      <c r="B37" s="11"/>
      <c r="C37" s="35">
        <f>C12+C27+C32+C34</f>
        <v>3808.3901400000104</v>
      </c>
      <c r="D37" s="35">
        <f>D12+D27+D32+D34</f>
        <v>33637.833770000019</v>
      </c>
      <c r="E37" s="35">
        <f>E12+E27+E32+E34</f>
        <v>81643.673850000021</v>
      </c>
      <c r="F37" s="35">
        <f>F12+F27+F32+F34</f>
        <v>100577.60170000003</v>
      </c>
    </row>
    <row r="38" spans="1:6" ht="13" x14ac:dyDescent="0.3">
      <c r="A38" s="3"/>
      <c r="C38" s="17"/>
      <c r="D38" s="17"/>
      <c r="E38" s="17"/>
      <c r="F38" s="17"/>
    </row>
    <row r="39" spans="1:6" ht="13" x14ac:dyDescent="0.3">
      <c r="A39" s="3" t="s">
        <v>0</v>
      </c>
      <c r="C39" s="17">
        <f>C45-C10</f>
        <v>642666.79582</v>
      </c>
      <c r="D39" s="17">
        <f>D45-D10</f>
        <v>687789.25185999996</v>
      </c>
      <c r="E39" s="17">
        <f>E45-E10</f>
        <v>701616.22823000001</v>
      </c>
      <c r="F39" s="17">
        <f>F45-F10</f>
        <v>731502.77515</v>
      </c>
    </row>
    <row r="40" spans="1:6" x14ac:dyDescent="0.25">
      <c r="A40" s="1" t="s">
        <v>41</v>
      </c>
      <c r="C40" s="17">
        <f>C43-C39-C41</f>
        <v>48275.498039999962</v>
      </c>
      <c r="D40" s="17">
        <f>D43-D39-D41</f>
        <v>12359.445370000047</v>
      </c>
      <c r="E40" s="17">
        <f>E43-E39-E41</f>
        <v>31557.163919999992</v>
      </c>
      <c r="F40" s="17">
        <f>F43-F39-F41</f>
        <v>45222.072150000036</v>
      </c>
    </row>
    <row r="41" spans="1:6" x14ac:dyDescent="0.25">
      <c r="A41" s="1" t="s">
        <v>40</v>
      </c>
      <c r="C41" s="17">
        <v>-3153.0419999999999</v>
      </c>
      <c r="D41" s="17">
        <v>1467.5310000000002</v>
      </c>
      <c r="E41" s="17">
        <v>-1670.6169999999997</v>
      </c>
      <c r="F41" s="17">
        <v>-1.556</v>
      </c>
    </row>
    <row r="42" spans="1:6" x14ac:dyDescent="0.25">
      <c r="A42" s="1"/>
      <c r="C42" s="17"/>
      <c r="D42" s="17"/>
      <c r="E42" s="17"/>
      <c r="F42" s="17"/>
    </row>
    <row r="43" spans="1:6" ht="13" x14ac:dyDescent="0.3">
      <c r="A43" s="3" t="s">
        <v>1</v>
      </c>
      <c r="B43" s="11"/>
      <c r="C43" s="35">
        <f>C47-C37</f>
        <v>687789.25185999996</v>
      </c>
      <c r="D43" s="35">
        <f>D47-D37</f>
        <v>701616.22823000001</v>
      </c>
      <c r="E43" s="35">
        <f t="shared" ref="E43:F43" si="3">E47-E37</f>
        <v>731502.77515</v>
      </c>
      <c r="F43" s="35">
        <f t="shared" si="3"/>
        <v>776723.29130000004</v>
      </c>
    </row>
    <row r="44" spans="1:6" ht="13" x14ac:dyDescent="0.3">
      <c r="A44" s="3"/>
      <c r="C44" s="17"/>
      <c r="D44" s="17"/>
      <c r="E44" s="17"/>
      <c r="F44" s="17"/>
    </row>
    <row r="45" spans="1:6" ht="13" x14ac:dyDescent="0.3">
      <c r="A45" s="3" t="s">
        <v>20</v>
      </c>
      <c r="C45" s="17">
        <v>667961.78300000005</v>
      </c>
      <c r="D45" s="17">
        <f t="shared" ref="D45:F45" si="4">C47</f>
        <v>691597.64199999999</v>
      </c>
      <c r="E45" s="17">
        <f t="shared" si="4"/>
        <v>735254.06200000003</v>
      </c>
      <c r="F45" s="17">
        <f t="shared" si="4"/>
        <v>813146.44900000002</v>
      </c>
    </row>
    <row r="46" spans="1:6" x14ac:dyDescent="0.25">
      <c r="A46" s="1" t="s">
        <v>21</v>
      </c>
      <c r="C46" s="17">
        <f>C47-C45</f>
        <v>23635.858999999939</v>
      </c>
      <c r="D46" s="17">
        <f>D47-D45</f>
        <v>43656.420000000042</v>
      </c>
      <c r="E46" s="17">
        <f>E47-E45</f>
        <v>77892.386999999988</v>
      </c>
      <c r="F46" s="17">
        <f>F47-F45</f>
        <v>64154.444000000018</v>
      </c>
    </row>
    <row r="47" spans="1:6" ht="13" x14ac:dyDescent="0.3">
      <c r="A47" s="3" t="s">
        <v>22</v>
      </c>
      <c r="B47" s="11"/>
      <c r="C47" s="35">
        <v>691597.64199999999</v>
      </c>
      <c r="D47" s="35">
        <v>735254.06200000003</v>
      </c>
      <c r="E47" s="35">
        <v>813146.44900000002</v>
      </c>
      <c r="F47" s="35">
        <v>877300.89300000004</v>
      </c>
    </row>
    <row r="48" spans="1:6" ht="13" x14ac:dyDescent="0.3">
      <c r="A48" s="3"/>
      <c r="C48" s="17"/>
      <c r="D48" s="17"/>
      <c r="E48" s="17"/>
      <c r="F48" s="17"/>
    </row>
    <row r="49" spans="1:6" ht="13" x14ac:dyDescent="0.3">
      <c r="A49" s="3" t="s">
        <v>2</v>
      </c>
      <c r="C49" s="17"/>
      <c r="D49" s="17"/>
      <c r="E49" s="17"/>
      <c r="F49" s="17"/>
    </row>
    <row r="50" spans="1:6" ht="13" x14ac:dyDescent="0.3">
      <c r="A50" s="3"/>
      <c r="C50" s="17"/>
      <c r="D50" s="17"/>
      <c r="E50" s="17"/>
      <c r="F50" s="17"/>
    </row>
    <row r="51" spans="1:6" ht="13" x14ac:dyDescent="0.3">
      <c r="A51" s="3" t="s">
        <v>3</v>
      </c>
      <c r="C51" s="35">
        <f>-SUM('5.2 - 2021'!D97)-'5.7 - Not Impacting Rate Base'!D77</f>
        <v>13360.840490000002</v>
      </c>
      <c r="D51" s="35">
        <f t="shared" ref="D51:F51" si="5">C55</f>
        <v>1385.7724500000002</v>
      </c>
      <c r="E51" s="35">
        <f t="shared" si="5"/>
        <v>12787.722890000001</v>
      </c>
      <c r="F51" s="35">
        <f t="shared" si="5"/>
        <v>16500</v>
      </c>
    </row>
    <row r="52" spans="1:6" x14ac:dyDescent="0.25">
      <c r="A52" s="1" t="s">
        <v>4</v>
      </c>
      <c r="C52" s="17">
        <f>-SUM('5.2 - 2021'!E97)-'5.7 - Not Impacting Rate Base'!E77</f>
        <v>10128.471820000002</v>
      </c>
      <c r="D52" s="17">
        <f>-SUM('5.3 - 2022'!E112)-'5.7 - Not Impacting Rate Base'!J77</f>
        <v>10787.768179999999</v>
      </c>
      <c r="E52" s="17">
        <f>-SUM('5.4 - 2023'!E117)-'5.7 - Not Impacting Rate Base'!Q77</f>
        <v>11807.448429999999</v>
      </c>
      <c r="F52" s="17">
        <f>-SUM('5.5 - 2024'!E90)-'5.7 - Not Impacting Rate Base'!V77</f>
        <v>4900</v>
      </c>
    </row>
    <row r="53" spans="1:6" x14ac:dyDescent="0.25">
      <c r="A53" s="1" t="s">
        <v>37</v>
      </c>
      <c r="C53" s="17"/>
      <c r="D53" s="17"/>
      <c r="E53" s="17"/>
      <c r="F53" s="17"/>
    </row>
    <row r="54" spans="1:6" x14ac:dyDescent="0.25">
      <c r="A54" s="1" t="s">
        <v>5</v>
      </c>
      <c r="C54" s="17">
        <f>-(C51+C52-C55+C53)</f>
        <v>-22103.539860000004</v>
      </c>
      <c r="D54" s="17">
        <f>-(D51+D52-D55)</f>
        <v>614.18226000000141</v>
      </c>
      <c r="E54" s="17">
        <f>-(E51+E52-E55)</f>
        <v>-8095.1713200000013</v>
      </c>
      <c r="F54" s="17">
        <f>-(F51+F52-F55)</f>
        <v>-400</v>
      </c>
    </row>
    <row r="55" spans="1:6" ht="13" x14ac:dyDescent="0.3">
      <c r="A55" s="3" t="s">
        <v>6</v>
      </c>
      <c r="C55" s="35">
        <f>-SUM('5.2 - 2021'!G97)-'5.7 - Not Impacting Rate Base'!G77</f>
        <v>1385.7724500000002</v>
      </c>
      <c r="D55" s="35">
        <f>-SUM('5.3 - 2022'!G112)-'5.7 - Not Impacting Rate Base'!L77</f>
        <v>12787.722890000001</v>
      </c>
      <c r="E55" s="35">
        <f>-SUM('5.4 - 2023'!G117)-'5.7 - Not Impacting Rate Base'!S77</f>
        <v>16500</v>
      </c>
      <c r="F55" s="35">
        <f>-SUM('5.5 - 2024'!G90)-'5.7 - Not Impacting Rate Base'!X77</f>
        <v>21000</v>
      </c>
    </row>
    <row r="56" spans="1:6" x14ac:dyDescent="0.25">
      <c r="A56" s="1"/>
      <c r="C56" s="17"/>
      <c r="D56" s="17"/>
      <c r="E56" s="17"/>
      <c r="F56" s="17"/>
    </row>
    <row r="57" spans="1:6" ht="13" x14ac:dyDescent="0.3">
      <c r="A57" s="3" t="s">
        <v>7</v>
      </c>
      <c r="C57" s="35">
        <f>C62-C51</f>
        <v>211830.17467999997</v>
      </c>
      <c r="D57" s="35">
        <f t="shared" ref="D57:F57" si="6">C60</f>
        <v>233917.32953999995</v>
      </c>
      <c r="E57" s="35">
        <f t="shared" si="6"/>
        <v>234687.25727999993</v>
      </c>
      <c r="F57" s="35">
        <f t="shared" si="6"/>
        <v>242782.42859999993</v>
      </c>
    </row>
    <row r="58" spans="1:6" x14ac:dyDescent="0.25">
      <c r="A58" s="1" t="s">
        <v>8</v>
      </c>
      <c r="C58" s="17">
        <f t="shared" ref="C58:F58" si="7">-C54</f>
        <v>22103.539860000004</v>
      </c>
      <c r="D58" s="17">
        <f t="shared" si="7"/>
        <v>-614.18226000000141</v>
      </c>
      <c r="E58" s="17">
        <f t="shared" ref="E58" si="8">-E54</f>
        <v>8095.1713200000013</v>
      </c>
      <c r="F58" s="17">
        <f t="shared" si="7"/>
        <v>400</v>
      </c>
    </row>
    <row r="59" spans="1:6" x14ac:dyDescent="0.25">
      <c r="A59" s="1" t="s">
        <v>45</v>
      </c>
      <c r="C59" s="17">
        <v>-16.385000000000002</v>
      </c>
      <c r="D59" s="17">
        <v>1384.11</v>
      </c>
      <c r="E59" s="17">
        <v>0</v>
      </c>
      <c r="F59" s="17">
        <v>0</v>
      </c>
    </row>
    <row r="60" spans="1:6" ht="13" x14ac:dyDescent="0.3">
      <c r="A60" s="3" t="s">
        <v>9</v>
      </c>
      <c r="C60" s="35">
        <f t="shared" ref="C60:F60" si="9">SUM(C57:C59)</f>
        <v>233917.32953999995</v>
      </c>
      <c r="D60" s="35">
        <f t="shared" si="9"/>
        <v>234687.25727999993</v>
      </c>
      <c r="E60" s="35">
        <f>SUM(E57:E59)</f>
        <v>242782.42859999993</v>
      </c>
      <c r="F60" s="35">
        <f t="shared" si="9"/>
        <v>243182.42859999993</v>
      </c>
    </row>
    <row r="61" spans="1:6" x14ac:dyDescent="0.25">
      <c r="C61" s="17"/>
      <c r="D61" s="17"/>
      <c r="E61" s="17"/>
      <c r="F61" s="17"/>
    </row>
    <row r="62" spans="1:6" ht="13" x14ac:dyDescent="0.3">
      <c r="A62" s="3" t="s">
        <v>23</v>
      </c>
      <c r="C62" s="17">
        <v>225191.01516999997</v>
      </c>
      <c r="D62" s="17">
        <f t="shared" ref="D62" si="10">C64</f>
        <v>235303.10198999997</v>
      </c>
      <c r="E62" s="17">
        <f>D64</f>
        <v>247474.98016999997</v>
      </c>
      <c r="F62" s="17">
        <f>E64</f>
        <v>259282.42859999996</v>
      </c>
    </row>
    <row r="63" spans="1:6" x14ac:dyDescent="0.25">
      <c r="A63" s="1" t="s">
        <v>31</v>
      </c>
      <c r="C63" s="17">
        <f>SUM(C52:C53,C59)</f>
        <v>10112.086820000002</v>
      </c>
      <c r="D63" s="17">
        <f>SUM(D52:D53,D59)</f>
        <v>12171.87818</v>
      </c>
      <c r="E63" s="17">
        <f>SUM(E52:E53,E59)</f>
        <v>11807.448429999999</v>
      </c>
      <c r="F63" s="17">
        <f>SUM(F52:F53,F59)</f>
        <v>4900</v>
      </c>
    </row>
    <row r="64" spans="1:6" ht="13" x14ac:dyDescent="0.3">
      <c r="A64" s="3" t="s">
        <v>24</v>
      </c>
      <c r="B64" s="11"/>
      <c r="C64" s="17">
        <f>SUM(C62:C63)</f>
        <v>235303.10198999997</v>
      </c>
      <c r="D64" s="17">
        <f>SUM(D62:D63)</f>
        <v>247474.98016999997</v>
      </c>
      <c r="E64" s="17">
        <f>SUM(E62:E63)</f>
        <v>259282.42859999996</v>
      </c>
      <c r="F64" s="17">
        <f>SUM(F62:F63)</f>
        <v>264182.42859999998</v>
      </c>
    </row>
    <row r="66" spans="3:6" x14ac:dyDescent="0.25">
      <c r="C66" s="17"/>
      <c r="D66" s="17"/>
      <c r="E66" s="17"/>
      <c r="F66" s="17"/>
    </row>
    <row r="67" spans="3:6" x14ac:dyDescent="0.25">
      <c r="C67" s="17"/>
      <c r="D67" s="17"/>
      <c r="E67" s="17"/>
      <c r="F67" s="17"/>
    </row>
    <row r="68" spans="3:6" x14ac:dyDescent="0.25">
      <c r="C68" s="17"/>
      <c r="D68" s="17"/>
      <c r="E68" s="17"/>
      <c r="F68" s="17"/>
    </row>
    <row r="69" spans="3:6" x14ac:dyDescent="0.25">
      <c r="C69" s="17"/>
      <c r="D69" s="17"/>
      <c r="E69" s="17"/>
      <c r="F69" s="17"/>
    </row>
    <row r="70" spans="3:6" x14ac:dyDescent="0.25">
      <c r="C70" s="17"/>
      <c r="D70" s="17"/>
      <c r="E70" s="17"/>
      <c r="F70" s="17"/>
    </row>
    <row r="71" spans="3:6" x14ac:dyDescent="0.25">
      <c r="C71" s="17"/>
      <c r="D71" s="17"/>
      <c r="E71" s="17"/>
      <c r="F71" s="17"/>
    </row>
  </sheetData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1"/>
  <sheetViews>
    <sheetView showGridLines="0" view="pageBreakPreview" zoomScaleNormal="100" zoomScaleSheetLayoutView="100" workbookViewId="0">
      <pane ySplit="5" topLeftCell="A103" activePane="bottomLeft" state="frozen"/>
      <selection activeCell="B8" sqref="B8"/>
      <selection pane="bottomLeft" activeCell="C108" sqref="C108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</cols>
  <sheetData>
    <row r="1" spans="2:7" x14ac:dyDescent="0.35">
      <c r="B1" s="24" t="s">
        <v>86</v>
      </c>
      <c r="C1" s="38"/>
      <c r="D1" s="38"/>
      <c r="E1" s="38"/>
      <c r="F1" s="38"/>
      <c r="G1" s="39" t="s">
        <v>85</v>
      </c>
    </row>
    <row r="2" spans="2:7" x14ac:dyDescent="0.35">
      <c r="B2" s="24" t="s">
        <v>84</v>
      </c>
      <c r="C2" s="24"/>
      <c r="D2" s="24"/>
      <c r="E2" s="24"/>
      <c r="F2" s="40"/>
      <c r="G2" s="41" t="str">
        <f>'5.1'!$F$2</f>
        <v>August 2023</v>
      </c>
    </row>
    <row r="3" spans="2:7" x14ac:dyDescent="0.35">
      <c r="B3" s="60" t="s">
        <v>15</v>
      </c>
      <c r="C3" s="60"/>
      <c r="D3" s="60"/>
      <c r="E3" s="60"/>
      <c r="F3" s="60"/>
      <c r="G3" s="60"/>
    </row>
    <row r="4" spans="2:7" x14ac:dyDescent="0.35">
      <c r="B4" s="24"/>
      <c r="C4" s="24"/>
    </row>
    <row r="5" spans="2:7" s="24" customFormat="1" ht="29" x14ac:dyDescent="0.35">
      <c r="B5" s="25" t="s">
        <v>47</v>
      </c>
      <c r="C5" s="25"/>
      <c r="D5" s="26" t="s">
        <v>48</v>
      </c>
      <c r="E5" s="26" t="s">
        <v>49</v>
      </c>
      <c r="F5" s="26" t="s">
        <v>50</v>
      </c>
      <c r="G5" s="26" t="s">
        <v>51</v>
      </c>
    </row>
    <row r="6" spans="2:7" s="24" customFormat="1" x14ac:dyDescent="0.35">
      <c r="D6" s="27"/>
      <c r="E6" s="27"/>
      <c r="F6" s="27"/>
      <c r="G6" s="27"/>
    </row>
    <row r="7" spans="2:7" s="24" customFormat="1" x14ac:dyDescent="0.35">
      <c r="B7" s="24" t="s">
        <v>52</v>
      </c>
      <c r="D7" s="28"/>
      <c r="E7" s="28"/>
      <c r="F7" s="28"/>
      <c r="G7" s="28"/>
    </row>
    <row r="8" spans="2:7" x14ac:dyDescent="0.35">
      <c r="B8" t="s">
        <v>117</v>
      </c>
      <c r="D8" s="30">
        <v>0</v>
      </c>
      <c r="E8" s="30">
        <v>507.96957000000003</v>
      </c>
      <c r="F8" s="30">
        <v>0</v>
      </c>
      <c r="G8" s="30">
        <f t="shared" ref="G8:G20" si="0">SUM(D8:F8)</f>
        <v>507.96957000000003</v>
      </c>
    </row>
    <row r="9" spans="2:7" x14ac:dyDescent="0.35">
      <c r="B9" t="s">
        <v>118</v>
      </c>
      <c r="D9" s="30">
        <v>0</v>
      </c>
      <c r="E9" s="30">
        <v>311.08184999999997</v>
      </c>
      <c r="F9" s="30">
        <v>-311.08184999999997</v>
      </c>
      <c r="G9" s="30">
        <f t="shared" si="0"/>
        <v>0</v>
      </c>
    </row>
    <row r="10" spans="2:7" x14ac:dyDescent="0.35">
      <c r="B10" t="s">
        <v>119</v>
      </c>
      <c r="D10" s="30">
        <v>67.582419999999999</v>
      </c>
      <c r="E10" s="30">
        <v>2.4145599999999998</v>
      </c>
      <c r="F10" s="30">
        <v>0</v>
      </c>
      <c r="G10" s="30">
        <f t="shared" si="0"/>
        <v>69.996979999999994</v>
      </c>
    </row>
    <row r="11" spans="2:7" x14ac:dyDescent="0.35">
      <c r="B11" t="s">
        <v>120</v>
      </c>
      <c r="D11" s="30">
        <v>0</v>
      </c>
      <c r="E11" s="30">
        <v>88.006360000000001</v>
      </c>
      <c r="F11" s="30">
        <v>0</v>
      </c>
      <c r="G11" s="30">
        <f t="shared" si="0"/>
        <v>88.006360000000001</v>
      </c>
    </row>
    <row r="12" spans="2:7" x14ac:dyDescent="0.35">
      <c r="B12" t="s">
        <v>121</v>
      </c>
      <c r="D12" s="30">
        <v>0</v>
      </c>
      <c r="E12" s="30">
        <v>13.256920000000001</v>
      </c>
      <c r="F12" s="30">
        <v>0</v>
      </c>
      <c r="G12" s="30">
        <f t="shared" si="0"/>
        <v>13.256920000000001</v>
      </c>
    </row>
    <row r="13" spans="2:7" x14ac:dyDescent="0.35">
      <c r="B13" t="s">
        <v>122</v>
      </c>
      <c r="D13" s="30">
        <v>384.74714</v>
      </c>
      <c r="E13" s="30">
        <v>933.48086999999998</v>
      </c>
      <c r="F13" s="30">
        <v>-1318.22801</v>
      </c>
      <c r="G13" s="30">
        <f t="shared" si="0"/>
        <v>0</v>
      </c>
    </row>
    <row r="14" spans="2:7" x14ac:dyDescent="0.35">
      <c r="B14" t="s">
        <v>123</v>
      </c>
      <c r="D14" s="30">
        <v>3910.2572799999998</v>
      </c>
      <c r="E14" s="30">
        <v>8182.0360000000001</v>
      </c>
      <c r="F14" s="30">
        <v>-12092.29328</v>
      </c>
      <c r="G14" s="30">
        <f t="shared" si="0"/>
        <v>0</v>
      </c>
    </row>
    <row r="15" spans="2:7" x14ac:dyDescent="0.35">
      <c r="B15" t="s">
        <v>124</v>
      </c>
      <c r="D15" s="30">
        <v>259.07137999999998</v>
      </c>
      <c r="E15" s="30">
        <v>6.3501599999999998</v>
      </c>
      <c r="F15" s="30">
        <v>-265.42153999999999</v>
      </c>
      <c r="G15" s="30">
        <f t="shared" si="0"/>
        <v>0</v>
      </c>
    </row>
    <row r="16" spans="2:7" x14ac:dyDescent="0.35">
      <c r="B16" t="s">
        <v>125</v>
      </c>
      <c r="D16" s="30">
        <v>17487.132969999999</v>
      </c>
      <c r="E16" s="30">
        <v>11451.47033</v>
      </c>
      <c r="F16" s="30">
        <v>-28938.603300000002</v>
      </c>
      <c r="G16" s="30">
        <f t="shared" si="0"/>
        <v>0</v>
      </c>
    </row>
    <row r="17" spans="1:7" x14ac:dyDescent="0.35">
      <c r="B17" t="s">
        <v>126</v>
      </c>
      <c r="D17" s="30">
        <v>-12379.44635</v>
      </c>
      <c r="E17" s="30">
        <v>-8684.8351600000005</v>
      </c>
      <c r="F17" s="30">
        <v>21064.281510000001</v>
      </c>
      <c r="G17" s="30">
        <f t="shared" si="0"/>
        <v>0</v>
      </c>
    </row>
    <row r="18" spans="1:7" x14ac:dyDescent="0.35">
      <c r="A18" s="56" t="s">
        <v>98</v>
      </c>
      <c r="B18" t="s">
        <v>127</v>
      </c>
      <c r="D18" s="30">
        <v>128.69648000000001</v>
      </c>
      <c r="E18" s="30">
        <v>20.523900000000001</v>
      </c>
      <c r="F18" s="30">
        <v>-149.22038000000001</v>
      </c>
      <c r="G18" s="30">
        <f t="shared" si="0"/>
        <v>0</v>
      </c>
    </row>
    <row r="19" spans="1:7" x14ac:dyDescent="0.35">
      <c r="B19" t="s">
        <v>128</v>
      </c>
      <c r="D19" s="30">
        <v>192.44272000000001</v>
      </c>
      <c r="E19" s="30">
        <v>705.62957999999992</v>
      </c>
      <c r="F19" s="30">
        <v>-898.07230000000004</v>
      </c>
      <c r="G19" s="30">
        <f t="shared" si="0"/>
        <v>0</v>
      </c>
    </row>
    <row r="20" spans="1:7" x14ac:dyDescent="0.35">
      <c r="B20" t="s">
        <v>129</v>
      </c>
      <c r="D20" s="30">
        <v>0</v>
      </c>
      <c r="E20" s="30">
        <v>11.25712</v>
      </c>
      <c r="F20" s="30">
        <v>0</v>
      </c>
      <c r="G20" s="30">
        <f t="shared" si="0"/>
        <v>11.25712</v>
      </c>
    </row>
    <row r="21" spans="1:7" x14ac:dyDescent="0.35">
      <c r="B21" s="24" t="s">
        <v>74</v>
      </c>
      <c r="C21" s="24"/>
      <c r="D21" s="31">
        <f>SUBTOTAL(9,D8:D20)</f>
        <v>10050.484039999999</v>
      </c>
      <c r="E21" s="31">
        <f>SUBTOTAL(9,E8:E20)</f>
        <v>13548.642059999998</v>
      </c>
      <c r="F21" s="31">
        <f>SUBTOTAL(9,F8:F20)</f>
        <v>-22908.639150000003</v>
      </c>
      <c r="G21" s="31">
        <f>SUBTOTAL(9,G8:G20)</f>
        <v>690.48694999999998</v>
      </c>
    </row>
    <row r="22" spans="1:7" x14ac:dyDescent="0.35">
      <c r="D22" s="30"/>
      <c r="E22" s="30"/>
      <c r="F22" s="30"/>
      <c r="G22" s="30"/>
    </row>
    <row r="23" spans="1:7" s="24" customFormat="1" x14ac:dyDescent="0.35">
      <c r="B23" s="24" t="s">
        <v>53</v>
      </c>
      <c r="D23" s="31"/>
      <c r="E23" s="31"/>
      <c r="F23" s="31"/>
      <c r="G23" s="31"/>
    </row>
    <row r="24" spans="1:7" s="24" customFormat="1" x14ac:dyDescent="0.35">
      <c r="D24" s="31"/>
      <c r="E24" s="31"/>
      <c r="F24" s="31"/>
      <c r="G24" s="31"/>
    </row>
    <row r="25" spans="1:7" s="24" customFormat="1" x14ac:dyDescent="0.35">
      <c r="B25" s="24" t="s">
        <v>29</v>
      </c>
      <c r="D25" s="31"/>
      <c r="E25" s="31"/>
      <c r="F25" s="31"/>
      <c r="G25" s="31"/>
    </row>
    <row r="26" spans="1:7" x14ac:dyDescent="0.35">
      <c r="B26" t="s">
        <v>130</v>
      </c>
      <c r="D26" s="30">
        <v>0</v>
      </c>
      <c r="E26" s="30">
        <v>840.55914000000007</v>
      </c>
      <c r="F26" s="30">
        <v>0</v>
      </c>
      <c r="G26" s="30">
        <f t="shared" ref="G26:G30" si="1">SUM(D26:F26)</f>
        <v>840.55914000000007</v>
      </c>
    </row>
    <row r="27" spans="1:7" x14ac:dyDescent="0.35">
      <c r="B27" t="s">
        <v>131</v>
      </c>
      <c r="D27" s="30">
        <v>0</v>
      </c>
      <c r="E27" s="30">
        <v>385.22419000000002</v>
      </c>
      <c r="F27" s="30">
        <v>-385.22419000000002</v>
      </c>
      <c r="G27" s="30">
        <f t="shared" si="1"/>
        <v>0</v>
      </c>
    </row>
    <row r="28" spans="1:7" x14ac:dyDescent="0.35">
      <c r="B28" t="s">
        <v>132</v>
      </c>
      <c r="D28" s="30">
        <v>0</v>
      </c>
      <c r="E28" s="30">
        <v>207.53754999999998</v>
      </c>
      <c r="F28" s="30">
        <v>0</v>
      </c>
      <c r="G28" s="30">
        <f t="shared" si="1"/>
        <v>207.53754999999998</v>
      </c>
    </row>
    <row r="29" spans="1:7" x14ac:dyDescent="0.35">
      <c r="B29" t="s">
        <v>133</v>
      </c>
      <c r="D29" s="30">
        <v>0</v>
      </c>
      <c r="E29" s="30">
        <v>226.67295999999999</v>
      </c>
      <c r="F29" s="30">
        <v>-226.67295999999999</v>
      </c>
      <c r="G29" s="30">
        <f>SUM(D29:F29)</f>
        <v>0</v>
      </c>
    </row>
    <row r="30" spans="1:7" x14ac:dyDescent="0.35">
      <c r="B30" t="s">
        <v>134</v>
      </c>
      <c r="D30" s="30">
        <v>146.26105999999999</v>
      </c>
      <c r="E30" s="30">
        <v>336.49248</v>
      </c>
      <c r="F30" s="30">
        <v>-482.75354000000004</v>
      </c>
      <c r="G30" s="30">
        <f t="shared" si="1"/>
        <v>0</v>
      </c>
    </row>
    <row r="31" spans="1:7" x14ac:dyDescent="0.35">
      <c r="B31" t="s">
        <v>75</v>
      </c>
      <c r="D31" s="30">
        <v>257.52208999999999</v>
      </c>
      <c r="E31" s="30">
        <v>217.98698999999993</v>
      </c>
      <c r="F31" s="30">
        <v>-311.76300000000003</v>
      </c>
      <c r="G31" s="30">
        <v>163.74607999999995</v>
      </c>
    </row>
    <row r="32" spans="1:7" x14ac:dyDescent="0.35">
      <c r="B32" s="24" t="s">
        <v>74</v>
      </c>
      <c r="C32" s="24"/>
      <c r="D32" s="31">
        <f>SUBTOTAL(9,D26:D31)</f>
        <v>403.78314999999998</v>
      </c>
      <c r="E32" s="31">
        <f>SUBTOTAL(9,E26:E31)</f>
        <v>2214.4733099999999</v>
      </c>
      <c r="F32" s="31">
        <f>SUBTOTAL(9,F26:F31)</f>
        <v>-1406.4136899999999</v>
      </c>
      <c r="G32" s="31">
        <f>SUBTOTAL(9,G26:G31)</f>
        <v>1211.84277</v>
      </c>
    </row>
    <row r="33" spans="2:7" s="24" customFormat="1" x14ac:dyDescent="0.35">
      <c r="D33" s="31"/>
      <c r="E33" s="31"/>
      <c r="F33" s="31"/>
      <c r="G33" s="31"/>
    </row>
    <row r="34" spans="2:7" s="24" customFormat="1" x14ac:dyDescent="0.35">
      <c r="B34" s="24" t="s">
        <v>26</v>
      </c>
      <c r="D34" s="31"/>
      <c r="E34" s="31"/>
      <c r="F34" s="31"/>
      <c r="G34" s="31"/>
    </row>
    <row r="35" spans="2:7" x14ac:dyDescent="0.35">
      <c r="B35" t="s">
        <v>135</v>
      </c>
      <c r="D35" s="30">
        <v>541.93344999999999</v>
      </c>
      <c r="E35" s="30">
        <v>9.5888399999999994</v>
      </c>
      <c r="F35" s="30">
        <v>-551.52229</v>
      </c>
      <c r="G35" s="30">
        <f>SUM(D35:F35)</f>
        <v>0</v>
      </c>
    </row>
    <row r="36" spans="2:7" x14ac:dyDescent="0.35">
      <c r="B36" t="s">
        <v>136</v>
      </c>
      <c r="D36" s="30">
        <v>72.516170000000002</v>
      </c>
      <c r="E36" s="30">
        <v>120.90442999999999</v>
      </c>
      <c r="F36" s="30">
        <v>-193.42060000000001</v>
      </c>
      <c r="G36" s="30">
        <f>SUM(D36:F36)</f>
        <v>0</v>
      </c>
    </row>
    <row r="37" spans="2:7" x14ac:dyDescent="0.35">
      <c r="B37" t="s">
        <v>137</v>
      </c>
      <c r="D37" s="30">
        <v>-72.516170000000002</v>
      </c>
      <c r="E37" s="30">
        <v>-120.68372000000001</v>
      </c>
      <c r="F37" s="30">
        <v>193.19989000000001</v>
      </c>
      <c r="G37" s="30">
        <f>SUM(D37:F37)</f>
        <v>0</v>
      </c>
    </row>
    <row r="38" spans="2:7" x14ac:dyDescent="0.35">
      <c r="B38" t="s">
        <v>138</v>
      </c>
      <c r="D38" s="30">
        <v>0</v>
      </c>
      <c r="E38" s="30">
        <v>11.41442</v>
      </c>
      <c r="F38" s="30">
        <v>0</v>
      </c>
      <c r="G38" s="30">
        <f>SUM(D38:F38)</f>
        <v>11.41442</v>
      </c>
    </row>
    <row r="39" spans="2:7" x14ac:dyDescent="0.35">
      <c r="B39" t="s">
        <v>75</v>
      </c>
      <c r="D39" s="30">
        <v>-85.627710000000008</v>
      </c>
      <c r="E39" s="30">
        <v>111.48521</v>
      </c>
      <c r="F39" s="30">
        <v>-25.857499999999987</v>
      </c>
      <c r="G39" s="30">
        <v>0</v>
      </c>
    </row>
    <row r="40" spans="2:7" x14ac:dyDescent="0.35">
      <c r="B40" s="24" t="s">
        <v>74</v>
      </c>
      <c r="C40" s="24"/>
      <c r="D40" s="31">
        <f>SUBTOTAL(9,D35:D39)</f>
        <v>456.30574000000001</v>
      </c>
      <c r="E40" s="31">
        <f>SUBTOTAL(9,E35:E39)</f>
        <v>132.70917999999998</v>
      </c>
      <c r="F40" s="31">
        <f>SUBTOTAL(9,F35:F39)</f>
        <v>-577.60050000000001</v>
      </c>
      <c r="G40" s="31">
        <f>SUBTOTAL(9,G35:G39)</f>
        <v>11.41442</v>
      </c>
    </row>
    <row r="41" spans="2:7" s="24" customFormat="1" x14ac:dyDescent="0.35">
      <c r="D41" s="31"/>
      <c r="E41" s="31"/>
      <c r="F41" s="31"/>
      <c r="G41" s="31"/>
    </row>
    <row r="42" spans="2:7" s="24" customFormat="1" x14ac:dyDescent="0.35">
      <c r="B42" s="24" t="s">
        <v>27</v>
      </c>
      <c r="D42" s="31"/>
      <c r="E42" s="31"/>
      <c r="F42" s="31"/>
      <c r="G42" s="31"/>
    </row>
    <row r="43" spans="2:7" x14ac:dyDescent="0.35">
      <c r="B43" t="s">
        <v>139</v>
      </c>
      <c r="D43" s="30">
        <v>704.13707999999997</v>
      </c>
      <c r="E43" s="30">
        <v>947.09681</v>
      </c>
      <c r="F43" s="30">
        <v>-942.91110000000003</v>
      </c>
      <c r="G43" s="30">
        <f>SUM(D43:F43)</f>
        <v>708.32278999999994</v>
      </c>
    </row>
    <row r="44" spans="2:7" x14ac:dyDescent="0.35">
      <c r="B44" t="s">
        <v>140</v>
      </c>
      <c r="D44" s="30">
        <v>-592.65356000000008</v>
      </c>
      <c r="E44" s="30">
        <v>-741.62837000000002</v>
      </c>
      <c r="F44" s="30">
        <v>846.05845999999997</v>
      </c>
      <c r="G44" s="30">
        <f>SUM(D44:F44)</f>
        <v>-488.22347000000013</v>
      </c>
    </row>
    <row r="45" spans="2:7" x14ac:dyDescent="0.35">
      <c r="B45" t="s">
        <v>141</v>
      </c>
      <c r="D45" s="30">
        <v>24.724599999999999</v>
      </c>
      <c r="E45" s="30">
        <v>0.62424000000000002</v>
      </c>
      <c r="F45" s="30">
        <v>0</v>
      </c>
      <c r="G45" s="30">
        <f>SUM(D45:F45)</f>
        <v>25.348839999999999</v>
      </c>
    </row>
    <row r="46" spans="2:7" x14ac:dyDescent="0.35">
      <c r="B46" t="s">
        <v>75</v>
      </c>
      <c r="D46" s="30">
        <v>0</v>
      </c>
      <c r="E46" s="30">
        <v>48.43526</v>
      </c>
      <c r="F46" s="30">
        <v>-48.43526</v>
      </c>
      <c r="G46" s="30">
        <v>0</v>
      </c>
    </row>
    <row r="47" spans="2:7" s="24" customFormat="1" x14ac:dyDescent="0.35">
      <c r="B47" s="24" t="s">
        <v>74</v>
      </c>
      <c r="D47" s="31">
        <f>SUBTOTAL(9,D43:D46)</f>
        <v>136.20811999999989</v>
      </c>
      <c r="E47" s="31">
        <f>SUBTOTAL(9,E43:E46)</f>
        <v>254.52793999999997</v>
      </c>
      <c r="F47" s="31">
        <f>SUBTOTAL(9,F43:F46)</f>
        <v>-145.28790000000006</v>
      </c>
      <c r="G47" s="31">
        <f>SUBTOTAL(9,G43:G46)</f>
        <v>245.4481599999998</v>
      </c>
    </row>
    <row r="48" spans="2:7" s="24" customFormat="1" x14ac:dyDescent="0.35">
      <c r="D48" s="31"/>
      <c r="E48" s="31"/>
      <c r="F48" s="31"/>
      <c r="G48" s="31"/>
    </row>
    <row r="49" spans="1:7" s="24" customFormat="1" x14ac:dyDescent="0.35">
      <c r="B49" s="24" t="s">
        <v>66</v>
      </c>
      <c r="D49" s="31"/>
      <c r="E49" s="31"/>
      <c r="F49" s="31"/>
      <c r="G49" s="31"/>
    </row>
    <row r="50" spans="1:7" x14ac:dyDescent="0.35">
      <c r="B50" t="s">
        <v>142</v>
      </c>
      <c r="D50" s="30">
        <v>0</v>
      </c>
      <c r="E50" s="30">
        <v>292.83492000000001</v>
      </c>
      <c r="F50" s="30">
        <v>-292.83492000000001</v>
      </c>
      <c r="G50" s="30">
        <f>SUM(D50:F50)</f>
        <v>0</v>
      </c>
    </row>
    <row r="51" spans="1:7" x14ac:dyDescent="0.35">
      <c r="B51" t="s">
        <v>143</v>
      </c>
      <c r="D51" s="30">
        <v>100.1138</v>
      </c>
      <c r="E51" s="30">
        <v>18.75348</v>
      </c>
      <c r="F51" s="30">
        <v>-118.86727999999999</v>
      </c>
      <c r="G51" s="30">
        <f>SUM(D51:F51)</f>
        <v>0</v>
      </c>
    </row>
    <row r="52" spans="1:7" x14ac:dyDescent="0.35">
      <c r="B52" t="s">
        <v>75</v>
      </c>
      <c r="D52" s="30">
        <v>98.953019999999995</v>
      </c>
      <c r="E52" s="30">
        <v>404.50690999999989</v>
      </c>
      <c r="F52" s="30">
        <v>-502.79628999999994</v>
      </c>
      <c r="G52" s="30">
        <v>0.66364000000000001</v>
      </c>
    </row>
    <row r="53" spans="1:7" s="24" customFormat="1" x14ac:dyDescent="0.35">
      <c r="B53" s="24" t="s">
        <v>74</v>
      </c>
      <c r="D53" s="31">
        <f>SUBTOTAL(9,D50:D52)</f>
        <v>199.06682000000001</v>
      </c>
      <c r="E53" s="31">
        <f>SUBTOTAL(9,E50:E52)</f>
        <v>716.09530999999993</v>
      </c>
      <c r="F53" s="31">
        <f>SUBTOTAL(9,F50:F52)</f>
        <v>-914.49848999999995</v>
      </c>
      <c r="G53" s="31">
        <f>SUBTOTAL(9,G50:G52)</f>
        <v>0.66364000000000001</v>
      </c>
    </row>
    <row r="54" spans="1:7" s="24" customFormat="1" x14ac:dyDescent="0.35">
      <c r="D54" s="31"/>
      <c r="E54" s="31"/>
      <c r="F54" s="31"/>
      <c r="G54" s="31"/>
    </row>
    <row r="55" spans="1:7" s="24" customFormat="1" x14ac:dyDescent="0.35">
      <c r="B55" s="24" t="s">
        <v>64</v>
      </c>
      <c r="D55" s="30"/>
      <c r="E55" s="30"/>
      <c r="F55" s="30"/>
      <c r="G55" s="30"/>
    </row>
    <row r="56" spans="1:7" x14ac:dyDescent="0.35">
      <c r="B56" t="s">
        <v>64</v>
      </c>
      <c r="D56" s="53">
        <v>4441.0421999999999</v>
      </c>
      <c r="E56" s="53">
        <v>3841.8377599999999</v>
      </c>
      <c r="F56" s="53">
        <v>-1393.2667099999999</v>
      </c>
      <c r="G56" s="53">
        <v>6075.5940300000002</v>
      </c>
    </row>
    <row r="57" spans="1:7" x14ac:dyDescent="0.35">
      <c r="B57" t="s">
        <v>146</v>
      </c>
      <c r="D57" s="53">
        <f>G57-E57</f>
        <v>-2974.0510099999997</v>
      </c>
      <c r="E57" s="53">
        <v>-2925.34067</v>
      </c>
      <c r="F57" s="53">
        <v>0</v>
      </c>
      <c r="G57" s="53">
        <v>-5899.3916799999997</v>
      </c>
    </row>
    <row r="58" spans="1:7" x14ac:dyDescent="0.35">
      <c r="B58" s="24" t="s">
        <v>74</v>
      </c>
      <c r="C58" s="24"/>
      <c r="D58" s="57">
        <f>SUBTOTAL(9,D56:D57)</f>
        <v>1466.9911900000002</v>
      </c>
      <c r="E58" s="31">
        <f t="shared" ref="E58:G58" si="2">SUBTOTAL(9,E56:E57)</f>
        <v>916.49708999999984</v>
      </c>
      <c r="F58" s="31">
        <f t="shared" si="2"/>
        <v>-1393.2667099999999</v>
      </c>
      <c r="G58" s="31">
        <f t="shared" si="2"/>
        <v>176.20235000000048</v>
      </c>
    </row>
    <row r="59" spans="1:7" x14ac:dyDescent="0.35">
      <c r="D59" s="30"/>
      <c r="E59" s="30"/>
      <c r="F59" s="30"/>
      <c r="G59" s="30"/>
    </row>
    <row r="60" spans="1:7" s="24" customFormat="1" x14ac:dyDescent="0.35">
      <c r="B60" s="24" t="s">
        <v>54</v>
      </c>
      <c r="D60" s="31"/>
      <c r="E60" s="31"/>
      <c r="F60" s="31"/>
      <c r="G60" s="31"/>
    </row>
    <row r="61" spans="1:7" x14ac:dyDescent="0.35">
      <c r="B61" t="s">
        <v>147</v>
      </c>
      <c r="D61" s="30">
        <v>1014.0896300000001</v>
      </c>
      <c r="E61" s="30">
        <v>245.82176999999999</v>
      </c>
      <c r="F61" s="30">
        <v>-10.379430000000001</v>
      </c>
      <c r="G61" s="30">
        <f t="shared" ref="G61:G67" si="3">SUM(D61:F61)</f>
        <v>1249.53197</v>
      </c>
    </row>
    <row r="62" spans="1:7" x14ac:dyDescent="0.35">
      <c r="B62" t="s">
        <v>148</v>
      </c>
      <c r="D62" s="30">
        <v>-854.24748999999997</v>
      </c>
      <c r="E62" s="30">
        <v>-249.82382999999999</v>
      </c>
      <c r="F62" s="30">
        <v>0</v>
      </c>
      <c r="G62" s="30">
        <f t="shared" si="3"/>
        <v>-1104.07132</v>
      </c>
    </row>
    <row r="63" spans="1:7" x14ac:dyDescent="0.35">
      <c r="A63" s="56" t="s">
        <v>102</v>
      </c>
      <c r="B63" t="s">
        <v>149</v>
      </c>
      <c r="D63" s="30">
        <v>1071.01305</v>
      </c>
      <c r="E63" s="53">
        <v>752.2323100000001</v>
      </c>
      <c r="F63" s="30">
        <v>0</v>
      </c>
      <c r="G63" s="30">
        <f t="shared" si="3"/>
        <v>1823.2453600000001</v>
      </c>
    </row>
    <row r="64" spans="1:7" s="24" customFormat="1" x14ac:dyDescent="0.35">
      <c r="A64" s="56" t="s">
        <v>102</v>
      </c>
      <c r="B64" t="s">
        <v>150</v>
      </c>
      <c r="C64"/>
      <c r="D64" s="30">
        <v>50.987519999999996</v>
      </c>
      <c r="E64" s="53">
        <v>1372.7275199999999</v>
      </c>
      <c r="F64" s="30">
        <v>0</v>
      </c>
      <c r="G64" s="30">
        <f t="shared" si="3"/>
        <v>1423.7150399999998</v>
      </c>
    </row>
    <row r="65" spans="1:7" s="24" customFormat="1" x14ac:dyDescent="0.35">
      <c r="A65" s="56" t="s">
        <v>102</v>
      </c>
      <c r="B65" t="s">
        <v>151</v>
      </c>
      <c r="C65"/>
      <c r="D65" s="30">
        <v>-50.476179999999999</v>
      </c>
      <c r="E65" s="30">
        <v>-1337.36817</v>
      </c>
      <c r="F65" s="30">
        <v>0</v>
      </c>
      <c r="G65" s="30">
        <f t="shared" si="3"/>
        <v>-1387.8443499999998</v>
      </c>
    </row>
    <row r="66" spans="1:7" x14ac:dyDescent="0.35">
      <c r="B66" t="s">
        <v>152</v>
      </c>
      <c r="D66" s="30">
        <v>7938.9264199999998</v>
      </c>
      <c r="E66" s="30">
        <v>561.10093999999992</v>
      </c>
      <c r="F66" s="30">
        <v>0</v>
      </c>
      <c r="G66" s="30">
        <f t="shared" si="3"/>
        <v>8500.02736</v>
      </c>
    </row>
    <row r="67" spans="1:7" x14ac:dyDescent="0.35">
      <c r="B67" t="s">
        <v>153</v>
      </c>
      <c r="D67" s="30">
        <v>7627.2710700000007</v>
      </c>
      <c r="E67" s="30">
        <v>1273.0652299999999</v>
      </c>
      <c r="F67" s="30">
        <v>0</v>
      </c>
      <c r="G67" s="30">
        <f t="shared" si="3"/>
        <v>8900.3363000000008</v>
      </c>
    </row>
    <row r="68" spans="1:7" x14ac:dyDescent="0.35">
      <c r="B68" s="24" t="s">
        <v>74</v>
      </c>
      <c r="C68" s="24"/>
      <c r="D68" s="31">
        <f>SUBTOTAL(9,D61:D67)</f>
        <v>16797.564019999998</v>
      </c>
      <c r="E68" s="31">
        <f>SUBTOTAL(9,E61:E67)</f>
        <v>2617.7557699999998</v>
      </c>
      <c r="F68" s="31">
        <f>SUBTOTAL(9,F61:F67)</f>
        <v>-10.379430000000001</v>
      </c>
      <c r="G68" s="31">
        <f>SUBTOTAL(9,G61:G67)</f>
        <v>19404.940360000001</v>
      </c>
    </row>
    <row r="69" spans="1:7" x14ac:dyDescent="0.35">
      <c r="D69" s="30"/>
      <c r="E69" s="30"/>
      <c r="F69" s="30"/>
      <c r="G69" s="30"/>
    </row>
    <row r="70" spans="1:7" s="24" customFormat="1" x14ac:dyDescent="0.35">
      <c r="B70" s="24" t="s">
        <v>55</v>
      </c>
      <c r="D70" s="31"/>
      <c r="E70" s="31"/>
      <c r="F70" s="31"/>
      <c r="G70" s="31"/>
    </row>
    <row r="71" spans="1:7" x14ac:dyDescent="0.35">
      <c r="B71" t="s">
        <v>154</v>
      </c>
      <c r="D71" s="30">
        <v>370.16401000000002</v>
      </c>
      <c r="E71" s="30">
        <v>454.79165</v>
      </c>
      <c r="F71" s="30">
        <v>0</v>
      </c>
      <c r="G71" s="30">
        <f>SUM(D71:F71)</f>
        <v>824.95566000000008</v>
      </c>
    </row>
    <row r="72" spans="1:7" x14ac:dyDescent="0.35">
      <c r="B72" t="s">
        <v>155</v>
      </c>
      <c r="D72" s="30">
        <v>280.05655000000002</v>
      </c>
      <c r="E72" s="30">
        <v>45.941600000000001</v>
      </c>
      <c r="F72" s="30">
        <v>-325.99815000000001</v>
      </c>
      <c r="G72" s="30">
        <f>SUM(D72:F72)</f>
        <v>0</v>
      </c>
    </row>
    <row r="73" spans="1:7" x14ac:dyDescent="0.35">
      <c r="B73" t="s">
        <v>156</v>
      </c>
      <c r="D73" s="30">
        <v>173.63879</v>
      </c>
      <c r="E73" s="30">
        <v>80.850539999999995</v>
      </c>
      <c r="F73" s="30">
        <v>-254.48933</v>
      </c>
      <c r="G73" s="30">
        <f>SUM(D73:F73)</f>
        <v>0</v>
      </c>
    </row>
    <row r="74" spans="1:7" x14ac:dyDescent="0.35">
      <c r="B74" t="s">
        <v>75</v>
      </c>
      <c r="D74" s="30">
        <v>129.49002999999999</v>
      </c>
      <c r="E74" s="30">
        <v>153.20488000000003</v>
      </c>
      <c r="F74" s="30">
        <v>-262.76943</v>
      </c>
      <c r="G74" s="30">
        <v>19.925480000000004</v>
      </c>
    </row>
    <row r="75" spans="1:7" x14ac:dyDescent="0.35">
      <c r="B75" s="24" t="s">
        <v>74</v>
      </c>
      <c r="C75" s="24"/>
      <c r="D75" s="31">
        <f>SUBTOTAL(9,D71:D74)</f>
        <v>953.34937999999988</v>
      </c>
      <c r="E75" s="31">
        <f>SUBTOTAL(9,E71:E74)</f>
        <v>734.78867000000002</v>
      </c>
      <c r="F75" s="31">
        <f>SUBTOTAL(9,F71:F74)</f>
        <v>-843.25691000000006</v>
      </c>
      <c r="G75" s="31">
        <f>SUBTOTAL(9,G71:G74)</f>
        <v>844.88114000000007</v>
      </c>
    </row>
    <row r="76" spans="1:7" x14ac:dyDescent="0.35">
      <c r="D76" s="30"/>
      <c r="E76" s="30"/>
      <c r="F76" s="30"/>
      <c r="G76" s="30"/>
    </row>
    <row r="77" spans="1:7" s="24" customFormat="1" x14ac:dyDescent="0.35">
      <c r="B77" s="24" t="s">
        <v>56</v>
      </c>
      <c r="D77" s="31"/>
      <c r="E77" s="31"/>
      <c r="F77" s="31"/>
      <c r="G77" s="31"/>
    </row>
    <row r="78" spans="1:7" x14ac:dyDescent="0.35">
      <c r="B78" t="s">
        <v>95</v>
      </c>
      <c r="D78" s="30">
        <v>3317.7492299999999</v>
      </c>
      <c r="E78" s="30">
        <v>302.79295000000002</v>
      </c>
      <c r="F78" s="30">
        <v>0</v>
      </c>
      <c r="G78" s="30">
        <f>SUM(D78:F78)</f>
        <v>3620.5421799999999</v>
      </c>
    </row>
    <row r="79" spans="1:7" x14ac:dyDescent="0.35">
      <c r="B79" t="s">
        <v>96</v>
      </c>
      <c r="D79" s="30">
        <v>3781.5523900000003</v>
      </c>
      <c r="E79" s="30">
        <v>768.30093000000011</v>
      </c>
      <c r="F79" s="30">
        <v>-4549.8533200000002</v>
      </c>
      <c r="G79" s="30">
        <f>SUM(D79:F79)</f>
        <v>0</v>
      </c>
    </row>
    <row r="80" spans="1:7" x14ac:dyDescent="0.35">
      <c r="B80" s="24" t="s">
        <v>74</v>
      </c>
      <c r="C80" s="24"/>
      <c r="D80" s="31">
        <f>SUBTOTAL(9,D78:D79)</f>
        <v>7099.3016200000002</v>
      </c>
      <c r="E80" s="31">
        <f t="shared" ref="E80:G80" si="4">SUBTOTAL(9,E78:E79)</f>
        <v>1071.0938800000001</v>
      </c>
      <c r="F80" s="31">
        <f t="shared" si="4"/>
        <v>-4549.8533200000002</v>
      </c>
      <c r="G80" s="31">
        <f t="shared" si="4"/>
        <v>3620.5421799999999</v>
      </c>
    </row>
    <row r="81" spans="2:7" x14ac:dyDescent="0.35">
      <c r="D81" s="30"/>
      <c r="E81" s="30"/>
      <c r="F81" s="30"/>
      <c r="G81" s="30"/>
    </row>
    <row r="82" spans="2:7" x14ac:dyDescent="0.35">
      <c r="B82" s="24" t="s">
        <v>57</v>
      </c>
      <c r="C82" s="24"/>
      <c r="D82" s="30"/>
      <c r="E82" s="30"/>
      <c r="F82" s="30"/>
      <c r="G82" s="30"/>
    </row>
    <row r="83" spans="2:7" x14ac:dyDescent="0.35">
      <c r="B83" t="s">
        <v>75</v>
      </c>
      <c r="D83" s="30">
        <v>41.146460000000005</v>
      </c>
      <c r="E83" s="30">
        <v>57.627929999999999</v>
      </c>
      <c r="F83" s="30">
        <v>-98.774390000000011</v>
      </c>
      <c r="G83" s="30">
        <v>0</v>
      </c>
    </row>
    <row r="84" spans="2:7" x14ac:dyDescent="0.35">
      <c r="B84" s="24" t="s">
        <v>74</v>
      </c>
      <c r="C84" s="24"/>
      <c r="D84" s="31">
        <f>SUBTOTAL(9,D83:D83)</f>
        <v>41.146460000000005</v>
      </c>
      <c r="E84" s="31">
        <f>SUBTOTAL(9,E83:E83)</f>
        <v>57.627929999999999</v>
      </c>
      <c r="F84" s="31">
        <f>SUBTOTAL(9,F83:F83)</f>
        <v>-98.774390000000011</v>
      </c>
      <c r="G84" s="31">
        <f>SUBTOTAL(9,G83:G83)</f>
        <v>0</v>
      </c>
    </row>
    <row r="86" spans="2:7" ht="15" thickBot="1" x14ac:dyDescent="0.4">
      <c r="B86" s="36" t="s">
        <v>73</v>
      </c>
      <c r="C86" s="36"/>
      <c r="D86" s="37">
        <f>SUBTOTAL(9,D8:D84)</f>
        <v>37604.200540000005</v>
      </c>
      <c r="E86" s="37">
        <f>SUBTOTAL(9,E8:E84)</f>
        <v>22264.211139999985</v>
      </c>
      <c r="F86" s="37">
        <f>SUBTOTAL(9,F8:F84)</f>
        <v>-32847.97049</v>
      </c>
      <c r="G86" s="37">
        <f>SUBTOTAL(9,G8:G84)</f>
        <v>26206.421970000003</v>
      </c>
    </row>
    <row r="87" spans="2:7" ht="15" thickTop="1" x14ac:dyDescent="0.35">
      <c r="D87" s="30"/>
      <c r="E87" s="30"/>
      <c r="F87" s="30"/>
      <c r="G87" s="30"/>
    </row>
    <row r="88" spans="2:7" x14ac:dyDescent="0.35">
      <c r="D88" s="30"/>
      <c r="E88" s="30"/>
      <c r="F88" s="30"/>
      <c r="G88" s="30"/>
    </row>
    <row r="89" spans="2:7" x14ac:dyDescent="0.35">
      <c r="B89" s="42" t="s">
        <v>76</v>
      </c>
      <c r="D89" s="30">
        <f>D21-D17</f>
        <v>22429.930390000001</v>
      </c>
      <c r="E89" s="30">
        <f>E21-E17</f>
        <v>22233.477220000001</v>
      </c>
      <c r="F89" s="30">
        <f>F21-F17</f>
        <v>-43972.920660000003</v>
      </c>
      <c r="G89" s="30">
        <f>G21-G17</f>
        <v>690.48694999999998</v>
      </c>
    </row>
    <row r="90" spans="2:7" x14ac:dyDescent="0.35">
      <c r="B90" s="42"/>
      <c r="D90" s="30"/>
      <c r="E90" s="30"/>
      <c r="F90" s="30"/>
      <c r="G90" s="30"/>
    </row>
    <row r="91" spans="2:7" x14ac:dyDescent="0.35">
      <c r="B91" s="42" t="s">
        <v>77</v>
      </c>
      <c r="D91" s="30"/>
      <c r="E91" s="30"/>
      <c r="F91" s="30"/>
      <c r="G91" s="30"/>
    </row>
    <row r="92" spans="2:7" x14ac:dyDescent="0.35">
      <c r="B92" s="43" t="s">
        <v>12</v>
      </c>
      <c r="D92" s="30">
        <f>D32</f>
        <v>403.78314999999998</v>
      </c>
      <c r="E92" s="30">
        <f>E32</f>
        <v>2214.4733099999999</v>
      </c>
      <c r="F92" s="30">
        <f>F32</f>
        <v>-1406.4136899999999</v>
      </c>
      <c r="G92" s="30">
        <f>G32</f>
        <v>1211.84277</v>
      </c>
    </row>
    <row r="93" spans="2:7" x14ac:dyDescent="0.35">
      <c r="B93" s="43" t="s">
        <v>10</v>
      </c>
      <c r="D93" s="30">
        <f>D40-D37</f>
        <v>528.82191</v>
      </c>
      <c r="E93" s="30">
        <f>E40-E37</f>
        <v>253.3929</v>
      </c>
      <c r="F93" s="30">
        <f>F40-F37</f>
        <v>-770.80038999999999</v>
      </c>
      <c r="G93" s="30">
        <f>G40-G37</f>
        <v>11.41442</v>
      </c>
    </row>
    <row r="94" spans="2:7" x14ac:dyDescent="0.35">
      <c r="B94" s="43" t="s">
        <v>11</v>
      </c>
      <c r="D94" s="30">
        <f>D47-D44</f>
        <v>728.86167999999998</v>
      </c>
      <c r="E94" s="30">
        <f>E47-E44</f>
        <v>996.15630999999996</v>
      </c>
      <c r="F94" s="30">
        <f>F47-F44</f>
        <v>-991.34636</v>
      </c>
      <c r="G94" s="30">
        <f>G47-G44</f>
        <v>733.67162999999994</v>
      </c>
    </row>
    <row r="95" spans="2:7" x14ac:dyDescent="0.35">
      <c r="B95" s="43" t="s">
        <v>13</v>
      </c>
      <c r="D95" s="30">
        <f>D53</f>
        <v>199.06682000000001</v>
      </c>
      <c r="E95" s="30">
        <f>E53</f>
        <v>716.09530999999993</v>
      </c>
      <c r="F95" s="30">
        <f>F53</f>
        <v>-914.49848999999995</v>
      </c>
      <c r="G95" s="30">
        <f>G53</f>
        <v>0.66364000000000001</v>
      </c>
    </row>
    <row r="96" spans="2:7" x14ac:dyDescent="0.35">
      <c r="D96" s="30"/>
      <c r="E96" s="30"/>
      <c r="F96" s="30"/>
      <c r="G96" s="30"/>
    </row>
    <row r="97" spans="2:7" x14ac:dyDescent="0.35">
      <c r="B97" s="42" t="s">
        <v>78</v>
      </c>
      <c r="D97" s="30">
        <f>SUM(D17,D37,D44)</f>
        <v>-13044.616080000002</v>
      </c>
      <c r="E97" s="30">
        <f>SUM(E17,E37,E44)</f>
        <v>-9547.1472500000018</v>
      </c>
      <c r="F97" s="30">
        <f>SUM(F17,F37,F44)</f>
        <v>22103.539860000001</v>
      </c>
      <c r="G97" s="30">
        <f>SUM(G17,G37,G44)</f>
        <v>-488.22347000000013</v>
      </c>
    </row>
    <row r="98" spans="2:7" x14ac:dyDescent="0.35">
      <c r="B98" s="42"/>
      <c r="D98" s="30"/>
      <c r="E98" s="30"/>
      <c r="F98" s="30"/>
      <c r="G98" s="30"/>
    </row>
    <row r="99" spans="2:7" x14ac:dyDescent="0.35">
      <c r="B99" s="3" t="s">
        <v>63</v>
      </c>
      <c r="D99" s="30">
        <v>0</v>
      </c>
      <c r="E99" s="30">
        <v>0</v>
      </c>
      <c r="F99" s="30">
        <v>0</v>
      </c>
      <c r="G99" s="30">
        <v>0</v>
      </c>
    </row>
    <row r="100" spans="2:7" x14ac:dyDescent="0.35">
      <c r="B100" s="42"/>
      <c r="D100" s="30"/>
      <c r="E100" s="30"/>
      <c r="F100" s="30"/>
      <c r="G100" s="30"/>
    </row>
    <row r="101" spans="2:7" x14ac:dyDescent="0.35">
      <c r="B101" s="42" t="s">
        <v>44</v>
      </c>
      <c r="D101" s="30">
        <v>0</v>
      </c>
      <c r="E101" s="30">
        <v>0</v>
      </c>
      <c r="F101" s="30">
        <v>0</v>
      </c>
      <c r="G101" s="30">
        <v>0</v>
      </c>
    </row>
    <row r="102" spans="2:7" x14ac:dyDescent="0.35">
      <c r="B102" s="43"/>
      <c r="D102" s="30"/>
      <c r="E102" s="30"/>
      <c r="F102" s="30"/>
      <c r="G102" s="30"/>
    </row>
    <row r="103" spans="2:7" x14ac:dyDescent="0.35">
      <c r="B103" s="42" t="s">
        <v>83</v>
      </c>
      <c r="D103" s="30">
        <f>D58</f>
        <v>1466.9911900000002</v>
      </c>
      <c r="E103" s="30">
        <f>E58</f>
        <v>916.49708999999984</v>
      </c>
      <c r="F103" s="30">
        <f>F58</f>
        <v>-1393.2667099999999</v>
      </c>
      <c r="G103" s="30">
        <f>G58</f>
        <v>176.20235000000048</v>
      </c>
    </row>
    <row r="104" spans="2:7" x14ac:dyDescent="0.35">
      <c r="D104" s="30"/>
      <c r="E104" s="30"/>
      <c r="F104" s="30"/>
      <c r="G104" s="30"/>
    </row>
    <row r="105" spans="2:7" x14ac:dyDescent="0.35">
      <c r="B105" s="42" t="s">
        <v>79</v>
      </c>
      <c r="D105" s="30">
        <f>SUM(D68,D75)-D107</f>
        <v>18655.637069999997</v>
      </c>
      <c r="E105" s="30">
        <f>SUM(E68,E75)-E107</f>
        <v>4939.7364399999997</v>
      </c>
      <c r="F105" s="30">
        <f>SUM(F68,F75)-F107</f>
        <v>-853.63634000000002</v>
      </c>
      <c r="G105" s="30">
        <f>SUM(G68,G75)-G107</f>
        <v>22741.73717</v>
      </c>
    </row>
    <row r="106" spans="2:7" x14ac:dyDescent="0.35">
      <c r="D106" s="30"/>
      <c r="E106" s="30"/>
      <c r="F106" s="30"/>
      <c r="G106" s="30"/>
    </row>
    <row r="107" spans="2:7" x14ac:dyDescent="0.35">
      <c r="B107" s="42" t="s">
        <v>80</v>
      </c>
      <c r="D107" s="30">
        <f>SUM(D62,D65)</f>
        <v>-904.72366999999997</v>
      </c>
      <c r="E107" s="30">
        <f>SUM(E62,E65)</f>
        <v>-1587.192</v>
      </c>
      <c r="F107" s="30">
        <f>SUM(F62,F65)</f>
        <v>0</v>
      </c>
      <c r="G107" s="30">
        <f>SUM(G62,G65)</f>
        <v>-2491.9156699999999</v>
      </c>
    </row>
    <row r="108" spans="2:7" x14ac:dyDescent="0.35">
      <c r="D108" s="30"/>
      <c r="E108" s="30"/>
      <c r="F108" s="30"/>
      <c r="G108" s="30"/>
    </row>
    <row r="109" spans="2:7" x14ac:dyDescent="0.35">
      <c r="B109" s="42" t="s">
        <v>81</v>
      </c>
      <c r="D109" s="30">
        <f>SUM(D80,D84)</f>
        <v>7140.4480800000001</v>
      </c>
      <c r="E109" s="30">
        <f>SUM(E80,E84)</f>
        <v>1128.7218100000002</v>
      </c>
      <c r="F109" s="30">
        <f>SUM(F80,F84)</f>
        <v>-4648.6277099999998</v>
      </c>
      <c r="G109" s="30">
        <f>SUM(G80,G84)</f>
        <v>3620.5421799999999</v>
      </c>
    </row>
    <row r="110" spans="2:7" x14ac:dyDescent="0.35">
      <c r="D110" s="30"/>
      <c r="E110" s="30"/>
      <c r="F110" s="30"/>
      <c r="G110" s="30"/>
    </row>
    <row r="111" spans="2:7" ht="15" thickBot="1" x14ac:dyDescent="0.4">
      <c r="B111" s="36" t="s">
        <v>73</v>
      </c>
      <c r="C111" s="36"/>
      <c r="D111" s="37">
        <f>SUM(D89:D109)</f>
        <v>37604.200539999998</v>
      </c>
      <c r="E111" s="37">
        <f>SUM(E89:E109)</f>
        <v>22264.211139999999</v>
      </c>
      <c r="F111" s="37">
        <f>SUM(F89:F109)</f>
        <v>-32847.97049</v>
      </c>
      <c r="G111" s="37">
        <f>SUM(G89:G109)</f>
        <v>26206.421970000003</v>
      </c>
    </row>
    <row r="112" spans="2:7" ht="15" thickTop="1" x14ac:dyDescent="0.35">
      <c r="B112" s="24"/>
      <c r="C112" s="24"/>
      <c r="D112" s="55"/>
      <c r="E112" s="55"/>
      <c r="F112" s="55"/>
      <c r="G112" s="55"/>
    </row>
    <row r="113" spans="2:7" x14ac:dyDescent="0.35">
      <c r="B113" t="s">
        <v>42</v>
      </c>
      <c r="C113" s="24"/>
      <c r="D113" s="55"/>
      <c r="E113" s="55"/>
      <c r="F113" s="55"/>
      <c r="G113" s="55"/>
    </row>
    <row r="114" spans="2:7" x14ac:dyDescent="0.35">
      <c r="B114" t="s">
        <v>104</v>
      </c>
      <c r="C114" s="24"/>
      <c r="D114" s="55"/>
      <c r="E114" s="55"/>
      <c r="F114" s="55"/>
      <c r="G114" s="55"/>
    </row>
    <row r="115" spans="2:7" x14ac:dyDescent="0.35">
      <c r="B115" t="s">
        <v>103</v>
      </c>
      <c r="D115" s="30"/>
      <c r="E115" s="30"/>
      <c r="F115" s="30"/>
      <c r="G115" s="30"/>
    </row>
    <row r="116" spans="2:7" x14ac:dyDescent="0.35">
      <c r="D116" s="29"/>
      <c r="E116" s="29"/>
      <c r="F116" s="29"/>
      <c r="G116" s="29"/>
    </row>
    <row r="117" spans="2:7" x14ac:dyDescent="0.35">
      <c r="D117" s="29"/>
      <c r="E117" s="29"/>
      <c r="F117" s="29"/>
      <c r="G117" s="29"/>
    </row>
    <row r="118" spans="2:7" x14ac:dyDescent="0.35">
      <c r="D118" s="29"/>
      <c r="E118" s="29"/>
      <c r="F118" s="29"/>
      <c r="G118" s="29"/>
    </row>
    <row r="119" spans="2:7" x14ac:dyDescent="0.35">
      <c r="D119" s="29"/>
      <c r="E119" s="29"/>
      <c r="F119" s="29"/>
      <c r="G119" s="29"/>
    </row>
    <row r="120" spans="2:7" x14ac:dyDescent="0.35">
      <c r="D120" s="29"/>
      <c r="E120" s="29"/>
      <c r="F120" s="29"/>
      <c r="G120" s="29"/>
    </row>
    <row r="121" spans="2:7" x14ac:dyDescent="0.35">
      <c r="D121" s="29"/>
      <c r="E121" s="29"/>
      <c r="F121" s="29"/>
      <c r="G121" s="29"/>
    </row>
    <row r="122" spans="2:7" x14ac:dyDescent="0.35">
      <c r="D122" s="29"/>
      <c r="E122" s="29"/>
      <c r="F122" s="29"/>
      <c r="G122" s="29"/>
    </row>
    <row r="123" spans="2:7" x14ac:dyDescent="0.35">
      <c r="D123" s="29"/>
      <c r="E123" s="29"/>
      <c r="F123" s="29"/>
      <c r="G123" s="29"/>
    </row>
    <row r="124" spans="2:7" x14ac:dyDescent="0.35">
      <c r="D124" s="29"/>
      <c r="E124" s="29"/>
      <c r="F124" s="29"/>
      <c r="G124" s="29"/>
    </row>
    <row r="125" spans="2:7" x14ac:dyDescent="0.35">
      <c r="D125" s="29"/>
      <c r="E125" s="29"/>
      <c r="F125" s="29"/>
      <c r="G125" s="29"/>
    </row>
    <row r="126" spans="2:7" x14ac:dyDescent="0.35">
      <c r="D126" s="29"/>
      <c r="E126" s="29"/>
      <c r="F126" s="29"/>
      <c r="G126" s="29"/>
    </row>
    <row r="127" spans="2:7" x14ac:dyDescent="0.35">
      <c r="D127" s="29"/>
      <c r="E127" s="29"/>
      <c r="F127" s="29"/>
      <c r="G127" s="29"/>
    </row>
    <row r="128" spans="2:7" x14ac:dyDescent="0.35">
      <c r="D128" s="29"/>
      <c r="E128" s="29"/>
      <c r="F128" s="29"/>
      <c r="G128" s="29"/>
    </row>
    <row r="129" spans="4:7" x14ac:dyDescent="0.35">
      <c r="D129" s="29"/>
      <c r="E129" s="29"/>
      <c r="F129" s="29"/>
      <c r="G129" s="29"/>
    </row>
    <row r="130" spans="4:7" x14ac:dyDescent="0.35">
      <c r="D130" s="29"/>
      <c r="E130" s="29"/>
      <c r="F130" s="29"/>
      <c r="G130" s="29"/>
    </row>
    <row r="131" spans="4:7" x14ac:dyDescent="0.35">
      <c r="D131" s="29"/>
      <c r="E131" s="29"/>
      <c r="F131" s="29"/>
      <c r="G131" s="29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scale="69" fitToHeight="2" orientation="portrait" r:id="rId1"/>
  <rowBreaks count="1" manualBreakCount="1">
    <brk id="5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1"/>
  <sheetViews>
    <sheetView showGridLines="0" view="pageBreakPreview" zoomScaleNormal="100" zoomScaleSheetLayoutView="100" workbookViewId="0">
      <pane ySplit="5" topLeftCell="A94" activePane="bottomLeft" state="frozen"/>
      <selection activeCell="B8" sqref="B8"/>
      <selection pane="bottomLeft" activeCell="D96" sqref="D96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1:8" x14ac:dyDescent="0.35">
      <c r="B1" s="24" t="s">
        <v>86</v>
      </c>
      <c r="C1" s="38"/>
      <c r="D1" s="38"/>
      <c r="E1" s="38"/>
      <c r="F1" s="38"/>
      <c r="G1" s="39" t="s">
        <v>35</v>
      </c>
    </row>
    <row r="2" spans="1:8" x14ac:dyDescent="0.35">
      <c r="B2" s="24" t="s">
        <v>90</v>
      </c>
      <c r="C2" s="24"/>
      <c r="D2" s="24"/>
      <c r="E2" s="24"/>
      <c r="F2" s="40"/>
      <c r="G2" s="41" t="str">
        <f>'5.1'!$F$2</f>
        <v>August 2023</v>
      </c>
    </row>
    <row r="3" spans="1:8" x14ac:dyDescent="0.35">
      <c r="B3" s="60" t="s">
        <v>15</v>
      </c>
      <c r="C3" s="60"/>
      <c r="D3" s="60"/>
      <c r="E3" s="60"/>
      <c r="F3" s="60"/>
      <c r="G3" s="60"/>
    </row>
    <row r="4" spans="1:8" x14ac:dyDescent="0.35">
      <c r="B4" s="24"/>
      <c r="C4" s="24"/>
    </row>
    <row r="5" spans="1:8" s="24" customFormat="1" ht="29" x14ac:dyDescent="0.35">
      <c r="B5" s="25" t="s">
        <v>47</v>
      </c>
      <c r="C5" s="25"/>
      <c r="D5" s="26" t="s">
        <v>48</v>
      </c>
      <c r="E5" s="26" t="s">
        <v>49</v>
      </c>
      <c r="F5" s="26" t="s">
        <v>50</v>
      </c>
      <c r="G5" s="26" t="s">
        <v>51</v>
      </c>
      <c r="H5" s="27"/>
    </row>
    <row r="6" spans="1:8" s="24" customFormat="1" x14ac:dyDescent="0.35">
      <c r="D6" s="27"/>
      <c r="E6" s="27"/>
      <c r="F6" s="27"/>
      <c r="G6" s="27"/>
      <c r="H6" s="27"/>
    </row>
    <row r="7" spans="1:8" s="24" customFormat="1" x14ac:dyDescent="0.35">
      <c r="B7" s="24" t="s">
        <v>52</v>
      </c>
      <c r="D7" s="28"/>
      <c r="E7" s="28"/>
      <c r="F7" s="28"/>
      <c r="G7" s="28"/>
      <c r="H7" s="28"/>
    </row>
    <row r="8" spans="1:8" x14ac:dyDescent="0.35">
      <c r="A8" s="56" t="s">
        <v>98</v>
      </c>
      <c r="B8" t="s">
        <v>149</v>
      </c>
      <c r="D8" s="30">
        <v>1823.2453600000001</v>
      </c>
      <c r="E8" s="30">
        <v>4624.2087099999999</v>
      </c>
      <c r="F8" s="30">
        <v>-150.14229</v>
      </c>
      <c r="G8" s="30">
        <f t="shared" ref="G8" si="0">SUM(D8:F8)</f>
        <v>6297.31178</v>
      </c>
      <c r="H8" s="30"/>
    </row>
    <row r="9" spans="1:8" x14ac:dyDescent="0.35">
      <c r="B9" t="s">
        <v>117</v>
      </c>
      <c r="D9" s="30">
        <v>507.96957000000003</v>
      </c>
      <c r="E9" s="30">
        <v>7895.8814400000001</v>
      </c>
      <c r="F9" s="30">
        <v>0</v>
      </c>
      <c r="G9" s="30">
        <f t="shared" ref="G9:G13" si="1">SUM(D9:F9)</f>
        <v>8403.8510100000003</v>
      </c>
      <c r="H9" s="30"/>
    </row>
    <row r="10" spans="1:8" x14ac:dyDescent="0.35">
      <c r="B10" t="s">
        <v>118</v>
      </c>
      <c r="D10" s="30">
        <v>0</v>
      </c>
      <c r="E10" s="30">
        <v>4772.3890999999994</v>
      </c>
      <c r="F10" s="30">
        <v>-4772.3890999999994</v>
      </c>
      <c r="G10" s="30">
        <f t="shared" si="1"/>
        <v>0</v>
      </c>
      <c r="H10" s="30"/>
    </row>
    <row r="11" spans="1:8" x14ac:dyDescent="0.35">
      <c r="B11" t="s">
        <v>119</v>
      </c>
      <c r="D11" s="30">
        <v>69.996979999999994</v>
      </c>
      <c r="E11" s="30">
        <v>1.7691600000000001</v>
      </c>
      <c r="F11" s="30">
        <v>0</v>
      </c>
      <c r="G11" s="30">
        <f t="shared" si="1"/>
        <v>71.766139999999993</v>
      </c>
      <c r="H11" s="30"/>
    </row>
    <row r="12" spans="1:8" x14ac:dyDescent="0.35">
      <c r="B12" t="s">
        <v>120</v>
      </c>
      <c r="D12" s="30">
        <v>88.006360000000001</v>
      </c>
      <c r="E12" s="30">
        <v>234.76167999999998</v>
      </c>
      <c r="F12" s="30">
        <v>0</v>
      </c>
      <c r="G12" s="30">
        <f t="shared" si="1"/>
        <v>322.76803999999998</v>
      </c>
      <c r="H12" s="30"/>
    </row>
    <row r="13" spans="1:8" x14ac:dyDescent="0.35">
      <c r="B13" t="s">
        <v>121</v>
      </c>
      <c r="D13" s="30">
        <v>13.256920000000001</v>
      </c>
      <c r="E13" s="30">
        <v>921.09960999999998</v>
      </c>
      <c r="F13" s="30">
        <v>0</v>
      </c>
      <c r="G13" s="30">
        <f t="shared" si="1"/>
        <v>934.35653000000002</v>
      </c>
      <c r="H13" s="30"/>
    </row>
    <row r="14" spans="1:8" x14ac:dyDescent="0.35">
      <c r="B14" t="s">
        <v>122</v>
      </c>
      <c r="D14" s="30">
        <v>0</v>
      </c>
      <c r="E14" s="30">
        <v>18.914680000000001</v>
      </c>
      <c r="F14" s="30">
        <v>-18.914680000000001</v>
      </c>
      <c r="G14" s="30">
        <f t="shared" ref="G14" si="2">SUM(D14:F14)</f>
        <v>0</v>
      </c>
      <c r="H14" s="30"/>
    </row>
    <row r="15" spans="1:8" x14ac:dyDescent="0.35">
      <c r="B15" t="s">
        <v>123</v>
      </c>
      <c r="D15" s="30">
        <v>0</v>
      </c>
      <c r="E15" s="30">
        <v>456.61538999999999</v>
      </c>
      <c r="F15" s="30">
        <v>-456.61538999999999</v>
      </c>
      <c r="G15" s="30">
        <f t="shared" ref="G15" si="3">SUM(D15:F15)</f>
        <v>0</v>
      </c>
      <c r="H15" s="30"/>
    </row>
    <row r="16" spans="1:8" x14ac:dyDescent="0.35">
      <c r="B16" t="s">
        <v>125</v>
      </c>
      <c r="D16" s="30">
        <v>0</v>
      </c>
      <c r="E16" s="30">
        <v>897.82958999999994</v>
      </c>
      <c r="F16" s="30">
        <v>-897.82958999999994</v>
      </c>
      <c r="G16" s="30">
        <f t="shared" ref="G16" si="4">SUM(D16:F16)</f>
        <v>0</v>
      </c>
      <c r="H16" s="30"/>
    </row>
    <row r="17" spans="2:8" x14ac:dyDescent="0.35">
      <c r="B17" t="s">
        <v>126</v>
      </c>
      <c r="D17" s="30">
        <v>0</v>
      </c>
      <c r="E17" s="30">
        <v>-650.67290000000003</v>
      </c>
      <c r="F17" s="30">
        <v>650.67290000000003</v>
      </c>
      <c r="G17" s="30">
        <f t="shared" ref="G17" si="5">SUM(D17:F17)</f>
        <v>0</v>
      </c>
      <c r="H17" s="30"/>
    </row>
    <row r="18" spans="2:8" x14ac:dyDescent="0.35">
      <c r="B18" t="s">
        <v>157</v>
      </c>
      <c r="D18" s="30">
        <v>0</v>
      </c>
      <c r="E18" s="30">
        <v>388.10894999999999</v>
      </c>
      <c r="F18" s="30">
        <v>0</v>
      </c>
      <c r="G18" s="30">
        <f>SUM(D18:F18)</f>
        <v>388.10894999999999</v>
      </c>
      <c r="H18" s="30"/>
    </row>
    <row r="19" spans="2:8" x14ac:dyDescent="0.35">
      <c r="B19" t="s">
        <v>158</v>
      </c>
      <c r="D19" s="30">
        <v>0</v>
      </c>
      <c r="E19" s="30">
        <v>581.24602000000004</v>
      </c>
      <c r="F19" s="30">
        <v>0</v>
      </c>
      <c r="G19" s="30">
        <f>SUM(D19:F19)</f>
        <v>581.24602000000004</v>
      </c>
      <c r="H19" s="30"/>
    </row>
    <row r="20" spans="2:8" x14ac:dyDescent="0.35">
      <c r="B20" t="s">
        <v>128</v>
      </c>
      <c r="D20" s="30">
        <v>0</v>
      </c>
      <c r="E20" s="30">
        <v>446.88083</v>
      </c>
      <c r="F20" s="30">
        <v>-446.88083</v>
      </c>
      <c r="G20" s="30">
        <f>SUM(D20:F20)</f>
        <v>0</v>
      </c>
      <c r="H20" s="30"/>
    </row>
    <row r="21" spans="2:8" x14ac:dyDescent="0.35">
      <c r="B21" t="s">
        <v>129</v>
      </c>
      <c r="D21" s="30">
        <v>11.25712</v>
      </c>
      <c r="E21" s="30">
        <v>2192.5296600000001</v>
      </c>
      <c r="F21" s="30">
        <v>-2203.7867799999999</v>
      </c>
      <c r="G21" s="30">
        <f t="shared" ref="G21" si="6">SUM(D21:F21)</f>
        <v>0</v>
      </c>
      <c r="H21" s="30"/>
    </row>
    <row r="22" spans="2:8" x14ac:dyDescent="0.35">
      <c r="B22" s="24" t="s">
        <v>74</v>
      </c>
      <c r="C22" s="24"/>
      <c r="D22" s="31">
        <f>SUBTOTAL(9,D8:D21)</f>
        <v>2513.7323099999999</v>
      </c>
      <c r="E22" s="31">
        <f>SUBTOTAL(9,E8:E21)</f>
        <v>22781.56192</v>
      </c>
      <c r="F22" s="31">
        <f>SUBTOTAL(9,F8:F21)</f>
        <v>-8295.8857599999992</v>
      </c>
      <c r="G22" s="31">
        <f>SUBTOTAL(9,G8:G21)</f>
        <v>16999.408470000002</v>
      </c>
      <c r="H22" s="30"/>
    </row>
    <row r="23" spans="2:8" x14ac:dyDescent="0.35">
      <c r="D23" s="30"/>
      <c r="E23" s="30"/>
      <c r="F23" s="30"/>
      <c r="G23" s="30"/>
      <c r="H23" s="30"/>
    </row>
    <row r="24" spans="2:8" s="24" customFormat="1" x14ac:dyDescent="0.35">
      <c r="B24" s="24" t="s">
        <v>53</v>
      </c>
      <c r="D24" s="31"/>
      <c r="E24" s="31"/>
      <c r="F24" s="31"/>
      <c r="G24" s="31"/>
      <c r="H24" s="31"/>
    </row>
    <row r="25" spans="2:8" s="24" customFormat="1" x14ac:dyDescent="0.35">
      <c r="D25" s="31"/>
      <c r="E25" s="31"/>
      <c r="F25" s="31"/>
      <c r="G25" s="31"/>
      <c r="H25" s="31"/>
    </row>
    <row r="26" spans="2:8" s="24" customFormat="1" x14ac:dyDescent="0.35">
      <c r="B26" s="24" t="s">
        <v>29</v>
      </c>
      <c r="D26" s="31"/>
      <c r="E26" s="31"/>
      <c r="F26" s="31"/>
      <c r="G26" s="31"/>
      <c r="H26" s="31"/>
    </row>
    <row r="27" spans="2:8" x14ac:dyDescent="0.35">
      <c r="B27" t="s">
        <v>130</v>
      </c>
      <c r="D27" s="30">
        <v>840.55914000000007</v>
      </c>
      <c r="E27" s="30">
        <v>150.19862000000001</v>
      </c>
      <c r="F27" s="30">
        <v>-990.75775999999996</v>
      </c>
      <c r="G27" s="30">
        <f t="shared" ref="G27:G28" si="7">SUM(D27:F27)</f>
        <v>0</v>
      </c>
      <c r="H27" s="30"/>
    </row>
    <row r="28" spans="2:8" x14ac:dyDescent="0.35">
      <c r="B28" t="s">
        <v>132</v>
      </c>
      <c r="D28" s="30">
        <v>207.53754999999998</v>
      </c>
      <c r="E28" s="30">
        <v>41.393879999999996</v>
      </c>
      <c r="F28" s="30">
        <v>-248.93143000000001</v>
      </c>
      <c r="G28" s="30">
        <f t="shared" si="7"/>
        <v>0</v>
      </c>
      <c r="H28" s="30"/>
    </row>
    <row r="29" spans="2:8" x14ac:dyDescent="0.35">
      <c r="B29" t="s">
        <v>75</v>
      </c>
      <c r="D29" s="30">
        <v>163.74607999999998</v>
      </c>
      <c r="E29" s="30">
        <v>224.55945999999992</v>
      </c>
      <c r="F29" s="30">
        <v>-306.93600000000009</v>
      </c>
      <c r="G29" s="30">
        <v>81.369539999999986</v>
      </c>
      <c r="H29" s="30"/>
    </row>
    <row r="30" spans="2:8" s="24" customFormat="1" x14ac:dyDescent="0.35">
      <c r="B30" s="24" t="s">
        <v>74</v>
      </c>
      <c r="D30" s="31">
        <f>SUBTOTAL(9,D27:D29)</f>
        <v>1211.84277</v>
      </c>
      <c r="E30" s="31">
        <f>SUBTOTAL(9,E27:E29)</f>
        <v>416.15195999999992</v>
      </c>
      <c r="F30" s="31">
        <f>SUBTOTAL(9,F27:F29)</f>
        <v>-1546.6251900000002</v>
      </c>
      <c r="G30" s="31">
        <f>SUBTOTAL(9,G27:G29)</f>
        <v>81.369539999999986</v>
      </c>
      <c r="H30" s="30"/>
    </row>
    <row r="31" spans="2:8" s="24" customFormat="1" x14ac:dyDescent="0.35">
      <c r="D31" s="31"/>
      <c r="E31" s="31"/>
      <c r="F31" s="31"/>
      <c r="G31" s="31"/>
      <c r="H31" s="31"/>
    </row>
    <row r="32" spans="2:8" s="24" customFormat="1" x14ac:dyDescent="0.35">
      <c r="B32" s="24" t="s">
        <v>26</v>
      </c>
      <c r="D32" s="31"/>
      <c r="E32" s="31"/>
      <c r="F32" s="31"/>
      <c r="G32" s="31"/>
      <c r="H32" s="31"/>
    </row>
    <row r="33" spans="1:8" x14ac:dyDescent="0.35">
      <c r="B33" t="s">
        <v>138</v>
      </c>
      <c r="D33" s="30">
        <v>11.41442</v>
      </c>
      <c r="E33" s="30">
        <v>304.94872999999995</v>
      </c>
      <c r="F33" s="30">
        <v>-11.66112</v>
      </c>
      <c r="G33" s="30">
        <f>SUM(D33:F33)</f>
        <v>304.70202999999998</v>
      </c>
      <c r="H33" s="30"/>
    </row>
    <row r="34" spans="1:8" x14ac:dyDescent="0.35">
      <c r="B34" t="s">
        <v>75</v>
      </c>
      <c r="D34" s="30">
        <v>0</v>
      </c>
      <c r="E34" s="30">
        <v>146.86816999999999</v>
      </c>
      <c r="F34" s="30">
        <v>-132.44166000000001</v>
      </c>
      <c r="G34" s="30">
        <v>14.426509999999993</v>
      </c>
      <c r="H34" s="30"/>
    </row>
    <row r="35" spans="1:8" x14ac:dyDescent="0.35">
      <c r="B35" s="24" t="s">
        <v>74</v>
      </c>
      <c r="C35" s="24"/>
      <c r="D35" s="31">
        <f>SUBTOTAL(9,D33:D34)</f>
        <v>11.41442</v>
      </c>
      <c r="E35" s="31">
        <f>SUBTOTAL(9,E33:E34)</f>
        <v>451.81689999999992</v>
      </c>
      <c r="F35" s="31">
        <f>SUBTOTAL(9,F33:F34)</f>
        <v>-144.10278000000002</v>
      </c>
      <c r="G35" s="31">
        <f>SUBTOTAL(9,G33:G34)</f>
        <v>319.12853999999999</v>
      </c>
      <c r="H35" s="30"/>
    </row>
    <row r="36" spans="1:8" s="24" customFormat="1" x14ac:dyDescent="0.35">
      <c r="D36" s="31"/>
      <c r="E36" s="31"/>
      <c r="F36" s="31"/>
      <c r="G36" s="31"/>
      <c r="H36" s="31"/>
    </row>
    <row r="37" spans="1:8" s="24" customFormat="1" x14ac:dyDescent="0.35">
      <c r="B37" s="24" t="s">
        <v>27</v>
      </c>
      <c r="D37" s="31"/>
      <c r="E37" s="31"/>
      <c r="F37" s="31"/>
      <c r="G37" s="31"/>
      <c r="H37" s="31"/>
    </row>
    <row r="38" spans="1:8" x14ac:dyDescent="0.35">
      <c r="B38" t="s">
        <v>139</v>
      </c>
      <c r="D38" s="30">
        <v>708.32279000000005</v>
      </c>
      <c r="E38" s="30">
        <v>619.58406000000002</v>
      </c>
      <c r="F38" s="30">
        <v>-200.8546</v>
      </c>
      <c r="G38" s="30">
        <f>SUM(D38:F38)</f>
        <v>1127.0522500000002</v>
      </c>
      <c r="H38" s="30"/>
    </row>
    <row r="39" spans="1:8" x14ac:dyDescent="0.35">
      <c r="B39" t="s">
        <v>140</v>
      </c>
      <c r="D39" s="30">
        <v>-488.22346999999996</v>
      </c>
      <c r="E39" s="30">
        <v>-495.44202000000001</v>
      </c>
      <c r="F39" s="30">
        <v>122.98919000000001</v>
      </c>
      <c r="G39" s="30">
        <f>SUM(D39:F39)</f>
        <v>-860.67629999999997</v>
      </c>
      <c r="H39" s="30"/>
    </row>
    <row r="40" spans="1:8" s="24" customFormat="1" x14ac:dyDescent="0.35">
      <c r="A40" s="56" t="s">
        <v>98</v>
      </c>
      <c r="B40" t="s">
        <v>150</v>
      </c>
      <c r="C40"/>
      <c r="D40" s="30">
        <v>1423.71504</v>
      </c>
      <c r="E40" s="30">
        <v>2281.6144900000004</v>
      </c>
      <c r="F40" s="30">
        <v>0</v>
      </c>
      <c r="G40" s="30">
        <f t="shared" ref="G40:G41" si="8">SUM(D40:F40)</f>
        <v>3705.3295300000004</v>
      </c>
      <c r="H40" s="30"/>
    </row>
    <row r="41" spans="1:8" s="24" customFormat="1" x14ac:dyDescent="0.35">
      <c r="A41" s="56" t="s">
        <v>98</v>
      </c>
      <c r="B41" t="s">
        <v>151</v>
      </c>
      <c r="C41"/>
      <c r="D41" s="30">
        <v>-1387.8443500000001</v>
      </c>
      <c r="E41" s="30">
        <v>-3513.0757799999997</v>
      </c>
      <c r="F41" s="30">
        <v>0</v>
      </c>
      <c r="G41" s="30">
        <f t="shared" si="8"/>
        <v>-4900.9201299999995</v>
      </c>
      <c r="H41" s="30"/>
    </row>
    <row r="42" spans="1:8" x14ac:dyDescent="0.35">
      <c r="B42" t="s">
        <v>141</v>
      </c>
      <c r="D42" s="30">
        <v>25.348839999999999</v>
      </c>
      <c r="E42" s="30">
        <v>390.91123999999996</v>
      </c>
      <c r="F42" s="30">
        <v>0</v>
      </c>
      <c r="G42" s="30">
        <f>SUM(D42:F42)</f>
        <v>416.26007999999996</v>
      </c>
      <c r="H42" s="30"/>
    </row>
    <row r="43" spans="1:8" x14ac:dyDescent="0.35">
      <c r="B43" t="s">
        <v>75</v>
      </c>
      <c r="D43" s="30">
        <v>0</v>
      </c>
      <c r="E43" s="30">
        <v>97.921970000000002</v>
      </c>
      <c r="F43" s="30">
        <v>-97.921970000000002</v>
      </c>
      <c r="G43" s="30">
        <v>0</v>
      </c>
      <c r="H43" s="30"/>
    </row>
    <row r="44" spans="1:8" s="24" customFormat="1" x14ac:dyDescent="0.35">
      <c r="B44" s="24" t="s">
        <v>74</v>
      </c>
      <c r="D44" s="31">
        <f>SUBTOTAL(9,D38:D43)</f>
        <v>281.31885</v>
      </c>
      <c r="E44" s="31">
        <f>SUBTOTAL(9,E38:E43)</f>
        <v>-618.48603999999921</v>
      </c>
      <c r="F44" s="31">
        <f>SUBTOTAL(9,F38:F43)</f>
        <v>-175.78737999999998</v>
      </c>
      <c r="G44" s="31">
        <f>SUBTOTAL(9,G38:G43)</f>
        <v>-512.95456999999897</v>
      </c>
      <c r="H44" s="30"/>
    </row>
    <row r="45" spans="1:8" s="24" customFormat="1" x14ac:dyDescent="0.35">
      <c r="D45" s="31"/>
      <c r="E45" s="31"/>
      <c r="F45" s="31"/>
      <c r="G45" s="31"/>
      <c r="H45" s="31"/>
    </row>
    <row r="46" spans="1:8" s="24" customFormat="1" x14ac:dyDescent="0.35">
      <c r="B46" s="24" t="s">
        <v>66</v>
      </c>
      <c r="D46" s="31"/>
      <c r="E46" s="31"/>
      <c r="F46" s="31"/>
      <c r="G46" s="31"/>
      <c r="H46" s="31"/>
    </row>
    <row r="47" spans="1:8" x14ac:dyDescent="0.35">
      <c r="B47" t="s">
        <v>145</v>
      </c>
      <c r="D47" s="30">
        <v>0.22663999999999998</v>
      </c>
      <c r="E47" s="30">
        <v>463.81128000000001</v>
      </c>
      <c r="F47" s="30">
        <v>-464.03791999999999</v>
      </c>
      <c r="G47" s="30">
        <f>SUM(D47:F47)</f>
        <v>0</v>
      </c>
      <c r="H47" s="30"/>
    </row>
    <row r="48" spans="1:8" s="24" customFormat="1" x14ac:dyDescent="0.35">
      <c r="B48" t="s">
        <v>160</v>
      </c>
      <c r="C48"/>
      <c r="D48" s="30">
        <v>0</v>
      </c>
      <c r="E48" s="30">
        <v>185.23467000000002</v>
      </c>
      <c r="F48" s="30">
        <v>0</v>
      </c>
      <c r="G48" s="30">
        <f>SUM(D48:F48)</f>
        <v>185.23467000000002</v>
      </c>
      <c r="H48" s="30"/>
    </row>
    <row r="49" spans="2:8" x14ac:dyDescent="0.35">
      <c r="B49" t="s">
        <v>161</v>
      </c>
      <c r="D49" s="30">
        <v>0</v>
      </c>
      <c r="E49" s="30">
        <v>109.25357000000001</v>
      </c>
      <c r="F49" s="30">
        <v>-109.25357000000001</v>
      </c>
      <c r="G49" s="30">
        <f>SUM(D49:F49)</f>
        <v>0</v>
      </c>
      <c r="H49" s="30"/>
    </row>
    <row r="50" spans="2:8" x14ac:dyDescent="0.35">
      <c r="B50" t="s">
        <v>75</v>
      </c>
      <c r="D50" s="30">
        <v>0.437</v>
      </c>
      <c r="E50" s="30">
        <v>729.24454000000003</v>
      </c>
      <c r="F50" s="30">
        <v>-575.34207000000015</v>
      </c>
      <c r="G50" s="30">
        <v>154.33947000000001</v>
      </c>
      <c r="H50" s="30"/>
    </row>
    <row r="51" spans="2:8" x14ac:dyDescent="0.35">
      <c r="B51" s="24" t="s">
        <v>74</v>
      </c>
      <c r="C51" s="24"/>
      <c r="D51" s="31">
        <f>SUBTOTAL(9,D47:D50)</f>
        <v>0.66364000000000001</v>
      </c>
      <c r="E51" s="31">
        <f>SUBTOTAL(9,E47:E50)</f>
        <v>1487.5440600000002</v>
      </c>
      <c r="F51" s="31">
        <f>SUBTOTAL(9,F47:F50)</f>
        <v>-1148.6335600000002</v>
      </c>
      <c r="G51" s="31">
        <f>SUBTOTAL(9,G47:G50)</f>
        <v>339.57414000000006</v>
      </c>
    </row>
    <row r="52" spans="2:8" s="24" customFormat="1" x14ac:dyDescent="0.35">
      <c r="D52" s="31"/>
      <c r="E52" s="31"/>
      <c r="F52" s="31"/>
      <c r="G52" s="31"/>
      <c r="H52" s="31"/>
    </row>
    <row r="53" spans="2:8" x14ac:dyDescent="0.35">
      <c r="B53" s="24" t="s">
        <v>67</v>
      </c>
      <c r="D53" s="30"/>
      <c r="E53" s="30"/>
      <c r="F53" s="30"/>
      <c r="G53" s="30"/>
      <c r="H53" s="30"/>
    </row>
    <row r="54" spans="2:8" x14ac:dyDescent="0.35">
      <c r="B54" t="s">
        <v>163</v>
      </c>
      <c r="D54" s="30">
        <v>0</v>
      </c>
      <c r="E54" s="30">
        <v>30.966840000000001</v>
      </c>
      <c r="F54" s="30">
        <v>0</v>
      </c>
      <c r="G54" s="30">
        <f>SUM(D54:F54)</f>
        <v>30.966840000000001</v>
      </c>
      <c r="H54" s="30"/>
    </row>
    <row r="55" spans="2:8" x14ac:dyDescent="0.35">
      <c r="B55" t="s">
        <v>164</v>
      </c>
      <c r="D55" s="30">
        <v>0</v>
      </c>
      <c r="E55" s="30">
        <v>2340.8530799999999</v>
      </c>
      <c r="F55" s="30">
        <v>-2340.8530799999999</v>
      </c>
      <c r="G55" s="30">
        <f>SUM(D55:F55)</f>
        <v>0</v>
      </c>
      <c r="H55" s="30"/>
    </row>
    <row r="56" spans="2:8" x14ac:dyDescent="0.35">
      <c r="B56" s="24" t="s">
        <v>74</v>
      </c>
      <c r="C56" s="24"/>
      <c r="D56" s="31">
        <f>SUBTOTAL(9,D54:D55)</f>
        <v>0</v>
      </c>
      <c r="E56" s="31">
        <f t="shared" ref="E56:G56" si="9">SUBTOTAL(9,E54:E55)</f>
        <v>2371.8199199999999</v>
      </c>
      <c r="F56" s="31">
        <f t="shared" si="9"/>
        <v>-2340.8530799999999</v>
      </c>
      <c r="G56" s="31">
        <f t="shared" si="9"/>
        <v>30.966840000000001</v>
      </c>
      <c r="H56" s="30"/>
    </row>
    <row r="57" spans="2:8" x14ac:dyDescent="0.35">
      <c r="D57" s="30"/>
      <c r="E57" s="30"/>
      <c r="F57" s="30"/>
      <c r="G57" s="30"/>
      <c r="H57" s="30"/>
    </row>
    <row r="58" spans="2:8" x14ac:dyDescent="0.35">
      <c r="B58" s="3" t="s">
        <v>63</v>
      </c>
      <c r="D58" s="30"/>
      <c r="E58" s="30"/>
      <c r="F58" s="30"/>
      <c r="G58" s="30"/>
      <c r="H58" s="30"/>
    </row>
    <row r="59" spans="2:8" x14ac:dyDescent="0.35">
      <c r="B59" t="s">
        <v>116</v>
      </c>
      <c r="D59" s="53">
        <v>0</v>
      </c>
      <c r="E59" s="53">
        <v>1003.751</v>
      </c>
      <c r="F59" s="53">
        <v>-1003.751</v>
      </c>
      <c r="G59" s="53">
        <f>SUM(D59:F59)</f>
        <v>0</v>
      </c>
      <c r="H59" s="30"/>
    </row>
    <row r="60" spans="2:8" x14ac:dyDescent="0.35">
      <c r="B60" t="s">
        <v>165</v>
      </c>
      <c r="D60" s="53">
        <v>0</v>
      </c>
      <c r="E60" s="53">
        <v>177.10499999999999</v>
      </c>
      <c r="F60" s="53">
        <v>-177.10499999999999</v>
      </c>
      <c r="G60" s="53">
        <f>SUM(D60:F60)</f>
        <v>0</v>
      </c>
      <c r="H60" s="30"/>
    </row>
    <row r="61" spans="2:8" x14ac:dyDescent="0.35">
      <c r="B61" s="24" t="s">
        <v>74</v>
      </c>
      <c r="C61" s="24"/>
      <c r="D61" s="31">
        <f>SUBTOTAL(9,D59:D60)</f>
        <v>0</v>
      </c>
      <c r="E61" s="31">
        <f t="shared" ref="E61:G61" si="10">SUBTOTAL(9,E59:E60)</f>
        <v>1180.856</v>
      </c>
      <c r="F61" s="31">
        <f t="shared" si="10"/>
        <v>-1180.856</v>
      </c>
      <c r="G61" s="31">
        <f t="shared" si="10"/>
        <v>0</v>
      </c>
      <c r="H61" s="30"/>
    </row>
    <row r="62" spans="2:8" x14ac:dyDescent="0.35">
      <c r="B62" s="24"/>
      <c r="C62" s="24"/>
      <c r="D62" s="31"/>
      <c r="E62" s="31"/>
      <c r="F62" s="31"/>
      <c r="G62" s="31"/>
      <c r="H62" s="30"/>
    </row>
    <row r="63" spans="2:8" s="24" customFormat="1" x14ac:dyDescent="0.35">
      <c r="B63" s="24" t="s">
        <v>64</v>
      </c>
      <c r="D63" s="30"/>
      <c r="E63" s="30"/>
      <c r="F63" s="30"/>
      <c r="G63" s="30"/>
      <c r="H63" s="30"/>
    </row>
    <row r="64" spans="2:8" x14ac:dyDescent="0.35">
      <c r="B64" t="s">
        <v>64</v>
      </c>
      <c r="D64" s="30">
        <v>6075.5940300000002</v>
      </c>
      <c r="E64" s="30">
        <v>2085.8006700000001</v>
      </c>
      <c r="F64" s="30">
        <v>-7815.4767899999997</v>
      </c>
      <c r="G64" s="30">
        <f>SUM(D64:F64)</f>
        <v>345.91791000000103</v>
      </c>
      <c r="H64" s="30"/>
    </row>
    <row r="65" spans="1:8" x14ac:dyDescent="0.35">
      <c r="B65" t="s">
        <v>146</v>
      </c>
      <c r="D65" s="30">
        <v>-5899.3916799999997</v>
      </c>
      <c r="E65" s="30">
        <v>0</v>
      </c>
      <c r="F65" s="30">
        <v>5899.3916799999997</v>
      </c>
      <c r="G65" s="30">
        <f>SUM(D65:F65)</f>
        <v>0</v>
      </c>
      <c r="H65" s="30"/>
    </row>
    <row r="66" spans="1:8" x14ac:dyDescent="0.35">
      <c r="B66" s="24" t="s">
        <v>74</v>
      </c>
      <c r="C66" s="24"/>
      <c r="D66" s="31">
        <f>SUBTOTAL(9,D64:D65)</f>
        <v>176.20235000000048</v>
      </c>
      <c r="E66" s="31">
        <f>SUBTOTAL(9,E64:E65)</f>
        <v>2085.8006700000001</v>
      </c>
      <c r="F66" s="31">
        <f>SUBTOTAL(9,F64:F65)</f>
        <v>-1916.08511</v>
      </c>
      <c r="G66" s="31">
        <f>SUBTOTAL(9,G64:G65)</f>
        <v>345.91791000000103</v>
      </c>
      <c r="H66" s="30"/>
    </row>
    <row r="67" spans="1:8" x14ac:dyDescent="0.35">
      <c r="D67" s="30"/>
      <c r="E67" s="30"/>
      <c r="F67" s="30"/>
      <c r="G67" s="30"/>
      <c r="H67" s="30"/>
    </row>
    <row r="68" spans="1:8" x14ac:dyDescent="0.35">
      <c r="B68" s="24" t="s">
        <v>105</v>
      </c>
      <c r="D68" s="30"/>
      <c r="E68" s="30"/>
      <c r="F68" s="30"/>
      <c r="G68" s="30"/>
      <c r="H68" s="30"/>
    </row>
    <row r="69" spans="1:8" x14ac:dyDescent="0.35">
      <c r="B69" t="s">
        <v>166</v>
      </c>
      <c r="D69" s="30">
        <v>0</v>
      </c>
      <c r="E69" s="30">
        <v>40.0929</v>
      </c>
      <c r="F69" s="30">
        <v>0</v>
      </c>
      <c r="G69" s="30">
        <f>SUM(D69:F69)</f>
        <v>40.0929</v>
      </c>
      <c r="H69" s="30"/>
    </row>
    <row r="70" spans="1:8" x14ac:dyDescent="0.35">
      <c r="B70" s="24" t="s">
        <v>74</v>
      </c>
      <c r="C70" s="24"/>
      <c r="D70" s="31">
        <f>SUBTOTAL(9,D69)</f>
        <v>0</v>
      </c>
      <c r="E70" s="31">
        <f t="shared" ref="E70:G70" si="11">SUBTOTAL(9,E69)</f>
        <v>40.0929</v>
      </c>
      <c r="F70" s="31">
        <f t="shared" si="11"/>
        <v>0</v>
      </c>
      <c r="G70" s="31">
        <f t="shared" si="11"/>
        <v>40.0929</v>
      </c>
      <c r="H70" s="30"/>
    </row>
    <row r="71" spans="1:8" x14ac:dyDescent="0.35">
      <c r="D71" s="30"/>
      <c r="E71" s="30"/>
      <c r="F71" s="30"/>
      <c r="G71" s="30"/>
      <c r="H71" s="30"/>
    </row>
    <row r="72" spans="1:8" x14ac:dyDescent="0.35">
      <c r="D72" s="30"/>
      <c r="E72" s="30"/>
      <c r="F72" s="30"/>
      <c r="G72" s="30"/>
      <c r="H72" s="30"/>
    </row>
    <row r="73" spans="1:8" s="24" customFormat="1" x14ac:dyDescent="0.35">
      <c r="B73" s="24" t="s">
        <v>54</v>
      </c>
      <c r="D73" s="31"/>
      <c r="E73" s="31"/>
      <c r="F73" s="31"/>
      <c r="G73" s="31"/>
      <c r="H73" s="31"/>
    </row>
    <row r="74" spans="1:8" x14ac:dyDescent="0.35">
      <c r="B74" t="s">
        <v>167</v>
      </c>
      <c r="D74" s="30">
        <v>0</v>
      </c>
      <c r="E74" s="30">
        <v>64.222470000000001</v>
      </c>
      <c r="F74" s="30">
        <v>-64.222470000000001</v>
      </c>
      <c r="G74" s="30">
        <f t="shared" ref="G74:G78" si="12">SUM(D74:F74)</f>
        <v>0</v>
      </c>
      <c r="H74" s="30"/>
    </row>
    <row r="75" spans="1:8" x14ac:dyDescent="0.35">
      <c r="B75" t="s">
        <v>147</v>
      </c>
      <c r="D75" s="30">
        <v>1249.53197</v>
      </c>
      <c r="E75" s="30">
        <v>181.29055</v>
      </c>
      <c r="F75" s="30">
        <v>-1430.8225199999999</v>
      </c>
      <c r="G75" s="30">
        <f t="shared" si="12"/>
        <v>0</v>
      </c>
      <c r="H75" s="30"/>
    </row>
    <row r="76" spans="1:8" x14ac:dyDescent="0.35">
      <c r="B76" t="s">
        <v>148</v>
      </c>
      <c r="D76" s="30">
        <v>-1104.07132</v>
      </c>
      <c r="E76" s="30">
        <v>-37.571629999999999</v>
      </c>
      <c r="F76" s="30">
        <v>1141.6429499999999</v>
      </c>
      <c r="G76" s="30">
        <f t="shared" si="12"/>
        <v>0</v>
      </c>
      <c r="H76" s="30"/>
    </row>
    <row r="77" spans="1:8" x14ac:dyDescent="0.35">
      <c r="B77" t="s">
        <v>152</v>
      </c>
      <c r="D77" s="30">
        <v>8500.02736</v>
      </c>
      <c r="E77" s="30">
        <v>284.14360999999997</v>
      </c>
      <c r="F77" s="30">
        <v>0</v>
      </c>
      <c r="G77" s="30">
        <f t="shared" si="12"/>
        <v>8784.1709699999992</v>
      </c>
      <c r="H77" s="30"/>
    </row>
    <row r="78" spans="1:8" x14ac:dyDescent="0.35">
      <c r="A78" s="56" t="s">
        <v>108</v>
      </c>
      <c r="B78" t="s">
        <v>153</v>
      </c>
      <c r="D78" s="30">
        <v>8900.3363000000008</v>
      </c>
      <c r="E78" s="53">
        <v>-4421.5496299999995</v>
      </c>
      <c r="F78" s="30">
        <v>-3903.4295200000001</v>
      </c>
      <c r="G78" s="30">
        <f t="shared" si="12"/>
        <v>575.35715000000118</v>
      </c>
      <c r="H78" s="30"/>
    </row>
    <row r="79" spans="1:8" x14ac:dyDescent="0.35">
      <c r="B79" s="24" t="s">
        <v>74</v>
      </c>
      <c r="C79" s="24"/>
      <c r="D79" s="31">
        <f>SUBTOTAL(9,D74:D78)</f>
        <v>17545.824310000004</v>
      </c>
      <c r="E79" s="31">
        <f>SUBTOTAL(9,E74:E78)</f>
        <v>-3929.4646299999995</v>
      </c>
      <c r="F79" s="31">
        <f>SUBTOTAL(9,F74:F78)</f>
        <v>-4256.8315600000005</v>
      </c>
      <c r="G79" s="31">
        <f>SUBTOTAL(9,G74:G78)</f>
        <v>9359.5281200000009</v>
      </c>
      <c r="H79" s="30"/>
    </row>
    <row r="80" spans="1:8" x14ac:dyDescent="0.35">
      <c r="D80" s="30"/>
      <c r="E80" s="30"/>
      <c r="F80" s="30"/>
      <c r="G80" s="30"/>
      <c r="H80" s="30"/>
    </row>
    <row r="81" spans="2:8" s="24" customFormat="1" x14ac:dyDescent="0.35">
      <c r="B81" s="24" t="s">
        <v>55</v>
      </c>
      <c r="D81" s="31"/>
      <c r="E81" s="31"/>
      <c r="F81" s="31"/>
      <c r="G81" s="31"/>
      <c r="H81" s="31"/>
    </row>
    <row r="82" spans="2:8" s="24" customFormat="1" x14ac:dyDescent="0.35">
      <c r="B82" t="s">
        <v>168</v>
      </c>
      <c r="C82"/>
      <c r="D82" s="30">
        <v>0</v>
      </c>
      <c r="E82" s="30">
        <v>253.92098000000001</v>
      </c>
      <c r="F82" s="30">
        <v>0</v>
      </c>
      <c r="G82" s="30">
        <f t="shared" ref="G82:G87" si="13">SUM(D82:F82)</f>
        <v>253.92098000000001</v>
      </c>
      <c r="H82" s="30"/>
    </row>
    <row r="83" spans="2:8" x14ac:dyDescent="0.35">
      <c r="B83" t="s">
        <v>169</v>
      </c>
      <c r="D83" s="30">
        <v>0</v>
      </c>
      <c r="E83" s="30">
        <v>168.41776000000002</v>
      </c>
      <c r="F83" s="30">
        <v>0</v>
      </c>
      <c r="G83" s="30">
        <f t="shared" si="13"/>
        <v>168.41776000000002</v>
      </c>
      <c r="H83" s="30"/>
    </row>
    <row r="84" spans="2:8" x14ac:dyDescent="0.35">
      <c r="B84" t="s">
        <v>170</v>
      </c>
      <c r="D84" s="30">
        <v>0</v>
      </c>
      <c r="E84" s="30">
        <v>147.67159000000001</v>
      </c>
      <c r="F84" s="30">
        <v>0</v>
      </c>
      <c r="G84" s="30">
        <f t="shared" si="13"/>
        <v>147.67159000000001</v>
      </c>
      <c r="H84" s="30"/>
    </row>
    <row r="85" spans="2:8" x14ac:dyDescent="0.35">
      <c r="B85" t="s">
        <v>171</v>
      </c>
      <c r="D85" s="30">
        <v>0</v>
      </c>
      <c r="E85" s="30">
        <v>115.23152999999999</v>
      </c>
      <c r="F85" s="30">
        <v>-115.23152999999999</v>
      </c>
      <c r="G85" s="30">
        <f t="shared" si="13"/>
        <v>0</v>
      </c>
      <c r="H85" s="30"/>
    </row>
    <row r="86" spans="2:8" x14ac:dyDescent="0.35">
      <c r="B86" t="s">
        <v>154</v>
      </c>
      <c r="D86" s="30">
        <v>824.95566000000008</v>
      </c>
      <c r="E86" s="30">
        <v>-801.80716000000007</v>
      </c>
      <c r="F86" s="30">
        <v>0</v>
      </c>
      <c r="G86" s="30">
        <f t="shared" si="13"/>
        <v>23.148500000000013</v>
      </c>
      <c r="H86" s="30"/>
    </row>
    <row r="87" spans="2:8" x14ac:dyDescent="0.35">
      <c r="B87" t="s">
        <v>155</v>
      </c>
      <c r="D87" s="30">
        <v>0</v>
      </c>
      <c r="E87" s="30">
        <v>70.308399999999992</v>
      </c>
      <c r="F87" s="30">
        <v>0</v>
      </c>
      <c r="G87" s="30">
        <f t="shared" si="13"/>
        <v>70.308399999999992</v>
      </c>
      <c r="H87" s="30"/>
    </row>
    <row r="88" spans="2:8" x14ac:dyDescent="0.35">
      <c r="B88" t="s">
        <v>75</v>
      </c>
      <c r="D88" s="30">
        <v>19.92548</v>
      </c>
      <c r="E88" s="30">
        <v>152.69801999999999</v>
      </c>
      <c r="F88" s="30">
        <v>-172.62349999999998</v>
      </c>
      <c r="G88" s="30">
        <v>0</v>
      </c>
      <c r="H88" s="30"/>
    </row>
    <row r="89" spans="2:8" x14ac:dyDescent="0.35">
      <c r="B89" s="24" t="s">
        <v>74</v>
      </c>
      <c r="C89" s="24"/>
      <c r="D89" s="31">
        <f>SUBTOTAL(9,D82:D88)</f>
        <v>844.88114000000007</v>
      </c>
      <c r="E89" s="31">
        <f>SUBTOTAL(9,E82:E88)</f>
        <v>106.44112</v>
      </c>
      <c r="F89" s="31">
        <f>SUBTOTAL(9,F82:F88)</f>
        <v>-287.85502999999994</v>
      </c>
      <c r="G89" s="31">
        <f>SUBTOTAL(9,G82:G88)</f>
        <v>663.46723000000009</v>
      </c>
      <c r="H89" s="30"/>
    </row>
    <row r="90" spans="2:8" x14ac:dyDescent="0.35">
      <c r="D90" s="30"/>
      <c r="E90" s="30"/>
      <c r="F90" s="30"/>
      <c r="G90" s="30"/>
      <c r="H90" s="30"/>
    </row>
    <row r="91" spans="2:8" s="24" customFormat="1" x14ac:dyDescent="0.35">
      <c r="B91" s="24" t="s">
        <v>56</v>
      </c>
      <c r="D91" s="31"/>
      <c r="E91" s="31"/>
      <c r="F91" s="31"/>
      <c r="G91" s="31"/>
      <c r="H91" s="31"/>
    </row>
    <row r="92" spans="2:8" x14ac:dyDescent="0.35">
      <c r="B92" t="s">
        <v>95</v>
      </c>
      <c r="D92" s="30">
        <v>3620.5421800000004</v>
      </c>
      <c r="E92" s="30">
        <v>834.63924999999995</v>
      </c>
      <c r="F92" s="30">
        <v>0</v>
      </c>
      <c r="G92" s="30">
        <f t="shared" ref="G92" si="14">SUM(D92:F92)</f>
        <v>4455.1814300000005</v>
      </c>
      <c r="H92" s="30"/>
    </row>
    <row r="93" spans="2:8" x14ac:dyDescent="0.35">
      <c r="B93" s="24" t="s">
        <v>74</v>
      </c>
      <c r="C93" s="24"/>
      <c r="D93" s="31">
        <f>SUBTOTAL(9,D92:D92)</f>
        <v>3620.5421800000004</v>
      </c>
      <c r="E93" s="31">
        <f t="shared" ref="E93:G93" si="15">SUBTOTAL(9,E92:E92)</f>
        <v>834.63924999999995</v>
      </c>
      <c r="F93" s="31">
        <f t="shared" si="15"/>
        <v>0</v>
      </c>
      <c r="G93" s="31">
        <f t="shared" si="15"/>
        <v>4455.1814300000005</v>
      </c>
      <c r="H93" s="30"/>
    </row>
    <row r="94" spans="2:8" x14ac:dyDescent="0.35">
      <c r="D94" s="30"/>
      <c r="E94" s="30"/>
      <c r="F94" s="30"/>
      <c r="G94" s="30"/>
      <c r="H94" s="30"/>
    </row>
    <row r="95" spans="2:8" x14ac:dyDescent="0.35">
      <c r="B95" s="24" t="s">
        <v>57</v>
      </c>
      <c r="C95" s="24"/>
      <c r="D95" s="30"/>
      <c r="E95" s="30"/>
      <c r="F95" s="30"/>
      <c r="G95" s="30"/>
      <c r="H95" s="30"/>
    </row>
    <row r="96" spans="2:8" x14ac:dyDescent="0.35">
      <c r="B96" t="s">
        <v>172</v>
      </c>
      <c r="D96" s="30">
        <v>0</v>
      </c>
      <c r="E96" s="30">
        <v>147.33741000000001</v>
      </c>
      <c r="F96" s="30">
        <v>-147.33741000000001</v>
      </c>
      <c r="G96" s="30">
        <f>SUM(D96:F96)</f>
        <v>0</v>
      </c>
      <c r="H96" s="30"/>
    </row>
    <row r="97" spans="2:8" x14ac:dyDescent="0.35">
      <c r="B97" t="s">
        <v>173</v>
      </c>
      <c r="D97" s="30">
        <v>0</v>
      </c>
      <c r="E97" s="30">
        <v>3.3209299999999997</v>
      </c>
      <c r="F97" s="30">
        <v>0</v>
      </c>
      <c r="G97" s="30">
        <v>3.3209299999999997</v>
      </c>
      <c r="H97" s="30"/>
    </row>
    <row r="98" spans="2:8" x14ac:dyDescent="0.35">
      <c r="B98" t="s">
        <v>75</v>
      </c>
      <c r="D98" s="30">
        <v>0</v>
      </c>
      <c r="E98" s="30">
        <v>133.77880999999999</v>
      </c>
      <c r="F98" s="30">
        <v>-130.99198999999999</v>
      </c>
      <c r="G98" s="30">
        <v>2.7868200000000005</v>
      </c>
      <c r="H98" s="30"/>
    </row>
    <row r="99" spans="2:8" x14ac:dyDescent="0.35">
      <c r="B99" s="24" t="s">
        <v>74</v>
      </c>
      <c r="C99" s="24"/>
      <c r="D99" s="31">
        <f>SUBTOTAL(9,D96:D98)</f>
        <v>0</v>
      </c>
      <c r="E99" s="31">
        <f>SUBTOTAL(9,E96:E98)</f>
        <v>284.43714999999997</v>
      </c>
      <c r="F99" s="31">
        <f>SUBTOTAL(9,F96:F98)</f>
        <v>-278.32939999999996</v>
      </c>
      <c r="G99" s="31">
        <f>SUBTOTAL(9,G96:G98)</f>
        <v>6.1077500000000002</v>
      </c>
      <c r="H99" s="30"/>
    </row>
    <row r="100" spans="2:8" x14ac:dyDescent="0.35">
      <c r="D100" s="30"/>
      <c r="E100" s="30"/>
      <c r="F100" s="30"/>
      <c r="G100" s="30"/>
      <c r="H100" s="30"/>
    </row>
    <row r="101" spans="2:8" ht="15" thickBot="1" x14ac:dyDescent="0.4">
      <c r="B101" s="36" t="s">
        <v>73</v>
      </c>
      <c r="C101" s="36"/>
      <c r="D101" s="37">
        <f>SUBTOTAL(9,D8:D99)</f>
        <v>26206.421970000003</v>
      </c>
      <c r="E101" s="37">
        <f>SUBTOTAL(9,E8:E99)</f>
        <v>27493.211180000017</v>
      </c>
      <c r="F101" s="37">
        <f>SUBTOTAL(9,F8:F99)</f>
        <v>-21571.844850000005</v>
      </c>
      <c r="G101" s="37">
        <f>SUBTOTAL(9,G8:G99)</f>
        <v>32127.788300000011</v>
      </c>
    </row>
    <row r="102" spans="2:8" ht="15" thickTop="1" x14ac:dyDescent="0.35">
      <c r="D102" s="30"/>
      <c r="E102" s="30"/>
      <c r="F102" s="30"/>
      <c r="G102" s="30"/>
    </row>
    <row r="103" spans="2:8" x14ac:dyDescent="0.35">
      <c r="D103" s="30"/>
      <c r="E103" s="30"/>
      <c r="F103" s="30"/>
      <c r="G103" s="30"/>
    </row>
    <row r="104" spans="2:8" x14ac:dyDescent="0.35">
      <c r="B104" s="42" t="s">
        <v>76</v>
      </c>
      <c r="D104" s="30">
        <f>D22-D17</f>
        <v>2513.7323099999999</v>
      </c>
      <c r="E104" s="30">
        <f>E22-E17</f>
        <v>23432.234820000001</v>
      </c>
      <c r="F104" s="30">
        <f>F22-F17</f>
        <v>-8946.5586599999988</v>
      </c>
      <c r="G104" s="30">
        <f>G22-G17</f>
        <v>16999.408470000002</v>
      </c>
    </row>
    <row r="105" spans="2:8" x14ac:dyDescent="0.35">
      <c r="B105" s="42"/>
      <c r="D105" s="30"/>
      <c r="E105" s="30"/>
      <c r="F105" s="30"/>
      <c r="G105" s="30"/>
    </row>
    <row r="106" spans="2:8" x14ac:dyDescent="0.35">
      <c r="B106" s="42" t="s">
        <v>77</v>
      </c>
      <c r="D106" s="30"/>
      <c r="E106" s="30"/>
      <c r="F106" s="30"/>
      <c r="G106" s="30"/>
    </row>
    <row r="107" spans="2:8" x14ac:dyDescent="0.35">
      <c r="B107" s="43" t="s">
        <v>12</v>
      </c>
      <c r="D107" s="30">
        <f>D30</f>
        <v>1211.84277</v>
      </c>
      <c r="E107" s="30">
        <f>E30</f>
        <v>416.15195999999992</v>
      </c>
      <c r="F107" s="30">
        <f>F30</f>
        <v>-1546.6251900000002</v>
      </c>
      <c r="G107" s="30">
        <f>G30</f>
        <v>81.369539999999986</v>
      </c>
    </row>
    <row r="108" spans="2:8" x14ac:dyDescent="0.35">
      <c r="B108" s="43" t="s">
        <v>10</v>
      </c>
      <c r="D108" s="30">
        <f>D35</f>
        <v>11.41442</v>
      </c>
      <c r="E108" s="30">
        <f>E35</f>
        <v>451.81689999999992</v>
      </c>
      <c r="F108" s="30">
        <f>F35</f>
        <v>-144.10278000000002</v>
      </c>
      <c r="G108" s="30">
        <f>G35</f>
        <v>319.12853999999999</v>
      </c>
    </row>
    <row r="109" spans="2:8" x14ac:dyDescent="0.35">
      <c r="B109" s="43" t="s">
        <v>11</v>
      </c>
      <c r="D109" s="30">
        <f>D44-D39-D41</f>
        <v>2157.3866699999999</v>
      </c>
      <c r="E109" s="30">
        <f>E44-E39-E41</f>
        <v>3390.0317600000003</v>
      </c>
      <c r="F109" s="30">
        <f>F44-F39-F41</f>
        <v>-298.77656999999999</v>
      </c>
      <c r="G109" s="30">
        <f>G44-G39-G41</f>
        <v>5248.6418600000006</v>
      </c>
    </row>
    <row r="110" spans="2:8" x14ac:dyDescent="0.35">
      <c r="B110" s="43" t="s">
        <v>13</v>
      </c>
      <c r="D110" s="30">
        <f>D51</f>
        <v>0.66364000000000001</v>
      </c>
      <c r="E110" s="30">
        <f>E51</f>
        <v>1487.5440600000002</v>
      </c>
      <c r="F110" s="30">
        <f>F51</f>
        <v>-1148.6335600000002</v>
      </c>
      <c r="G110" s="30">
        <f>G51</f>
        <v>339.57414000000006</v>
      </c>
    </row>
    <row r="111" spans="2:8" x14ac:dyDescent="0.35">
      <c r="D111" s="30"/>
      <c r="E111" s="30"/>
      <c r="F111" s="30"/>
      <c r="G111" s="30"/>
    </row>
    <row r="112" spans="2:8" x14ac:dyDescent="0.35">
      <c r="B112" s="42" t="s">
        <v>78</v>
      </c>
      <c r="D112" s="30">
        <f>SUM(D17,D39,D41)</f>
        <v>-1876.06782</v>
      </c>
      <c r="E112" s="30">
        <f>SUM(E17,E39,E41)</f>
        <v>-4659.1906999999992</v>
      </c>
      <c r="F112" s="30">
        <f>SUM(F17,F39,F41)</f>
        <v>773.66209000000003</v>
      </c>
      <c r="G112" s="30">
        <f>SUM(G17,G39,G41)</f>
        <v>-5761.5964299999996</v>
      </c>
    </row>
    <row r="113" spans="2:7" x14ac:dyDescent="0.35">
      <c r="B113" s="42"/>
      <c r="D113" s="30"/>
      <c r="E113" s="30"/>
      <c r="F113" s="30"/>
      <c r="G113" s="30"/>
    </row>
    <row r="114" spans="2:7" x14ac:dyDescent="0.35">
      <c r="B114" s="3" t="s">
        <v>63</v>
      </c>
      <c r="D114" s="30">
        <f>D61</f>
        <v>0</v>
      </c>
      <c r="E114" s="30">
        <f t="shared" ref="E114:G114" si="16">E61</f>
        <v>1180.856</v>
      </c>
      <c r="F114" s="30">
        <f t="shared" si="16"/>
        <v>-1180.856</v>
      </c>
      <c r="G114" s="30">
        <f t="shared" si="16"/>
        <v>0</v>
      </c>
    </row>
    <row r="115" spans="2:7" x14ac:dyDescent="0.35">
      <c r="B115" s="42"/>
      <c r="D115" s="30"/>
      <c r="E115" s="30"/>
      <c r="F115" s="30"/>
      <c r="G115" s="30"/>
    </row>
    <row r="116" spans="2:7" x14ac:dyDescent="0.35">
      <c r="B116" s="42" t="s">
        <v>44</v>
      </c>
      <c r="D116" s="30">
        <f>D56</f>
        <v>0</v>
      </c>
      <c r="E116" s="30">
        <f>E56</f>
        <v>2371.8199199999999</v>
      </c>
      <c r="F116" s="30">
        <f>F56</f>
        <v>-2340.8530799999999</v>
      </c>
      <c r="G116" s="30">
        <f>G56</f>
        <v>30.966840000000001</v>
      </c>
    </row>
    <row r="117" spans="2:7" x14ac:dyDescent="0.35">
      <c r="B117" s="43"/>
      <c r="D117" s="30"/>
      <c r="E117" s="30"/>
      <c r="F117" s="30"/>
      <c r="G117" s="30"/>
    </row>
    <row r="118" spans="2:7" x14ac:dyDescent="0.35">
      <c r="B118" s="42" t="s">
        <v>83</v>
      </c>
      <c r="D118" s="30">
        <f>D66</f>
        <v>176.20235000000048</v>
      </c>
      <c r="E118" s="30">
        <f>E66</f>
        <v>2085.8006700000001</v>
      </c>
      <c r="F118" s="30">
        <f>F66</f>
        <v>-1916.08511</v>
      </c>
      <c r="G118" s="30">
        <f>G66</f>
        <v>345.91791000000103</v>
      </c>
    </row>
    <row r="119" spans="2:7" x14ac:dyDescent="0.35">
      <c r="D119" s="30"/>
      <c r="E119" s="30"/>
      <c r="F119" s="30"/>
      <c r="G119" s="30"/>
    </row>
    <row r="120" spans="2:7" x14ac:dyDescent="0.35">
      <c r="B120" s="42" t="s">
        <v>106</v>
      </c>
      <c r="D120" s="30">
        <f>D70</f>
        <v>0</v>
      </c>
      <c r="E120" s="30">
        <f t="shared" ref="E120:G120" si="17">E70</f>
        <v>40.0929</v>
      </c>
      <c r="F120" s="30">
        <f t="shared" si="17"/>
        <v>0</v>
      </c>
      <c r="G120" s="30">
        <f t="shared" si="17"/>
        <v>40.0929</v>
      </c>
    </row>
    <row r="121" spans="2:7" x14ac:dyDescent="0.35">
      <c r="D121" s="30"/>
      <c r="E121" s="30"/>
      <c r="F121" s="30"/>
      <c r="G121" s="30"/>
    </row>
    <row r="122" spans="2:7" x14ac:dyDescent="0.35">
      <c r="B122" s="42" t="s">
        <v>79</v>
      </c>
      <c r="D122" s="30">
        <f>SUM(D79,D89)-D124</f>
        <v>19494.776770000004</v>
      </c>
      <c r="E122" s="30">
        <f>SUM(E79,E89)-E124</f>
        <v>-3785.4518799999996</v>
      </c>
      <c r="F122" s="30">
        <f>SUM(F79,F89)-F124</f>
        <v>-5686.3295400000006</v>
      </c>
      <c r="G122" s="30">
        <f>SUM(G79,G89)-G124</f>
        <v>10022.995350000001</v>
      </c>
    </row>
    <row r="123" spans="2:7" x14ac:dyDescent="0.35">
      <c r="D123" s="30"/>
      <c r="E123" s="30"/>
      <c r="F123" s="30"/>
      <c r="G123" s="30"/>
    </row>
    <row r="124" spans="2:7" x14ac:dyDescent="0.35">
      <c r="B124" s="42" t="s">
        <v>80</v>
      </c>
      <c r="D124" s="30">
        <f>SUM(D76)</f>
        <v>-1104.07132</v>
      </c>
      <c r="E124" s="30">
        <f>SUM(E76)</f>
        <v>-37.571629999999999</v>
      </c>
      <c r="F124" s="30">
        <f>SUM(F76)</f>
        <v>1141.6429499999999</v>
      </c>
      <c r="G124" s="30">
        <f>SUM(G76)</f>
        <v>0</v>
      </c>
    </row>
    <row r="125" spans="2:7" x14ac:dyDescent="0.35">
      <c r="D125" s="30"/>
      <c r="E125" s="30"/>
      <c r="F125" s="30"/>
      <c r="G125" s="30"/>
    </row>
    <row r="126" spans="2:7" x14ac:dyDescent="0.35">
      <c r="B126" s="42" t="s">
        <v>81</v>
      </c>
      <c r="D126" s="30">
        <f>SUM(D93,D99)</f>
        <v>3620.5421800000004</v>
      </c>
      <c r="E126" s="30">
        <f>SUM(E93,E99)</f>
        <v>1119.0763999999999</v>
      </c>
      <c r="F126" s="30">
        <f>SUM(F93,F99)</f>
        <v>-278.32939999999996</v>
      </c>
      <c r="G126" s="30">
        <f>SUM(G93,G99)</f>
        <v>4461.2891800000007</v>
      </c>
    </row>
    <row r="127" spans="2:7" x14ac:dyDescent="0.35">
      <c r="D127" s="30"/>
      <c r="E127" s="30"/>
      <c r="F127" s="30"/>
      <c r="G127" s="30"/>
    </row>
    <row r="128" spans="2:7" ht="15" thickBot="1" x14ac:dyDescent="0.4">
      <c r="B128" s="36" t="s">
        <v>73</v>
      </c>
      <c r="C128" s="36"/>
      <c r="D128" s="37">
        <f>SUM(D104:D126)</f>
        <v>26206.421970000003</v>
      </c>
      <c r="E128" s="37">
        <f>SUM(E104:E126)</f>
        <v>27493.211180000006</v>
      </c>
      <c r="F128" s="37">
        <f>SUM(F104:F126)</f>
        <v>-21571.844849999998</v>
      </c>
      <c r="G128" s="37">
        <f>SUM(G104:G126)</f>
        <v>32127.788300000004</v>
      </c>
    </row>
    <row r="129" spans="2:8" ht="15" thickTop="1" x14ac:dyDescent="0.35">
      <c r="D129" s="30"/>
      <c r="E129" s="30"/>
      <c r="F129" s="30"/>
      <c r="G129" s="30"/>
    </row>
    <row r="130" spans="2:8" x14ac:dyDescent="0.35">
      <c r="B130" s="61" t="s">
        <v>42</v>
      </c>
      <c r="C130" s="61"/>
      <c r="D130" s="61"/>
      <c r="E130" s="61"/>
      <c r="F130" s="61"/>
      <c r="G130" s="61"/>
    </row>
    <row r="131" spans="2:8" ht="31.5" customHeight="1" x14ac:dyDescent="0.35">
      <c r="B131" s="61" t="s">
        <v>109</v>
      </c>
      <c r="C131" s="61"/>
      <c r="D131" s="61"/>
      <c r="E131" s="61"/>
      <c r="F131" s="61"/>
      <c r="G131" s="61"/>
    </row>
    <row r="132" spans="2:8" x14ac:dyDescent="0.35">
      <c r="B132" s="61" t="s">
        <v>110</v>
      </c>
      <c r="C132" s="61"/>
      <c r="D132" s="61"/>
      <c r="E132" s="61"/>
      <c r="F132" s="61"/>
      <c r="G132" s="61"/>
    </row>
    <row r="133" spans="2:8" x14ac:dyDescent="0.35">
      <c r="E133" s="32"/>
    </row>
    <row r="144" spans="2:8" x14ac:dyDescent="0.35">
      <c r="D144" s="30"/>
      <c r="E144" s="30"/>
      <c r="F144" s="30"/>
      <c r="G144" s="30"/>
      <c r="H144" s="30"/>
    </row>
    <row r="145" spans="4:8" x14ac:dyDescent="0.35">
      <c r="D145" s="30"/>
      <c r="E145" s="30"/>
      <c r="F145" s="30"/>
      <c r="G145" s="30"/>
      <c r="H145" s="30"/>
    </row>
    <row r="146" spans="4:8" x14ac:dyDescent="0.35">
      <c r="D146" s="30"/>
      <c r="E146" s="30"/>
      <c r="F146" s="30"/>
      <c r="G146" s="30"/>
      <c r="H146" s="30"/>
    </row>
    <row r="147" spans="4:8" x14ac:dyDescent="0.35">
      <c r="D147" s="30"/>
      <c r="E147" s="30"/>
      <c r="F147" s="30"/>
      <c r="G147" s="30"/>
      <c r="H147" s="30"/>
    </row>
    <row r="148" spans="4:8" x14ac:dyDescent="0.35">
      <c r="D148" s="30"/>
      <c r="E148" s="30"/>
      <c r="F148" s="30"/>
      <c r="G148" s="30"/>
      <c r="H148" s="30"/>
    </row>
    <row r="149" spans="4:8" x14ac:dyDescent="0.35">
      <c r="D149" s="30"/>
      <c r="E149" s="30"/>
      <c r="F149" s="30"/>
      <c r="G149" s="30"/>
      <c r="H149" s="30"/>
    </row>
    <row r="150" spans="4:8" x14ac:dyDescent="0.35">
      <c r="D150" s="30"/>
      <c r="E150" s="30"/>
      <c r="F150" s="30"/>
      <c r="G150" s="30"/>
      <c r="H150" s="30"/>
    </row>
    <row r="151" spans="4:8" x14ac:dyDescent="0.35">
      <c r="D151" s="30"/>
      <c r="E151" s="30"/>
      <c r="F151" s="30"/>
      <c r="G151" s="30"/>
      <c r="H151" s="30"/>
    </row>
    <row r="152" spans="4:8" x14ac:dyDescent="0.35">
      <c r="D152" s="30"/>
      <c r="E152" s="30"/>
      <c r="F152" s="30"/>
      <c r="G152" s="30"/>
      <c r="H152" s="30"/>
    </row>
    <row r="153" spans="4:8" x14ac:dyDescent="0.35">
      <c r="D153" s="30"/>
      <c r="E153" s="30"/>
      <c r="F153" s="30"/>
      <c r="G153" s="30"/>
      <c r="H153" s="30"/>
    </row>
    <row r="154" spans="4:8" x14ac:dyDescent="0.35">
      <c r="D154" s="30"/>
      <c r="E154" s="30"/>
      <c r="F154" s="30"/>
      <c r="G154" s="30"/>
      <c r="H154" s="30"/>
    </row>
    <row r="155" spans="4:8" x14ac:dyDescent="0.35">
      <c r="D155" s="30"/>
      <c r="E155" s="30"/>
      <c r="F155" s="30"/>
      <c r="G155" s="30"/>
      <c r="H155" s="30"/>
    </row>
    <row r="156" spans="4:8" x14ac:dyDescent="0.35">
      <c r="D156" s="30"/>
      <c r="E156" s="30"/>
      <c r="F156" s="30"/>
      <c r="G156" s="30"/>
      <c r="H156" s="30"/>
    </row>
    <row r="157" spans="4:8" x14ac:dyDescent="0.35">
      <c r="D157" s="29"/>
      <c r="E157" s="29"/>
      <c r="F157" s="29"/>
      <c r="G157" s="29"/>
      <c r="H157" s="29"/>
    </row>
    <row r="158" spans="4:8" x14ac:dyDescent="0.35">
      <c r="D158" s="29"/>
      <c r="E158" s="29"/>
      <c r="F158" s="29"/>
      <c r="G158" s="29"/>
      <c r="H158" s="29"/>
    </row>
    <row r="159" spans="4:8" x14ac:dyDescent="0.35">
      <c r="D159" s="29"/>
      <c r="E159" s="29"/>
      <c r="F159" s="29"/>
      <c r="G159" s="29"/>
      <c r="H159" s="29"/>
    </row>
    <row r="160" spans="4:8" x14ac:dyDescent="0.35">
      <c r="D160" s="29"/>
      <c r="E160" s="29"/>
      <c r="F160" s="29"/>
      <c r="G160" s="29"/>
      <c r="H160" s="29"/>
    </row>
    <row r="161" spans="4:8" x14ac:dyDescent="0.35">
      <c r="D161" s="29"/>
      <c r="E161" s="29"/>
      <c r="F161" s="29"/>
      <c r="G161" s="29"/>
      <c r="H161" s="29"/>
    </row>
    <row r="162" spans="4:8" x14ac:dyDescent="0.35">
      <c r="D162" s="29"/>
      <c r="E162" s="29"/>
      <c r="F162" s="29"/>
      <c r="G162" s="29"/>
      <c r="H162" s="29"/>
    </row>
    <row r="163" spans="4:8" x14ac:dyDescent="0.35">
      <c r="D163" s="29"/>
      <c r="E163" s="29"/>
      <c r="F163" s="29"/>
      <c r="G163" s="29"/>
      <c r="H163" s="29"/>
    </row>
    <row r="164" spans="4:8" x14ac:dyDescent="0.35">
      <c r="D164" s="29"/>
      <c r="E164" s="29"/>
      <c r="F164" s="29"/>
      <c r="G164" s="29"/>
      <c r="H164" s="29"/>
    </row>
    <row r="165" spans="4:8" x14ac:dyDescent="0.35">
      <c r="D165" s="29"/>
      <c r="E165" s="29"/>
      <c r="F165" s="29"/>
      <c r="G165" s="29"/>
      <c r="H165" s="29"/>
    </row>
    <row r="166" spans="4:8" x14ac:dyDescent="0.35">
      <c r="D166" s="29"/>
      <c r="E166" s="29"/>
      <c r="F166" s="29"/>
      <c r="G166" s="29"/>
      <c r="H166" s="29"/>
    </row>
    <row r="167" spans="4:8" x14ac:dyDescent="0.35">
      <c r="D167" s="29"/>
      <c r="E167" s="29"/>
      <c r="F167" s="29"/>
      <c r="G167" s="29"/>
      <c r="H167" s="29"/>
    </row>
    <row r="168" spans="4:8" x14ac:dyDescent="0.35">
      <c r="D168" s="29"/>
      <c r="E168" s="29"/>
      <c r="F168" s="29"/>
      <c r="G168" s="29"/>
      <c r="H168" s="29"/>
    </row>
    <row r="169" spans="4:8" x14ac:dyDescent="0.35">
      <c r="D169" s="29"/>
      <c r="E169" s="29"/>
      <c r="F169" s="29"/>
      <c r="G169" s="29"/>
      <c r="H169" s="29"/>
    </row>
    <row r="170" spans="4:8" x14ac:dyDescent="0.35">
      <c r="D170" s="29"/>
      <c r="E170" s="29"/>
      <c r="F170" s="29"/>
      <c r="G170" s="29"/>
      <c r="H170" s="29"/>
    </row>
    <row r="171" spans="4:8" x14ac:dyDescent="0.35">
      <c r="D171" s="29"/>
      <c r="E171" s="29"/>
      <c r="F171" s="29"/>
      <c r="G171" s="29"/>
      <c r="H171" s="29"/>
    </row>
    <row r="172" spans="4:8" x14ac:dyDescent="0.35">
      <c r="D172" s="29"/>
      <c r="E172" s="29"/>
      <c r="F172" s="29"/>
      <c r="G172" s="29"/>
      <c r="H172" s="29"/>
    </row>
    <row r="173" spans="4:8" x14ac:dyDescent="0.35">
      <c r="D173" s="29"/>
      <c r="E173" s="29"/>
      <c r="F173" s="29"/>
      <c r="G173" s="29"/>
      <c r="H173" s="29"/>
    </row>
    <row r="174" spans="4:8" x14ac:dyDescent="0.35">
      <c r="D174" s="29"/>
      <c r="E174" s="29"/>
      <c r="F174" s="29"/>
      <c r="G174" s="29"/>
      <c r="H174" s="29"/>
    </row>
    <row r="175" spans="4:8" x14ac:dyDescent="0.35">
      <c r="D175" s="29"/>
      <c r="E175" s="29"/>
      <c r="F175" s="29"/>
      <c r="G175" s="29"/>
      <c r="H175" s="29"/>
    </row>
    <row r="176" spans="4:8" x14ac:dyDescent="0.35">
      <c r="D176" s="29"/>
      <c r="E176" s="29"/>
      <c r="F176" s="29"/>
      <c r="G176" s="29"/>
      <c r="H176" s="29"/>
    </row>
    <row r="177" spans="4:8" x14ac:dyDescent="0.35">
      <c r="D177" s="29"/>
      <c r="E177" s="29"/>
      <c r="F177" s="29"/>
      <c r="G177" s="29"/>
      <c r="H177" s="29"/>
    </row>
    <row r="178" spans="4:8" x14ac:dyDescent="0.35">
      <c r="D178" s="29"/>
      <c r="E178" s="29"/>
      <c r="F178" s="29"/>
      <c r="G178" s="29"/>
      <c r="H178" s="29"/>
    </row>
    <row r="179" spans="4:8" x14ac:dyDescent="0.35">
      <c r="D179" s="29"/>
      <c r="E179" s="29"/>
      <c r="F179" s="29"/>
      <c r="G179" s="29"/>
      <c r="H179" s="29"/>
    </row>
    <row r="180" spans="4:8" x14ac:dyDescent="0.35">
      <c r="D180" s="29"/>
      <c r="E180" s="29"/>
      <c r="F180" s="29"/>
      <c r="G180" s="29"/>
      <c r="H180" s="29"/>
    </row>
    <row r="181" spans="4:8" x14ac:dyDescent="0.35">
      <c r="D181" s="29"/>
      <c r="E181" s="29"/>
      <c r="F181" s="29"/>
      <c r="G181" s="29"/>
      <c r="H181" s="29"/>
    </row>
    <row r="182" spans="4:8" x14ac:dyDescent="0.35">
      <c r="D182" s="29"/>
      <c r="E182" s="29"/>
      <c r="F182" s="29"/>
      <c r="G182" s="29"/>
      <c r="H182" s="29"/>
    </row>
    <row r="183" spans="4:8" x14ac:dyDescent="0.35">
      <c r="D183" s="29"/>
      <c r="E183" s="29"/>
      <c r="F183" s="29"/>
      <c r="G183" s="29"/>
      <c r="H183" s="29"/>
    </row>
    <row r="184" spans="4:8" x14ac:dyDescent="0.35">
      <c r="D184" s="29"/>
      <c r="E184" s="29"/>
      <c r="F184" s="29"/>
      <c r="G184" s="29"/>
      <c r="H184" s="29"/>
    </row>
    <row r="185" spans="4:8" x14ac:dyDescent="0.35">
      <c r="D185" s="29"/>
      <c r="E185" s="29"/>
      <c r="F185" s="29"/>
      <c r="G185" s="29"/>
      <c r="H185" s="29"/>
    </row>
    <row r="186" spans="4:8" x14ac:dyDescent="0.35">
      <c r="D186" s="29"/>
      <c r="E186" s="29"/>
      <c r="F186" s="29"/>
      <c r="G186" s="29"/>
      <c r="H186" s="29"/>
    </row>
    <row r="187" spans="4:8" x14ac:dyDescent="0.35">
      <c r="D187" s="29"/>
      <c r="E187" s="29"/>
      <c r="F187" s="29"/>
      <c r="G187" s="29"/>
      <c r="H187" s="29"/>
    </row>
    <row r="188" spans="4:8" x14ac:dyDescent="0.35">
      <c r="D188" s="29"/>
      <c r="E188" s="29"/>
      <c r="F188" s="29"/>
      <c r="G188" s="29"/>
      <c r="H188" s="29"/>
    </row>
    <row r="189" spans="4:8" x14ac:dyDescent="0.35">
      <c r="D189" s="29"/>
      <c r="E189" s="29"/>
      <c r="F189" s="29"/>
      <c r="G189" s="29"/>
      <c r="H189" s="29"/>
    </row>
    <row r="190" spans="4:8" x14ac:dyDescent="0.35">
      <c r="D190" s="29"/>
      <c r="E190" s="29"/>
      <c r="F190" s="29"/>
      <c r="G190" s="29"/>
      <c r="H190" s="29"/>
    </row>
    <row r="191" spans="4:8" x14ac:dyDescent="0.35">
      <c r="D191" s="29"/>
      <c r="E191" s="29"/>
      <c r="F191" s="29"/>
      <c r="G191" s="29"/>
      <c r="H191" s="29"/>
    </row>
    <row r="192" spans="4:8" x14ac:dyDescent="0.35">
      <c r="D192" s="29"/>
      <c r="E192" s="29"/>
      <c r="F192" s="29"/>
      <c r="G192" s="29"/>
      <c r="H192" s="29"/>
    </row>
    <row r="193" spans="4:8" x14ac:dyDescent="0.35">
      <c r="D193" s="29"/>
      <c r="E193" s="29"/>
      <c r="F193" s="29"/>
      <c r="G193" s="29"/>
      <c r="H193" s="29"/>
    </row>
    <row r="194" spans="4:8" x14ac:dyDescent="0.35">
      <c r="D194" s="29"/>
      <c r="E194" s="29"/>
      <c r="F194" s="29"/>
      <c r="G194" s="29"/>
      <c r="H194" s="29"/>
    </row>
    <row r="195" spans="4:8" x14ac:dyDescent="0.35">
      <c r="D195" s="29"/>
      <c r="E195" s="29"/>
      <c r="F195" s="29"/>
      <c r="G195" s="29"/>
      <c r="H195" s="29"/>
    </row>
    <row r="196" spans="4:8" x14ac:dyDescent="0.35">
      <c r="D196" s="29"/>
      <c r="E196" s="29"/>
      <c r="F196" s="29"/>
      <c r="G196" s="29"/>
      <c r="H196" s="29"/>
    </row>
    <row r="197" spans="4:8" x14ac:dyDescent="0.35">
      <c r="D197" s="29"/>
      <c r="E197" s="29"/>
      <c r="F197" s="29"/>
      <c r="G197" s="29"/>
      <c r="H197" s="29"/>
    </row>
    <row r="198" spans="4:8" x14ac:dyDescent="0.35">
      <c r="D198" s="29"/>
      <c r="E198" s="29"/>
      <c r="F198" s="29"/>
      <c r="G198" s="29"/>
      <c r="H198" s="29"/>
    </row>
    <row r="199" spans="4:8" x14ac:dyDescent="0.35">
      <c r="D199" s="29"/>
      <c r="E199" s="29"/>
      <c r="F199" s="29"/>
      <c r="G199" s="29"/>
      <c r="H199" s="29"/>
    </row>
    <row r="200" spans="4:8" x14ac:dyDescent="0.35">
      <c r="D200" s="29"/>
      <c r="E200" s="29"/>
      <c r="F200" s="29"/>
      <c r="G200" s="29"/>
      <c r="H200" s="29"/>
    </row>
    <row r="201" spans="4:8" x14ac:dyDescent="0.35">
      <c r="D201" s="29"/>
      <c r="E201" s="29"/>
      <c r="F201" s="29"/>
      <c r="G201" s="29"/>
      <c r="H201" s="29"/>
    </row>
    <row r="202" spans="4:8" x14ac:dyDescent="0.35">
      <c r="D202" s="29"/>
      <c r="E202" s="29"/>
      <c r="F202" s="29"/>
      <c r="G202" s="29"/>
      <c r="H202" s="29"/>
    </row>
    <row r="203" spans="4:8" x14ac:dyDescent="0.35">
      <c r="D203" s="29"/>
      <c r="E203" s="29"/>
      <c r="F203" s="29"/>
      <c r="G203" s="29"/>
      <c r="H203" s="29"/>
    </row>
    <row r="204" spans="4:8" x14ac:dyDescent="0.35">
      <c r="D204" s="29"/>
      <c r="E204" s="29"/>
      <c r="F204" s="29"/>
      <c r="G204" s="29"/>
      <c r="H204" s="29"/>
    </row>
    <row r="205" spans="4:8" x14ac:dyDescent="0.35">
      <c r="D205" s="29"/>
      <c r="E205" s="29"/>
      <c r="F205" s="29"/>
      <c r="G205" s="29"/>
      <c r="H205" s="29"/>
    </row>
    <row r="206" spans="4:8" x14ac:dyDescent="0.35">
      <c r="D206" s="29"/>
      <c r="E206" s="29"/>
      <c r="F206" s="29"/>
      <c r="G206" s="29"/>
      <c r="H206" s="29"/>
    </row>
    <row r="207" spans="4:8" x14ac:dyDescent="0.35">
      <c r="D207" s="29"/>
      <c r="E207" s="29"/>
      <c r="F207" s="29"/>
      <c r="G207" s="29"/>
      <c r="H207" s="29"/>
    </row>
    <row r="208" spans="4:8" x14ac:dyDescent="0.35">
      <c r="D208" s="29"/>
      <c r="E208" s="29"/>
      <c r="F208" s="29"/>
      <c r="G208" s="29"/>
      <c r="H208" s="29"/>
    </row>
    <row r="209" spans="4:8" x14ac:dyDescent="0.35">
      <c r="D209" s="29"/>
      <c r="E209" s="29"/>
      <c r="F209" s="29"/>
      <c r="G209" s="29"/>
      <c r="H209" s="29"/>
    </row>
    <row r="210" spans="4:8" x14ac:dyDescent="0.35">
      <c r="D210" s="29"/>
      <c r="E210" s="29"/>
      <c r="F210" s="29"/>
      <c r="G210" s="29"/>
      <c r="H210" s="29"/>
    </row>
    <row r="211" spans="4:8" x14ac:dyDescent="0.35">
      <c r="D211" s="29"/>
      <c r="E211" s="29"/>
      <c r="F211" s="29"/>
      <c r="G211" s="29"/>
      <c r="H211" s="29"/>
    </row>
  </sheetData>
  <mergeCells count="4">
    <mergeCell ref="B3:G3"/>
    <mergeCell ref="B130:G130"/>
    <mergeCell ref="B131:G131"/>
    <mergeCell ref="B132:G132"/>
  </mergeCells>
  <pageMargins left="0.70866141732283472" right="0.70866141732283472" top="0.74803149606299213" bottom="0.74803149606299213" header="0.31496062992125984" footer="0.31496062992125984"/>
  <pageSetup scale="61" fitToHeight="2" orientation="portrait" r:id="rId1"/>
  <rowBreaks count="1" manualBreakCount="1">
    <brk id="6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90"/>
  <sheetViews>
    <sheetView showGridLines="0" view="pageBreakPreview" zoomScale="85" zoomScaleNormal="100" zoomScaleSheetLayoutView="85" workbookViewId="0">
      <pane ySplit="5" topLeftCell="A118" activePane="bottomLeft" state="frozen"/>
      <selection activeCell="B8" sqref="B8"/>
      <selection pane="bottomLeft" activeCell="E76" sqref="E76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</cols>
  <sheetData>
    <row r="1" spans="2:7" x14ac:dyDescent="0.35">
      <c r="B1" s="24" t="s">
        <v>86</v>
      </c>
      <c r="C1" s="38"/>
      <c r="D1" s="38"/>
      <c r="E1" s="38"/>
      <c r="F1" s="38"/>
      <c r="G1" s="39" t="s">
        <v>38</v>
      </c>
    </row>
    <row r="2" spans="2:7" x14ac:dyDescent="0.35">
      <c r="B2" s="24" t="s">
        <v>89</v>
      </c>
      <c r="C2" s="24"/>
      <c r="D2" s="24"/>
      <c r="E2" s="24"/>
      <c r="F2" s="40"/>
      <c r="G2" s="41" t="str">
        <f>'5.1'!$F$2</f>
        <v>August 2023</v>
      </c>
    </row>
    <row r="3" spans="2:7" x14ac:dyDescent="0.35">
      <c r="B3" s="60" t="s">
        <v>15</v>
      </c>
      <c r="C3" s="60"/>
      <c r="D3" s="60"/>
      <c r="E3" s="60"/>
      <c r="F3" s="60"/>
      <c r="G3" s="60"/>
    </row>
    <row r="4" spans="2:7" x14ac:dyDescent="0.35">
      <c r="B4" s="24"/>
      <c r="C4" s="24"/>
    </row>
    <row r="5" spans="2:7" s="24" customFormat="1" ht="29" x14ac:dyDescent="0.35">
      <c r="B5" s="25" t="s">
        <v>47</v>
      </c>
      <c r="C5" s="25"/>
      <c r="D5" s="26" t="s">
        <v>48</v>
      </c>
      <c r="E5" s="26" t="s">
        <v>49</v>
      </c>
      <c r="F5" s="26" t="s">
        <v>50</v>
      </c>
      <c r="G5" s="26" t="s">
        <v>51</v>
      </c>
    </row>
    <row r="6" spans="2:7" s="24" customFormat="1" x14ac:dyDescent="0.35">
      <c r="D6" s="27"/>
      <c r="E6" s="27"/>
      <c r="F6" s="27"/>
      <c r="G6" s="27"/>
    </row>
    <row r="7" spans="2:7" s="24" customFormat="1" x14ac:dyDescent="0.35">
      <c r="B7" s="24" t="s">
        <v>52</v>
      </c>
      <c r="D7" s="28"/>
      <c r="E7" s="28"/>
      <c r="F7" s="28"/>
      <c r="G7" s="28"/>
    </row>
    <row r="8" spans="2:7" x14ac:dyDescent="0.35">
      <c r="B8" t="s">
        <v>149</v>
      </c>
      <c r="D8" s="30">
        <v>6297.31178</v>
      </c>
      <c r="E8" s="30">
        <v>28650</v>
      </c>
      <c r="F8" s="30">
        <v>0</v>
      </c>
      <c r="G8" s="30">
        <f t="shared" ref="G8:G15" si="0">SUM(D8:F8)</f>
        <v>34947.311780000004</v>
      </c>
    </row>
    <row r="9" spans="2:7" x14ac:dyDescent="0.35">
      <c r="B9" t="s">
        <v>117</v>
      </c>
      <c r="D9" s="30">
        <v>8403.8510100000003</v>
      </c>
      <c r="E9" s="30">
        <v>2295</v>
      </c>
      <c r="F9" s="30">
        <v>0</v>
      </c>
      <c r="G9" s="30">
        <f t="shared" si="0"/>
        <v>10698.85101</v>
      </c>
    </row>
    <row r="10" spans="2:7" x14ac:dyDescent="0.35">
      <c r="B10" t="s">
        <v>120</v>
      </c>
      <c r="D10" s="30">
        <v>322.76803999999998</v>
      </c>
      <c r="E10" s="30">
        <v>3923.9090000000001</v>
      </c>
      <c r="F10" s="30">
        <v>-4246.6770400000005</v>
      </c>
      <c r="G10" s="30">
        <f t="shared" si="0"/>
        <v>0</v>
      </c>
    </row>
    <row r="11" spans="2:7" x14ac:dyDescent="0.35">
      <c r="B11" t="s">
        <v>121</v>
      </c>
      <c r="D11" s="30">
        <v>934.35653000000002</v>
      </c>
      <c r="E11" s="30">
        <v>940</v>
      </c>
      <c r="F11" s="30">
        <v>-1874.35653</v>
      </c>
      <c r="G11" s="30">
        <f t="shared" si="0"/>
        <v>0</v>
      </c>
    </row>
    <row r="12" spans="2:7" x14ac:dyDescent="0.35">
      <c r="B12" t="s">
        <v>118</v>
      </c>
      <c r="D12" s="30">
        <v>0</v>
      </c>
      <c r="E12" s="30">
        <v>1000</v>
      </c>
      <c r="F12" s="30">
        <v>-1000</v>
      </c>
      <c r="G12" s="30">
        <f t="shared" si="0"/>
        <v>0</v>
      </c>
    </row>
    <row r="13" spans="2:7" x14ac:dyDescent="0.35">
      <c r="B13" t="s">
        <v>111</v>
      </c>
      <c r="D13" s="30">
        <v>0</v>
      </c>
      <c r="E13" s="30">
        <v>4300</v>
      </c>
      <c r="F13" s="30">
        <v>-4300</v>
      </c>
      <c r="G13" s="30">
        <f t="shared" ref="G13" si="1">SUM(D13:F13)</f>
        <v>0</v>
      </c>
    </row>
    <row r="14" spans="2:7" x14ac:dyDescent="0.35">
      <c r="B14" t="s">
        <v>157</v>
      </c>
      <c r="D14" s="30">
        <v>388.10894999999999</v>
      </c>
      <c r="E14" s="30">
        <v>1736.82</v>
      </c>
      <c r="F14" s="30">
        <v>-2124.92895</v>
      </c>
      <c r="G14" s="30">
        <f>SUM(D14:F14)</f>
        <v>0</v>
      </c>
    </row>
    <row r="15" spans="2:7" x14ac:dyDescent="0.35">
      <c r="B15" t="s">
        <v>119</v>
      </c>
      <c r="D15" s="30">
        <v>71.766139999999993</v>
      </c>
      <c r="E15" s="30">
        <v>600</v>
      </c>
      <c r="F15" s="30">
        <v>0</v>
      </c>
      <c r="G15" s="30">
        <f t="shared" si="0"/>
        <v>671.76613999999995</v>
      </c>
    </row>
    <row r="16" spans="2:7" x14ac:dyDescent="0.35">
      <c r="B16" t="s">
        <v>128</v>
      </c>
      <c r="D16" s="30">
        <v>0</v>
      </c>
      <c r="E16" s="30">
        <v>500</v>
      </c>
      <c r="F16" s="30">
        <v>-500</v>
      </c>
      <c r="G16" s="30">
        <f>SUM(D16:F16)</f>
        <v>0</v>
      </c>
    </row>
    <row r="17" spans="2:8" x14ac:dyDescent="0.35">
      <c r="B17" t="s">
        <v>158</v>
      </c>
      <c r="D17" s="30">
        <v>581.24602000000004</v>
      </c>
      <c r="E17" s="30">
        <v>515.505</v>
      </c>
      <c r="F17" s="30">
        <v>-1096.7510199999999</v>
      </c>
      <c r="G17" s="30">
        <f>SUM(D17:F17)</f>
        <v>0</v>
      </c>
    </row>
    <row r="18" spans="2:8" x14ac:dyDescent="0.35">
      <c r="B18" s="24" t="s">
        <v>74</v>
      </c>
      <c r="C18" s="24"/>
      <c r="D18" s="31">
        <f>SUBTOTAL(9,D8:D17)</f>
        <v>16999.408470000002</v>
      </c>
      <c r="E18" s="31">
        <f>SUBTOTAL(9,E8:E17)</f>
        <v>44461.233999999997</v>
      </c>
      <c r="F18" s="31">
        <f>SUBTOTAL(9,F8:F17)</f>
        <v>-15142.713539999999</v>
      </c>
      <c r="G18" s="31">
        <f>SUBTOTAL(9,G8:G17)</f>
        <v>46317.928930000002</v>
      </c>
    </row>
    <row r="19" spans="2:8" x14ac:dyDescent="0.35">
      <c r="D19" s="30"/>
      <c r="E19" s="30"/>
      <c r="F19" s="30"/>
      <c r="G19" s="30"/>
    </row>
    <row r="20" spans="2:8" s="24" customFormat="1" x14ac:dyDescent="0.35">
      <c r="B20" s="24" t="s">
        <v>53</v>
      </c>
      <c r="D20" s="31"/>
      <c r="E20" s="31"/>
      <c r="F20" s="31"/>
      <c r="G20" s="31"/>
    </row>
    <row r="21" spans="2:8" s="24" customFormat="1" x14ac:dyDescent="0.35">
      <c r="D21" s="31"/>
      <c r="E21" s="31"/>
      <c r="F21" s="31"/>
      <c r="G21" s="31"/>
    </row>
    <row r="22" spans="2:8" s="24" customFormat="1" x14ac:dyDescent="0.35">
      <c r="B22" s="24" t="s">
        <v>29</v>
      </c>
      <c r="D22" s="31"/>
      <c r="E22" s="31"/>
      <c r="F22" s="31"/>
      <c r="G22" s="31"/>
    </row>
    <row r="23" spans="2:8" x14ac:dyDescent="0.35">
      <c r="B23" t="s">
        <v>159</v>
      </c>
      <c r="D23" s="30">
        <v>10.69355</v>
      </c>
      <c r="E23" s="30">
        <v>275</v>
      </c>
      <c r="F23" s="30">
        <v>-285.69355000000002</v>
      </c>
      <c r="G23" s="30">
        <f>SUM(D23:F23)</f>
        <v>0</v>
      </c>
    </row>
    <row r="24" spans="2:8" x14ac:dyDescent="0.35">
      <c r="B24" t="s">
        <v>75</v>
      </c>
      <c r="D24" s="30">
        <v>70.675989999999999</v>
      </c>
      <c r="E24" s="30">
        <v>185</v>
      </c>
      <c r="F24" s="30">
        <v>-255.67598999999998</v>
      </c>
      <c r="G24" s="30">
        <v>0</v>
      </c>
    </row>
    <row r="25" spans="2:8" s="24" customFormat="1" x14ac:dyDescent="0.35">
      <c r="B25" s="24" t="s">
        <v>74</v>
      </c>
      <c r="D25" s="31">
        <f>SUBTOTAL(9,D23:D24)</f>
        <v>81.369540000000001</v>
      </c>
      <c r="E25" s="31">
        <f>SUBTOTAL(9,E23:E24)</f>
        <v>460</v>
      </c>
      <c r="F25" s="31">
        <f>SUBTOTAL(9,F23:F24)</f>
        <v>-541.36954000000003</v>
      </c>
      <c r="G25" s="31">
        <f>SUBTOTAL(9,G23:G24)</f>
        <v>0</v>
      </c>
    </row>
    <row r="26" spans="2:8" s="24" customFormat="1" x14ac:dyDescent="0.35">
      <c r="D26" s="31"/>
      <c r="E26" s="31"/>
      <c r="F26" s="31"/>
      <c r="G26" s="31"/>
    </row>
    <row r="27" spans="2:8" s="24" customFormat="1" x14ac:dyDescent="0.35">
      <c r="B27" s="24" t="s">
        <v>26</v>
      </c>
      <c r="D27" s="31"/>
      <c r="E27" s="31"/>
      <c r="F27" s="31"/>
      <c r="G27" s="31"/>
    </row>
    <row r="28" spans="2:8" x14ac:dyDescent="0.35">
      <c r="B28" t="s">
        <v>174</v>
      </c>
      <c r="D28" s="30">
        <v>0</v>
      </c>
      <c r="E28" s="30">
        <v>405</v>
      </c>
      <c r="F28" s="30">
        <v>0</v>
      </c>
      <c r="G28" s="30">
        <f>SUM(D28:F28)</f>
        <v>405</v>
      </c>
    </row>
    <row r="29" spans="2:8" x14ac:dyDescent="0.35">
      <c r="B29" t="s">
        <v>138</v>
      </c>
      <c r="D29" s="30">
        <v>304.70203000000004</v>
      </c>
      <c r="E29" s="30">
        <v>433.57489000000004</v>
      </c>
      <c r="F29" s="30">
        <v>-738.27692000000002</v>
      </c>
      <c r="G29" s="30">
        <f t="shared" ref="G29" si="2">SUM(D29:F29)</f>
        <v>0</v>
      </c>
      <c r="H29" s="24"/>
    </row>
    <row r="30" spans="2:8" s="24" customFormat="1" x14ac:dyDescent="0.35">
      <c r="B30" t="s">
        <v>175</v>
      </c>
      <c r="C30"/>
      <c r="D30" s="30">
        <v>0</v>
      </c>
      <c r="E30" s="30">
        <v>-433.57489000000004</v>
      </c>
      <c r="F30" s="30">
        <v>433.57489000000004</v>
      </c>
      <c r="G30" s="30">
        <f>SUM(D30:F30)</f>
        <v>0</v>
      </c>
    </row>
    <row r="31" spans="2:8" x14ac:dyDescent="0.35">
      <c r="B31" t="s">
        <v>176</v>
      </c>
      <c r="D31" s="30">
        <v>0</v>
      </c>
      <c r="E31" s="30">
        <v>175</v>
      </c>
      <c r="F31" s="30">
        <v>-175</v>
      </c>
      <c r="G31" s="30">
        <f>SUM(D31:F31)</f>
        <v>0</v>
      </c>
    </row>
    <row r="32" spans="2:8" x14ac:dyDescent="0.35">
      <c r="B32" t="s">
        <v>75</v>
      </c>
      <c r="D32" s="30">
        <v>14.42651</v>
      </c>
      <c r="E32" s="30">
        <v>90</v>
      </c>
      <c r="F32" s="30">
        <v>-104.42651000000001</v>
      </c>
      <c r="G32" s="30">
        <v>0</v>
      </c>
    </row>
    <row r="33" spans="2:7" x14ac:dyDescent="0.35">
      <c r="B33" s="24" t="s">
        <v>74</v>
      </c>
      <c r="C33" s="24"/>
      <c r="D33" s="31">
        <f>SUBTOTAL(9,D28:D32)</f>
        <v>319.12854000000004</v>
      </c>
      <c r="E33" s="31">
        <f>SUBTOTAL(9,E28:E32)</f>
        <v>670</v>
      </c>
      <c r="F33" s="31">
        <f>SUBTOTAL(9,F28:F32)</f>
        <v>-584.12853999999993</v>
      </c>
      <c r="G33" s="31">
        <f>SUBTOTAL(9,G28:G32)</f>
        <v>405</v>
      </c>
    </row>
    <row r="34" spans="2:7" s="24" customFormat="1" x14ac:dyDescent="0.35">
      <c r="D34" s="31"/>
      <c r="E34" s="31"/>
      <c r="F34" s="31"/>
      <c r="G34" s="31"/>
    </row>
    <row r="35" spans="2:7" s="24" customFormat="1" x14ac:dyDescent="0.35">
      <c r="B35" s="24" t="s">
        <v>27</v>
      </c>
      <c r="D35" s="31"/>
      <c r="E35" s="31"/>
      <c r="F35" s="31"/>
      <c r="G35" s="31"/>
    </row>
    <row r="36" spans="2:7" x14ac:dyDescent="0.35">
      <c r="B36" t="s">
        <v>139</v>
      </c>
      <c r="D36" s="30">
        <v>1127.05225</v>
      </c>
      <c r="E36" s="30">
        <v>600</v>
      </c>
      <c r="F36" s="30">
        <v>-1727.05225</v>
      </c>
      <c r="G36" s="30">
        <f t="shared" ref="G36:G37" si="3">SUM(D36:F36)</f>
        <v>0</v>
      </c>
    </row>
    <row r="37" spans="2:7" x14ac:dyDescent="0.35">
      <c r="B37" t="s">
        <v>140</v>
      </c>
      <c r="D37" s="30">
        <v>-860.67630000000008</v>
      </c>
      <c r="E37" s="30">
        <v>-400</v>
      </c>
      <c r="F37" s="30">
        <v>1260.6763000000001</v>
      </c>
      <c r="G37" s="30">
        <f t="shared" si="3"/>
        <v>0</v>
      </c>
    </row>
    <row r="38" spans="2:7" s="24" customFormat="1" x14ac:dyDescent="0.35">
      <c r="B38" t="s">
        <v>150</v>
      </c>
      <c r="C38"/>
      <c r="D38" s="30">
        <v>3705.32953</v>
      </c>
      <c r="E38" s="30">
        <v>1500</v>
      </c>
      <c r="F38" s="30">
        <v>-5205.32953</v>
      </c>
      <c r="G38" s="30">
        <f>SUM(D38:F38)</f>
        <v>0</v>
      </c>
    </row>
    <row r="39" spans="2:7" s="24" customFormat="1" x14ac:dyDescent="0.35">
      <c r="B39" t="s">
        <v>151</v>
      </c>
      <c r="C39"/>
      <c r="D39" s="30">
        <v>-4900.9201299999995</v>
      </c>
      <c r="E39" s="30">
        <v>-1500</v>
      </c>
      <c r="F39" s="30">
        <v>6400.9201299999995</v>
      </c>
      <c r="G39" s="30">
        <f>SUM(D39:F39)</f>
        <v>0</v>
      </c>
    </row>
    <row r="40" spans="2:7" x14ac:dyDescent="0.35">
      <c r="B40" t="s">
        <v>141</v>
      </c>
      <c r="D40" s="30">
        <v>416.26008000000002</v>
      </c>
      <c r="E40" s="30">
        <v>200</v>
      </c>
      <c r="F40" s="30">
        <v>-616.2600799999999</v>
      </c>
      <c r="G40" s="30">
        <f>SUM(D40:F40)</f>
        <v>0</v>
      </c>
    </row>
    <row r="41" spans="2:7" x14ac:dyDescent="0.35">
      <c r="B41" t="s">
        <v>177</v>
      </c>
      <c r="D41" s="30">
        <v>0</v>
      </c>
      <c r="E41" s="30">
        <v>350</v>
      </c>
      <c r="F41" s="30">
        <v>-350</v>
      </c>
      <c r="G41" s="30">
        <f>SUM(D41:F41)</f>
        <v>0</v>
      </c>
    </row>
    <row r="42" spans="2:7" x14ac:dyDescent="0.35">
      <c r="B42" t="s">
        <v>75</v>
      </c>
      <c r="D42" s="30">
        <v>0</v>
      </c>
      <c r="E42" s="30">
        <v>150</v>
      </c>
      <c r="F42" s="30">
        <v>-150</v>
      </c>
      <c r="G42" s="30">
        <v>0</v>
      </c>
    </row>
    <row r="43" spans="2:7" s="24" customFormat="1" x14ac:dyDescent="0.35">
      <c r="B43" s="24" t="s">
        <v>74</v>
      </c>
      <c r="D43" s="31">
        <f>SUBTOTAL(9,D36:D42)</f>
        <v>-512.95456999999988</v>
      </c>
      <c r="E43" s="31">
        <f>SUBTOTAL(9,E36:E42)</f>
        <v>900</v>
      </c>
      <c r="F43" s="31">
        <f>SUBTOTAL(9,F36:F42)</f>
        <v>-387.04543000000001</v>
      </c>
      <c r="G43" s="31">
        <f>SUBTOTAL(9,G36:G42)</f>
        <v>0</v>
      </c>
    </row>
    <row r="44" spans="2:7" s="24" customFormat="1" x14ac:dyDescent="0.35">
      <c r="D44" s="31"/>
      <c r="E44" s="31"/>
      <c r="F44" s="31"/>
      <c r="G44" s="31"/>
    </row>
    <row r="45" spans="2:7" s="24" customFormat="1" x14ac:dyDescent="0.35">
      <c r="B45" s="24" t="s">
        <v>66</v>
      </c>
      <c r="D45" s="31"/>
      <c r="E45" s="31"/>
      <c r="F45" s="31"/>
      <c r="G45" s="31"/>
    </row>
    <row r="46" spans="2:7" x14ac:dyDescent="0.35">
      <c r="B46" t="s">
        <v>160</v>
      </c>
      <c r="D46" s="30">
        <v>185.23467000000002</v>
      </c>
      <c r="E46" s="30">
        <v>625</v>
      </c>
      <c r="F46" s="30">
        <v>-810.23467000000005</v>
      </c>
      <c r="G46" s="30">
        <f t="shared" ref="G46:G53" si="4">SUM(D46:F46)</f>
        <v>0</v>
      </c>
    </row>
    <row r="47" spans="2:7" x14ac:dyDescent="0.35">
      <c r="B47" t="s">
        <v>145</v>
      </c>
      <c r="D47" s="30">
        <v>0</v>
      </c>
      <c r="E47" s="30">
        <v>623.78399999999999</v>
      </c>
      <c r="F47" s="30">
        <v>-623.78399999999999</v>
      </c>
      <c r="G47" s="30">
        <f t="shared" si="4"/>
        <v>0</v>
      </c>
    </row>
    <row r="48" spans="2:7" x14ac:dyDescent="0.35">
      <c r="B48" t="s">
        <v>144</v>
      </c>
      <c r="D48" s="30">
        <v>0.44816</v>
      </c>
      <c r="E48" s="30">
        <v>200</v>
      </c>
      <c r="F48" s="30">
        <v>-200.44816</v>
      </c>
      <c r="G48" s="30">
        <f t="shared" si="4"/>
        <v>0</v>
      </c>
    </row>
    <row r="49" spans="2:7" x14ac:dyDescent="0.35">
      <c r="B49" t="s">
        <v>178</v>
      </c>
      <c r="D49" s="30">
        <v>0</v>
      </c>
      <c r="E49" s="30">
        <v>189.02699999999999</v>
      </c>
      <c r="F49" s="30">
        <v>-189.02699999999999</v>
      </c>
      <c r="G49" s="30">
        <f t="shared" si="4"/>
        <v>0</v>
      </c>
    </row>
    <row r="50" spans="2:7" x14ac:dyDescent="0.35">
      <c r="B50" t="s">
        <v>162</v>
      </c>
      <c r="D50" s="30">
        <v>89.626649999999998</v>
      </c>
      <c r="E50" s="30">
        <v>45</v>
      </c>
      <c r="F50" s="30">
        <v>-134.62664999999998</v>
      </c>
      <c r="G50" s="30">
        <f t="shared" si="4"/>
        <v>0</v>
      </c>
    </row>
    <row r="51" spans="2:7" x14ac:dyDescent="0.35">
      <c r="B51" t="s">
        <v>179</v>
      </c>
      <c r="D51" s="30">
        <v>0</v>
      </c>
      <c r="E51" s="30">
        <v>110</v>
      </c>
      <c r="F51" s="30">
        <v>-110</v>
      </c>
      <c r="G51" s="30">
        <f t="shared" si="4"/>
        <v>0</v>
      </c>
    </row>
    <row r="52" spans="2:7" x14ac:dyDescent="0.35">
      <c r="B52" t="s">
        <v>180</v>
      </c>
      <c r="D52" s="30">
        <v>0</v>
      </c>
      <c r="E52" s="30">
        <v>20</v>
      </c>
      <c r="F52" s="30">
        <v>0</v>
      </c>
      <c r="G52" s="30">
        <f t="shared" si="4"/>
        <v>20</v>
      </c>
    </row>
    <row r="53" spans="2:7" x14ac:dyDescent="0.35">
      <c r="B53" t="s">
        <v>181</v>
      </c>
      <c r="D53" s="30">
        <v>0</v>
      </c>
      <c r="E53" s="30">
        <v>120</v>
      </c>
      <c r="F53" s="30">
        <v>0</v>
      </c>
      <c r="G53" s="30">
        <f t="shared" si="4"/>
        <v>120</v>
      </c>
    </row>
    <row r="54" spans="2:7" x14ac:dyDescent="0.35">
      <c r="B54" t="s">
        <v>75</v>
      </c>
      <c r="D54" s="30">
        <v>64.264659999999992</v>
      </c>
      <c r="E54" s="30">
        <v>663.25</v>
      </c>
      <c r="F54" s="30">
        <v>-727.51466000000005</v>
      </c>
      <c r="G54" s="30">
        <v>0</v>
      </c>
    </row>
    <row r="55" spans="2:7" x14ac:dyDescent="0.35">
      <c r="B55" s="24" t="s">
        <v>74</v>
      </c>
      <c r="C55" s="24"/>
      <c r="D55" s="31">
        <f>SUBTOTAL(9,D46:D54)</f>
        <v>339.57414</v>
      </c>
      <c r="E55" s="31">
        <f>SUBTOTAL(9,E46:E54)</f>
        <v>2596.0610000000001</v>
      </c>
      <c r="F55" s="31">
        <f>SUBTOTAL(9,F46:F54)</f>
        <v>-2795.6351399999994</v>
      </c>
      <c r="G55" s="31">
        <f>SUBTOTAL(9,G46:G54)</f>
        <v>140</v>
      </c>
    </row>
    <row r="56" spans="2:7" x14ac:dyDescent="0.35">
      <c r="D56" s="30"/>
      <c r="E56" s="30"/>
      <c r="F56" s="30"/>
      <c r="G56" s="30"/>
    </row>
    <row r="57" spans="2:7" x14ac:dyDescent="0.35">
      <c r="B57" s="24" t="s">
        <v>67</v>
      </c>
      <c r="D57" s="30"/>
      <c r="E57" s="30"/>
      <c r="F57" s="30"/>
      <c r="G57" s="30"/>
    </row>
    <row r="58" spans="2:7" x14ac:dyDescent="0.35">
      <c r="B58" t="s">
        <v>163</v>
      </c>
      <c r="D58" s="30">
        <v>30.966840000000001</v>
      </c>
      <c r="E58" s="30">
        <v>2430</v>
      </c>
      <c r="F58" s="30">
        <v>-2460.96684</v>
      </c>
      <c r="G58" s="30">
        <f>SUM(D58:F58)</f>
        <v>0</v>
      </c>
    </row>
    <row r="59" spans="2:7" x14ac:dyDescent="0.35">
      <c r="B59" t="s">
        <v>182</v>
      </c>
      <c r="D59" s="30">
        <v>0</v>
      </c>
      <c r="E59" s="30">
        <v>400</v>
      </c>
      <c r="F59" s="30">
        <v>-400</v>
      </c>
      <c r="G59" s="30">
        <f>SUM(D59:F59)</f>
        <v>0</v>
      </c>
    </row>
    <row r="60" spans="2:7" x14ac:dyDescent="0.35">
      <c r="B60" t="s">
        <v>183</v>
      </c>
      <c r="D60" s="30">
        <v>0</v>
      </c>
      <c r="E60" s="30">
        <v>400</v>
      </c>
      <c r="F60" s="30">
        <v>-400</v>
      </c>
      <c r="G60" s="30">
        <f>SUM(D60:F60)</f>
        <v>0</v>
      </c>
    </row>
    <row r="61" spans="2:7" x14ac:dyDescent="0.35">
      <c r="B61" s="24" t="s">
        <v>74</v>
      </c>
      <c r="C61" s="24"/>
      <c r="D61" s="31">
        <f>SUBTOTAL(9,D58:D60)</f>
        <v>30.966840000000001</v>
      </c>
      <c r="E61" s="31">
        <f>SUBTOTAL(9,E58:E60)</f>
        <v>3230</v>
      </c>
      <c r="F61" s="31">
        <f>SUBTOTAL(9,F58:F60)</f>
        <v>-3260.96684</v>
      </c>
      <c r="G61" s="31">
        <f>SUBTOTAL(9,G58:G60)</f>
        <v>0</v>
      </c>
    </row>
    <row r="62" spans="2:7" x14ac:dyDescent="0.35">
      <c r="D62" s="30"/>
      <c r="E62" s="30"/>
      <c r="F62" s="30"/>
      <c r="G62" s="30"/>
    </row>
    <row r="63" spans="2:7" x14ac:dyDescent="0.35">
      <c r="B63" s="3" t="s">
        <v>63</v>
      </c>
      <c r="D63" s="30"/>
      <c r="E63" s="30"/>
      <c r="F63" s="30"/>
      <c r="G63" s="30"/>
    </row>
    <row r="64" spans="2:7" x14ac:dyDescent="0.35">
      <c r="B64" t="s">
        <v>184</v>
      </c>
      <c r="D64" s="30">
        <v>0</v>
      </c>
      <c r="E64" s="30">
        <v>750.13410999999996</v>
      </c>
      <c r="F64" s="30">
        <v>-750.13410999999996</v>
      </c>
      <c r="G64" s="30">
        <f>SUM(D64:F64)</f>
        <v>0</v>
      </c>
    </row>
    <row r="65" spans="2:7" x14ac:dyDescent="0.35">
      <c r="B65" s="24" t="s">
        <v>74</v>
      </c>
      <c r="C65" s="24"/>
      <c r="D65" s="31">
        <f>SUBTOTAL(9,D64:D64)</f>
        <v>0</v>
      </c>
      <c r="E65" s="31">
        <f>SUBTOTAL(9,E64:E64)</f>
        <v>750.13410999999996</v>
      </c>
      <c r="F65" s="31">
        <f>SUBTOTAL(9,F64:F64)</f>
        <v>-750.13410999999996</v>
      </c>
      <c r="G65" s="31">
        <f>SUBTOTAL(9,G64:G64)</f>
        <v>0</v>
      </c>
    </row>
    <row r="66" spans="2:7" x14ac:dyDescent="0.35">
      <c r="D66" s="30"/>
      <c r="E66" s="30"/>
      <c r="F66" s="30"/>
      <c r="G66" s="30"/>
    </row>
    <row r="67" spans="2:7" s="24" customFormat="1" x14ac:dyDescent="0.35">
      <c r="B67" s="24" t="s">
        <v>64</v>
      </c>
      <c r="D67" s="30"/>
      <c r="E67" s="30"/>
      <c r="F67" s="30"/>
      <c r="G67" s="30"/>
    </row>
    <row r="68" spans="2:7" x14ac:dyDescent="0.35">
      <c r="B68" t="s">
        <v>64</v>
      </c>
      <c r="D68" s="30">
        <v>345.91790999999995</v>
      </c>
      <c r="E68" s="30">
        <v>554</v>
      </c>
      <c r="F68" s="30">
        <v>-899.91791000000001</v>
      </c>
      <c r="G68" s="30">
        <f>SUM(D68:F68)</f>
        <v>0</v>
      </c>
    </row>
    <row r="69" spans="2:7" x14ac:dyDescent="0.35">
      <c r="B69" s="24" t="s">
        <v>74</v>
      </c>
      <c r="C69" s="24"/>
      <c r="D69" s="31">
        <f>SUBTOTAL(9,D68:D68)</f>
        <v>345.91790999999995</v>
      </c>
      <c r="E69" s="31">
        <f t="shared" ref="E69:G69" si="5">SUBTOTAL(9,E68:E68)</f>
        <v>554</v>
      </c>
      <c r="F69" s="31">
        <f t="shared" si="5"/>
        <v>-899.91791000000001</v>
      </c>
      <c r="G69" s="31">
        <f t="shared" si="5"/>
        <v>0</v>
      </c>
    </row>
    <row r="70" spans="2:7" x14ac:dyDescent="0.35">
      <c r="D70" s="30"/>
      <c r="E70" s="30"/>
      <c r="F70" s="30"/>
      <c r="G70" s="30"/>
    </row>
    <row r="71" spans="2:7" x14ac:dyDescent="0.35">
      <c r="B71" s="24" t="s">
        <v>105</v>
      </c>
      <c r="D71" s="30"/>
      <c r="E71" s="30"/>
      <c r="F71" s="30"/>
      <c r="G71" s="30"/>
    </row>
    <row r="72" spans="2:7" x14ac:dyDescent="0.35">
      <c r="B72" t="s">
        <v>166</v>
      </c>
      <c r="D72" s="30">
        <v>40.0929</v>
      </c>
      <c r="E72" s="30">
        <v>723</v>
      </c>
      <c r="F72" s="30">
        <v>-763.09289999999999</v>
      </c>
      <c r="G72" s="30">
        <f>SUM(D72:F72)</f>
        <v>0</v>
      </c>
    </row>
    <row r="73" spans="2:7" x14ac:dyDescent="0.35">
      <c r="B73" s="24" t="s">
        <v>74</v>
      </c>
      <c r="C73" s="24"/>
      <c r="D73" s="31">
        <f>SUBTOTAL(9,D72:D72)</f>
        <v>40.0929</v>
      </c>
      <c r="E73" s="31">
        <f t="shared" ref="E73" si="6">SUBTOTAL(9,E72:E72)</f>
        <v>723</v>
      </c>
      <c r="F73" s="31">
        <f t="shared" ref="F73" si="7">SUBTOTAL(9,F72:F72)</f>
        <v>-763.09289999999999</v>
      </c>
      <c r="G73" s="31">
        <f t="shared" ref="G73" si="8">SUBTOTAL(9,G72:G72)</f>
        <v>0</v>
      </c>
    </row>
    <row r="74" spans="2:7" x14ac:dyDescent="0.35">
      <c r="B74" s="24"/>
      <c r="C74" s="24"/>
      <c r="D74" s="31"/>
      <c r="E74" s="31"/>
      <c r="F74" s="31"/>
      <c r="G74" s="31"/>
    </row>
    <row r="75" spans="2:7" s="24" customFormat="1" x14ac:dyDescent="0.35">
      <c r="B75" s="24" t="s">
        <v>54</v>
      </c>
      <c r="D75" s="31"/>
      <c r="E75" s="31"/>
      <c r="F75" s="31"/>
      <c r="G75" s="31"/>
    </row>
    <row r="76" spans="2:7" x14ac:dyDescent="0.35">
      <c r="B76" t="s">
        <v>167</v>
      </c>
      <c r="D76" s="30">
        <v>0</v>
      </c>
      <c r="E76" s="30">
        <v>1271.64067</v>
      </c>
      <c r="F76" s="30">
        <v>-1271.64067</v>
      </c>
      <c r="G76" s="30">
        <f t="shared" ref="G76:G79" si="9">SUM(D76:F76)</f>
        <v>0</v>
      </c>
    </row>
    <row r="77" spans="2:7" x14ac:dyDescent="0.35">
      <c r="B77" t="s">
        <v>148</v>
      </c>
      <c r="D77" s="30">
        <v>0</v>
      </c>
      <c r="E77" s="30">
        <v>-21.640669999999997</v>
      </c>
      <c r="F77" s="30">
        <v>21.640669999999997</v>
      </c>
      <c r="G77" s="30">
        <f t="shared" si="9"/>
        <v>0</v>
      </c>
    </row>
    <row r="78" spans="2:7" x14ac:dyDescent="0.35">
      <c r="B78" t="s">
        <v>152</v>
      </c>
      <c r="D78" s="30">
        <v>8784.170970000001</v>
      </c>
      <c r="E78" s="30">
        <v>0</v>
      </c>
      <c r="F78" s="30">
        <v>-8784.170970000001</v>
      </c>
      <c r="G78" s="30">
        <f t="shared" si="9"/>
        <v>0</v>
      </c>
    </row>
    <row r="79" spans="2:7" x14ac:dyDescent="0.35">
      <c r="B79" t="s">
        <v>153</v>
      </c>
      <c r="D79" s="30">
        <v>575.35715000000005</v>
      </c>
      <c r="E79" s="30">
        <v>0</v>
      </c>
      <c r="F79" s="30">
        <v>-575.35715000000005</v>
      </c>
      <c r="G79" s="30">
        <f t="shared" si="9"/>
        <v>0</v>
      </c>
    </row>
    <row r="80" spans="2:7" x14ac:dyDescent="0.35">
      <c r="B80" s="24" t="s">
        <v>74</v>
      </c>
      <c r="C80" s="24"/>
      <c r="D80" s="31">
        <f>SUBTOTAL(9,D76:D79)</f>
        <v>9359.5281200000009</v>
      </c>
      <c r="E80" s="31">
        <f>SUBTOTAL(9,E76:E79)</f>
        <v>1250</v>
      </c>
      <c r="F80" s="31">
        <f>SUBTOTAL(9,F76:F79)</f>
        <v>-10609.528120000001</v>
      </c>
      <c r="G80" s="31">
        <f>SUBTOTAL(9,G76:G79)</f>
        <v>0</v>
      </c>
    </row>
    <row r="81" spans="2:7" x14ac:dyDescent="0.35">
      <c r="D81" s="30"/>
      <c r="E81" s="30"/>
      <c r="F81" s="30"/>
      <c r="G81" s="30"/>
    </row>
    <row r="82" spans="2:7" s="24" customFormat="1" x14ac:dyDescent="0.35">
      <c r="B82" s="24" t="s">
        <v>55</v>
      </c>
      <c r="D82" s="31"/>
      <c r="E82" s="31"/>
      <c r="F82" s="31"/>
      <c r="G82" s="31"/>
    </row>
    <row r="83" spans="2:7" x14ac:dyDescent="0.35">
      <c r="B83" t="s">
        <v>168</v>
      </c>
      <c r="D83" s="30">
        <v>253.92098000000001</v>
      </c>
      <c r="E83" s="30">
        <v>131.71679</v>
      </c>
      <c r="F83" s="30">
        <v>-385.63777000000005</v>
      </c>
      <c r="G83" s="30">
        <f t="shared" ref="G83:G91" si="10">SUM(D83:F83)</f>
        <v>0</v>
      </c>
    </row>
    <row r="84" spans="2:7" x14ac:dyDescent="0.35">
      <c r="B84" t="s">
        <v>185</v>
      </c>
      <c r="D84" s="30">
        <v>0</v>
      </c>
      <c r="E84" s="30">
        <v>413</v>
      </c>
      <c r="F84" s="30">
        <v>0</v>
      </c>
      <c r="G84" s="30">
        <f t="shared" si="10"/>
        <v>413</v>
      </c>
    </row>
    <row r="85" spans="2:7" x14ac:dyDescent="0.35">
      <c r="B85" t="s">
        <v>186</v>
      </c>
      <c r="D85" s="30">
        <v>0</v>
      </c>
      <c r="E85" s="30">
        <v>225</v>
      </c>
      <c r="F85" s="30">
        <v>-225</v>
      </c>
      <c r="G85" s="30">
        <f t="shared" si="10"/>
        <v>0</v>
      </c>
    </row>
    <row r="86" spans="2:7" x14ac:dyDescent="0.35">
      <c r="B86" t="s">
        <v>187</v>
      </c>
      <c r="D86" s="30">
        <v>0</v>
      </c>
      <c r="E86" s="30">
        <v>200</v>
      </c>
      <c r="F86" s="30">
        <v>-200</v>
      </c>
      <c r="G86" s="30">
        <f t="shared" si="10"/>
        <v>0</v>
      </c>
    </row>
    <row r="87" spans="2:7" x14ac:dyDescent="0.35">
      <c r="B87" t="s">
        <v>170</v>
      </c>
      <c r="D87" s="30">
        <v>147.67159000000001</v>
      </c>
      <c r="E87" s="30">
        <v>50</v>
      </c>
      <c r="F87" s="30">
        <v>-197.67159000000001</v>
      </c>
      <c r="G87" s="30">
        <f t="shared" si="10"/>
        <v>0</v>
      </c>
    </row>
    <row r="88" spans="2:7" x14ac:dyDescent="0.35">
      <c r="B88" t="s">
        <v>169</v>
      </c>
      <c r="D88" s="30">
        <v>168.41776000000002</v>
      </c>
      <c r="E88" s="30">
        <v>0</v>
      </c>
      <c r="F88" s="30">
        <v>-168.41776000000002</v>
      </c>
      <c r="G88" s="30">
        <f t="shared" si="10"/>
        <v>0</v>
      </c>
    </row>
    <row r="89" spans="2:7" x14ac:dyDescent="0.35">
      <c r="B89" t="s">
        <v>188</v>
      </c>
      <c r="D89" s="30">
        <v>0</v>
      </c>
      <c r="E89" s="30">
        <v>120</v>
      </c>
      <c r="F89" s="30">
        <v>-120</v>
      </c>
      <c r="G89" s="30">
        <f t="shared" si="10"/>
        <v>0</v>
      </c>
    </row>
    <row r="90" spans="2:7" x14ac:dyDescent="0.35">
      <c r="B90" t="s">
        <v>189</v>
      </c>
      <c r="D90" s="30">
        <v>0</v>
      </c>
      <c r="E90" s="30">
        <v>100</v>
      </c>
      <c r="F90" s="30">
        <v>-100</v>
      </c>
      <c r="G90" s="30">
        <f t="shared" si="10"/>
        <v>0</v>
      </c>
    </row>
    <row r="91" spans="2:7" x14ac:dyDescent="0.35">
      <c r="B91" t="s">
        <v>190</v>
      </c>
      <c r="D91" s="30">
        <v>0</v>
      </c>
      <c r="E91" s="30">
        <v>225</v>
      </c>
      <c r="F91" s="30">
        <v>-225</v>
      </c>
      <c r="G91" s="30">
        <f t="shared" si="10"/>
        <v>0</v>
      </c>
    </row>
    <row r="92" spans="2:7" x14ac:dyDescent="0.35">
      <c r="B92" t="s">
        <v>155</v>
      </c>
      <c r="D92" s="30">
        <v>70.308399999999992</v>
      </c>
      <c r="E92" s="30">
        <v>0</v>
      </c>
      <c r="F92" s="30">
        <v>-70.308399999999992</v>
      </c>
      <c r="G92" s="30">
        <f>SUM(D92:F92)</f>
        <v>0</v>
      </c>
    </row>
    <row r="93" spans="2:7" x14ac:dyDescent="0.35">
      <c r="B93" t="s">
        <v>75</v>
      </c>
      <c r="D93" s="30">
        <v>23.148499999999999</v>
      </c>
      <c r="E93" s="30">
        <v>359.03999999999996</v>
      </c>
      <c r="F93" s="30">
        <v>-342.18849999999998</v>
      </c>
      <c r="G93" s="30">
        <v>40</v>
      </c>
    </row>
    <row r="94" spans="2:7" x14ac:dyDescent="0.35">
      <c r="B94" s="24" t="s">
        <v>74</v>
      </c>
      <c r="C94" s="24"/>
      <c r="D94" s="31">
        <f>SUBTOTAL(9,D83:D93)</f>
        <v>663.46723000000009</v>
      </c>
      <c r="E94" s="31">
        <f>SUBTOTAL(9,E83:E93)</f>
        <v>1823.7567899999999</v>
      </c>
      <c r="F94" s="31">
        <f>SUBTOTAL(9,F83:F93)</f>
        <v>-2034.2240199999999</v>
      </c>
      <c r="G94" s="31">
        <f>SUBTOTAL(9,G83:G93)</f>
        <v>453</v>
      </c>
    </row>
    <row r="95" spans="2:7" x14ac:dyDescent="0.35">
      <c r="D95" s="30"/>
      <c r="E95" s="30"/>
      <c r="F95" s="30"/>
      <c r="G95" s="30"/>
    </row>
    <row r="96" spans="2:7" s="24" customFormat="1" x14ac:dyDescent="0.35">
      <c r="B96" s="24" t="s">
        <v>56</v>
      </c>
      <c r="D96" s="31"/>
      <c r="E96" s="31"/>
      <c r="F96" s="31"/>
      <c r="G96" s="31"/>
    </row>
    <row r="97" spans="2:7" x14ac:dyDescent="0.35">
      <c r="B97" t="s">
        <v>95</v>
      </c>
      <c r="D97" s="30">
        <v>4455.1814299999996</v>
      </c>
      <c r="E97" s="30">
        <v>1011</v>
      </c>
      <c r="F97" s="30">
        <v>-5466.1814299999996</v>
      </c>
      <c r="G97" s="30">
        <f>SUM(D97:F97)</f>
        <v>0</v>
      </c>
    </row>
    <row r="98" spans="2:7" x14ac:dyDescent="0.35">
      <c r="B98" s="24" t="s">
        <v>74</v>
      </c>
      <c r="C98" s="24"/>
      <c r="D98" s="31">
        <f>SUBTOTAL(9,D97:D97)</f>
        <v>4455.1814299999996</v>
      </c>
      <c r="E98" s="31">
        <f>SUBTOTAL(9,E97:E97)</f>
        <v>1011</v>
      </c>
      <c r="F98" s="31">
        <f>SUBTOTAL(9,F97:F97)</f>
        <v>-5466.1814299999996</v>
      </c>
      <c r="G98" s="31">
        <f>SUBTOTAL(9,G97:G97)</f>
        <v>0</v>
      </c>
    </row>
    <row r="99" spans="2:7" x14ac:dyDescent="0.35">
      <c r="D99" s="30"/>
      <c r="E99" s="30"/>
      <c r="F99" s="30"/>
      <c r="G99" s="30"/>
    </row>
    <row r="100" spans="2:7" x14ac:dyDescent="0.35">
      <c r="B100" s="24" t="s">
        <v>57</v>
      </c>
      <c r="C100" s="24"/>
      <c r="D100" s="30"/>
      <c r="E100" s="30"/>
      <c r="F100" s="30"/>
      <c r="G100" s="30"/>
    </row>
    <row r="101" spans="2:7" x14ac:dyDescent="0.35">
      <c r="B101" t="s">
        <v>192</v>
      </c>
      <c r="D101" s="30">
        <v>0</v>
      </c>
      <c r="E101" s="30">
        <v>250</v>
      </c>
      <c r="F101" s="30">
        <v>-250</v>
      </c>
      <c r="G101" s="30">
        <f>SUM(D101:F101)</f>
        <v>0</v>
      </c>
    </row>
    <row r="102" spans="2:7" x14ac:dyDescent="0.35">
      <c r="B102" t="s">
        <v>173</v>
      </c>
      <c r="D102" s="30">
        <v>3.3209299999999997</v>
      </c>
      <c r="E102" s="30">
        <v>115</v>
      </c>
      <c r="F102" s="30">
        <v>-118.32092999999999</v>
      </c>
      <c r="G102" s="30">
        <f>SUM(D102:F102)</f>
        <v>0</v>
      </c>
    </row>
    <row r="103" spans="2:7" x14ac:dyDescent="0.35">
      <c r="B103" t="s">
        <v>75</v>
      </c>
      <c r="D103" s="30">
        <v>2.7868200000000001</v>
      </c>
      <c r="E103" s="30">
        <v>70</v>
      </c>
      <c r="F103" s="30">
        <v>-72.786820000000006</v>
      </c>
      <c r="G103" s="30">
        <v>0</v>
      </c>
    </row>
    <row r="104" spans="2:7" x14ac:dyDescent="0.35">
      <c r="B104" s="24" t="s">
        <v>74</v>
      </c>
      <c r="C104" s="24"/>
      <c r="D104" s="31">
        <f>SUBTOTAL(9,D101:D103)</f>
        <v>6.1077499999999993</v>
      </c>
      <c r="E104" s="31">
        <f>SUBTOTAL(9,E101:E103)</f>
        <v>435</v>
      </c>
      <c r="F104" s="31">
        <f>SUBTOTAL(9,F101:F103)</f>
        <v>-441.10775000000001</v>
      </c>
      <c r="G104" s="31">
        <f>SUBTOTAL(9,G101:G103)</f>
        <v>0</v>
      </c>
    </row>
    <row r="105" spans="2:7" x14ac:dyDescent="0.35">
      <c r="D105" s="30"/>
      <c r="E105" s="30"/>
      <c r="F105" s="30"/>
      <c r="G105" s="30"/>
    </row>
    <row r="106" spans="2:7" ht="15" thickBot="1" x14ac:dyDescent="0.4">
      <c r="B106" s="36" t="s">
        <v>73</v>
      </c>
      <c r="C106" s="36"/>
      <c r="D106" s="37">
        <f>SUBTOTAL(9,D8:D104)</f>
        <v>32127.788300000015</v>
      </c>
      <c r="E106" s="37">
        <f>SUBTOTAL(9,E8:E104)</f>
        <v>58864.185899999997</v>
      </c>
      <c r="F106" s="37">
        <f>SUBTOTAL(9,F8:F104)</f>
        <v>-43676.045269999995</v>
      </c>
      <c r="G106" s="37">
        <f>SUBTOTAL(9,G8:G104)</f>
        <v>47315.928930000002</v>
      </c>
    </row>
    <row r="107" spans="2:7" ht="15" thickTop="1" x14ac:dyDescent="0.35">
      <c r="D107" s="30"/>
      <c r="E107" s="30"/>
      <c r="F107" s="30"/>
      <c r="G107" s="30"/>
    </row>
    <row r="108" spans="2:7" x14ac:dyDescent="0.35">
      <c r="D108" s="30"/>
      <c r="E108" s="30"/>
      <c r="F108" s="30"/>
      <c r="G108" s="30"/>
    </row>
    <row r="109" spans="2:7" x14ac:dyDescent="0.35">
      <c r="B109" s="2" t="s">
        <v>76</v>
      </c>
      <c r="D109" s="30">
        <f>D18</f>
        <v>16999.408470000002</v>
      </c>
      <c r="E109" s="30">
        <f>E18</f>
        <v>44461.233999999997</v>
      </c>
      <c r="F109" s="30">
        <f>F18</f>
        <v>-15142.713539999999</v>
      </c>
      <c r="G109" s="30">
        <f>G18</f>
        <v>46317.928930000002</v>
      </c>
    </row>
    <row r="110" spans="2:7" x14ac:dyDescent="0.35">
      <c r="B110" s="2"/>
      <c r="D110" s="30"/>
      <c r="E110" s="30"/>
      <c r="F110" s="30"/>
      <c r="G110" s="30"/>
    </row>
    <row r="111" spans="2:7" x14ac:dyDescent="0.35">
      <c r="B111" s="2" t="s">
        <v>77</v>
      </c>
      <c r="D111" s="30"/>
      <c r="E111" s="30"/>
      <c r="F111" s="30"/>
      <c r="G111" s="30"/>
    </row>
    <row r="112" spans="2:7" x14ac:dyDescent="0.35">
      <c r="B112" s="8" t="s">
        <v>12</v>
      </c>
      <c r="D112" s="30">
        <f>D25</f>
        <v>81.369540000000001</v>
      </c>
      <c r="E112" s="30">
        <f>E25</f>
        <v>460</v>
      </c>
      <c r="F112" s="30">
        <f>F25</f>
        <v>-541.36954000000003</v>
      </c>
      <c r="G112" s="30">
        <f>G25</f>
        <v>0</v>
      </c>
    </row>
    <row r="113" spans="2:7" x14ac:dyDescent="0.35">
      <c r="B113" s="8" t="s">
        <v>10</v>
      </c>
      <c r="D113" s="30">
        <f>D33-D30</f>
        <v>319.12854000000004</v>
      </c>
      <c r="E113" s="30">
        <f>E33-E30</f>
        <v>1103.5748900000001</v>
      </c>
      <c r="F113" s="30">
        <f>F33-F30</f>
        <v>-1017.70343</v>
      </c>
      <c r="G113" s="30">
        <f>G33-G30</f>
        <v>405</v>
      </c>
    </row>
    <row r="114" spans="2:7" x14ac:dyDescent="0.35">
      <c r="B114" s="8" t="s">
        <v>11</v>
      </c>
      <c r="D114" s="30">
        <f>D43-D37-D39</f>
        <v>5248.6418599999997</v>
      </c>
      <c r="E114" s="30">
        <f>E43-E37-E39</f>
        <v>2800</v>
      </c>
      <c r="F114" s="30">
        <f>F43-F37-F39</f>
        <v>-8048.6418599999997</v>
      </c>
      <c r="G114" s="30">
        <f>G43-G37-G39</f>
        <v>0</v>
      </c>
    </row>
    <row r="115" spans="2:7" x14ac:dyDescent="0.35">
      <c r="B115" s="8" t="s">
        <v>13</v>
      </c>
      <c r="D115" s="30">
        <f>D55</f>
        <v>339.57414</v>
      </c>
      <c r="E115" s="30">
        <f>E55</f>
        <v>2596.0610000000001</v>
      </c>
      <c r="F115" s="30">
        <f>F55</f>
        <v>-2795.6351399999994</v>
      </c>
      <c r="G115" s="30">
        <f>G55</f>
        <v>140</v>
      </c>
    </row>
    <row r="116" spans="2:7" x14ac:dyDescent="0.35">
      <c r="D116" s="30"/>
      <c r="E116" s="30"/>
      <c r="F116" s="30"/>
      <c r="G116" s="30"/>
    </row>
    <row r="117" spans="2:7" x14ac:dyDescent="0.35">
      <c r="B117" s="2" t="s">
        <v>78</v>
      </c>
      <c r="D117" s="30">
        <f>SUM(D30,D37,D39)</f>
        <v>-5761.5964299999996</v>
      </c>
      <c r="E117" s="30">
        <f>SUM(E30,E37,E39)</f>
        <v>-2333.5748899999999</v>
      </c>
      <c r="F117" s="30">
        <f>SUM(F30,F37,F39)</f>
        <v>8095.1713199999995</v>
      </c>
      <c r="G117" s="30">
        <f>SUM(G30,G37,G39)</f>
        <v>0</v>
      </c>
    </row>
    <row r="118" spans="2:7" x14ac:dyDescent="0.35">
      <c r="B118" s="2"/>
      <c r="D118" s="30"/>
      <c r="E118" s="30"/>
      <c r="F118" s="30"/>
      <c r="G118" s="30"/>
    </row>
    <row r="119" spans="2:7" x14ac:dyDescent="0.35">
      <c r="B119" s="3" t="s">
        <v>63</v>
      </c>
      <c r="D119" s="30">
        <f>D65</f>
        <v>0</v>
      </c>
      <c r="E119" s="30">
        <f>E65</f>
        <v>750.13410999999996</v>
      </c>
      <c r="F119" s="30">
        <f>F65</f>
        <v>-750.13410999999996</v>
      </c>
      <c r="G119" s="30">
        <f>G65</f>
        <v>0</v>
      </c>
    </row>
    <row r="120" spans="2:7" x14ac:dyDescent="0.35">
      <c r="D120" s="30"/>
      <c r="E120" s="30"/>
      <c r="F120" s="30"/>
      <c r="G120" s="30"/>
    </row>
    <row r="121" spans="2:7" x14ac:dyDescent="0.35">
      <c r="B121" s="2" t="s">
        <v>44</v>
      </c>
      <c r="D121" s="30">
        <f>D61</f>
        <v>30.966840000000001</v>
      </c>
      <c r="E121" s="30">
        <f>E61</f>
        <v>3230</v>
      </c>
      <c r="F121" s="30">
        <f>F61</f>
        <v>-3260.96684</v>
      </c>
      <c r="G121" s="30">
        <f>G61</f>
        <v>0</v>
      </c>
    </row>
    <row r="122" spans="2:7" x14ac:dyDescent="0.35">
      <c r="B122" s="8"/>
      <c r="D122" s="30"/>
      <c r="E122" s="30"/>
      <c r="F122" s="30"/>
      <c r="G122" s="30"/>
    </row>
    <row r="123" spans="2:7" x14ac:dyDescent="0.35">
      <c r="B123" s="2" t="s">
        <v>83</v>
      </c>
      <c r="D123" s="30">
        <f>D69</f>
        <v>345.91790999999995</v>
      </c>
      <c r="E123" s="30">
        <f>E69</f>
        <v>554</v>
      </c>
      <c r="F123" s="30">
        <f>F69</f>
        <v>-899.91791000000001</v>
      </c>
      <c r="G123" s="30">
        <f>G69</f>
        <v>0</v>
      </c>
    </row>
    <row r="124" spans="2:7" x14ac:dyDescent="0.35">
      <c r="D124" s="30"/>
      <c r="E124" s="30"/>
      <c r="F124" s="30"/>
      <c r="G124" s="30"/>
    </row>
    <row r="125" spans="2:7" x14ac:dyDescent="0.35">
      <c r="B125" s="42" t="s">
        <v>106</v>
      </c>
      <c r="D125" s="30">
        <f>D73</f>
        <v>40.0929</v>
      </c>
      <c r="E125" s="30">
        <f t="shared" ref="E125:G125" si="11">E73</f>
        <v>723</v>
      </c>
      <c r="F125" s="30">
        <f t="shared" si="11"/>
        <v>-763.09289999999999</v>
      </c>
      <c r="G125" s="30">
        <f t="shared" si="11"/>
        <v>0</v>
      </c>
    </row>
    <row r="126" spans="2:7" x14ac:dyDescent="0.35">
      <c r="D126" s="30"/>
      <c r="E126" s="30"/>
      <c r="F126" s="30"/>
      <c r="G126" s="30"/>
    </row>
    <row r="127" spans="2:7" x14ac:dyDescent="0.35">
      <c r="B127" s="2" t="s">
        <v>79</v>
      </c>
      <c r="D127" s="30">
        <f>SUM(D80,D94)-D129</f>
        <v>10022.995350000001</v>
      </c>
      <c r="E127" s="30">
        <f>SUM(E80,E94)-E129</f>
        <v>3095.3974599999997</v>
      </c>
      <c r="F127" s="30">
        <f>SUM(F80,F94)-F129</f>
        <v>-12665.392810000001</v>
      </c>
      <c r="G127" s="30">
        <f>SUM(G80,G94)-G129</f>
        <v>453</v>
      </c>
    </row>
    <row r="128" spans="2:7" x14ac:dyDescent="0.35">
      <c r="D128" s="30"/>
      <c r="E128" s="30"/>
      <c r="F128" s="30"/>
      <c r="G128" s="30"/>
    </row>
    <row r="129" spans="2:7" x14ac:dyDescent="0.35">
      <c r="B129" s="2" t="s">
        <v>80</v>
      </c>
      <c r="D129" s="30">
        <f>SUM(D77)</f>
        <v>0</v>
      </c>
      <c r="E129" s="30">
        <f>SUM(E77)</f>
        <v>-21.640669999999997</v>
      </c>
      <c r="F129" s="30">
        <f>SUM(F77)</f>
        <v>21.640669999999997</v>
      </c>
      <c r="G129" s="30">
        <f>SUM(G77)</f>
        <v>0</v>
      </c>
    </row>
    <row r="130" spans="2:7" x14ac:dyDescent="0.35">
      <c r="D130" s="30"/>
      <c r="E130" s="30"/>
      <c r="F130" s="30"/>
      <c r="G130" s="30"/>
    </row>
    <row r="131" spans="2:7" x14ac:dyDescent="0.35">
      <c r="B131" s="2" t="s">
        <v>81</v>
      </c>
      <c r="D131" s="30">
        <f>SUM(D98,D104)</f>
        <v>4461.2891799999998</v>
      </c>
      <c r="E131" s="30">
        <f>SUM(E98,E104)</f>
        <v>1446</v>
      </c>
      <c r="F131" s="30">
        <f>SUM(F98,F104)</f>
        <v>-5907.2891799999998</v>
      </c>
      <c r="G131" s="30">
        <f>SUM(G98,G104)</f>
        <v>0</v>
      </c>
    </row>
    <row r="132" spans="2:7" x14ac:dyDescent="0.35">
      <c r="D132" s="30"/>
      <c r="E132" s="30"/>
      <c r="F132" s="30"/>
      <c r="G132" s="30"/>
    </row>
    <row r="133" spans="2:7" ht="15" thickBot="1" x14ac:dyDescent="0.4">
      <c r="B133" s="36" t="s">
        <v>73</v>
      </c>
      <c r="C133" s="36"/>
      <c r="D133" s="37">
        <f>SUM(D109:D131)</f>
        <v>32127.788300000004</v>
      </c>
      <c r="E133" s="37">
        <f>SUM(E109:E131)</f>
        <v>58864.185899999997</v>
      </c>
      <c r="F133" s="37">
        <f>SUM(F109:F131)</f>
        <v>-43676.045270000002</v>
      </c>
      <c r="G133" s="37">
        <f>SUM(G109:G131)</f>
        <v>47315.928930000002</v>
      </c>
    </row>
    <row r="134" spans="2:7" ht="15" thickTop="1" x14ac:dyDescent="0.35">
      <c r="D134" s="30"/>
      <c r="E134" s="30"/>
      <c r="F134" s="30"/>
      <c r="G134" s="30"/>
    </row>
    <row r="135" spans="2:7" x14ac:dyDescent="0.35">
      <c r="D135" s="30"/>
      <c r="E135" s="30"/>
      <c r="F135" s="30"/>
      <c r="G135" s="30"/>
    </row>
    <row r="136" spans="2:7" x14ac:dyDescent="0.35">
      <c r="D136" s="29"/>
      <c r="E136" s="29"/>
      <c r="F136" s="29"/>
      <c r="G136" s="29"/>
    </row>
    <row r="137" spans="2:7" x14ac:dyDescent="0.35">
      <c r="D137" s="29"/>
      <c r="E137" s="29"/>
      <c r="F137" s="29"/>
      <c r="G137" s="29"/>
    </row>
    <row r="138" spans="2:7" x14ac:dyDescent="0.35">
      <c r="D138" s="29"/>
      <c r="E138" s="29"/>
      <c r="F138" s="29"/>
      <c r="G138" s="29"/>
    </row>
    <row r="139" spans="2:7" x14ac:dyDescent="0.35">
      <c r="D139" s="29"/>
      <c r="E139" s="29"/>
      <c r="F139" s="29"/>
      <c r="G139" s="29"/>
    </row>
    <row r="140" spans="2:7" x14ac:dyDescent="0.35">
      <c r="D140" s="29"/>
      <c r="E140" s="29"/>
      <c r="F140" s="29"/>
      <c r="G140" s="29"/>
    </row>
    <row r="141" spans="2:7" x14ac:dyDescent="0.35">
      <c r="D141" s="29"/>
      <c r="E141" s="29"/>
      <c r="F141" s="29"/>
      <c r="G141" s="29"/>
    </row>
    <row r="142" spans="2:7" x14ac:dyDescent="0.35">
      <c r="D142" s="29"/>
      <c r="E142" s="29"/>
      <c r="F142" s="29"/>
      <c r="G142" s="29"/>
    </row>
    <row r="143" spans="2:7" x14ac:dyDescent="0.35">
      <c r="D143" s="29"/>
      <c r="E143" s="29"/>
      <c r="F143" s="29"/>
      <c r="G143" s="29"/>
    </row>
    <row r="144" spans="2:7" x14ac:dyDescent="0.35">
      <c r="D144" s="29"/>
      <c r="E144" s="29"/>
      <c r="F144" s="29"/>
      <c r="G144" s="29"/>
    </row>
    <row r="145" spans="4:7" x14ac:dyDescent="0.35">
      <c r="D145" s="29"/>
      <c r="E145" s="29"/>
      <c r="F145" s="29"/>
      <c r="G145" s="29"/>
    </row>
    <row r="146" spans="4:7" x14ac:dyDescent="0.35">
      <c r="D146" s="29"/>
      <c r="E146" s="29"/>
      <c r="F146" s="29"/>
      <c r="G146" s="29"/>
    </row>
    <row r="147" spans="4:7" x14ac:dyDescent="0.35">
      <c r="D147" s="29"/>
      <c r="E147" s="29"/>
      <c r="F147" s="29"/>
      <c r="G147" s="29"/>
    </row>
    <row r="148" spans="4:7" x14ac:dyDescent="0.35">
      <c r="D148" s="29"/>
      <c r="E148" s="29"/>
      <c r="F148" s="29"/>
      <c r="G148" s="29"/>
    </row>
    <row r="149" spans="4:7" x14ac:dyDescent="0.35">
      <c r="D149" s="29"/>
      <c r="E149" s="29"/>
      <c r="F149" s="29"/>
      <c r="G149" s="29"/>
    </row>
    <row r="150" spans="4:7" x14ac:dyDescent="0.35">
      <c r="D150" s="29"/>
      <c r="E150" s="29"/>
      <c r="F150" s="29"/>
      <c r="G150" s="29"/>
    </row>
    <row r="151" spans="4:7" x14ac:dyDescent="0.35">
      <c r="D151" s="29"/>
      <c r="E151" s="29"/>
      <c r="F151" s="29"/>
      <c r="G151" s="29"/>
    </row>
    <row r="152" spans="4:7" x14ac:dyDescent="0.35">
      <c r="D152" s="29"/>
      <c r="E152" s="29"/>
      <c r="F152" s="29"/>
      <c r="G152" s="29"/>
    </row>
    <row r="153" spans="4:7" x14ac:dyDescent="0.35">
      <c r="D153" s="29"/>
      <c r="E153" s="29"/>
      <c r="F153" s="29"/>
      <c r="G153" s="29"/>
    </row>
    <row r="154" spans="4:7" x14ac:dyDescent="0.35">
      <c r="D154" s="29"/>
      <c r="E154" s="29"/>
      <c r="F154" s="29"/>
      <c r="G154" s="29"/>
    </row>
    <row r="155" spans="4:7" x14ac:dyDescent="0.35">
      <c r="D155" s="29"/>
      <c r="E155" s="29"/>
      <c r="F155" s="29"/>
      <c r="G155" s="29"/>
    </row>
    <row r="156" spans="4:7" x14ac:dyDescent="0.35">
      <c r="D156" s="29"/>
      <c r="E156" s="29"/>
      <c r="F156" s="29"/>
      <c r="G156" s="29"/>
    </row>
    <row r="157" spans="4:7" x14ac:dyDescent="0.35">
      <c r="D157" s="29"/>
      <c r="E157" s="29"/>
      <c r="F157" s="29"/>
      <c r="G157" s="29"/>
    </row>
    <row r="158" spans="4:7" x14ac:dyDescent="0.35">
      <c r="D158" s="29"/>
      <c r="E158" s="29"/>
      <c r="F158" s="29"/>
      <c r="G158" s="29"/>
    </row>
    <row r="159" spans="4:7" x14ac:dyDescent="0.35">
      <c r="D159" s="29"/>
      <c r="E159" s="29"/>
      <c r="F159" s="29"/>
      <c r="G159" s="29"/>
    </row>
    <row r="160" spans="4:7" x14ac:dyDescent="0.35">
      <c r="D160" s="29"/>
      <c r="E160" s="29"/>
      <c r="F160" s="29"/>
      <c r="G160" s="29"/>
    </row>
    <row r="161" spans="4:7" x14ac:dyDescent="0.35">
      <c r="D161" s="29"/>
      <c r="E161" s="29"/>
      <c r="F161" s="29"/>
      <c r="G161" s="29"/>
    </row>
    <row r="162" spans="4:7" x14ac:dyDescent="0.35">
      <c r="D162" s="29"/>
      <c r="E162" s="29"/>
      <c r="F162" s="29"/>
      <c r="G162" s="29"/>
    </row>
    <row r="163" spans="4:7" x14ac:dyDescent="0.35">
      <c r="D163" s="29"/>
      <c r="E163" s="29"/>
      <c r="F163" s="29"/>
      <c r="G163" s="29"/>
    </row>
    <row r="164" spans="4:7" x14ac:dyDescent="0.35">
      <c r="D164" s="29"/>
      <c r="E164" s="29"/>
      <c r="F164" s="29"/>
      <c r="G164" s="29"/>
    </row>
    <row r="165" spans="4:7" x14ac:dyDescent="0.35">
      <c r="D165" s="29"/>
      <c r="E165" s="29"/>
      <c r="F165" s="29"/>
      <c r="G165" s="29"/>
    </row>
    <row r="166" spans="4:7" x14ac:dyDescent="0.35">
      <c r="D166" s="29"/>
      <c r="E166" s="29"/>
      <c r="F166" s="29"/>
      <c r="G166" s="29"/>
    </row>
    <row r="167" spans="4:7" x14ac:dyDescent="0.35">
      <c r="D167" s="29"/>
      <c r="E167" s="29"/>
      <c r="F167" s="29"/>
      <c r="G167" s="29"/>
    </row>
    <row r="168" spans="4:7" x14ac:dyDescent="0.35">
      <c r="D168" s="29"/>
      <c r="E168" s="29"/>
      <c r="F168" s="29"/>
      <c r="G168" s="29"/>
    </row>
    <row r="169" spans="4:7" x14ac:dyDescent="0.35">
      <c r="D169" s="29"/>
      <c r="E169" s="29"/>
      <c r="F169" s="29"/>
      <c r="G169" s="29"/>
    </row>
    <row r="170" spans="4:7" x14ac:dyDescent="0.35">
      <c r="D170" s="29"/>
      <c r="E170" s="29"/>
      <c r="F170" s="29"/>
      <c r="G170" s="29"/>
    </row>
    <row r="171" spans="4:7" x14ac:dyDescent="0.35">
      <c r="D171" s="29"/>
      <c r="E171" s="29"/>
      <c r="F171" s="29"/>
      <c r="G171" s="29"/>
    </row>
    <row r="172" spans="4:7" x14ac:dyDescent="0.35">
      <c r="D172" s="29"/>
      <c r="E172" s="29"/>
      <c r="F172" s="29"/>
      <c r="G172" s="29"/>
    </row>
    <row r="173" spans="4:7" x14ac:dyDescent="0.35">
      <c r="D173" s="29"/>
      <c r="E173" s="29"/>
      <c r="F173" s="29"/>
      <c r="G173" s="29"/>
    </row>
    <row r="174" spans="4:7" x14ac:dyDescent="0.35">
      <c r="D174" s="29"/>
      <c r="E174" s="29"/>
      <c r="F174" s="29"/>
      <c r="G174" s="29"/>
    </row>
    <row r="175" spans="4:7" x14ac:dyDescent="0.35">
      <c r="D175" s="29"/>
      <c r="E175" s="29"/>
      <c r="F175" s="29"/>
      <c r="G175" s="29"/>
    </row>
    <row r="176" spans="4:7" x14ac:dyDescent="0.35">
      <c r="D176" s="29"/>
      <c r="E176" s="29"/>
      <c r="F176" s="29"/>
      <c r="G176" s="29"/>
    </row>
    <row r="177" spans="4:7" x14ac:dyDescent="0.35">
      <c r="D177" s="29"/>
      <c r="E177" s="29"/>
      <c r="F177" s="29"/>
      <c r="G177" s="29"/>
    </row>
    <row r="178" spans="4:7" x14ac:dyDescent="0.35">
      <c r="D178" s="29"/>
      <c r="E178" s="29"/>
      <c r="F178" s="29"/>
      <c r="G178" s="29"/>
    </row>
    <row r="179" spans="4:7" x14ac:dyDescent="0.35">
      <c r="D179" s="29"/>
      <c r="E179" s="29"/>
      <c r="F179" s="29"/>
      <c r="G179" s="29"/>
    </row>
    <row r="180" spans="4:7" x14ac:dyDescent="0.35">
      <c r="D180" s="29"/>
      <c r="E180" s="29"/>
      <c r="F180" s="29"/>
      <c r="G180" s="29"/>
    </row>
    <row r="181" spans="4:7" x14ac:dyDescent="0.35">
      <c r="D181" s="29"/>
      <c r="E181" s="29"/>
      <c r="F181" s="29"/>
      <c r="G181" s="29"/>
    </row>
    <row r="182" spans="4:7" x14ac:dyDescent="0.35">
      <c r="D182" s="29"/>
      <c r="E182" s="29"/>
      <c r="F182" s="29"/>
      <c r="G182" s="29"/>
    </row>
    <row r="183" spans="4:7" x14ac:dyDescent="0.35">
      <c r="D183" s="29"/>
      <c r="E183" s="29"/>
      <c r="F183" s="29"/>
      <c r="G183" s="29"/>
    </row>
    <row r="184" spans="4:7" x14ac:dyDescent="0.35">
      <c r="D184" s="29"/>
      <c r="E184" s="29"/>
      <c r="F184" s="29"/>
      <c r="G184" s="29"/>
    </row>
    <row r="185" spans="4:7" x14ac:dyDescent="0.35">
      <c r="D185" s="29"/>
      <c r="E185" s="29"/>
      <c r="F185" s="29"/>
      <c r="G185" s="29"/>
    </row>
    <row r="186" spans="4:7" x14ac:dyDescent="0.35">
      <c r="D186" s="29"/>
      <c r="E186" s="29"/>
      <c r="F186" s="29"/>
      <c r="G186" s="29"/>
    </row>
    <row r="187" spans="4:7" x14ac:dyDescent="0.35">
      <c r="D187" s="29"/>
      <c r="E187" s="29"/>
      <c r="F187" s="29"/>
      <c r="G187" s="29"/>
    </row>
    <row r="188" spans="4:7" x14ac:dyDescent="0.35">
      <c r="D188" s="29"/>
      <c r="E188" s="29"/>
      <c r="F188" s="29"/>
      <c r="G188" s="29"/>
    </row>
    <row r="189" spans="4:7" x14ac:dyDescent="0.35">
      <c r="D189" s="29"/>
      <c r="E189" s="29"/>
      <c r="F189" s="29"/>
      <c r="G189" s="29"/>
    </row>
    <row r="190" spans="4:7" x14ac:dyDescent="0.35">
      <c r="D190" s="29"/>
      <c r="E190" s="29"/>
      <c r="F190" s="29"/>
      <c r="G190" s="29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  <rowBreaks count="1" manualBreakCount="1">
    <brk id="7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44"/>
  <sheetViews>
    <sheetView showGridLines="0" view="pageBreakPreview" zoomScale="85" zoomScaleNormal="100" zoomScaleSheetLayoutView="85" workbookViewId="0">
      <pane ySplit="5" topLeftCell="A89" activePane="bottomLeft" state="frozen"/>
      <selection activeCell="B8" sqref="B8"/>
      <selection pane="bottomLeft" activeCell="D96" sqref="D96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2:8" x14ac:dyDescent="0.35">
      <c r="B1" s="24" t="s">
        <v>86</v>
      </c>
      <c r="C1" s="38"/>
      <c r="D1" s="38"/>
      <c r="E1" s="38"/>
      <c r="F1" s="38"/>
      <c r="G1" s="39" t="s">
        <v>39</v>
      </c>
    </row>
    <row r="2" spans="2:8" x14ac:dyDescent="0.35">
      <c r="B2" s="24" t="s">
        <v>88</v>
      </c>
      <c r="C2" s="24"/>
      <c r="D2" s="24"/>
      <c r="E2" s="24"/>
      <c r="F2" s="40"/>
      <c r="G2" s="41" t="str">
        <f>'5.1'!$F$2</f>
        <v>August 2023</v>
      </c>
    </row>
    <row r="3" spans="2:8" x14ac:dyDescent="0.35">
      <c r="B3" s="60" t="s">
        <v>15</v>
      </c>
      <c r="C3" s="60"/>
      <c r="D3" s="60"/>
      <c r="E3" s="60"/>
      <c r="F3" s="60"/>
      <c r="G3" s="60"/>
    </row>
    <row r="4" spans="2:8" x14ac:dyDescent="0.35">
      <c r="B4" s="24"/>
      <c r="C4" s="24"/>
    </row>
    <row r="5" spans="2:8" s="24" customFormat="1" ht="29" x14ac:dyDescent="0.35">
      <c r="B5" s="25" t="s">
        <v>47</v>
      </c>
      <c r="C5" s="25"/>
      <c r="D5" s="26" t="s">
        <v>48</v>
      </c>
      <c r="E5" s="26" t="s">
        <v>49</v>
      </c>
      <c r="F5" s="26" t="s">
        <v>50</v>
      </c>
      <c r="G5" s="26" t="s">
        <v>51</v>
      </c>
      <c r="H5" s="27"/>
    </row>
    <row r="6" spans="2:8" s="24" customFormat="1" x14ac:dyDescent="0.35">
      <c r="D6" s="27"/>
      <c r="E6" s="27"/>
      <c r="F6" s="27"/>
      <c r="G6" s="27"/>
      <c r="H6" s="27"/>
    </row>
    <row r="7" spans="2:8" s="24" customFormat="1" x14ac:dyDescent="0.35">
      <c r="B7" s="24" t="s">
        <v>52</v>
      </c>
      <c r="D7" s="28"/>
      <c r="E7" s="28"/>
      <c r="F7" s="28"/>
      <c r="G7" s="28"/>
      <c r="H7" s="28"/>
    </row>
    <row r="8" spans="2:8" x14ac:dyDescent="0.35">
      <c r="B8" t="s">
        <v>149</v>
      </c>
      <c r="D8" s="30">
        <v>34947.311780000004</v>
      </c>
      <c r="E8" s="30">
        <v>13000</v>
      </c>
      <c r="F8" s="30">
        <v>-18175.455000000002</v>
      </c>
      <c r="G8" s="30">
        <f t="shared" ref="G8:G11" si="0">SUM(D8:F8)</f>
        <v>29771.856780000002</v>
      </c>
      <c r="H8" s="30"/>
    </row>
    <row r="9" spans="2:8" x14ac:dyDescent="0.35">
      <c r="B9" t="s">
        <v>117</v>
      </c>
      <c r="D9" s="30">
        <v>10698.85101</v>
      </c>
      <c r="E9" s="30">
        <v>500</v>
      </c>
      <c r="F9" s="30">
        <v>-11198.85101</v>
      </c>
      <c r="G9" s="30">
        <f t="shared" si="0"/>
        <v>0</v>
      </c>
      <c r="H9" s="30"/>
    </row>
    <row r="10" spans="2:8" x14ac:dyDescent="0.35">
      <c r="B10" t="s">
        <v>118</v>
      </c>
      <c r="D10" s="30">
        <v>0</v>
      </c>
      <c r="E10" s="30">
        <v>5000</v>
      </c>
      <c r="F10" s="30">
        <v>-5000</v>
      </c>
      <c r="G10" s="30">
        <f t="shared" si="0"/>
        <v>0</v>
      </c>
      <c r="H10" s="30"/>
    </row>
    <row r="11" spans="2:8" x14ac:dyDescent="0.35">
      <c r="B11" t="s">
        <v>119</v>
      </c>
      <c r="D11" s="30">
        <v>671.76614000000006</v>
      </c>
      <c r="E11" s="30">
        <v>1200</v>
      </c>
      <c r="F11" s="30">
        <v>-1871.76614</v>
      </c>
      <c r="G11" s="30">
        <f t="shared" si="0"/>
        <v>0</v>
      </c>
      <c r="H11" s="30"/>
    </row>
    <row r="12" spans="2:8" x14ac:dyDescent="0.35">
      <c r="B12" t="s">
        <v>193</v>
      </c>
      <c r="D12" s="30">
        <v>0</v>
      </c>
      <c r="E12" s="30">
        <v>1000</v>
      </c>
      <c r="F12" s="30">
        <v>-1000</v>
      </c>
      <c r="G12" s="30">
        <f>SUM(D12:F12)</f>
        <v>0</v>
      </c>
      <c r="H12" s="30"/>
    </row>
    <row r="13" spans="2:8" x14ac:dyDescent="0.35">
      <c r="B13" t="s">
        <v>194</v>
      </c>
      <c r="D13" s="30">
        <v>0</v>
      </c>
      <c r="E13" s="30">
        <v>1200</v>
      </c>
      <c r="F13" s="30">
        <v>-1200</v>
      </c>
      <c r="G13" s="30">
        <f>SUM(D13:F13)</f>
        <v>0</v>
      </c>
      <c r="H13" s="30"/>
    </row>
    <row r="14" spans="2:8" x14ac:dyDescent="0.35">
      <c r="B14" s="24" t="s">
        <v>74</v>
      </c>
      <c r="C14" s="24"/>
      <c r="D14" s="31">
        <f>SUBTOTAL(9,D8:D13)</f>
        <v>46317.928930000002</v>
      </c>
      <c r="E14" s="31">
        <f t="shared" ref="E14:G14" si="1">SUBTOTAL(9,E8:E13)</f>
        <v>21900</v>
      </c>
      <c r="F14" s="31">
        <f t="shared" si="1"/>
        <v>-38446.07215</v>
      </c>
      <c r="G14" s="31">
        <f t="shared" si="1"/>
        <v>29771.856780000002</v>
      </c>
      <c r="H14" s="30"/>
    </row>
    <row r="15" spans="2:8" x14ac:dyDescent="0.35">
      <c r="D15" s="30"/>
      <c r="E15" s="30"/>
      <c r="F15" s="30"/>
      <c r="G15" s="30"/>
      <c r="H15" s="30"/>
    </row>
    <row r="16" spans="2:8" s="24" customFormat="1" x14ac:dyDescent="0.35">
      <c r="B16" s="24" t="s">
        <v>53</v>
      </c>
      <c r="D16" s="31"/>
      <c r="E16" s="31"/>
      <c r="F16" s="31"/>
      <c r="G16" s="31"/>
      <c r="H16" s="31"/>
    </row>
    <row r="17" spans="2:8" s="24" customFormat="1" x14ac:dyDescent="0.35">
      <c r="D17" s="31"/>
      <c r="E17" s="31"/>
      <c r="F17" s="31"/>
      <c r="G17" s="31"/>
      <c r="H17" s="31"/>
    </row>
    <row r="18" spans="2:8" s="24" customFormat="1" x14ac:dyDescent="0.35">
      <c r="B18" s="24" t="s">
        <v>29</v>
      </c>
      <c r="D18" s="31"/>
      <c r="E18" s="31"/>
      <c r="F18" s="31"/>
      <c r="G18" s="31"/>
      <c r="H18" s="31"/>
    </row>
    <row r="19" spans="2:8" x14ac:dyDescent="0.35">
      <c r="B19" t="s">
        <v>195</v>
      </c>
      <c r="D19" s="30">
        <v>0</v>
      </c>
      <c r="E19" s="30">
        <v>200</v>
      </c>
      <c r="F19" s="30">
        <v>-200</v>
      </c>
      <c r="G19" s="30">
        <f t="shared" ref="G19" si="2">SUM(D19:F19)</f>
        <v>0</v>
      </c>
      <c r="H19" s="30"/>
    </row>
    <row r="20" spans="2:8" x14ac:dyDescent="0.35">
      <c r="B20" t="s">
        <v>196</v>
      </c>
      <c r="D20" s="30">
        <v>0</v>
      </c>
      <c r="E20" s="30">
        <v>500</v>
      </c>
      <c r="F20" s="30">
        <v>-500</v>
      </c>
      <c r="G20" s="30">
        <f>SUM(D20:F20)</f>
        <v>0</v>
      </c>
      <c r="H20" s="30"/>
    </row>
    <row r="21" spans="2:8" x14ac:dyDescent="0.35">
      <c r="B21" t="s">
        <v>197</v>
      </c>
      <c r="D21" s="30">
        <v>0</v>
      </c>
      <c r="E21" s="30">
        <v>300</v>
      </c>
      <c r="F21" s="30">
        <v>-300</v>
      </c>
      <c r="G21" s="30">
        <f t="shared" ref="G21" si="3">SUM(D21:F21)</f>
        <v>0</v>
      </c>
      <c r="H21" s="30"/>
    </row>
    <row r="22" spans="2:8" x14ac:dyDescent="0.35">
      <c r="B22" t="s">
        <v>75</v>
      </c>
      <c r="D22" s="30">
        <v>0</v>
      </c>
      <c r="E22" s="30">
        <v>74.989999999999995</v>
      </c>
      <c r="F22" s="30">
        <v>-74.989999999999995</v>
      </c>
      <c r="G22" s="30">
        <v>0</v>
      </c>
      <c r="H22" s="30"/>
    </row>
    <row r="23" spans="2:8" x14ac:dyDescent="0.35">
      <c r="B23" s="24" t="s">
        <v>74</v>
      </c>
      <c r="C23" s="24"/>
      <c r="D23" s="31">
        <f>SUBTOTAL(9,D19:D22)</f>
        <v>0</v>
      </c>
      <c r="E23" s="31">
        <f>SUBTOTAL(9,E19:E22)</f>
        <v>1074.99</v>
      </c>
      <c r="F23" s="31">
        <f>SUBTOTAL(9,F19:F22)</f>
        <v>-1074.99</v>
      </c>
      <c r="G23" s="31">
        <f>SUBTOTAL(9,G19:G22)</f>
        <v>0</v>
      </c>
      <c r="H23" s="30"/>
    </row>
    <row r="24" spans="2:8" s="24" customFormat="1" x14ac:dyDescent="0.35">
      <c r="D24" s="31"/>
      <c r="E24" s="31"/>
      <c r="F24" s="31"/>
      <c r="G24" s="31"/>
      <c r="H24" s="31"/>
    </row>
    <row r="25" spans="2:8" s="24" customFormat="1" x14ac:dyDescent="0.35">
      <c r="B25" s="24" t="s">
        <v>26</v>
      </c>
      <c r="D25" s="31"/>
      <c r="E25" s="31"/>
      <c r="F25" s="31"/>
      <c r="G25" s="31"/>
      <c r="H25" s="31"/>
    </row>
    <row r="26" spans="2:8" x14ac:dyDescent="0.35">
      <c r="B26" t="s">
        <v>174</v>
      </c>
      <c r="D26" s="30">
        <v>405</v>
      </c>
      <c r="E26" s="30">
        <v>434</v>
      </c>
      <c r="F26" s="30">
        <v>-839</v>
      </c>
      <c r="G26" s="30">
        <f>SUM(D26:F26)</f>
        <v>0</v>
      </c>
      <c r="H26" s="30"/>
    </row>
    <row r="27" spans="2:8" x14ac:dyDescent="0.35">
      <c r="B27" t="s">
        <v>198</v>
      </c>
      <c r="D27" s="30">
        <v>0</v>
      </c>
      <c r="E27" s="30">
        <v>250</v>
      </c>
      <c r="F27" s="30">
        <v>-250</v>
      </c>
      <c r="G27" s="30">
        <f>SUM(D27:F27)</f>
        <v>0</v>
      </c>
      <c r="H27" s="30"/>
    </row>
    <row r="28" spans="2:8" x14ac:dyDescent="0.35">
      <c r="B28" t="s">
        <v>199</v>
      </c>
      <c r="D28" s="53">
        <v>0</v>
      </c>
      <c r="E28" s="53">
        <v>250</v>
      </c>
      <c r="F28" s="53">
        <v>-250</v>
      </c>
      <c r="G28" s="53">
        <f>SUM(D28:F28)</f>
        <v>0</v>
      </c>
      <c r="H28" s="30"/>
    </row>
    <row r="29" spans="2:8" x14ac:dyDescent="0.35">
      <c r="B29" t="s">
        <v>75</v>
      </c>
      <c r="D29" s="30">
        <v>0</v>
      </c>
      <c r="E29" s="30">
        <v>145</v>
      </c>
      <c r="F29" s="30">
        <v>-145</v>
      </c>
      <c r="G29" s="30">
        <v>0</v>
      </c>
      <c r="H29" s="30"/>
    </row>
    <row r="30" spans="2:8" x14ac:dyDescent="0.35">
      <c r="B30" s="24" t="s">
        <v>74</v>
      </c>
      <c r="C30" s="24"/>
      <c r="D30" s="31">
        <f>SUBTOTAL(9,D26:D29)</f>
        <v>405</v>
      </c>
      <c r="E30" s="31">
        <f>SUBTOTAL(9,E26:E29)</f>
        <v>1079</v>
      </c>
      <c r="F30" s="31">
        <f>SUBTOTAL(9,F26:F29)</f>
        <v>-1484</v>
      </c>
      <c r="G30" s="31">
        <f>SUBTOTAL(9,G26:G29)</f>
        <v>0</v>
      </c>
      <c r="H30" s="30"/>
    </row>
    <row r="31" spans="2:8" s="24" customFormat="1" x14ac:dyDescent="0.35">
      <c r="D31" s="31"/>
      <c r="E31" s="31"/>
      <c r="F31" s="31"/>
      <c r="G31" s="31"/>
      <c r="H31" s="31"/>
    </row>
    <row r="32" spans="2:8" s="24" customFormat="1" x14ac:dyDescent="0.35">
      <c r="B32" s="24" t="s">
        <v>27</v>
      </c>
      <c r="D32" s="31"/>
      <c r="E32" s="31"/>
      <c r="F32" s="31"/>
      <c r="G32" s="31"/>
      <c r="H32" s="31"/>
    </row>
    <row r="33" spans="2:8" x14ac:dyDescent="0.35">
      <c r="B33" t="s">
        <v>139</v>
      </c>
      <c r="D33" s="30">
        <v>0</v>
      </c>
      <c r="E33" s="30">
        <v>600</v>
      </c>
      <c r="F33" s="30">
        <v>-600</v>
      </c>
      <c r="G33" s="30">
        <f>SUM(D33:F33)</f>
        <v>0</v>
      </c>
      <c r="H33" s="30"/>
    </row>
    <row r="34" spans="2:8" x14ac:dyDescent="0.35">
      <c r="B34" t="s">
        <v>140</v>
      </c>
      <c r="D34" s="30">
        <v>0</v>
      </c>
      <c r="E34" s="30">
        <v>-400</v>
      </c>
      <c r="F34" s="30">
        <v>400</v>
      </c>
      <c r="G34" s="30">
        <f>SUM(D34:F34)</f>
        <v>0</v>
      </c>
      <c r="H34" s="30"/>
    </row>
    <row r="35" spans="2:8" x14ac:dyDescent="0.35">
      <c r="B35" t="s">
        <v>75</v>
      </c>
      <c r="D35" s="30">
        <v>0</v>
      </c>
      <c r="E35" s="30">
        <v>155</v>
      </c>
      <c r="F35" s="30">
        <v>-155</v>
      </c>
      <c r="G35" s="30">
        <v>0</v>
      </c>
      <c r="H35" s="30"/>
    </row>
    <row r="36" spans="2:8" x14ac:dyDescent="0.35">
      <c r="B36" s="24" t="s">
        <v>74</v>
      </c>
      <c r="C36" s="24"/>
      <c r="D36" s="31">
        <f>SUBTOTAL(9,D33:D35)</f>
        <v>0</v>
      </c>
      <c r="E36" s="31">
        <f>SUBTOTAL(9,E33:E35)</f>
        <v>355</v>
      </c>
      <c r="F36" s="31">
        <f>SUBTOTAL(9,F33:F35)</f>
        <v>-355</v>
      </c>
      <c r="G36" s="31">
        <f>SUBTOTAL(9,G33:G35)</f>
        <v>0</v>
      </c>
      <c r="H36" s="30"/>
    </row>
    <row r="37" spans="2:8" s="24" customFormat="1" x14ac:dyDescent="0.35">
      <c r="D37" s="31"/>
      <c r="E37" s="31"/>
      <c r="F37" s="31"/>
      <c r="G37" s="31"/>
      <c r="H37" s="31"/>
    </row>
    <row r="38" spans="2:8" s="24" customFormat="1" x14ac:dyDescent="0.35">
      <c r="B38" s="24" t="s">
        <v>66</v>
      </c>
      <c r="D38" s="31"/>
      <c r="E38" s="31"/>
      <c r="F38" s="31"/>
      <c r="G38" s="31"/>
      <c r="H38" s="31"/>
    </row>
    <row r="39" spans="2:8" x14ac:dyDescent="0.35">
      <c r="B39" t="s">
        <v>142</v>
      </c>
      <c r="D39" s="30">
        <v>0</v>
      </c>
      <c r="E39" s="30">
        <v>700</v>
      </c>
      <c r="F39" s="30">
        <v>-700</v>
      </c>
      <c r="G39" s="30">
        <f t="shared" ref="G39:G42" si="4">SUM(D39:F39)</f>
        <v>0</v>
      </c>
      <c r="H39" s="30"/>
    </row>
    <row r="40" spans="2:8" x14ac:dyDescent="0.35">
      <c r="B40" t="s">
        <v>145</v>
      </c>
      <c r="D40" s="30">
        <v>0</v>
      </c>
      <c r="E40" s="30">
        <v>567.01</v>
      </c>
      <c r="F40" s="30">
        <v>-567.01</v>
      </c>
      <c r="G40" s="30">
        <f t="shared" si="4"/>
        <v>0</v>
      </c>
      <c r="H40" s="30"/>
    </row>
    <row r="41" spans="2:8" x14ac:dyDescent="0.35">
      <c r="B41" t="s">
        <v>180</v>
      </c>
      <c r="D41" s="30">
        <v>20</v>
      </c>
      <c r="E41" s="30">
        <v>280</v>
      </c>
      <c r="F41" s="30">
        <v>-300</v>
      </c>
      <c r="G41" s="30">
        <f t="shared" si="4"/>
        <v>0</v>
      </c>
      <c r="H41" s="30"/>
    </row>
    <row r="42" spans="2:8" x14ac:dyDescent="0.35">
      <c r="B42" t="s">
        <v>181</v>
      </c>
      <c r="D42" s="30">
        <v>120</v>
      </c>
      <c r="E42" s="30">
        <v>125</v>
      </c>
      <c r="F42" s="30">
        <v>-245</v>
      </c>
      <c r="G42" s="30">
        <f t="shared" si="4"/>
        <v>0</v>
      </c>
      <c r="H42" s="30"/>
    </row>
    <row r="43" spans="2:8" x14ac:dyDescent="0.35">
      <c r="B43" t="s">
        <v>75</v>
      </c>
      <c r="D43" s="30">
        <v>0</v>
      </c>
      <c r="E43" s="30">
        <v>800</v>
      </c>
      <c r="F43" s="30">
        <v>-800</v>
      </c>
      <c r="G43" s="30">
        <v>0</v>
      </c>
      <c r="H43" s="30"/>
    </row>
    <row r="44" spans="2:8" x14ac:dyDescent="0.35">
      <c r="B44" s="24" t="s">
        <v>74</v>
      </c>
      <c r="C44" s="24"/>
      <c r="D44" s="31">
        <f>SUBTOTAL(9,D39:D43)</f>
        <v>140</v>
      </c>
      <c r="E44" s="31">
        <f>SUBTOTAL(9,E39:E43)</f>
        <v>2472.0100000000002</v>
      </c>
      <c r="F44" s="31">
        <f>SUBTOTAL(9,F39:F43)</f>
        <v>-2612.0100000000002</v>
      </c>
      <c r="G44" s="31">
        <f>SUBTOTAL(9,G39:G43)</f>
        <v>0</v>
      </c>
      <c r="H44" s="30"/>
    </row>
    <row r="45" spans="2:8" s="24" customFormat="1" x14ac:dyDescent="0.35">
      <c r="D45" s="31"/>
      <c r="E45" s="31"/>
      <c r="F45" s="31"/>
      <c r="G45" s="31"/>
      <c r="H45" s="31"/>
    </row>
    <row r="46" spans="2:8" x14ac:dyDescent="0.35">
      <c r="B46" s="24" t="s">
        <v>67</v>
      </c>
      <c r="D46" s="30"/>
      <c r="E46" s="30"/>
      <c r="F46" s="30"/>
      <c r="G46" s="30"/>
      <c r="H46" s="30"/>
    </row>
    <row r="47" spans="2:8" x14ac:dyDescent="0.35">
      <c r="B47" t="s">
        <v>200</v>
      </c>
      <c r="D47" s="30">
        <v>0</v>
      </c>
      <c r="E47" s="30">
        <v>400</v>
      </c>
      <c r="F47" s="30">
        <v>-400</v>
      </c>
      <c r="G47" s="30">
        <f>SUM(D47:F47)</f>
        <v>0</v>
      </c>
      <c r="H47" s="30"/>
    </row>
    <row r="48" spans="2:8" x14ac:dyDescent="0.35">
      <c r="B48" t="s">
        <v>201</v>
      </c>
      <c r="D48" s="30">
        <v>0</v>
      </c>
      <c r="E48" s="30">
        <v>450</v>
      </c>
      <c r="F48" s="30">
        <v>-450</v>
      </c>
      <c r="G48" s="30">
        <f>SUM(D48:F48)</f>
        <v>0</v>
      </c>
      <c r="H48" s="30"/>
    </row>
    <row r="49" spans="2:8" x14ac:dyDescent="0.35">
      <c r="B49" s="24" t="s">
        <v>74</v>
      </c>
      <c r="C49" s="24"/>
      <c r="D49" s="31">
        <f>SUBTOTAL(9,D47:D48)</f>
        <v>0</v>
      </c>
      <c r="E49" s="31">
        <f t="shared" ref="E49:G49" si="5">SUBTOTAL(9,E47:E48)</f>
        <v>850</v>
      </c>
      <c r="F49" s="31">
        <f t="shared" si="5"/>
        <v>-850</v>
      </c>
      <c r="G49" s="31">
        <f t="shared" si="5"/>
        <v>0</v>
      </c>
      <c r="H49" s="30"/>
    </row>
    <row r="50" spans="2:8" x14ac:dyDescent="0.35">
      <c r="D50" s="30"/>
      <c r="E50" s="30"/>
      <c r="F50" s="30"/>
      <c r="G50" s="30"/>
      <c r="H50" s="30"/>
    </row>
    <row r="51" spans="2:8" s="24" customFormat="1" x14ac:dyDescent="0.35">
      <c r="B51" s="24" t="s">
        <v>64</v>
      </c>
      <c r="D51" s="30"/>
      <c r="E51" s="30"/>
      <c r="F51" s="30"/>
      <c r="G51" s="30"/>
      <c r="H51" s="30"/>
    </row>
    <row r="52" spans="2:8" x14ac:dyDescent="0.35">
      <c r="B52" t="s">
        <v>64</v>
      </c>
      <c r="D52" s="30">
        <v>0</v>
      </c>
      <c r="E52" s="30">
        <v>681.74099999999999</v>
      </c>
      <c r="F52" s="30">
        <v>-681.74099999999999</v>
      </c>
      <c r="G52" s="30">
        <f>SUM(D52:F52)</f>
        <v>0</v>
      </c>
      <c r="H52" s="30"/>
    </row>
    <row r="53" spans="2:8" x14ac:dyDescent="0.35">
      <c r="B53" s="24" t="s">
        <v>74</v>
      </c>
      <c r="C53" s="24"/>
      <c r="D53" s="31">
        <f>SUBTOTAL(9,D52:D52)</f>
        <v>0</v>
      </c>
      <c r="E53" s="31">
        <f t="shared" ref="E53:G53" si="6">SUBTOTAL(9,E52:E52)</f>
        <v>681.74099999999999</v>
      </c>
      <c r="F53" s="31">
        <f t="shared" si="6"/>
        <v>-681.74099999999999</v>
      </c>
      <c r="G53" s="31">
        <f t="shared" si="6"/>
        <v>0</v>
      </c>
      <c r="H53" s="30"/>
    </row>
    <row r="54" spans="2:8" x14ac:dyDescent="0.35">
      <c r="D54" s="30"/>
      <c r="E54" s="30"/>
      <c r="F54" s="30"/>
      <c r="G54" s="30"/>
      <c r="H54" s="30"/>
    </row>
    <row r="55" spans="2:8" s="24" customFormat="1" x14ac:dyDescent="0.35">
      <c r="B55" s="24" t="s">
        <v>54</v>
      </c>
      <c r="D55" s="31"/>
      <c r="E55" s="31"/>
      <c r="F55" s="31"/>
      <c r="G55" s="31"/>
      <c r="H55" s="31"/>
    </row>
    <row r="56" spans="2:8" x14ac:dyDescent="0.35">
      <c r="B56" t="s">
        <v>167</v>
      </c>
      <c r="D56" s="30">
        <v>0</v>
      </c>
      <c r="E56" s="30">
        <v>1160</v>
      </c>
      <c r="F56" s="30">
        <v>-1160</v>
      </c>
      <c r="G56" s="30">
        <f>SUM(D56:F56)</f>
        <v>0</v>
      </c>
      <c r="H56" s="30"/>
    </row>
    <row r="57" spans="2:8" x14ac:dyDescent="0.35">
      <c r="B57" s="24" t="s">
        <v>74</v>
      </c>
      <c r="C57" s="24"/>
      <c r="D57" s="31">
        <f>SUBTOTAL(9,D56:D56)</f>
        <v>0</v>
      </c>
      <c r="E57" s="31">
        <f t="shared" ref="E57" si="7">SUBTOTAL(9,E56:E56)</f>
        <v>1160</v>
      </c>
      <c r="F57" s="31">
        <f t="shared" ref="F57" si="8">SUBTOTAL(9,F56:F56)</f>
        <v>-1160</v>
      </c>
      <c r="G57" s="31">
        <f t="shared" ref="G57" si="9">SUBTOTAL(9,G56:G56)</f>
        <v>0</v>
      </c>
      <c r="H57" s="30"/>
    </row>
    <row r="58" spans="2:8" x14ac:dyDescent="0.35">
      <c r="D58" s="30"/>
      <c r="E58" s="30"/>
      <c r="F58" s="30"/>
      <c r="G58" s="30"/>
      <c r="H58" s="30"/>
    </row>
    <row r="59" spans="2:8" s="24" customFormat="1" x14ac:dyDescent="0.35">
      <c r="B59" s="24" t="s">
        <v>55</v>
      </c>
      <c r="D59" s="31"/>
      <c r="E59" s="31"/>
      <c r="F59" s="31"/>
      <c r="G59" s="31"/>
      <c r="H59" s="31"/>
    </row>
    <row r="60" spans="2:8" x14ac:dyDescent="0.35">
      <c r="B60" t="s">
        <v>185</v>
      </c>
      <c r="D60" s="30">
        <v>413</v>
      </c>
      <c r="E60" s="30">
        <v>0</v>
      </c>
      <c r="F60" s="30">
        <v>-413</v>
      </c>
      <c r="G60" s="30">
        <f t="shared" ref="G60:G61" si="10">SUM(D60:F60)</f>
        <v>0</v>
      </c>
      <c r="H60" s="30"/>
    </row>
    <row r="61" spans="2:8" x14ac:dyDescent="0.35">
      <c r="B61" t="s">
        <v>191</v>
      </c>
      <c r="D61" s="30">
        <v>40</v>
      </c>
      <c r="E61" s="30">
        <v>100</v>
      </c>
      <c r="F61" s="30">
        <v>-140</v>
      </c>
      <c r="G61" s="30">
        <f t="shared" si="10"/>
        <v>0</v>
      </c>
      <c r="H61" s="30"/>
    </row>
    <row r="62" spans="2:8" x14ac:dyDescent="0.35">
      <c r="B62" t="s">
        <v>202</v>
      </c>
      <c r="D62" s="30">
        <v>0</v>
      </c>
      <c r="E62" s="30">
        <v>250</v>
      </c>
      <c r="F62" s="30">
        <v>-250</v>
      </c>
      <c r="G62" s="30">
        <f t="shared" ref="G62" si="11">SUM(D62:F62)</f>
        <v>0</v>
      </c>
      <c r="H62" s="30"/>
    </row>
    <row r="63" spans="2:8" x14ac:dyDescent="0.35">
      <c r="B63" t="s">
        <v>203</v>
      </c>
      <c r="D63" s="30">
        <v>0</v>
      </c>
      <c r="E63" s="30">
        <v>200</v>
      </c>
      <c r="F63" s="30">
        <v>-200</v>
      </c>
      <c r="G63" s="30">
        <f>SUM(D63:F63)</f>
        <v>0</v>
      </c>
      <c r="H63" s="30"/>
    </row>
    <row r="64" spans="2:8" x14ac:dyDescent="0.35">
      <c r="B64" t="s">
        <v>204</v>
      </c>
      <c r="D64" s="30">
        <v>0</v>
      </c>
      <c r="E64" s="30">
        <v>125</v>
      </c>
      <c r="F64" s="30">
        <v>-125</v>
      </c>
      <c r="G64" s="30">
        <f>SUM(D64:F64)</f>
        <v>0</v>
      </c>
      <c r="H64" s="30"/>
    </row>
    <row r="65" spans="2:8" x14ac:dyDescent="0.35">
      <c r="B65" t="s">
        <v>205</v>
      </c>
      <c r="D65" s="30">
        <v>0</v>
      </c>
      <c r="E65" s="30">
        <v>100</v>
      </c>
      <c r="F65" s="30">
        <v>-100</v>
      </c>
      <c r="G65" s="30">
        <f>SUM(D65:F65)</f>
        <v>0</v>
      </c>
      <c r="H65" s="30"/>
    </row>
    <row r="66" spans="2:8" x14ac:dyDescent="0.35">
      <c r="B66" t="s">
        <v>206</v>
      </c>
      <c r="D66" s="30">
        <v>0</v>
      </c>
      <c r="E66" s="30">
        <v>100</v>
      </c>
      <c r="F66" s="30">
        <v>-100</v>
      </c>
      <c r="G66" s="30">
        <f>SUM(D66:F66)</f>
        <v>0</v>
      </c>
      <c r="H66" s="30"/>
    </row>
    <row r="67" spans="2:8" x14ac:dyDescent="0.35">
      <c r="B67" t="s">
        <v>75</v>
      </c>
      <c r="D67" s="30">
        <v>0</v>
      </c>
      <c r="E67" s="30">
        <v>-10</v>
      </c>
      <c r="F67" s="30">
        <v>10</v>
      </c>
      <c r="G67" s="30">
        <v>0</v>
      </c>
      <c r="H67" s="30"/>
    </row>
    <row r="68" spans="2:8" x14ac:dyDescent="0.35">
      <c r="B68" s="24" t="s">
        <v>74</v>
      </c>
      <c r="C68" s="24"/>
      <c r="D68" s="31">
        <f>SUBTOTAL(9,D60:D67)</f>
        <v>453</v>
      </c>
      <c r="E68" s="31">
        <f>SUBTOTAL(9,E60:E67)</f>
        <v>865</v>
      </c>
      <c r="F68" s="31">
        <f>SUBTOTAL(9,F60:F67)</f>
        <v>-1318</v>
      </c>
      <c r="G68" s="31">
        <f>SUBTOTAL(9,G60:G67)</f>
        <v>0</v>
      </c>
      <c r="H68" s="30"/>
    </row>
    <row r="69" spans="2:8" x14ac:dyDescent="0.35">
      <c r="D69" s="30"/>
      <c r="E69" s="30"/>
      <c r="F69" s="30"/>
      <c r="G69" s="30"/>
      <c r="H69" s="30"/>
    </row>
    <row r="70" spans="2:8" s="24" customFormat="1" x14ac:dyDescent="0.35">
      <c r="B70" s="24" t="s">
        <v>56</v>
      </c>
      <c r="D70" s="31"/>
      <c r="E70" s="31"/>
      <c r="F70" s="31"/>
      <c r="G70" s="31"/>
      <c r="H70" s="31"/>
    </row>
    <row r="71" spans="2:8" s="24" customFormat="1" x14ac:dyDescent="0.35">
      <c r="B71" s="24" t="s">
        <v>74</v>
      </c>
      <c r="D71" s="31">
        <f>SUBTOTAL(9,D70:D70)</f>
        <v>0</v>
      </c>
      <c r="E71" s="31">
        <f t="shared" ref="E71:G71" si="12">SUBTOTAL(9,E70:E70)</f>
        <v>0</v>
      </c>
      <c r="F71" s="31">
        <f t="shared" si="12"/>
        <v>0</v>
      </c>
      <c r="G71" s="31">
        <f t="shared" si="12"/>
        <v>0</v>
      </c>
      <c r="H71" s="31"/>
    </row>
    <row r="72" spans="2:8" x14ac:dyDescent="0.35">
      <c r="D72" s="30"/>
      <c r="E72" s="30"/>
      <c r="F72" s="30"/>
      <c r="G72" s="30"/>
      <c r="H72" s="30"/>
    </row>
    <row r="73" spans="2:8" x14ac:dyDescent="0.35">
      <c r="B73" s="24" t="s">
        <v>57</v>
      </c>
      <c r="C73" s="24"/>
      <c r="D73" s="30"/>
      <c r="E73" s="30"/>
      <c r="F73" s="30"/>
      <c r="G73" s="30"/>
      <c r="H73" s="30"/>
    </row>
    <row r="74" spans="2:8" x14ac:dyDescent="0.35">
      <c r="B74" t="s">
        <v>207</v>
      </c>
      <c r="D74" s="30">
        <v>0</v>
      </c>
      <c r="E74" s="30">
        <v>150</v>
      </c>
      <c r="F74" s="30">
        <v>-150</v>
      </c>
      <c r="G74" s="30">
        <f t="shared" ref="G74" si="13">SUM(D74:F74)</f>
        <v>0</v>
      </c>
      <c r="H74" s="30"/>
    </row>
    <row r="75" spans="2:8" x14ac:dyDescent="0.35">
      <c r="B75" t="s">
        <v>208</v>
      </c>
      <c r="D75" s="30">
        <v>0</v>
      </c>
      <c r="E75" s="30">
        <v>100</v>
      </c>
      <c r="F75" s="30">
        <v>-100</v>
      </c>
      <c r="G75" s="30">
        <f>SUM(D75:F75)</f>
        <v>0</v>
      </c>
      <c r="H75" s="30"/>
    </row>
    <row r="76" spans="2:8" x14ac:dyDescent="0.35">
      <c r="B76" t="s">
        <v>75</v>
      </c>
      <c r="D76" s="30">
        <v>0</v>
      </c>
      <c r="E76" s="30">
        <v>130</v>
      </c>
      <c r="F76" s="30">
        <v>-130</v>
      </c>
      <c r="G76" s="30">
        <v>0</v>
      </c>
      <c r="H76" s="30"/>
    </row>
    <row r="77" spans="2:8" x14ac:dyDescent="0.35">
      <c r="B77" s="24" t="s">
        <v>74</v>
      </c>
      <c r="C77" s="24"/>
      <c r="D77" s="31">
        <f>SUBTOTAL(9,D74:D76)</f>
        <v>0</v>
      </c>
      <c r="E77" s="31">
        <f>SUBTOTAL(9,E74:E76)</f>
        <v>380</v>
      </c>
      <c r="F77" s="31">
        <f>SUBTOTAL(9,F74:F76)</f>
        <v>-380</v>
      </c>
      <c r="G77" s="31">
        <f>SUBTOTAL(9,G74:G76)</f>
        <v>0</v>
      </c>
      <c r="H77" s="30"/>
    </row>
    <row r="78" spans="2:8" x14ac:dyDescent="0.35">
      <c r="B78" s="24"/>
      <c r="C78" s="24"/>
      <c r="D78" s="31"/>
      <c r="E78" s="31"/>
      <c r="F78" s="31"/>
      <c r="G78" s="31"/>
      <c r="H78" s="30"/>
    </row>
    <row r="79" spans="2:8" ht="15" thickBot="1" x14ac:dyDescent="0.4">
      <c r="B79" s="36" t="s">
        <v>73</v>
      </c>
      <c r="C79" s="36"/>
      <c r="D79" s="37">
        <f>SUBTOTAL(9,D8:D77)</f>
        <v>47315.928930000002</v>
      </c>
      <c r="E79" s="37">
        <f>SUBTOTAL(9,E8:E77)</f>
        <v>30817.741000000002</v>
      </c>
      <c r="F79" s="37">
        <f>SUBTOTAL(9,F8:F77)</f>
        <v>-48361.813150000002</v>
      </c>
      <c r="G79" s="37">
        <f>SUBTOTAL(9,G8:G77)</f>
        <v>29771.856780000002</v>
      </c>
      <c r="H79" s="30"/>
    </row>
    <row r="80" spans="2:8" ht="15" thickTop="1" x14ac:dyDescent="0.35">
      <c r="D80" s="30"/>
      <c r="E80" s="30"/>
      <c r="F80" s="30"/>
      <c r="G80" s="30"/>
      <c r="H80" s="30"/>
    </row>
    <row r="81" spans="2:8" x14ac:dyDescent="0.35">
      <c r="D81" s="30"/>
      <c r="E81" s="30"/>
      <c r="F81" s="30"/>
      <c r="G81" s="30"/>
      <c r="H81" s="30"/>
    </row>
    <row r="82" spans="2:8" x14ac:dyDescent="0.35">
      <c r="B82" s="2" t="s">
        <v>76</v>
      </c>
      <c r="D82" s="30">
        <f>D14</f>
        <v>46317.928930000002</v>
      </c>
      <c r="E82" s="30">
        <f>E14</f>
        <v>21900</v>
      </c>
      <c r="F82" s="30">
        <f>F14</f>
        <v>-38446.07215</v>
      </c>
      <c r="G82" s="30">
        <f>G14</f>
        <v>29771.856780000002</v>
      </c>
    </row>
    <row r="83" spans="2:8" x14ac:dyDescent="0.35">
      <c r="B83" s="2"/>
      <c r="D83" s="30"/>
      <c r="E83" s="30"/>
      <c r="F83" s="30"/>
      <c r="G83" s="30"/>
    </row>
    <row r="84" spans="2:8" x14ac:dyDescent="0.35">
      <c r="B84" s="2" t="s">
        <v>77</v>
      </c>
      <c r="D84" s="30"/>
      <c r="E84" s="30"/>
      <c r="F84" s="30"/>
      <c r="G84" s="30"/>
    </row>
    <row r="85" spans="2:8" x14ac:dyDescent="0.35">
      <c r="B85" s="8" t="s">
        <v>12</v>
      </c>
      <c r="D85" s="30">
        <f>D23</f>
        <v>0</v>
      </c>
      <c r="E85" s="30">
        <f>E23</f>
        <v>1074.99</v>
      </c>
      <c r="F85" s="30">
        <f>F23</f>
        <v>-1074.99</v>
      </c>
      <c r="G85" s="30">
        <f>G23</f>
        <v>0</v>
      </c>
    </row>
    <row r="86" spans="2:8" x14ac:dyDescent="0.35">
      <c r="B86" s="8" t="s">
        <v>10</v>
      </c>
      <c r="D86" s="30">
        <f>D30</f>
        <v>405</v>
      </c>
      <c r="E86" s="30">
        <f>E30</f>
        <v>1079</v>
      </c>
      <c r="F86" s="30">
        <f>F30</f>
        <v>-1484</v>
      </c>
      <c r="G86" s="30">
        <f>G30</f>
        <v>0</v>
      </c>
    </row>
    <row r="87" spans="2:8" x14ac:dyDescent="0.35">
      <c r="B87" s="8" t="s">
        <v>11</v>
      </c>
      <c r="D87" s="30">
        <f>D36-D34</f>
        <v>0</v>
      </c>
      <c r="E87" s="30">
        <f>E36-E34</f>
        <v>755</v>
      </c>
      <c r="F87" s="30">
        <f>F36-F34</f>
        <v>-755</v>
      </c>
      <c r="G87" s="30">
        <f>G36-G34</f>
        <v>0</v>
      </c>
    </row>
    <row r="88" spans="2:8" x14ac:dyDescent="0.35">
      <c r="B88" s="8" t="s">
        <v>13</v>
      </c>
      <c r="D88" s="30">
        <f>D44</f>
        <v>140</v>
      </c>
      <c r="E88" s="30">
        <f>E44</f>
        <v>2472.0100000000002</v>
      </c>
      <c r="F88" s="30">
        <f>F44</f>
        <v>-2612.0100000000002</v>
      </c>
      <c r="G88" s="30">
        <f>G44</f>
        <v>0</v>
      </c>
    </row>
    <row r="89" spans="2:8" x14ac:dyDescent="0.35">
      <c r="D89" s="30"/>
      <c r="E89" s="30"/>
      <c r="F89" s="30"/>
      <c r="G89" s="30"/>
    </row>
    <row r="90" spans="2:8" x14ac:dyDescent="0.35">
      <c r="B90" s="2" t="s">
        <v>78</v>
      </c>
      <c r="D90" s="30">
        <f>SUM(D34)</f>
        <v>0</v>
      </c>
      <c r="E90" s="30">
        <f>SUM(E34)</f>
        <v>-400</v>
      </c>
      <c r="F90" s="30">
        <f>SUM(F34)</f>
        <v>400</v>
      </c>
      <c r="G90" s="30">
        <f>SUM(G34)</f>
        <v>0</v>
      </c>
    </row>
    <row r="91" spans="2:8" x14ac:dyDescent="0.35">
      <c r="B91" s="2"/>
      <c r="D91" s="30"/>
      <c r="E91" s="30"/>
      <c r="F91" s="30"/>
      <c r="G91" s="30"/>
    </row>
    <row r="92" spans="2:8" x14ac:dyDescent="0.35">
      <c r="B92" s="3" t="s">
        <v>63</v>
      </c>
      <c r="D92" s="30">
        <v>0</v>
      </c>
      <c r="E92" s="30">
        <v>0</v>
      </c>
      <c r="F92" s="30">
        <v>0</v>
      </c>
      <c r="G92" s="30">
        <v>0</v>
      </c>
    </row>
    <row r="93" spans="2:8" x14ac:dyDescent="0.35">
      <c r="B93" s="2"/>
      <c r="D93" s="30"/>
      <c r="E93" s="30"/>
      <c r="F93" s="30"/>
      <c r="G93" s="30"/>
    </row>
    <row r="94" spans="2:8" x14ac:dyDescent="0.35">
      <c r="B94" s="2" t="s">
        <v>44</v>
      </c>
      <c r="D94" s="30">
        <f>D49</f>
        <v>0</v>
      </c>
      <c r="E94" s="30">
        <f>E49</f>
        <v>850</v>
      </c>
      <c r="F94" s="30">
        <f>F49</f>
        <v>-850</v>
      </c>
      <c r="G94" s="30">
        <f>G49</f>
        <v>0</v>
      </c>
    </row>
    <row r="95" spans="2:8" x14ac:dyDescent="0.35">
      <c r="B95" s="8"/>
      <c r="D95" s="30"/>
      <c r="E95" s="30"/>
      <c r="F95" s="30"/>
      <c r="G95" s="30"/>
    </row>
    <row r="96" spans="2:8" x14ac:dyDescent="0.35">
      <c r="B96" s="2" t="s">
        <v>83</v>
      </c>
      <c r="D96" s="30">
        <f>D53</f>
        <v>0</v>
      </c>
      <c r="E96" s="30">
        <f>E53</f>
        <v>681.74099999999999</v>
      </c>
      <c r="F96" s="30">
        <f>F53</f>
        <v>-681.74099999999999</v>
      </c>
      <c r="G96" s="30">
        <f>G53</f>
        <v>0</v>
      </c>
    </row>
    <row r="97" spans="2:8" x14ac:dyDescent="0.35">
      <c r="D97" s="30"/>
      <c r="E97" s="30"/>
      <c r="F97" s="30"/>
      <c r="G97" s="30"/>
    </row>
    <row r="98" spans="2:8" x14ac:dyDescent="0.35">
      <c r="B98" s="2" t="s">
        <v>79</v>
      </c>
      <c r="D98" s="30">
        <f>SUM(D57,D68)-D100</f>
        <v>453</v>
      </c>
      <c r="E98" s="30">
        <f>SUM(E57,E68)-E100</f>
        <v>2025</v>
      </c>
      <c r="F98" s="30">
        <f>SUM(F57,F68)-F100</f>
        <v>-2478</v>
      </c>
      <c r="G98" s="30">
        <f>SUM(G57,G68)-G100</f>
        <v>0</v>
      </c>
    </row>
    <row r="99" spans="2:8" x14ac:dyDescent="0.35">
      <c r="D99" s="30"/>
      <c r="E99" s="30"/>
      <c r="F99" s="30"/>
      <c r="G99" s="30"/>
    </row>
    <row r="100" spans="2:8" x14ac:dyDescent="0.35">
      <c r="B100" s="2" t="s">
        <v>80</v>
      </c>
      <c r="D100" s="30">
        <v>0</v>
      </c>
      <c r="E100" s="30">
        <v>0</v>
      </c>
      <c r="F100" s="30">
        <v>0</v>
      </c>
      <c r="G100" s="30">
        <v>0</v>
      </c>
    </row>
    <row r="101" spans="2:8" x14ac:dyDescent="0.35">
      <c r="D101" s="30"/>
      <c r="E101" s="30"/>
      <c r="F101" s="30"/>
      <c r="G101" s="30"/>
    </row>
    <row r="102" spans="2:8" x14ac:dyDescent="0.35">
      <c r="B102" s="2" t="s">
        <v>81</v>
      </c>
      <c r="D102" s="30">
        <f>SUM(D71,D77)</f>
        <v>0</v>
      </c>
      <c r="E102" s="30">
        <f>SUM(E71,E77)</f>
        <v>380</v>
      </c>
      <c r="F102" s="30">
        <f>SUM(F71,F77)</f>
        <v>-380</v>
      </c>
      <c r="G102" s="30">
        <f>SUM(G71,G77)</f>
        <v>0</v>
      </c>
    </row>
    <row r="103" spans="2:8" x14ac:dyDescent="0.35">
      <c r="D103" s="30"/>
      <c r="E103" s="30"/>
      <c r="F103" s="30"/>
      <c r="G103" s="30"/>
    </row>
    <row r="104" spans="2:8" ht="15" thickBot="1" x14ac:dyDescent="0.4">
      <c r="B104" s="36" t="s">
        <v>73</v>
      </c>
      <c r="C104" s="36"/>
      <c r="D104" s="37">
        <f>SUM(D82:D102)</f>
        <v>47315.928930000002</v>
      </c>
      <c r="E104" s="37">
        <f>SUM(E82:E102)</f>
        <v>30817.741000000002</v>
      </c>
      <c r="F104" s="37">
        <f>SUM(F82:F102)</f>
        <v>-48361.813150000002</v>
      </c>
      <c r="G104" s="37">
        <f>SUM(G82:G102)</f>
        <v>29771.856780000002</v>
      </c>
    </row>
    <row r="105" spans="2:8" ht="15" thickTop="1" x14ac:dyDescent="0.35">
      <c r="D105" s="30"/>
      <c r="E105" s="30"/>
      <c r="F105" s="30"/>
      <c r="G105" s="30"/>
    </row>
    <row r="106" spans="2:8" x14ac:dyDescent="0.35">
      <c r="D106" s="29"/>
      <c r="E106" s="29"/>
      <c r="F106" s="29"/>
      <c r="G106" s="29"/>
      <c r="H106" s="29"/>
    </row>
    <row r="107" spans="2:8" x14ac:dyDescent="0.35">
      <c r="D107" s="29"/>
      <c r="E107" s="29"/>
      <c r="F107" s="29"/>
      <c r="G107" s="29"/>
      <c r="H107" s="29"/>
    </row>
    <row r="108" spans="2:8" x14ac:dyDescent="0.35">
      <c r="D108" s="29"/>
      <c r="E108" s="29"/>
      <c r="F108" s="29"/>
      <c r="G108" s="29"/>
      <c r="H108" s="29"/>
    </row>
    <row r="109" spans="2:8" x14ac:dyDescent="0.35">
      <c r="D109" s="29"/>
      <c r="E109" s="29"/>
      <c r="F109" s="29"/>
      <c r="G109" s="29"/>
      <c r="H109" s="29"/>
    </row>
    <row r="110" spans="2:8" x14ac:dyDescent="0.35">
      <c r="D110" s="29"/>
      <c r="E110" s="29"/>
      <c r="F110" s="29"/>
      <c r="G110" s="29"/>
      <c r="H110" s="29"/>
    </row>
    <row r="111" spans="2:8" x14ac:dyDescent="0.35">
      <c r="D111" s="29"/>
      <c r="E111" s="29"/>
      <c r="F111" s="29"/>
      <c r="G111" s="29"/>
      <c r="H111" s="29"/>
    </row>
    <row r="112" spans="2:8" x14ac:dyDescent="0.35">
      <c r="D112" s="29"/>
      <c r="E112" s="29"/>
      <c r="F112" s="29"/>
      <c r="G112" s="29"/>
      <c r="H112" s="29"/>
    </row>
    <row r="113" spans="4:8" x14ac:dyDescent="0.35">
      <c r="D113" s="29"/>
      <c r="E113" s="29"/>
      <c r="F113" s="29"/>
      <c r="G113" s="29"/>
      <c r="H113" s="29"/>
    </row>
    <row r="114" spans="4:8" x14ac:dyDescent="0.35">
      <c r="D114" s="29"/>
      <c r="E114" s="29"/>
      <c r="F114" s="29"/>
      <c r="G114" s="29"/>
      <c r="H114" s="29"/>
    </row>
    <row r="115" spans="4:8" x14ac:dyDescent="0.35">
      <c r="D115" s="29"/>
      <c r="E115" s="29"/>
      <c r="F115" s="29"/>
      <c r="G115" s="29"/>
      <c r="H115" s="29"/>
    </row>
    <row r="116" spans="4:8" x14ac:dyDescent="0.35">
      <c r="D116" s="29"/>
      <c r="E116" s="29"/>
      <c r="F116" s="29"/>
      <c r="G116" s="29"/>
      <c r="H116" s="29"/>
    </row>
    <row r="117" spans="4:8" x14ac:dyDescent="0.35">
      <c r="D117" s="29"/>
      <c r="E117" s="29"/>
      <c r="F117" s="29"/>
      <c r="G117" s="29"/>
      <c r="H117" s="29"/>
    </row>
    <row r="118" spans="4:8" x14ac:dyDescent="0.35">
      <c r="D118" s="29"/>
      <c r="E118" s="29"/>
      <c r="F118" s="29"/>
      <c r="G118" s="29"/>
      <c r="H118" s="29"/>
    </row>
    <row r="119" spans="4:8" x14ac:dyDescent="0.35">
      <c r="D119" s="29"/>
      <c r="E119" s="29"/>
      <c r="F119" s="29"/>
      <c r="G119" s="29"/>
      <c r="H119" s="29"/>
    </row>
    <row r="120" spans="4:8" x14ac:dyDescent="0.35">
      <c r="D120" s="29"/>
      <c r="E120" s="29"/>
      <c r="F120" s="29"/>
      <c r="G120" s="29"/>
      <c r="H120" s="29"/>
    </row>
    <row r="121" spans="4:8" x14ac:dyDescent="0.35">
      <c r="D121" s="29"/>
      <c r="E121" s="29"/>
      <c r="F121" s="29"/>
      <c r="G121" s="29"/>
      <c r="H121" s="29"/>
    </row>
    <row r="122" spans="4:8" x14ac:dyDescent="0.35">
      <c r="D122" s="29"/>
      <c r="E122" s="29"/>
      <c r="F122" s="29"/>
      <c r="G122" s="29"/>
      <c r="H122" s="29"/>
    </row>
    <row r="123" spans="4:8" x14ac:dyDescent="0.35">
      <c r="D123" s="29"/>
      <c r="E123" s="29"/>
      <c r="F123" s="29"/>
      <c r="G123" s="29"/>
      <c r="H123" s="29"/>
    </row>
    <row r="124" spans="4:8" x14ac:dyDescent="0.35">
      <c r="D124" s="29"/>
      <c r="E124" s="29"/>
      <c r="F124" s="29"/>
      <c r="G124" s="29"/>
      <c r="H124" s="29"/>
    </row>
    <row r="125" spans="4:8" x14ac:dyDescent="0.35">
      <c r="D125" s="29"/>
      <c r="E125" s="29"/>
      <c r="F125" s="29"/>
      <c r="G125" s="29"/>
      <c r="H125" s="29"/>
    </row>
    <row r="126" spans="4:8" x14ac:dyDescent="0.35">
      <c r="D126" s="29"/>
      <c r="E126" s="29"/>
      <c r="F126" s="29"/>
      <c r="G126" s="29"/>
      <c r="H126" s="29"/>
    </row>
    <row r="127" spans="4:8" x14ac:dyDescent="0.35">
      <c r="D127" s="29"/>
      <c r="E127" s="29"/>
      <c r="F127" s="29"/>
      <c r="G127" s="29"/>
      <c r="H127" s="29"/>
    </row>
    <row r="128" spans="4:8" x14ac:dyDescent="0.35">
      <c r="D128" s="29"/>
      <c r="E128" s="29"/>
      <c r="F128" s="29"/>
      <c r="G128" s="29"/>
      <c r="H128" s="29"/>
    </row>
    <row r="129" spans="4:8" x14ac:dyDescent="0.35">
      <c r="D129" s="29"/>
      <c r="E129" s="29"/>
      <c r="F129" s="29"/>
      <c r="G129" s="29"/>
      <c r="H129" s="29"/>
    </row>
    <row r="130" spans="4:8" x14ac:dyDescent="0.35">
      <c r="D130" s="29"/>
      <c r="E130" s="29"/>
      <c r="F130" s="29"/>
      <c r="G130" s="29"/>
      <c r="H130" s="29"/>
    </row>
    <row r="131" spans="4:8" x14ac:dyDescent="0.35">
      <c r="D131" s="29"/>
      <c r="E131" s="29"/>
      <c r="F131" s="29"/>
      <c r="G131" s="29"/>
      <c r="H131" s="29"/>
    </row>
    <row r="132" spans="4:8" x14ac:dyDescent="0.35">
      <c r="D132" s="29"/>
      <c r="E132" s="29"/>
      <c r="F132" s="29"/>
      <c r="G132" s="29"/>
      <c r="H132" s="29"/>
    </row>
    <row r="133" spans="4:8" x14ac:dyDescent="0.35">
      <c r="D133" s="29"/>
      <c r="E133" s="29"/>
      <c r="F133" s="29"/>
      <c r="G133" s="29"/>
      <c r="H133" s="29"/>
    </row>
    <row r="134" spans="4:8" x14ac:dyDescent="0.35">
      <c r="D134" s="29"/>
      <c r="E134" s="29"/>
      <c r="F134" s="29"/>
      <c r="G134" s="29"/>
      <c r="H134" s="29"/>
    </row>
    <row r="135" spans="4:8" x14ac:dyDescent="0.35">
      <c r="D135" s="29"/>
      <c r="E135" s="29"/>
      <c r="F135" s="29"/>
      <c r="G135" s="29"/>
      <c r="H135" s="29"/>
    </row>
    <row r="136" spans="4:8" x14ac:dyDescent="0.35">
      <c r="D136" s="29"/>
      <c r="E136" s="29"/>
      <c r="F136" s="29"/>
      <c r="G136" s="29"/>
      <c r="H136" s="29"/>
    </row>
    <row r="137" spans="4:8" x14ac:dyDescent="0.35">
      <c r="D137" s="29"/>
      <c r="E137" s="29"/>
      <c r="F137" s="29"/>
      <c r="G137" s="29"/>
      <c r="H137" s="29"/>
    </row>
    <row r="138" spans="4:8" x14ac:dyDescent="0.35">
      <c r="D138" s="29"/>
      <c r="E138" s="29"/>
      <c r="F138" s="29"/>
      <c r="G138" s="29"/>
      <c r="H138" s="29"/>
    </row>
    <row r="139" spans="4:8" x14ac:dyDescent="0.35">
      <c r="D139" s="29"/>
      <c r="E139" s="29"/>
      <c r="F139" s="29"/>
      <c r="G139" s="29"/>
      <c r="H139" s="29"/>
    </row>
    <row r="140" spans="4:8" x14ac:dyDescent="0.35">
      <c r="D140" s="29"/>
      <c r="E140" s="29"/>
      <c r="F140" s="29"/>
      <c r="G140" s="29"/>
      <c r="H140" s="29"/>
    </row>
    <row r="141" spans="4:8" x14ac:dyDescent="0.35">
      <c r="D141" s="29"/>
      <c r="E141" s="29"/>
      <c r="F141" s="29"/>
      <c r="G141" s="29"/>
      <c r="H141" s="29"/>
    </row>
    <row r="142" spans="4:8" x14ac:dyDescent="0.35">
      <c r="D142" s="29"/>
      <c r="E142" s="29"/>
      <c r="F142" s="29"/>
      <c r="G142" s="29"/>
      <c r="H142" s="29"/>
    </row>
    <row r="143" spans="4:8" x14ac:dyDescent="0.35">
      <c r="D143" s="29"/>
      <c r="E143" s="29"/>
      <c r="F143" s="29"/>
      <c r="G143" s="29"/>
      <c r="H143" s="29"/>
    </row>
    <row r="144" spans="4:8" x14ac:dyDescent="0.35">
      <c r="D144" s="29"/>
      <c r="E144" s="29"/>
      <c r="F144" s="29"/>
      <c r="G144" s="29"/>
      <c r="H144" s="29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scale="79" fitToHeight="2" orientation="portrait" r:id="rId1"/>
  <rowBreaks count="1" manualBreakCount="1">
    <brk id="5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62"/>
  <sheetViews>
    <sheetView view="pageBreakPreview" topLeftCell="A152" zoomScale="101" zoomScaleNormal="101" zoomScaleSheetLayoutView="101" workbookViewId="0">
      <selection activeCell="B74" sqref="B74"/>
    </sheetView>
  </sheetViews>
  <sheetFormatPr defaultRowHeight="14.5" x14ac:dyDescent="0.35"/>
  <cols>
    <col min="1" max="1" width="3" customWidth="1"/>
    <col min="2" max="2" width="61.81640625" bestFit="1" customWidth="1"/>
    <col min="3" max="3" width="1.453125" customWidth="1"/>
    <col min="4" max="4" width="10.7265625" bestFit="1" customWidth="1"/>
    <col min="5" max="6" width="9.08984375" bestFit="1" customWidth="1"/>
    <col min="7" max="7" width="10.08984375" bestFit="1" customWidth="1"/>
    <col min="8" max="8" width="5.81640625" customWidth="1"/>
    <col min="9" max="9" width="10.90625" customWidth="1"/>
    <col min="10" max="10" width="2.90625" customWidth="1"/>
  </cols>
  <sheetData>
    <row r="1" spans="2:9" x14ac:dyDescent="0.35">
      <c r="B1" s="24" t="s">
        <v>86</v>
      </c>
      <c r="C1" s="38"/>
      <c r="D1" s="38"/>
      <c r="E1" s="38"/>
      <c r="F1" s="38"/>
      <c r="I1" s="39" t="s">
        <v>100</v>
      </c>
    </row>
    <row r="2" spans="2:9" x14ac:dyDescent="0.35">
      <c r="B2" s="24" t="s">
        <v>101</v>
      </c>
      <c r="C2" s="24"/>
      <c r="D2" s="24"/>
      <c r="E2" s="24"/>
      <c r="F2" s="40"/>
      <c r="I2" s="41" t="str">
        <f>'5.1'!$F$2</f>
        <v>August 2023</v>
      </c>
    </row>
    <row r="3" spans="2:9" x14ac:dyDescent="0.35">
      <c r="B3" s="60" t="s">
        <v>15</v>
      </c>
      <c r="C3" s="60"/>
      <c r="D3" s="60"/>
      <c r="E3" s="60"/>
      <c r="F3" s="60"/>
      <c r="G3" s="60"/>
    </row>
    <row r="5" spans="2:9" ht="15" thickBot="1" x14ac:dyDescent="0.4"/>
    <row r="6" spans="2:9" ht="15" thickBot="1" x14ac:dyDescent="0.4">
      <c r="D6" s="62" t="s">
        <v>91</v>
      </c>
      <c r="E6" s="63"/>
      <c r="F6" s="63"/>
      <c r="G6" s="63"/>
      <c r="H6" s="63"/>
      <c r="I6" s="64"/>
    </row>
    <row r="8" spans="2:9" x14ac:dyDescent="0.35">
      <c r="D8" s="24">
        <v>2021</v>
      </c>
      <c r="E8" s="24">
        <v>2022</v>
      </c>
      <c r="F8" s="24">
        <v>2023</v>
      </c>
      <c r="G8" s="24">
        <v>2024</v>
      </c>
      <c r="H8" s="24"/>
      <c r="I8" s="24" t="s">
        <v>73</v>
      </c>
    </row>
    <row r="9" spans="2:9" x14ac:dyDescent="0.35">
      <c r="B9" s="24" t="s">
        <v>52</v>
      </c>
      <c r="D9" s="24"/>
    </row>
    <row r="10" spans="2:9" x14ac:dyDescent="0.35">
      <c r="B10" t="str">
        <f>'5.2 - 2021'!B63</f>
        <v>Thermal Replacement (16.5 MW)</v>
      </c>
      <c r="D10" s="44">
        <f>IFERROR(-VLOOKUP($B10,'5.2 - 2021'!$B:$G,5,FALSE),0)</f>
        <v>0</v>
      </c>
      <c r="E10" s="58">
        <f>IFERROR(-VLOOKUP($B10,'5.3 - 2022'!$B:$G,5,FALSE),0)</f>
        <v>150.14229</v>
      </c>
      <c r="F10" s="44">
        <f>IFERROR(-VLOOKUP($B10,'5.4 - 2023'!$B:$G,5,FALSE),0)</f>
        <v>0</v>
      </c>
      <c r="G10" s="44">
        <f>IFERROR(-VLOOKUP($B10,'5.5 - 2024'!$B:$G,5,FALSE),0)</f>
        <v>18175.455000000002</v>
      </c>
      <c r="I10" s="45">
        <f>SUM(D10:H10)</f>
        <v>18325.597290000002</v>
      </c>
    </row>
    <row r="11" spans="2:9" x14ac:dyDescent="0.35">
      <c r="B11" t="str">
        <f>'5.2 - 2021'!B8</f>
        <v>Whitehorse Interconnection</v>
      </c>
      <c r="D11" s="44">
        <f>IFERROR(-VLOOKUP($B11,'5.2 - 2021'!$B:$G,5,FALSE),0)</f>
        <v>0</v>
      </c>
      <c r="E11" s="44">
        <f>IFERROR(-VLOOKUP($B11,'5.3 - 2022'!$B:$G,5,FALSE),0)</f>
        <v>0</v>
      </c>
      <c r="F11" s="44">
        <f>IFERROR(-VLOOKUP($B11,'5.4 - 2023'!$B:$G,5,FALSE),0)</f>
        <v>0</v>
      </c>
      <c r="G11" s="44">
        <f>IFERROR(-VLOOKUP($B11,'5.5 - 2024'!$B:$G,5,FALSE),0)</f>
        <v>11198.85101</v>
      </c>
      <c r="I11" s="45">
        <f t="shared" ref="I11:I28" si="0">SUM(D11:H11)</f>
        <v>11198.85101</v>
      </c>
    </row>
    <row r="12" spans="2:9" x14ac:dyDescent="0.35">
      <c r="B12" t="str">
        <f>'5.2 - 2021'!B9</f>
        <v>Transmission Line Replacement L178</v>
      </c>
      <c r="D12" s="44">
        <f>IFERROR(-VLOOKUP($B12,'5.2 - 2021'!$B:$G,5,FALSE),0)</f>
        <v>311.08184999999997</v>
      </c>
      <c r="E12" s="44">
        <f>IFERROR(-VLOOKUP($B12,'5.3 - 2022'!$B:$G,5,FALSE),0)</f>
        <v>4772.3890999999994</v>
      </c>
      <c r="F12" s="44">
        <f>IFERROR(-VLOOKUP($B12,'5.4 - 2023'!$B:$G,5,FALSE),0)</f>
        <v>1000</v>
      </c>
      <c r="G12" s="44">
        <f>IFERROR(-VLOOKUP($B12,'5.5 - 2024'!$B:$G,5,FALSE),0)</f>
        <v>5000</v>
      </c>
      <c r="I12" s="45">
        <f t="shared" si="0"/>
        <v>11083.470949999999</v>
      </c>
    </row>
    <row r="13" spans="2:9" x14ac:dyDescent="0.35">
      <c r="B13" t="str">
        <f>'5.2 - 2021'!B10</f>
        <v>Dawson Voltage Conversion</v>
      </c>
      <c r="D13" s="44">
        <f>IFERROR(-VLOOKUP($B13,'5.2 - 2021'!$B:$G,5,FALSE),0)</f>
        <v>0</v>
      </c>
      <c r="E13" s="44">
        <f>IFERROR(-VLOOKUP($B13,'5.3 - 2022'!$B:$G,5,FALSE),0)</f>
        <v>0</v>
      </c>
      <c r="F13" s="44">
        <f>IFERROR(-VLOOKUP($B13,'5.4 - 2023'!$B:$G,5,FALSE),0)</f>
        <v>0</v>
      </c>
      <c r="G13" s="44">
        <f>IFERROR(-VLOOKUP($B13,'5.5 - 2024'!$B:$G,5,FALSE),0)</f>
        <v>1871.76614</v>
      </c>
      <c r="I13" s="45">
        <f t="shared" si="0"/>
        <v>1871.76614</v>
      </c>
    </row>
    <row r="14" spans="2:9" x14ac:dyDescent="0.35">
      <c r="B14" t="str">
        <f>'5.2 - 2021'!B11</f>
        <v>Whitehorse Stoplog Crane Replacement</v>
      </c>
      <c r="D14" s="44">
        <f>IFERROR(-VLOOKUP($B14,'5.2 - 2021'!$B:$G,5,FALSE),0)</f>
        <v>0</v>
      </c>
      <c r="E14" s="44">
        <f>IFERROR(-VLOOKUP($B14,'5.3 - 2022'!$B:$G,5,FALSE),0)</f>
        <v>0</v>
      </c>
      <c r="F14" s="44">
        <f>IFERROR(-VLOOKUP($B14,'5.4 - 2023'!$B:$G,5,FALSE),0)</f>
        <v>4246.6770400000005</v>
      </c>
      <c r="G14" s="44">
        <f>IFERROR(-VLOOKUP($B14,'5.5 - 2024'!$B:$G,5,FALSE),0)</f>
        <v>0</v>
      </c>
      <c r="I14" s="45">
        <f t="shared" si="0"/>
        <v>4246.6770400000005</v>
      </c>
    </row>
    <row r="15" spans="2:9" x14ac:dyDescent="0.35">
      <c r="B15" t="str">
        <f>'5.2 - 2021'!B12</f>
        <v>MH0 Road &amp; Road Slope Stability</v>
      </c>
      <c r="D15" s="44">
        <f>IFERROR(-VLOOKUP($B15,'5.2 - 2021'!$B:$G,5,FALSE),0)</f>
        <v>0</v>
      </c>
      <c r="E15" s="44">
        <f>IFERROR(-VLOOKUP($B15,'5.3 - 2022'!$B:$G,5,FALSE),0)</f>
        <v>0</v>
      </c>
      <c r="F15" s="44">
        <f>IFERROR(-VLOOKUP($B15,'5.4 - 2023'!$B:$G,5,FALSE),0)</f>
        <v>1874.35653</v>
      </c>
      <c r="G15" s="44">
        <f>IFERROR(-VLOOKUP($B15,'5.5 - 2024'!$B:$G,5,FALSE),0)</f>
        <v>0</v>
      </c>
      <c r="I15" s="45">
        <f t="shared" si="0"/>
        <v>1874.35653</v>
      </c>
    </row>
    <row r="16" spans="2:9" x14ac:dyDescent="0.35">
      <c r="B16" t="str">
        <f>'5.2 - 2021'!B13</f>
        <v>WH4 Servomotor Replacement</v>
      </c>
      <c r="D16" s="44">
        <f>IFERROR(-VLOOKUP($B16,'5.2 - 2021'!$B:$G,5,FALSE),0)</f>
        <v>1318.22801</v>
      </c>
      <c r="E16" s="44">
        <f>IFERROR(-VLOOKUP($B16,'5.3 - 2022'!$B:$G,5,FALSE),0)</f>
        <v>18.914680000000001</v>
      </c>
      <c r="F16" s="44">
        <f>IFERROR(-VLOOKUP($B16,'5.4 - 2023'!$B:$G,5,FALSE),0)</f>
        <v>0</v>
      </c>
      <c r="G16" s="44">
        <f>IFERROR(-VLOOKUP($B16,'5.5 - 2024'!$B:$G,5,FALSE),0)</f>
        <v>0</v>
      </c>
      <c r="I16" s="45">
        <f t="shared" si="0"/>
        <v>1337.1426900000001</v>
      </c>
    </row>
    <row r="17" spans="2:10" x14ac:dyDescent="0.35">
      <c r="B17" t="str">
        <f>'5.2 - 2021'!B14</f>
        <v>WH2 Uprate Construction</v>
      </c>
      <c r="D17" s="44">
        <f>IFERROR(-VLOOKUP($B17,'5.2 - 2021'!$B:$G,5,FALSE),0)</f>
        <v>12092.29328</v>
      </c>
      <c r="E17" s="44">
        <f>IFERROR(-VLOOKUP($B17,'5.3 - 2022'!$B:$G,5,FALSE),0)</f>
        <v>456.61538999999999</v>
      </c>
      <c r="F17" s="44">
        <f>IFERROR(-VLOOKUP($B17,'5.4 - 2023'!$B:$G,5,FALSE),0)</f>
        <v>0</v>
      </c>
      <c r="G17" s="44">
        <f>IFERROR(-VLOOKUP($B17,'5.5 - 2024'!$B:$G,5,FALSE),0)</f>
        <v>0</v>
      </c>
      <c r="I17" s="45">
        <f t="shared" si="0"/>
        <v>12548.908670000001</v>
      </c>
    </row>
    <row r="18" spans="2:10" x14ac:dyDescent="0.35">
      <c r="B18" t="str">
        <f>'5.2 - 2021'!B15</f>
        <v>WH2 Uprate Engineering</v>
      </c>
      <c r="D18" s="44">
        <f>IFERROR(-VLOOKUP($B18,'5.2 - 2021'!$B:$G,5,FALSE),0)</f>
        <v>265.42153999999999</v>
      </c>
      <c r="E18" s="44">
        <f>IFERROR(-VLOOKUP($B18,'5.3 - 2022'!$B:$G,5,FALSE),0)</f>
        <v>0</v>
      </c>
      <c r="F18" s="44">
        <f>IFERROR(-VLOOKUP($B18,'5.4 - 2023'!$B:$G,5,FALSE),0)</f>
        <v>0</v>
      </c>
      <c r="G18" s="44">
        <f>IFERROR(-VLOOKUP($B18,'5.5 - 2024'!$B:$G,5,FALSE),0)</f>
        <v>0</v>
      </c>
      <c r="I18" s="45">
        <f t="shared" si="0"/>
        <v>265.42153999999999</v>
      </c>
    </row>
    <row r="19" spans="2:10" x14ac:dyDescent="0.35">
      <c r="B19" t="str">
        <f>'5.2 - 2021'!B16</f>
        <v>Mayo - McQuesten Transmission Line Upgrade</v>
      </c>
      <c r="D19" s="44">
        <f>IFERROR(-VLOOKUP($B19,'5.2 - 2021'!$B:$G,5,FALSE),0)</f>
        <v>28938.603300000002</v>
      </c>
      <c r="E19" s="44">
        <f>IFERROR(-VLOOKUP($B19,'5.3 - 2022'!$B:$G,5,FALSE),0)</f>
        <v>897.82958999999994</v>
      </c>
      <c r="F19" s="44">
        <f>IFERROR(-VLOOKUP($B19,'5.4 - 2023'!$B:$G,5,FALSE),0)</f>
        <v>0</v>
      </c>
      <c r="G19" s="44">
        <f>IFERROR(-VLOOKUP($B19,'5.5 - 2024'!$B:$G,5,FALSE),0)</f>
        <v>0</v>
      </c>
      <c r="I19" s="45">
        <f t="shared" si="0"/>
        <v>29836.432890000004</v>
      </c>
    </row>
    <row r="20" spans="2:10" x14ac:dyDescent="0.35">
      <c r="B20" t="str">
        <f>'5.2 - 2021'!B17</f>
        <v>Mayo - McQuesten Contributions</v>
      </c>
      <c r="D20" s="44">
        <f>IFERROR(-VLOOKUP($B20,'5.2 - 2021'!$B:$G,5,FALSE),0)</f>
        <v>-21064.281510000001</v>
      </c>
      <c r="E20" s="44">
        <f>IFERROR(-VLOOKUP($B20,'5.3 - 2022'!$B:$G,5,FALSE),0)</f>
        <v>-650.67290000000003</v>
      </c>
      <c r="F20" s="44">
        <f>IFERROR(-VLOOKUP($B20,'5.4 - 2023'!$B:$G,5,FALSE),0)</f>
        <v>0</v>
      </c>
      <c r="G20" s="44">
        <f>IFERROR(-VLOOKUP($B20,'5.5 - 2024'!$B:$G,5,FALSE),0)</f>
        <v>0</v>
      </c>
      <c r="I20" s="45">
        <f t="shared" si="0"/>
        <v>-21714.954410000002</v>
      </c>
    </row>
    <row r="21" spans="2:10" x14ac:dyDescent="0.35">
      <c r="B21" t="str">
        <f>'5.2 - 2021'!B18</f>
        <v>Replace P125 WH2 Head Gate</v>
      </c>
      <c r="D21" s="44">
        <f>IFERROR(-VLOOKUP($B21,'5.2 - 2021'!$B:$G,5,FALSE),0)</f>
        <v>149.22038000000001</v>
      </c>
      <c r="E21" s="44">
        <f>IFERROR(-VLOOKUP($B21,'5.3 - 2022'!$B:$G,5,FALSE),0)</f>
        <v>0</v>
      </c>
      <c r="F21" s="44">
        <f>IFERROR(-VLOOKUP($B21,'5.4 - 2023'!$B:$G,5,FALSE),0)</f>
        <v>0</v>
      </c>
      <c r="G21" s="44">
        <f>IFERROR(-VLOOKUP($B21,'5.5 - 2024'!$B:$G,5,FALSE),0)</f>
        <v>0</v>
      </c>
      <c r="I21" s="45">
        <f t="shared" si="0"/>
        <v>149.22038000000001</v>
      </c>
    </row>
    <row r="22" spans="2:10" x14ac:dyDescent="0.35">
      <c r="B22" t="str">
        <f>'5.2 - 2021'!B20</f>
        <v>WH1 Headgate Replacement</v>
      </c>
      <c r="D22" s="44">
        <f>IFERROR(-VLOOKUP($B22,'5.2 - 2021'!$B:$G,5,FALSE),0)</f>
        <v>0</v>
      </c>
      <c r="E22" s="44">
        <f>IFERROR(-VLOOKUP($B22,'5.3 - 2022'!$B:$G,5,FALSE),0)</f>
        <v>2203.7867799999999</v>
      </c>
      <c r="F22" s="44">
        <f>IFERROR(-VLOOKUP($B22,'5.4 - 2023'!$B:$G,5,FALSE),0)</f>
        <v>0</v>
      </c>
      <c r="G22" s="44">
        <f>IFERROR(-VLOOKUP($B22,'5.5 - 2024'!$B:$G,5,FALSE),0)</f>
        <v>0</v>
      </c>
      <c r="I22" s="45">
        <f t="shared" si="0"/>
        <v>2203.7867799999999</v>
      </c>
    </row>
    <row r="23" spans="2:10" x14ac:dyDescent="0.35">
      <c r="B23" t="str">
        <f>'5.4 - 2023'!B13</f>
        <v>2023 Mayo-Faro Diesel Infrastructure</v>
      </c>
      <c r="D23" s="44">
        <f>IFERROR(-VLOOKUP($B23,'5.2 - 2021'!$B:$G,5,FALSE),0)</f>
        <v>0</v>
      </c>
      <c r="E23" s="44">
        <f>IFERROR(-VLOOKUP($B23,'5.3 - 2022'!$B:$G,5,FALSE),0)</f>
        <v>0</v>
      </c>
      <c r="F23" s="44">
        <f>IFERROR(-VLOOKUP($B23,'5.4 - 2023'!$B:$G,5,FALSE),0)</f>
        <v>4300</v>
      </c>
      <c r="G23" s="44">
        <f>IFERROR(-VLOOKUP($B23,'5.5 - 2024'!$B:$G,5,FALSE),0)</f>
        <v>0</v>
      </c>
      <c r="I23" s="45">
        <f t="shared" si="0"/>
        <v>4300</v>
      </c>
    </row>
    <row r="24" spans="2:10" x14ac:dyDescent="0.35">
      <c r="B24" t="str">
        <f>'5.3 - 2022'!B18</f>
        <v>P&amp;C: S250 Callison Protection, Control and SCADA Upgrade</v>
      </c>
      <c r="D24" s="44">
        <f>IFERROR(-VLOOKUP($B24,'5.2 - 2021'!$B:$G,5,FALSE),0)</f>
        <v>0</v>
      </c>
      <c r="E24" s="44">
        <f>IFERROR(-VLOOKUP($B24,'5.3 - 2022'!$B:$G,5,FALSE),0)</f>
        <v>0</v>
      </c>
      <c r="F24" s="44">
        <f>IFERROR(-VLOOKUP($B24,'5.4 - 2023'!$B:$G,5,FALSE),0)</f>
        <v>2124.92895</v>
      </c>
      <c r="G24" s="44">
        <f>IFERROR(-VLOOKUP($B24,'5.5 - 2024'!$B:$G,5,FALSE),0)</f>
        <v>0</v>
      </c>
      <c r="I24" s="45">
        <f>SUM(D24:H24)</f>
        <v>2124.92895</v>
      </c>
    </row>
    <row r="25" spans="2:10" x14ac:dyDescent="0.35">
      <c r="B25" t="str">
        <f>'5.3 - 2022'!B19</f>
        <v>Schwatka Lake Safety/Debris Boom</v>
      </c>
      <c r="D25" s="44">
        <f>IFERROR(-VLOOKUP($B25,'5.2 - 2021'!$B:$G,5,FALSE),0)</f>
        <v>0</v>
      </c>
      <c r="E25" s="44">
        <f>IFERROR(-VLOOKUP($B25,'5.3 - 2022'!$B:$G,5,FALSE),0)</f>
        <v>0</v>
      </c>
      <c r="F25" s="44">
        <f>IFERROR(-VLOOKUP($B25,'5.4 - 2023'!$B:$G,5,FALSE),0)</f>
        <v>1096.7510199999999</v>
      </c>
      <c r="G25" s="44">
        <f>IFERROR(-VLOOKUP($B25,'5.5 - 2024'!$B:$G,5,FALSE),0)</f>
        <v>0</v>
      </c>
      <c r="I25" s="45">
        <f>SUM(D25:H25)</f>
        <v>1096.7510199999999</v>
      </c>
    </row>
    <row r="26" spans="2:10" x14ac:dyDescent="0.35">
      <c r="B26" t="str">
        <f>'5.2 - 2021'!B19</f>
        <v>Wareham Spillway Concrete Repair</v>
      </c>
      <c r="D26" s="44">
        <f>IFERROR(-VLOOKUP($B26,'5.2 - 2021'!$B:$G,5,FALSE),0)</f>
        <v>898.07230000000004</v>
      </c>
      <c r="E26" s="44">
        <f>IFERROR(-VLOOKUP($B26,'5.3 - 2022'!$B:$G,5,FALSE),0)</f>
        <v>446.88083</v>
      </c>
      <c r="F26" s="44">
        <f>IFERROR(-VLOOKUP($B26,'5.4 - 2023'!$B:$G,5,FALSE),0)</f>
        <v>500</v>
      </c>
      <c r="G26" s="44">
        <f>IFERROR(-VLOOKUP($B26,'5.5 - 2024'!$B:$G,5,FALSE),0)</f>
        <v>0</v>
      </c>
      <c r="I26" s="45">
        <f>SUM(D26:H26)</f>
        <v>1844.9531300000001</v>
      </c>
    </row>
    <row r="27" spans="2:10" x14ac:dyDescent="0.35">
      <c r="B27" t="str">
        <f>'5.5 - 2024'!B12</f>
        <v>Whitehorse Spillway Stoplog Refurbishment</v>
      </c>
      <c r="D27" s="44">
        <f>IFERROR(-VLOOKUP($B27,'5.2 - 2021'!$B:$G,5,FALSE),0)</f>
        <v>0</v>
      </c>
      <c r="E27" s="44">
        <f>IFERROR(-VLOOKUP($B27,'5.3 - 2022'!$B:$G,5,FALSE),0)</f>
        <v>0</v>
      </c>
      <c r="F27" s="44">
        <f>IFERROR(-VLOOKUP($B27,'5.4 - 2023'!$B:$G,5,FALSE),0)</f>
        <v>0</v>
      </c>
      <c r="G27" s="44">
        <f>IFERROR(-VLOOKUP($B27,'5.5 - 2024'!$B:$G,5,FALSE),0)</f>
        <v>1000</v>
      </c>
      <c r="I27" s="45">
        <f t="shared" si="0"/>
        <v>1000</v>
      </c>
    </row>
    <row r="28" spans="2:10" x14ac:dyDescent="0.35">
      <c r="B28" t="str">
        <f>'5.5 - 2024'!B13</f>
        <v>Lewes River Boat Lock Road Access Rebuild</v>
      </c>
      <c r="D28" s="44">
        <f>IFERROR(-VLOOKUP($B28,'5.2 - 2021'!$B:$G,5,FALSE),0)</f>
        <v>0</v>
      </c>
      <c r="E28" s="44">
        <f>IFERROR(-VLOOKUP($B28,'5.3 - 2022'!$B:$G,5,FALSE),0)</f>
        <v>0</v>
      </c>
      <c r="F28" s="44">
        <f>IFERROR(-VLOOKUP($B28,'5.4 - 2023'!$B:$G,5,FALSE),0)</f>
        <v>0</v>
      </c>
      <c r="G28" s="44">
        <f>IFERROR(-VLOOKUP($B28,'5.5 - 2024'!$B:$G,5,FALSE),0)</f>
        <v>1200</v>
      </c>
      <c r="I28" s="45">
        <f t="shared" si="0"/>
        <v>1200</v>
      </c>
    </row>
    <row r="29" spans="2:10" x14ac:dyDescent="0.35">
      <c r="D29" s="44"/>
      <c r="E29" s="44"/>
      <c r="F29" s="44"/>
      <c r="G29" s="44"/>
      <c r="I29" s="45"/>
    </row>
    <row r="30" spans="2:10" x14ac:dyDescent="0.35">
      <c r="B30" s="24" t="s">
        <v>74</v>
      </c>
      <c r="D30" s="46">
        <f>SUM(D10:D29)</f>
        <v>22908.639150000003</v>
      </c>
      <c r="E30" s="46">
        <f>SUM(E10:E29)</f>
        <v>8295.8857599999992</v>
      </c>
      <c r="F30" s="46">
        <f>SUM(F10:F29)</f>
        <v>15142.713539999999</v>
      </c>
      <c r="G30" s="46">
        <f>SUM(G10:G29)</f>
        <v>38446.07215</v>
      </c>
      <c r="I30" s="47">
        <f>SUM(I10:I29)</f>
        <v>84793.310599999997</v>
      </c>
      <c r="J30" s="47"/>
    </row>
    <row r="32" spans="2:10" x14ac:dyDescent="0.35">
      <c r="B32" s="24" t="s">
        <v>53</v>
      </c>
    </row>
    <row r="34" spans="2:10" x14ac:dyDescent="0.35">
      <c r="B34" s="24" t="s">
        <v>29</v>
      </c>
    </row>
    <row r="35" spans="2:10" x14ac:dyDescent="0.35">
      <c r="B35" t="str">
        <f>'5.2 - 2021'!B26</f>
        <v>Faro Fuel System</v>
      </c>
      <c r="D35" s="44">
        <f>IFERROR(-VLOOKUP($B35,'5.2 - 2021'!$B:$G,5,FALSE),0)</f>
        <v>0</v>
      </c>
      <c r="E35" s="44">
        <f>IFERROR(-VLOOKUP($B35,'5.3 - 2022'!$B:$G,5,FALSE),0)</f>
        <v>990.75775999999996</v>
      </c>
      <c r="F35" s="44">
        <f>IFERROR(-VLOOKUP($B35,'5.4 - 2023'!$B:$G,5,FALSE),0)</f>
        <v>0</v>
      </c>
      <c r="G35" s="44">
        <f>IFERROR(-VLOOKUP($B35,'5.5 - 2024'!$B:$G,5,FALSE),0)</f>
        <v>0</v>
      </c>
      <c r="I35" s="45">
        <f t="shared" ref="I35:I44" si="1">SUM(D35:H35)</f>
        <v>990.75775999999996</v>
      </c>
    </row>
    <row r="36" spans="2:10" x14ac:dyDescent="0.35">
      <c r="B36" t="str">
        <f>'5.2 - 2021'!B27</f>
        <v>Wareham Spillway Stoplogs - New Set</v>
      </c>
      <c r="D36" s="44">
        <f>IFERROR(-VLOOKUP($B36,'5.2 - 2021'!$B:$G,5,FALSE),0)</f>
        <v>385.22419000000002</v>
      </c>
      <c r="E36" s="44">
        <f>IFERROR(-VLOOKUP($B36,'5.3 - 2022'!$B:$G,5,FALSE),0)</f>
        <v>0</v>
      </c>
      <c r="F36" s="44">
        <f>IFERROR(-VLOOKUP($B36,'5.4 - 2023'!$B:$G,5,FALSE),0)</f>
        <v>0</v>
      </c>
      <c r="G36" s="44">
        <f>IFERROR(-VLOOKUP($B36,'5.5 - 2024'!$B:$G,5,FALSE),0)</f>
        <v>0</v>
      </c>
      <c r="I36" s="45">
        <f t="shared" si="1"/>
        <v>385.22419000000002</v>
      </c>
    </row>
    <row r="37" spans="2:10" x14ac:dyDescent="0.35">
      <c r="B37" t="str">
        <f>'5.2 - 2021'!B28</f>
        <v>WH3 Tailrace Gate Certification</v>
      </c>
      <c r="D37" s="44">
        <f>IFERROR(-VLOOKUP($B37,'5.2 - 2021'!$B:$G,5,FALSE),0)</f>
        <v>0</v>
      </c>
      <c r="E37" s="44">
        <f>IFERROR(-VLOOKUP($B37,'5.3 - 2022'!$B:$G,5,FALSE),0)</f>
        <v>248.93143000000001</v>
      </c>
      <c r="F37" s="44">
        <f>IFERROR(-VLOOKUP($B37,'5.4 - 2023'!$B:$G,5,FALSE),0)</f>
        <v>0</v>
      </c>
      <c r="G37" s="44">
        <f>IFERROR(-VLOOKUP($B37,'5.5 - 2024'!$B:$G,5,FALSE),0)</f>
        <v>0</v>
      </c>
      <c r="I37" s="45">
        <f t="shared" si="1"/>
        <v>248.93143000000001</v>
      </c>
    </row>
    <row r="38" spans="2:10" x14ac:dyDescent="0.35">
      <c r="B38" t="str">
        <f>'5.4 - 2023'!B23</f>
        <v>MBH1/2 Seal Water Filtration</v>
      </c>
      <c r="D38" s="44">
        <f>IFERROR(-VLOOKUP($B38,'5.2 - 2021'!$B:$G,5,FALSE),0)</f>
        <v>0</v>
      </c>
      <c r="E38" s="44">
        <f>IFERROR(-VLOOKUP($B38,'5.3 - 2022'!$B:$G,5,FALSE),0)</f>
        <v>0</v>
      </c>
      <c r="F38" s="44">
        <f>IFERROR(-VLOOKUP($B38,'5.4 - 2023'!$B:$G,5,FALSE),0)</f>
        <v>285.69355000000002</v>
      </c>
      <c r="G38" s="44">
        <f>IFERROR(-VLOOKUP($B38,'5.5 - 2024'!$B:$G,5,FALSE),0)</f>
        <v>0</v>
      </c>
      <c r="I38" s="45">
        <f t="shared" si="1"/>
        <v>285.69355000000002</v>
      </c>
    </row>
    <row r="39" spans="2:10" x14ac:dyDescent="0.35">
      <c r="B39" t="str">
        <f>'5.5 - 2024'!B19</f>
        <v>WH4 Air Admission Valve Automation</v>
      </c>
      <c r="D39" s="44">
        <f>IFERROR(-VLOOKUP($B39,'5.2 - 2021'!$B:$G,5,FALSE),0)</f>
        <v>0</v>
      </c>
      <c r="E39" s="44">
        <f>IFERROR(-VLOOKUP($B39,'5.3 - 2022'!$B:$G,5,FALSE),0)</f>
        <v>0</v>
      </c>
      <c r="F39" s="44">
        <f>IFERROR(-VLOOKUP($B39,'5.4 - 2023'!$B:$G,5,FALSE),0)</f>
        <v>0</v>
      </c>
      <c r="G39" s="44">
        <f>IFERROR(-VLOOKUP($B39,'5.5 - 2024'!$B:$G,5,FALSE),0)</f>
        <v>200</v>
      </c>
      <c r="I39" s="45">
        <f t="shared" si="1"/>
        <v>200</v>
      </c>
    </row>
    <row r="40" spans="2:10" x14ac:dyDescent="0.35">
      <c r="B40" t="str">
        <f>'5.5 - 2024'!B20</f>
        <v>WG2 Cylinder Heads Swap</v>
      </c>
      <c r="D40" s="44">
        <f>IFERROR(-VLOOKUP($B40,'5.2 - 2021'!$B:$G,5,FALSE),0)</f>
        <v>0</v>
      </c>
      <c r="E40" s="44">
        <f>IFERROR(-VLOOKUP($B40,'5.3 - 2022'!$B:$G,5,FALSE),0)</f>
        <v>0</v>
      </c>
      <c r="F40" s="44">
        <f>IFERROR(-VLOOKUP($B40,'5.4 - 2023'!$B:$G,5,FALSE),0)</f>
        <v>0</v>
      </c>
      <c r="G40" s="44">
        <f>IFERROR(-VLOOKUP($B40,'5.5 - 2024'!$B:$G,5,FALSE),0)</f>
        <v>500</v>
      </c>
      <c r="I40" s="45">
        <f t="shared" si="1"/>
        <v>500</v>
      </c>
    </row>
    <row r="41" spans="2:10" x14ac:dyDescent="0.35">
      <c r="B41" t="str">
        <f>'5.5 - 2024'!B21</f>
        <v>WG1 Radiator Replacement</v>
      </c>
      <c r="D41" s="44">
        <f>IFERROR(-VLOOKUP($B41,'5.2 - 2021'!$B:$G,5,FALSE),0)</f>
        <v>0</v>
      </c>
      <c r="E41" s="44">
        <f>IFERROR(-VLOOKUP($B41,'5.3 - 2022'!$B:$G,5,FALSE),0)</f>
        <v>0</v>
      </c>
      <c r="F41" s="44">
        <f>IFERROR(-VLOOKUP($B41,'5.4 - 2023'!$B:$G,5,FALSE),0)</f>
        <v>0</v>
      </c>
      <c r="G41" s="44">
        <f>IFERROR(-VLOOKUP($B41,'5.5 - 2024'!$B:$G,5,FALSE),0)</f>
        <v>300</v>
      </c>
      <c r="I41" s="45">
        <f t="shared" si="1"/>
        <v>300</v>
      </c>
    </row>
    <row r="42" spans="2:10" x14ac:dyDescent="0.35">
      <c r="B42" t="str">
        <f>'5.2 - 2021'!B29</f>
        <v xml:space="preserve">WH1&amp;2 Penstock Repair </v>
      </c>
      <c r="D42" s="44">
        <f>IFERROR(-VLOOKUP($B42,'5.2 - 2021'!$B:$G,5,FALSE),0)</f>
        <v>226.67295999999999</v>
      </c>
      <c r="E42" s="44">
        <f>IFERROR(-VLOOKUP($B42,'5.3 - 2022'!$B:$G,5,FALSE),0)</f>
        <v>0</v>
      </c>
      <c r="F42" s="44">
        <f>IFERROR(-VLOOKUP($B42,'5.4 - 2023'!$B:$G,5,FALSE),0)</f>
        <v>0</v>
      </c>
      <c r="G42" s="44">
        <f>IFERROR(-VLOOKUP($B42,'5.5 - 2024'!$B:$G,5,FALSE),0)</f>
        <v>0</v>
      </c>
      <c r="I42" s="45">
        <f>SUM(D42:H42)</f>
        <v>226.67295999999999</v>
      </c>
    </row>
    <row r="43" spans="2:10" x14ac:dyDescent="0.35">
      <c r="B43" t="str">
        <f>'5.2 - 2021'!B30</f>
        <v>Wareham Spillway - Gate Refurbishment</v>
      </c>
      <c r="D43" s="44">
        <f>IFERROR(-VLOOKUP($B43,'5.2 - 2021'!$B:$G,5,FALSE),0)</f>
        <v>482.75354000000004</v>
      </c>
      <c r="E43" s="44">
        <f>IFERROR(-VLOOKUP($B43,'5.3 - 2022'!$B:$G,5,FALSE),0)</f>
        <v>0</v>
      </c>
      <c r="F43" s="44">
        <f>IFERROR(-VLOOKUP($B43,'5.4 - 2023'!$B:$G,5,FALSE),0)</f>
        <v>0</v>
      </c>
      <c r="G43" s="44">
        <f>IFERROR(-VLOOKUP($B43,'5.5 - 2024'!$B:$G,5,FALSE),0)</f>
        <v>0</v>
      </c>
      <c r="I43" s="45">
        <f>SUM(D43:H43)</f>
        <v>482.75354000000004</v>
      </c>
    </row>
    <row r="44" spans="2:10" x14ac:dyDescent="0.35">
      <c r="B44" t="str">
        <f>'5.5 - 2024'!B22</f>
        <v>Other Projects with &lt;$100k Spending</v>
      </c>
      <c r="D44" s="44">
        <f>-'5.2 - 2021'!F31</f>
        <v>311.76300000000003</v>
      </c>
      <c r="E44" s="44">
        <f>-'5.3 - 2022'!F29</f>
        <v>306.93600000000009</v>
      </c>
      <c r="F44" s="44">
        <f>-'5.4 - 2023'!F24</f>
        <v>255.67598999999998</v>
      </c>
      <c r="G44" s="44">
        <f>-'5.5 - 2024'!F22</f>
        <v>74.989999999999995</v>
      </c>
      <c r="I44" s="45">
        <f t="shared" si="1"/>
        <v>949.36499000000003</v>
      </c>
    </row>
    <row r="45" spans="2:10" x14ac:dyDescent="0.35">
      <c r="B45" s="24" t="s">
        <v>74</v>
      </c>
      <c r="D45" s="47">
        <f>SUM(D35:D44)</f>
        <v>1406.4136899999999</v>
      </c>
      <c r="E45" s="47">
        <f>SUM(E35:E44)</f>
        <v>1546.6251900000002</v>
      </c>
      <c r="F45" s="47">
        <f>SUM(F35:F44)</f>
        <v>541.36954000000003</v>
      </c>
      <c r="G45" s="47">
        <f>SUM(G35:G44)</f>
        <v>1074.99</v>
      </c>
      <c r="H45" s="47"/>
      <c r="I45" s="47">
        <f>SUM(I35:I44)</f>
        <v>4569.3984199999995</v>
      </c>
      <c r="J45" s="47"/>
    </row>
    <row r="46" spans="2:10" x14ac:dyDescent="0.35">
      <c r="I46" s="45"/>
    </row>
    <row r="47" spans="2:10" x14ac:dyDescent="0.35">
      <c r="B47" s="24" t="s">
        <v>26</v>
      </c>
      <c r="I47" s="45"/>
    </row>
    <row r="48" spans="2:10" x14ac:dyDescent="0.35">
      <c r="B48" t="str">
        <f>'5.2 - 2021'!B35</f>
        <v>Transmission Line Access</v>
      </c>
      <c r="D48" s="44">
        <f>IFERROR(-VLOOKUP($B48,'5.2 - 2021'!$B:$G,5,FALSE),0)</f>
        <v>551.52229</v>
      </c>
      <c r="E48" s="44">
        <f>IFERROR(-VLOOKUP($B48,'5.3 - 2022'!$B:$G,5,FALSE),0)</f>
        <v>0</v>
      </c>
      <c r="F48" s="44">
        <f>IFERROR(-VLOOKUP($B48,'5.4 - 2023'!$B:$G,5,FALSE),0)</f>
        <v>0</v>
      </c>
      <c r="G48" s="44">
        <f>IFERROR(-VLOOKUP($B48,'5.5 - 2024'!$B:$G,5,FALSE),0)</f>
        <v>0</v>
      </c>
      <c r="I48" s="45">
        <f t="shared" ref="I48:I57" si="2">SUM(D48:H48)</f>
        <v>551.52229</v>
      </c>
    </row>
    <row r="49" spans="2:10" x14ac:dyDescent="0.35">
      <c r="B49" t="str">
        <f>'5.2 - 2021'!B36</f>
        <v>Alexco Mobile Substation Connection</v>
      </c>
      <c r="D49" s="44">
        <f>IFERROR(-VLOOKUP($B49,'5.2 - 2021'!$B:$G,5,FALSE),0)</f>
        <v>193.42060000000001</v>
      </c>
      <c r="E49" s="44">
        <f>IFERROR(-VLOOKUP($B49,'5.3 - 2022'!$B:$G,5,FALSE),0)</f>
        <v>0</v>
      </c>
      <c r="F49" s="44">
        <f>IFERROR(-VLOOKUP($B49,'5.4 - 2023'!$B:$G,5,FALSE),0)</f>
        <v>0</v>
      </c>
      <c r="G49" s="44">
        <f>IFERROR(-VLOOKUP($B49,'5.5 - 2024'!$B:$G,5,FALSE),0)</f>
        <v>0</v>
      </c>
      <c r="I49" s="45">
        <f t="shared" si="2"/>
        <v>193.42060000000001</v>
      </c>
    </row>
    <row r="50" spans="2:10" x14ac:dyDescent="0.35">
      <c r="B50" t="str">
        <f>'5.2 - 2021'!B37</f>
        <v>Alexco Mobile Substation Connection Contributions</v>
      </c>
      <c r="D50" s="44">
        <f>IFERROR(-VLOOKUP($B50,'5.2 - 2021'!$B:$G,5,FALSE),0)</f>
        <v>-193.19989000000001</v>
      </c>
      <c r="E50" s="44">
        <f>IFERROR(-VLOOKUP($B50,'5.3 - 2022'!$B:$G,5,FALSE),0)</f>
        <v>0</v>
      </c>
      <c r="F50" s="44">
        <f>IFERROR(-VLOOKUP($B50,'5.4 - 2023'!$B:$G,5,FALSE),0)</f>
        <v>0</v>
      </c>
      <c r="G50" s="44">
        <f>IFERROR(-VLOOKUP($B50,'5.5 - 2024'!$B:$G,5,FALSE),0)</f>
        <v>0</v>
      </c>
      <c r="I50" s="45">
        <f t="shared" si="2"/>
        <v>-193.19989000000001</v>
      </c>
    </row>
    <row r="51" spans="2:10" x14ac:dyDescent="0.35">
      <c r="B51" t="str">
        <f>'5.2 - 2021'!B38</f>
        <v>L177 Re Route</v>
      </c>
      <c r="D51" s="44">
        <f>IFERROR(-VLOOKUP($B51,'5.2 - 2021'!$B:$G,5,FALSE),0)</f>
        <v>0</v>
      </c>
      <c r="E51" s="44">
        <f>IFERROR(-VLOOKUP($B51,'5.3 - 2022'!$B:$G,5,FALSE),0)</f>
        <v>11.66112</v>
      </c>
      <c r="F51" s="44">
        <f>IFERROR(-VLOOKUP($B51,'5.4 - 2023'!$B:$G,5,FALSE),0)</f>
        <v>738.27692000000002</v>
      </c>
      <c r="G51" s="44">
        <f>IFERROR(-VLOOKUP($B51,'5.5 - 2024'!$B:$G,5,FALSE),0)</f>
        <v>0</v>
      </c>
      <c r="I51" s="45">
        <f t="shared" si="2"/>
        <v>749.93804</v>
      </c>
    </row>
    <row r="52" spans="2:10" x14ac:dyDescent="0.35">
      <c r="B52" t="str">
        <f>'5.4 - 2023'!B30</f>
        <v>L177 Re Route Contributions</v>
      </c>
      <c r="D52" s="44">
        <f>IFERROR(-VLOOKUP($B52,'5.2 - 2021'!$B:$G,5,FALSE),0)</f>
        <v>0</v>
      </c>
      <c r="E52" s="44">
        <f>IFERROR(-VLOOKUP($B52,'5.3 - 2022'!$B:$G,5,FALSE),0)</f>
        <v>0</v>
      </c>
      <c r="F52" s="44">
        <f>IFERROR(-VLOOKUP($B52,'5.4 - 2023'!$B:$G,5,FALSE),0)</f>
        <v>-433.57489000000004</v>
      </c>
      <c r="G52" s="44">
        <f>IFERROR(-VLOOKUP($B52,'5.5 - 2024'!$B:$G,5,FALSE),0)</f>
        <v>0</v>
      </c>
      <c r="I52" s="45">
        <f t="shared" ref="I52" si="3">SUM(D52:H52)</f>
        <v>-433.57489000000004</v>
      </c>
    </row>
    <row r="53" spans="2:10" x14ac:dyDescent="0.35">
      <c r="B53" t="str">
        <f>'5.4 - 2023'!B31</f>
        <v>NWTEL Make Ready Work</v>
      </c>
      <c r="D53" s="44">
        <f>IFERROR(-VLOOKUP($B53,'5.2 - 2021'!$B:$G,5,FALSE),0)</f>
        <v>0</v>
      </c>
      <c r="E53" s="44">
        <f>IFERROR(-VLOOKUP($B53,'5.3 - 2022'!$B:$G,5,FALSE),0)</f>
        <v>0</v>
      </c>
      <c r="F53" s="44">
        <f>IFERROR(-VLOOKUP($B53,'5.4 - 2023'!$B:$G,5,FALSE),0)</f>
        <v>175</v>
      </c>
      <c r="G53" s="44">
        <f>IFERROR(-VLOOKUP($B53,'5.5 - 2024'!$B:$G,5,FALSE),0)</f>
        <v>0</v>
      </c>
      <c r="I53" s="45">
        <f t="shared" ref="I53" si="4">SUM(D53:H53)</f>
        <v>175</v>
      </c>
    </row>
    <row r="54" spans="2:10" x14ac:dyDescent="0.35">
      <c r="B54" t="str">
        <f>'5.5 - 2024'!B26</f>
        <v>P&amp;C: S170 Protection, Control and SCADA Upgrade</v>
      </c>
      <c r="D54" s="44">
        <f>IFERROR(-VLOOKUP($B54,'5.2 - 2021'!$B:$G,5,FALSE),0)</f>
        <v>0</v>
      </c>
      <c r="E54" s="44">
        <f>IFERROR(-VLOOKUP($B54,'5.3 - 2022'!$B:$G,5,FALSE),0)</f>
        <v>0</v>
      </c>
      <c r="F54" s="44">
        <f>IFERROR(-VLOOKUP($B54,'5.4 - 2023'!$B:$G,5,FALSE),0)</f>
        <v>0</v>
      </c>
      <c r="G54" s="44">
        <f>IFERROR(-VLOOKUP($B54,'5.5 - 2024'!$B:$G,5,FALSE),0)</f>
        <v>839</v>
      </c>
      <c r="I54" s="45">
        <f t="shared" si="2"/>
        <v>839</v>
      </c>
    </row>
    <row r="55" spans="2:10" x14ac:dyDescent="0.35">
      <c r="B55" t="str">
        <f>'5.5 - 2024'!B27</f>
        <v>L177 Gang Switches</v>
      </c>
      <c r="D55" s="44">
        <f>IFERROR(-VLOOKUP($B55,'5.2 - 2021'!$B:$G,5,FALSE),0)</f>
        <v>0</v>
      </c>
      <c r="E55" s="44">
        <f>IFERROR(-VLOOKUP($B55,'5.3 - 2022'!$B:$G,5,FALSE),0)</f>
        <v>0</v>
      </c>
      <c r="F55" s="44">
        <f>IFERROR(-VLOOKUP($B55,'5.4 - 2023'!$B:$G,5,FALSE),0)</f>
        <v>0</v>
      </c>
      <c r="G55" s="44">
        <f>IFERROR(-VLOOKUP($B55,'5.5 - 2024'!$B:$G,5,FALSE),0)</f>
        <v>250</v>
      </c>
      <c r="I55" s="45">
        <f t="shared" si="2"/>
        <v>250</v>
      </c>
    </row>
    <row r="56" spans="2:10" x14ac:dyDescent="0.35">
      <c r="B56" t="str">
        <f>'5.5 - 2024'!B28</f>
        <v>Transmission Line Test and Treat Program 2020-22</v>
      </c>
      <c r="D56" s="44">
        <f>IFERROR(-VLOOKUP($B56,'5.2 - 2021'!$B:$G,5,FALSE),0)</f>
        <v>0</v>
      </c>
      <c r="E56" s="44">
        <f>IFERROR(-VLOOKUP($B56,'5.3 - 2022'!$B:$G,5,FALSE),0)</f>
        <v>0</v>
      </c>
      <c r="F56" s="44">
        <f>IFERROR(-VLOOKUP($B56,'5.4 - 2023'!$B:$G,5,FALSE),0)</f>
        <v>0</v>
      </c>
      <c r="G56" s="44">
        <f>IFERROR(-VLOOKUP($B56,'5.5 - 2024'!$B:$G,5,FALSE),0)</f>
        <v>250</v>
      </c>
      <c r="I56" s="45">
        <f>SUM(D56:H56)</f>
        <v>250</v>
      </c>
    </row>
    <row r="57" spans="2:10" x14ac:dyDescent="0.35">
      <c r="B57" t="str">
        <f>'5.5 - 2024'!B29</f>
        <v>Other Projects with &lt;$100k Spending</v>
      </c>
      <c r="D57" s="44">
        <f>-'5.2 - 2021'!F39</f>
        <v>25.857499999999987</v>
      </c>
      <c r="E57" s="44">
        <f>-'5.3 - 2022'!F34</f>
        <v>132.44166000000001</v>
      </c>
      <c r="F57" s="44">
        <f>-'5.4 - 2023'!F32</f>
        <v>104.42651000000001</v>
      </c>
      <c r="G57" s="44">
        <f>-'5.5 - 2024'!F29</f>
        <v>145</v>
      </c>
      <c r="I57" s="45">
        <f t="shared" si="2"/>
        <v>407.72567000000004</v>
      </c>
    </row>
    <row r="58" spans="2:10" x14ac:dyDescent="0.35">
      <c r="B58" s="24" t="s">
        <v>74</v>
      </c>
      <c r="D58" s="47">
        <f>SUM(D48:D57)</f>
        <v>577.60050000000001</v>
      </c>
      <c r="E58" s="47">
        <f t="shared" ref="E58:G58" si="5">SUM(E48:E57)</f>
        <v>144.10278000000002</v>
      </c>
      <c r="F58" s="47">
        <f t="shared" si="5"/>
        <v>584.12853999999993</v>
      </c>
      <c r="G58" s="47">
        <f t="shared" si="5"/>
        <v>1484</v>
      </c>
      <c r="H58" s="47"/>
      <c r="I58" s="47">
        <f>SUM(I48:I57)</f>
        <v>2789.8318199999994</v>
      </c>
      <c r="J58" s="47"/>
    </row>
    <row r="60" spans="2:10" x14ac:dyDescent="0.35">
      <c r="B60" s="24" t="s">
        <v>27</v>
      </c>
    </row>
    <row r="61" spans="2:10" x14ac:dyDescent="0.35">
      <c r="B61" t="str">
        <f>'5.2 - 2021'!B43</f>
        <v>Customer Extensions</v>
      </c>
      <c r="D61" s="44">
        <f>IFERROR(-VLOOKUP($B61,'5.2 - 2021'!$B:$G,5,FALSE),0)</f>
        <v>942.91110000000003</v>
      </c>
      <c r="E61" s="44">
        <f>IFERROR(-VLOOKUP($B61,'5.3 - 2022'!$B:$G,5,FALSE),0)</f>
        <v>200.8546</v>
      </c>
      <c r="F61" s="44">
        <f>IFERROR(-VLOOKUP($B61,'5.4 - 2023'!$B:$G,5,FALSE),0)</f>
        <v>1727.05225</v>
      </c>
      <c r="G61" s="44">
        <f>IFERROR(-VLOOKUP($B61,'5.5 - 2024'!$B:$G,5,FALSE),0)</f>
        <v>600</v>
      </c>
      <c r="I61" s="45">
        <f t="shared" ref="I61:I67" si="6">SUM(D61:H61)</f>
        <v>3470.8179499999997</v>
      </c>
    </row>
    <row r="62" spans="2:10" x14ac:dyDescent="0.35">
      <c r="B62" t="str">
        <f>'5.2 - 2021'!B44</f>
        <v>Customer Extensions Customer Contributions</v>
      </c>
      <c r="D62" s="44">
        <f>IFERROR(-VLOOKUP($B62,'5.2 - 2021'!$B:$G,5,FALSE),0)</f>
        <v>-846.05845999999997</v>
      </c>
      <c r="E62" s="44">
        <f>IFERROR(-VLOOKUP($B62,'5.3 - 2022'!$B:$G,5,FALSE),0)</f>
        <v>-122.98919000000001</v>
      </c>
      <c r="F62" s="44">
        <f>IFERROR(-VLOOKUP($B62,'5.4 - 2023'!$B:$G,5,FALSE),0)</f>
        <v>-1260.6763000000001</v>
      </c>
      <c r="G62" s="44">
        <f>IFERROR(-VLOOKUP($B62,'5.5 - 2024'!$B:$G,5,FALSE),0)</f>
        <v>-400</v>
      </c>
      <c r="I62" s="45">
        <f t="shared" si="6"/>
        <v>-2629.7239500000001</v>
      </c>
    </row>
    <row r="63" spans="2:10" x14ac:dyDescent="0.35">
      <c r="B63" t="str">
        <f>'5.2 - 2021'!B64</f>
        <v>IPP Connections</v>
      </c>
      <c r="D63" s="44">
        <f>IFERROR(-VLOOKUP($B63,'5.2 - 2021'!$B:$G,5,FALSE),0)</f>
        <v>0</v>
      </c>
      <c r="E63" s="44">
        <f>IFERROR(-VLOOKUP($B63,'5.3 - 2022'!$B:$G,5,FALSE),0)</f>
        <v>0</v>
      </c>
      <c r="F63" s="44">
        <f>IFERROR(-VLOOKUP($B63,'5.4 - 2023'!$B:$G,5,FALSE),0)</f>
        <v>5205.32953</v>
      </c>
      <c r="G63" s="44">
        <f>IFERROR(-VLOOKUP($B63,'5.5 - 2024'!$B:$G,5,FALSE),0)</f>
        <v>0</v>
      </c>
      <c r="I63" s="45">
        <f t="shared" si="6"/>
        <v>5205.32953</v>
      </c>
    </row>
    <row r="64" spans="2:10" x14ac:dyDescent="0.35">
      <c r="B64" t="str">
        <f>'5.2 - 2021'!B65</f>
        <v>IPP Connections Customer Contributions</v>
      </c>
      <c r="D64" s="44">
        <f>IFERROR(-VLOOKUP($B64,'5.2 - 2021'!$B:$G,5,FALSE),0)</f>
        <v>0</v>
      </c>
      <c r="E64" s="44">
        <f>IFERROR(-VLOOKUP($B64,'5.3 - 2022'!$B:$G,5,FALSE),0)</f>
        <v>0</v>
      </c>
      <c r="F64" s="44">
        <f>IFERROR(-VLOOKUP($B64,'5.4 - 2023'!$B:$G,5,FALSE),0)</f>
        <v>-6400.9201299999995</v>
      </c>
      <c r="G64" s="44">
        <f>IFERROR(-VLOOKUP($B64,'5.5 - 2024'!$B:$G,5,FALSE),0)</f>
        <v>0</v>
      </c>
      <c r="I64" s="45">
        <f t="shared" si="6"/>
        <v>-6400.9201299999995</v>
      </c>
    </row>
    <row r="65" spans="2:10" x14ac:dyDescent="0.35">
      <c r="B65" t="str">
        <f>'5.2 - 2021'!B45</f>
        <v>Synchronous Condenser Overhaul</v>
      </c>
      <c r="D65" s="44">
        <f>IFERROR(-VLOOKUP($B65,'5.2 - 2021'!$B:$G,5,FALSE),0)</f>
        <v>0</v>
      </c>
      <c r="E65" s="44">
        <f>IFERROR(-VLOOKUP($B65,'5.3 - 2022'!$B:$G,5,FALSE),0)</f>
        <v>0</v>
      </c>
      <c r="F65" s="44">
        <f>IFERROR(-VLOOKUP($B65,'5.4 - 2023'!$B:$G,5,FALSE),0)</f>
        <v>616.2600799999999</v>
      </c>
      <c r="G65" s="44">
        <f>IFERROR(-VLOOKUP($B65,'5.5 - 2024'!$B:$G,5,FALSE),0)</f>
        <v>0</v>
      </c>
      <c r="I65" s="45">
        <f t="shared" si="6"/>
        <v>616.2600799999999</v>
      </c>
    </row>
    <row r="66" spans="2:10" x14ac:dyDescent="0.35">
      <c r="B66" t="str">
        <f>'5.4 - 2023'!B41</f>
        <v>Dawson Distribution 3 Phase Loop</v>
      </c>
      <c r="D66" s="44">
        <f>IFERROR(-VLOOKUP($B66,'5.2 - 2021'!$B:$G,5,FALSE),0)</f>
        <v>0</v>
      </c>
      <c r="E66" s="44">
        <f>IFERROR(-VLOOKUP($B66,'5.3 - 2022'!$B:$G,5,FALSE),0)</f>
        <v>0</v>
      </c>
      <c r="F66" s="44">
        <f>IFERROR(-VLOOKUP($B66,'5.4 - 2023'!$B:$G,5,FALSE),0)</f>
        <v>350</v>
      </c>
      <c r="G66" s="44">
        <f>IFERROR(-VLOOKUP($B66,'5.5 - 2024'!$B:$G,5,FALSE),0)</f>
        <v>0</v>
      </c>
      <c r="I66" s="45">
        <f t="shared" si="6"/>
        <v>350</v>
      </c>
    </row>
    <row r="67" spans="2:10" x14ac:dyDescent="0.35">
      <c r="B67" t="str">
        <f>'5.5 - 2024'!B35</f>
        <v>Other Projects with &lt;$100k Spending</v>
      </c>
      <c r="D67" s="44">
        <f>-'5.2 - 2021'!F46</f>
        <v>48.43526</v>
      </c>
      <c r="E67" s="44">
        <f>-'5.3 - 2022'!F43</f>
        <v>97.921970000000002</v>
      </c>
      <c r="F67" s="44">
        <f>-'5.4 - 2023'!F42</f>
        <v>150</v>
      </c>
      <c r="G67" s="44">
        <f>-'5.5 - 2024'!F35</f>
        <v>155</v>
      </c>
      <c r="I67" s="45">
        <f t="shared" si="6"/>
        <v>451.35723000000002</v>
      </c>
    </row>
    <row r="68" spans="2:10" x14ac:dyDescent="0.35">
      <c r="B68" s="24" t="s">
        <v>74</v>
      </c>
      <c r="D68" s="47">
        <f>SUM(D61:D67)</f>
        <v>145.28790000000006</v>
      </c>
      <c r="E68" s="47">
        <f t="shared" ref="E68:G68" si="7">SUM(E61:E67)</f>
        <v>175.78737999999998</v>
      </c>
      <c r="F68" s="47">
        <f t="shared" si="7"/>
        <v>387.04543000000001</v>
      </c>
      <c r="G68" s="47">
        <f t="shared" si="7"/>
        <v>355</v>
      </c>
      <c r="H68" s="47"/>
      <c r="I68" s="47">
        <f>SUM(I61:I67)</f>
        <v>1063.1207100000004</v>
      </c>
      <c r="J68" s="47"/>
    </row>
    <row r="70" spans="2:10" x14ac:dyDescent="0.35">
      <c r="B70" s="24" t="s">
        <v>66</v>
      </c>
    </row>
    <row r="71" spans="2:10" x14ac:dyDescent="0.35">
      <c r="B71" t="str">
        <f>'5.2 - 2021'!B50</f>
        <v>Major Crane Assessment/Refurbishment</v>
      </c>
      <c r="D71" s="44">
        <f>IFERROR(-VLOOKUP($B71,'5.2 - 2021'!$B:$G,5,FALSE),0)</f>
        <v>292.83492000000001</v>
      </c>
      <c r="E71" s="44">
        <f>IFERROR(-VLOOKUP($B71,'5.3 - 2022'!$B:$G,5,FALSE),0)</f>
        <v>0</v>
      </c>
      <c r="F71" s="44">
        <f>IFERROR(-VLOOKUP($B71,'5.4 - 2023'!$B:$G,5,FALSE),0)</f>
        <v>0</v>
      </c>
      <c r="G71" s="44">
        <f>IFERROR(-VLOOKUP($B71,'5.5 - 2024'!$B:$G,5,FALSE),0)</f>
        <v>700</v>
      </c>
      <c r="I71" s="45">
        <f t="shared" ref="I71:I82" si="8">SUM(D71:H71)</f>
        <v>992.83492000000001</v>
      </c>
    </row>
    <row r="72" spans="2:10" x14ac:dyDescent="0.35">
      <c r="B72" t="str">
        <f>'5.2 - 2021'!B51</f>
        <v>Server Replacements</v>
      </c>
      <c r="D72" s="58">
        <f>IFERROR(-VLOOKUP($B72,'5.2 - 2021'!$B:$G,5,FALSE),0)</f>
        <v>118.86727999999999</v>
      </c>
      <c r="E72" s="58">
        <f>IFERROR(-VLOOKUP($B72,'5.3 - 2022'!$B:$G,5,FALSE),0)</f>
        <v>0</v>
      </c>
      <c r="F72" s="58">
        <f>IFERROR(-VLOOKUP($B72,'5.4 - 2023'!$B:$G,5,FALSE),0)</f>
        <v>0</v>
      </c>
      <c r="G72" s="58">
        <f>IFERROR(-VLOOKUP($B72,'5.5 - 2024'!$B:$G,5,FALSE),0)</f>
        <v>0</v>
      </c>
      <c r="I72" s="45">
        <f t="shared" si="8"/>
        <v>118.86727999999999</v>
      </c>
    </row>
    <row r="73" spans="2:10" x14ac:dyDescent="0.35">
      <c r="B73" t="str">
        <f>'5.3 - 2022'!B47</f>
        <v>Vehicle Purchases</v>
      </c>
      <c r="D73" s="44">
        <f>IFERROR(-VLOOKUP($B73,'5.2 - 2021'!$B:$G,5,FALSE),0)</f>
        <v>0</v>
      </c>
      <c r="E73" s="44">
        <f>IFERROR(-VLOOKUP($B73,'5.3 - 2022'!$B:$G,5,FALSE),0)</f>
        <v>464.03791999999999</v>
      </c>
      <c r="F73" s="44">
        <f>IFERROR(-VLOOKUP($B73,'5.4 - 2023'!$B:$G,5,FALSE),0)</f>
        <v>623.78399999999999</v>
      </c>
      <c r="G73" s="44">
        <f>IFERROR(-VLOOKUP($B73,'5.5 - 2024'!$B:$G,5,FALSE),0)</f>
        <v>567.01</v>
      </c>
      <c r="I73" s="45">
        <f t="shared" si="8"/>
        <v>1654.8319199999999</v>
      </c>
    </row>
    <row r="74" spans="2:10" x14ac:dyDescent="0.35">
      <c r="B74" t="str">
        <f>'5.3 - 2022'!B48</f>
        <v>New Mobile Office Unit - IT</v>
      </c>
      <c r="D74" s="44">
        <f>IFERROR(-VLOOKUP($B74,'5.2 - 2021'!$B:$G,5,FALSE),0)</f>
        <v>0</v>
      </c>
      <c r="E74" s="44">
        <f>IFERROR(-VLOOKUP($B74,'5.3 - 2022'!$B:$G,5,FALSE),0)</f>
        <v>0</v>
      </c>
      <c r="F74" s="44">
        <f>IFERROR(-VLOOKUP($B74,'5.4 - 2023'!$B:$G,5,FALSE),0)</f>
        <v>810.23467000000005</v>
      </c>
      <c r="G74" s="44">
        <f>IFERROR(-VLOOKUP($B74,'5.5 - 2024'!$B:$G,5,FALSE),0)</f>
        <v>0</v>
      </c>
      <c r="I74" s="45">
        <f t="shared" si="8"/>
        <v>810.23467000000005</v>
      </c>
    </row>
    <row r="75" spans="2:10" x14ac:dyDescent="0.35">
      <c r="B75" t="str">
        <f>'5.3 - 2022'!B49</f>
        <v>Aishihik Bridge Redecking</v>
      </c>
      <c r="D75" s="44">
        <f>IFERROR(-VLOOKUP($B75,'5.2 - 2021'!$B:$G,5,FALSE),0)</f>
        <v>0</v>
      </c>
      <c r="E75" s="44">
        <f>IFERROR(-VLOOKUP($B75,'5.3 - 2022'!$B:$G,5,FALSE),0)</f>
        <v>109.25357000000001</v>
      </c>
      <c r="F75" s="44">
        <f>IFERROR(-VLOOKUP($B75,'5.4 - 2023'!$B:$G,5,FALSE),0)</f>
        <v>0</v>
      </c>
      <c r="G75" s="44">
        <f>IFERROR(-VLOOKUP($B75,'5.5 - 2024'!$B:$G,5,FALSE),0)</f>
        <v>0</v>
      </c>
      <c r="I75" s="45">
        <f t="shared" si="8"/>
        <v>109.25357000000001</v>
      </c>
    </row>
    <row r="76" spans="2:10" x14ac:dyDescent="0.35">
      <c r="B76" t="str">
        <f>'5.4 - 2023'!B48</f>
        <v>Compact Digger Truck</v>
      </c>
      <c r="D76" s="44">
        <f>IFERROR(-VLOOKUP($B76,'5.2 - 2021'!$B:$G,5,FALSE),0)</f>
        <v>0</v>
      </c>
      <c r="E76" s="44">
        <f>IFERROR(-VLOOKUP($B76,'5.3 - 2022'!$B:$G,5,FALSE),0)</f>
        <v>0</v>
      </c>
      <c r="F76" s="44">
        <f>IFERROR(-VLOOKUP($B76,'5.4 - 2023'!$B:$G,5,FALSE),0)</f>
        <v>200.44816</v>
      </c>
      <c r="G76" s="44">
        <f>IFERROR(-VLOOKUP($B76,'5.5 - 2024'!$B:$G,5,FALSE),0)</f>
        <v>0</v>
      </c>
      <c r="I76" s="45">
        <f t="shared" si="8"/>
        <v>200.44816</v>
      </c>
    </row>
    <row r="77" spans="2:10" x14ac:dyDescent="0.35">
      <c r="B77" t="str">
        <f>'5.4 - 2023'!B49</f>
        <v>Skid Steer</v>
      </c>
      <c r="D77" s="44">
        <f>IFERROR(-VLOOKUP($B77,'5.2 - 2021'!$B:$G,5,FALSE),0)</f>
        <v>0</v>
      </c>
      <c r="E77" s="44">
        <f>IFERROR(-VLOOKUP($B77,'5.3 - 2022'!$B:$G,5,FALSE),0)</f>
        <v>0</v>
      </c>
      <c r="F77" s="44">
        <f>IFERROR(-VLOOKUP($B77,'5.4 - 2023'!$B:$G,5,FALSE),0)</f>
        <v>189.02699999999999</v>
      </c>
      <c r="G77" s="44">
        <f>IFERROR(-VLOOKUP($B77,'5.5 - 2024'!$B:$G,5,FALSE),0)</f>
        <v>0</v>
      </c>
      <c r="I77" s="45">
        <f t="shared" si="8"/>
        <v>189.02699999999999</v>
      </c>
    </row>
    <row r="78" spans="2:10" x14ac:dyDescent="0.35">
      <c r="B78" t="str">
        <f>'5.4 - 2023'!B50</f>
        <v>Mayo-McQuesten Radio to Fiber Migration</v>
      </c>
      <c r="D78" s="44">
        <f>IFERROR(-VLOOKUP($B78,'5.2 - 2021'!$B:$G,5,FALSE),0)</f>
        <v>0</v>
      </c>
      <c r="E78" s="44">
        <f>IFERROR(-VLOOKUP($B78,'5.3 - 2022'!$B:$G,5,FALSE),0)</f>
        <v>0</v>
      </c>
      <c r="F78" s="44">
        <f>IFERROR(-VLOOKUP($B78,'5.4 - 2023'!$B:$G,5,FALSE),0)</f>
        <v>134.62664999999998</v>
      </c>
      <c r="G78" s="44">
        <f>IFERROR(-VLOOKUP($B78,'5.5 - 2024'!$B:$G,5,FALSE),0)</f>
        <v>0</v>
      </c>
      <c r="I78" s="45">
        <f t="shared" si="8"/>
        <v>134.62664999999998</v>
      </c>
    </row>
    <row r="79" spans="2:10" x14ac:dyDescent="0.35">
      <c r="B79" t="str">
        <f>'5.4 - 2023'!B51</f>
        <v>Waste Management Equipment</v>
      </c>
      <c r="D79" s="44">
        <f>IFERROR(-VLOOKUP($B79,'5.2 - 2021'!$B:$G,5,FALSE),0)</f>
        <v>0</v>
      </c>
      <c r="E79" s="44">
        <f>IFERROR(-VLOOKUP($B79,'5.3 - 2022'!$B:$G,5,FALSE),0)</f>
        <v>0</v>
      </c>
      <c r="F79" s="44">
        <f>IFERROR(-VLOOKUP($B79,'5.4 - 2023'!$B:$G,5,FALSE),0)</f>
        <v>110</v>
      </c>
      <c r="G79" s="44">
        <f>IFERROR(-VLOOKUP($B79,'5.5 - 2024'!$B:$G,5,FALSE),0)</f>
        <v>0</v>
      </c>
      <c r="I79" s="45">
        <f t="shared" si="8"/>
        <v>110</v>
      </c>
    </row>
    <row r="80" spans="2:10" x14ac:dyDescent="0.35">
      <c r="B80" t="str">
        <f>'5.4 - 2023'!B52</f>
        <v>HQ Datacenter Server Replacement</v>
      </c>
      <c r="D80" s="44">
        <f>IFERROR(-VLOOKUP($B80,'5.2 - 2021'!$B:$G,5,FALSE),0)</f>
        <v>0</v>
      </c>
      <c r="E80" s="44">
        <f>IFERROR(-VLOOKUP($B80,'5.3 - 2022'!$B:$G,5,FALSE),0)</f>
        <v>0</v>
      </c>
      <c r="F80" s="44">
        <f>IFERROR(-VLOOKUP($B80,'5.4 - 2023'!$B:$G,5,FALSE),0)</f>
        <v>0</v>
      </c>
      <c r="G80" s="44">
        <f>IFERROR(-VLOOKUP($B80,'5.5 - 2024'!$B:$G,5,FALSE),0)</f>
        <v>300</v>
      </c>
      <c r="I80" s="45">
        <f t="shared" si="8"/>
        <v>300</v>
      </c>
    </row>
    <row r="81" spans="2:10" x14ac:dyDescent="0.35">
      <c r="B81" t="str">
        <f>'5.4 - 2023'!B53</f>
        <v>SCADA Operation Network Segregation</v>
      </c>
      <c r="D81" s="44">
        <f>IFERROR(-VLOOKUP($B81,'5.2 - 2021'!$B:$G,5,FALSE),0)</f>
        <v>0</v>
      </c>
      <c r="E81" s="44">
        <f>IFERROR(-VLOOKUP($B81,'5.3 - 2022'!$B:$G,5,FALSE),0)</f>
        <v>0</v>
      </c>
      <c r="F81" s="44">
        <f>IFERROR(-VLOOKUP($B81,'5.4 - 2023'!$B:$G,5,FALSE),0)</f>
        <v>0</v>
      </c>
      <c r="G81" s="44">
        <f>IFERROR(-VLOOKUP($B81,'5.5 - 2024'!$B:$G,5,FALSE),0)</f>
        <v>245</v>
      </c>
      <c r="I81" s="45">
        <f t="shared" si="8"/>
        <v>245</v>
      </c>
    </row>
    <row r="82" spans="2:10" x14ac:dyDescent="0.35">
      <c r="B82" t="str">
        <f>'5.5 - 2024'!B43</f>
        <v>Other Projects with &lt;$100k Spending</v>
      </c>
      <c r="D82" s="44">
        <f>-'5.2 - 2021'!F52</f>
        <v>502.79628999999994</v>
      </c>
      <c r="E82" s="44">
        <f>-'5.3 - 2022'!F50</f>
        <v>575.34207000000015</v>
      </c>
      <c r="F82" s="44">
        <f>-'5.4 - 2023'!F54</f>
        <v>727.51466000000005</v>
      </c>
      <c r="G82" s="44">
        <f>-'5.5 - 2024'!F43</f>
        <v>800</v>
      </c>
      <c r="I82" s="45">
        <f t="shared" si="8"/>
        <v>2605.6530200000002</v>
      </c>
    </row>
    <row r="83" spans="2:10" x14ac:dyDescent="0.35">
      <c r="B83" s="24" t="s">
        <v>74</v>
      </c>
      <c r="D83" s="47">
        <f>SUM(D71:D82)</f>
        <v>914.49848999999995</v>
      </c>
      <c r="E83" s="47">
        <f>SUM(E71:E82)</f>
        <v>1148.6335600000002</v>
      </c>
      <c r="F83" s="47">
        <f>SUM(F71:F82)</f>
        <v>2795.6351399999994</v>
      </c>
      <c r="G83" s="47">
        <f>SUM(G71:G82)</f>
        <v>2612.0100000000002</v>
      </c>
      <c r="H83" s="47"/>
      <c r="I83" s="47">
        <f>SUM(I71:I82)</f>
        <v>7470.7771900000007</v>
      </c>
      <c r="J83" s="47"/>
    </row>
    <row r="85" spans="2:10" x14ac:dyDescent="0.35">
      <c r="B85" s="24" t="s">
        <v>67</v>
      </c>
      <c r="D85" s="47"/>
      <c r="E85" s="47"/>
    </row>
    <row r="86" spans="2:10" x14ac:dyDescent="0.35">
      <c r="B86" t="str">
        <f>'5.3 - 2022'!B54</f>
        <v>AH1 10 Year Overhaul</v>
      </c>
      <c r="D86" s="44">
        <f>IFERROR(-VLOOKUP($B86,'5.2 - 2021'!$B:$G,5,FALSE),0)</f>
        <v>0</v>
      </c>
      <c r="E86" s="44">
        <f>IFERROR(-VLOOKUP($B86,'5.3 - 2022'!$B:$G,5,FALSE),0)</f>
        <v>0</v>
      </c>
      <c r="F86" s="44">
        <f>IFERROR(-VLOOKUP($B86,'5.4 - 2023'!$B:$G,5,FALSE),0)</f>
        <v>2460.96684</v>
      </c>
      <c r="G86" s="44">
        <f>IFERROR(-VLOOKUP($B86,'5.5 - 2024'!$B:$G,5,FALSE),0)</f>
        <v>0</v>
      </c>
      <c r="I86" s="45">
        <f t="shared" ref="I86:I91" si="9">SUM(D86:H86)</f>
        <v>2460.96684</v>
      </c>
    </row>
    <row r="87" spans="2:10" x14ac:dyDescent="0.35">
      <c r="B87" t="str">
        <f>'5.3 - 2022'!B55</f>
        <v>AH2 Overhaul</v>
      </c>
      <c r="D87" s="44">
        <f>IFERROR(-VLOOKUP($B87,'5.2 - 2021'!$B:$G,5,FALSE),0)</f>
        <v>0</v>
      </c>
      <c r="E87" s="44">
        <f>IFERROR(-VLOOKUP($B87,'5.3 - 2022'!$B:$G,5,FALSE),0)</f>
        <v>2340.8530799999999</v>
      </c>
      <c r="F87" s="44">
        <f>IFERROR(-VLOOKUP($B87,'5.4 - 2023'!$B:$G,5,FALSE),0)</f>
        <v>0</v>
      </c>
      <c r="G87" s="44">
        <f>IFERROR(-VLOOKUP($B87,'5.5 - 2024'!$B:$G,5,FALSE),0)</f>
        <v>0</v>
      </c>
      <c r="I87" s="45">
        <f t="shared" si="9"/>
        <v>2340.8530799999999</v>
      </c>
    </row>
    <row r="88" spans="2:10" x14ac:dyDescent="0.35">
      <c r="B88" t="str">
        <f>'5.4 - 2023'!B59</f>
        <v>WG1 Overhaul</v>
      </c>
      <c r="D88" s="44">
        <f>IFERROR(-VLOOKUP($B88,'5.2 - 2021'!$B:$G,5,FALSE),0)</f>
        <v>0</v>
      </c>
      <c r="E88" s="44">
        <f>IFERROR(-VLOOKUP($B88,'5.3 - 2022'!$B:$G,5,FALSE),0)</f>
        <v>0</v>
      </c>
      <c r="F88" s="44">
        <f>IFERROR(-VLOOKUP($B88,'5.4 - 2023'!$B:$G,5,FALSE),0)</f>
        <v>400</v>
      </c>
      <c r="G88" s="44">
        <f>IFERROR(-VLOOKUP($B88,'5.5 - 2024'!$B:$G,5,FALSE),0)</f>
        <v>0</v>
      </c>
      <c r="I88" s="45">
        <f t="shared" si="9"/>
        <v>400</v>
      </c>
    </row>
    <row r="89" spans="2:10" x14ac:dyDescent="0.35">
      <c r="B89" t="str">
        <f>'5.4 - 2023'!B60</f>
        <v>WG2 Overhaul</v>
      </c>
      <c r="D89" s="44">
        <f>IFERROR(-VLOOKUP($B89,'5.2 - 2021'!$B:$G,5,FALSE),0)</f>
        <v>0</v>
      </c>
      <c r="E89" s="44">
        <f>IFERROR(-VLOOKUP($B89,'5.3 - 2022'!$B:$G,5,FALSE),0)</f>
        <v>0</v>
      </c>
      <c r="F89" s="44">
        <f>IFERROR(-VLOOKUP($B89,'5.4 - 2023'!$B:$G,5,FALSE),0)</f>
        <v>400</v>
      </c>
      <c r="G89" s="44">
        <f>IFERROR(-VLOOKUP($B89,'5.5 - 2024'!$B:$G,5,FALSE),0)</f>
        <v>0</v>
      </c>
      <c r="I89" s="45">
        <f t="shared" si="9"/>
        <v>400</v>
      </c>
    </row>
    <row r="90" spans="2:10" x14ac:dyDescent="0.35">
      <c r="B90" t="str">
        <f>'5.5 - 2024'!B47</f>
        <v>WG3 Overhaul</v>
      </c>
      <c r="D90" s="44">
        <f>IFERROR(-VLOOKUP($B90,'5.2 - 2021'!$B:$G,5,FALSE),0)</f>
        <v>0</v>
      </c>
      <c r="E90" s="44">
        <f>IFERROR(-VLOOKUP($B90,'5.3 - 2022'!$B:$G,5,FALSE),0)</f>
        <v>0</v>
      </c>
      <c r="F90" s="44">
        <f>IFERROR(-VLOOKUP($B90,'5.4 - 2023'!$B:$G,5,FALSE),0)</f>
        <v>0</v>
      </c>
      <c r="G90" s="44">
        <f>IFERROR(-VLOOKUP($B90,'5.5 - 2024'!$B:$G,5,FALSE),0)</f>
        <v>400</v>
      </c>
      <c r="I90" s="45">
        <f t="shared" si="9"/>
        <v>400</v>
      </c>
    </row>
    <row r="91" spans="2:10" x14ac:dyDescent="0.35">
      <c r="B91" t="str">
        <f>'5.5 - 2024'!B48</f>
        <v>DD4 Overhaul</v>
      </c>
      <c r="D91" s="44">
        <f>IFERROR(-VLOOKUP($B91,'5.2 - 2021'!$B:$G,5,FALSE),0)</f>
        <v>0</v>
      </c>
      <c r="E91" s="44">
        <f>IFERROR(-VLOOKUP($B91,'5.3 - 2022'!$B:$G,5,FALSE),0)</f>
        <v>0</v>
      </c>
      <c r="F91" s="44">
        <f>IFERROR(-VLOOKUP($B91,'5.4 - 2023'!$B:$G,5,FALSE),0)</f>
        <v>0</v>
      </c>
      <c r="G91" s="44">
        <f>IFERROR(-VLOOKUP($B91,'5.5 - 2024'!$B:$G,5,FALSE),0)</f>
        <v>450</v>
      </c>
      <c r="I91" s="45">
        <f t="shared" si="9"/>
        <v>450</v>
      </c>
    </row>
    <row r="92" spans="2:10" x14ac:dyDescent="0.35">
      <c r="B92" s="24" t="s">
        <v>74</v>
      </c>
      <c r="D92" s="47">
        <f t="shared" ref="D92:F92" si="10">SUM(D86:D91)</f>
        <v>0</v>
      </c>
      <c r="E92" s="47">
        <f t="shared" si="10"/>
        <v>2340.8530799999999</v>
      </c>
      <c r="F92" s="47">
        <f t="shared" si="10"/>
        <v>3260.96684</v>
      </c>
      <c r="G92" s="47">
        <f>SUM(G86:G91)</f>
        <v>850</v>
      </c>
      <c r="H92" s="47"/>
      <c r="I92" s="47">
        <f t="shared" ref="I92" si="11">SUM(I86:I91)</f>
        <v>6451.8199199999999</v>
      </c>
      <c r="J92" s="47"/>
    </row>
    <row r="94" spans="2:10" x14ac:dyDescent="0.35">
      <c r="B94" s="3" t="s">
        <v>63</v>
      </c>
    </row>
    <row r="95" spans="2:10" x14ac:dyDescent="0.35">
      <c r="B95" t="str">
        <f>'5.3 - 2022'!B59</f>
        <v>Right of Use Asset Battery Land Lease</v>
      </c>
      <c r="D95" s="44">
        <f>IFERROR(-VLOOKUP($B95,'5.2 - 2021'!$B:$G,5,FALSE),0)</f>
        <v>0</v>
      </c>
      <c r="E95" s="44">
        <f>IFERROR(-VLOOKUP($B95,'5.3 - 2022'!$B:$G,5,FALSE),0)</f>
        <v>1003.751</v>
      </c>
      <c r="F95" s="44">
        <f>IFERROR(-VLOOKUP($B95,'5.4 - 2023'!$B:$G,5,FALSE),0)</f>
        <v>0</v>
      </c>
      <c r="G95" s="44">
        <f>IFERROR(-VLOOKUP($B95,'5.5 - 2024'!$B:$G,5,FALSE),0)</f>
        <v>0</v>
      </c>
      <c r="I95" s="45">
        <f>SUM(D95:H95)</f>
        <v>1003.751</v>
      </c>
    </row>
    <row r="96" spans="2:10" x14ac:dyDescent="0.35">
      <c r="B96" t="str">
        <f>'5.3 - 2022'!B60</f>
        <v>Right of Use Asset Kulan Land</v>
      </c>
      <c r="D96" s="44">
        <f>IFERROR(-VLOOKUP($B96,'5.2 - 2021'!$B:$G,5,FALSE),0)</f>
        <v>0</v>
      </c>
      <c r="E96" s="44">
        <f>IFERROR(-VLOOKUP($B96,'5.3 - 2022'!$B:$G,5,FALSE),0)</f>
        <v>177.10499999999999</v>
      </c>
      <c r="F96" s="44">
        <f>IFERROR(-VLOOKUP($B96,'5.4 - 2023'!$B:$G,5,FALSE),0)</f>
        <v>0</v>
      </c>
      <c r="G96" s="44">
        <f>IFERROR(-VLOOKUP($B96,'5.5 - 2024'!$B:$G,5,FALSE),0)</f>
        <v>0</v>
      </c>
      <c r="I96" s="45">
        <f>SUM(D96:H96)</f>
        <v>177.10499999999999</v>
      </c>
    </row>
    <row r="97" spans="2:10" x14ac:dyDescent="0.35">
      <c r="B97" t="str">
        <f>'5.4 - 2023'!B64</f>
        <v>Right of Use Asset 1 Lindeman Road</v>
      </c>
      <c r="D97">
        <v>0</v>
      </c>
      <c r="E97">
        <v>0</v>
      </c>
      <c r="F97" s="44">
        <f>IFERROR(-VLOOKUP($B97,'5.4 - 2023'!$B:$G,5,FALSE),0)</f>
        <v>750.13410999999996</v>
      </c>
      <c r="G97">
        <v>0</v>
      </c>
      <c r="I97" s="45">
        <f>SUM(D97:H97)</f>
        <v>750.13410999999996</v>
      </c>
    </row>
    <row r="98" spans="2:10" x14ac:dyDescent="0.35">
      <c r="B98" s="24" t="s">
        <v>74</v>
      </c>
      <c r="D98" s="47">
        <f>SUM(D95:D97)</f>
        <v>0</v>
      </c>
      <c r="E98" s="47">
        <f t="shared" ref="E98:G98" si="12">SUM(E95:E97)</f>
        <v>1180.856</v>
      </c>
      <c r="F98" s="47">
        <f t="shared" si="12"/>
        <v>750.13410999999996</v>
      </c>
      <c r="G98" s="47">
        <f t="shared" si="12"/>
        <v>0</v>
      </c>
      <c r="H98" s="47"/>
      <c r="I98" s="47">
        <f>SUM(I95:I97)</f>
        <v>1930.99011</v>
      </c>
      <c r="J98" s="47"/>
    </row>
    <row r="99" spans="2:10" x14ac:dyDescent="0.35">
      <c r="B99" s="24"/>
      <c r="D99" s="47"/>
      <c r="E99" s="47"/>
      <c r="F99" s="47"/>
      <c r="G99" s="47"/>
      <c r="H99" s="47"/>
      <c r="I99" s="47"/>
      <c r="J99" s="47"/>
    </row>
    <row r="100" spans="2:10" x14ac:dyDescent="0.35">
      <c r="B100" s="24" t="s">
        <v>64</v>
      </c>
    </row>
    <row r="101" spans="2:10" x14ac:dyDescent="0.35">
      <c r="B101" t="str">
        <f>'5.2 - 2021'!B56</f>
        <v>RFID</v>
      </c>
      <c r="D101" s="44">
        <f>-'5.2 - 2021'!F56</f>
        <v>1393.2667099999999</v>
      </c>
      <c r="E101" s="44">
        <f>-'5.3 - 2022'!F64</f>
        <v>7815.4767899999997</v>
      </c>
      <c r="F101" s="44">
        <f>-'5.4 - 2023'!F68</f>
        <v>899.91791000000001</v>
      </c>
      <c r="G101" s="44">
        <f>-'5.5 - 2024'!F52</f>
        <v>681.74099999999999</v>
      </c>
      <c r="I101" s="45">
        <f t="shared" ref="I101:I102" si="13">SUM(D101:H101)</f>
        <v>10790.402410000001</v>
      </c>
    </row>
    <row r="102" spans="2:10" x14ac:dyDescent="0.35">
      <c r="B102" t="str">
        <f>'5.2 - 2021'!B57</f>
        <v>RFID Contributions</v>
      </c>
      <c r="D102" s="44">
        <f>IFERROR(-VLOOKUP($B102,'5.2 - 2021'!$B:$G,5,FALSE),0)</f>
        <v>0</v>
      </c>
      <c r="E102" s="44">
        <f>IFERROR(-VLOOKUP($B102,'5.3 - 2022'!$B:$G,5,FALSE),0)</f>
        <v>-5899.3916799999997</v>
      </c>
      <c r="F102" s="44">
        <f>IFERROR(-VLOOKUP($B102,'5.4 - 2023'!$B:$G,5,FALSE),0)</f>
        <v>0</v>
      </c>
      <c r="G102" s="44">
        <f>IFERROR(-VLOOKUP($B102,'5.5 - 2024'!$B:$G,5,FALSE),0)</f>
        <v>0</v>
      </c>
      <c r="I102" s="45">
        <f t="shared" si="13"/>
        <v>-5899.3916799999997</v>
      </c>
    </row>
    <row r="103" spans="2:10" x14ac:dyDescent="0.35">
      <c r="B103" s="24" t="s">
        <v>74</v>
      </c>
      <c r="D103" s="47">
        <f>SUM(D101:D102)</f>
        <v>1393.2667099999999</v>
      </c>
      <c r="E103" s="47">
        <f t="shared" ref="E103:G103" si="14">SUM(E101:E102)</f>
        <v>1916.08511</v>
      </c>
      <c r="F103" s="47">
        <f t="shared" si="14"/>
        <v>899.91791000000001</v>
      </c>
      <c r="G103" s="47">
        <f t="shared" si="14"/>
        <v>681.74099999999999</v>
      </c>
      <c r="H103" s="47"/>
      <c r="I103" s="47">
        <f>SUM(I101:I102)</f>
        <v>4891.0107300000009</v>
      </c>
      <c r="J103" s="47"/>
    </row>
    <row r="104" spans="2:10" x14ac:dyDescent="0.35">
      <c r="B104" s="24"/>
      <c r="D104" s="47"/>
      <c r="E104" s="47"/>
    </row>
    <row r="105" spans="2:10" x14ac:dyDescent="0.35">
      <c r="B105" s="24" t="s">
        <v>65</v>
      </c>
      <c r="D105" s="47"/>
      <c r="E105" s="47"/>
    </row>
    <row r="106" spans="2:10" x14ac:dyDescent="0.35">
      <c r="B106" t="str">
        <f>'5.4 - 2023'!B72</f>
        <v>Reserve for Site Restoration Bucket</v>
      </c>
      <c r="D106" s="44">
        <f>IFERROR(-VLOOKUP($B106,'5.2 - 2021'!$B:$G,5,FALSE),0)</f>
        <v>0</v>
      </c>
      <c r="E106" s="44">
        <f>IFERROR(-VLOOKUP($B106,'5.3 - 2022'!$B:$G,5,FALSE),0)</f>
        <v>0</v>
      </c>
      <c r="F106" s="44">
        <f>IFERROR(-VLOOKUP($B106,'5.4 - 2023'!$B:$G,5,FALSE),0)</f>
        <v>763.09289999999999</v>
      </c>
      <c r="G106" s="44">
        <f>IFERROR(-VLOOKUP($B106,'5.5 - 2024'!$B:$G,5,FALSE),0)</f>
        <v>0</v>
      </c>
      <c r="I106" s="45">
        <f>SUM(D106:H106)</f>
        <v>763.09289999999999</v>
      </c>
    </row>
    <row r="107" spans="2:10" x14ac:dyDescent="0.35">
      <c r="B107" s="24" t="s">
        <v>74</v>
      </c>
      <c r="D107" s="47">
        <f>SUM(D106:D106)</f>
        <v>0</v>
      </c>
      <c r="E107" s="47">
        <f t="shared" ref="E107:G107" si="15">SUM(E106:E106)</f>
        <v>0</v>
      </c>
      <c r="F107" s="47">
        <f t="shared" si="15"/>
        <v>763.09289999999999</v>
      </c>
      <c r="G107" s="47">
        <f t="shared" si="15"/>
        <v>0</v>
      </c>
      <c r="H107" s="47"/>
      <c r="I107" s="47">
        <f>SUM(I106:I106)</f>
        <v>763.09289999999999</v>
      </c>
      <c r="J107" s="47"/>
    </row>
    <row r="108" spans="2:10" x14ac:dyDescent="0.35">
      <c r="B108" s="24"/>
      <c r="D108" s="47"/>
      <c r="E108" s="47"/>
    </row>
    <row r="109" spans="2:10" x14ac:dyDescent="0.35">
      <c r="B109" s="24" t="s">
        <v>54</v>
      </c>
    </row>
    <row r="110" spans="2:10" x14ac:dyDescent="0.35">
      <c r="B110" t="str">
        <f>'5.2 - 2021'!B61</f>
        <v>DSM Program Development</v>
      </c>
      <c r="D110" s="44">
        <f>IFERROR(-VLOOKUP($B110,'5.2 - 2021'!$B:$G,5,FALSE),0)</f>
        <v>10.379430000000001</v>
      </c>
      <c r="E110" s="44">
        <f>IFERROR(-VLOOKUP($B110,'5.3 - 2022'!$B:$G,5,FALSE),0)</f>
        <v>1430.8225199999999</v>
      </c>
      <c r="F110" s="44">
        <f>IFERROR(-VLOOKUP($B110,'5.4 - 2023'!$B:$G,5,FALSE),0)</f>
        <v>0</v>
      </c>
      <c r="G110" s="44">
        <f>IFERROR(-VLOOKUP($B110,'5.5 - 2024'!$B:$G,5,FALSE),0)</f>
        <v>0</v>
      </c>
      <c r="I110" s="45">
        <f t="shared" ref="I110:I114" si="16">SUM(D110:H110)</f>
        <v>1441.2019499999999</v>
      </c>
    </row>
    <row r="111" spans="2:10" x14ac:dyDescent="0.35">
      <c r="B111" t="str">
        <f>'5.2 - 2021'!B62</f>
        <v>DSM Program Development Contributions</v>
      </c>
      <c r="D111" s="44">
        <f>IFERROR(-VLOOKUP($B111,'5.2 - 2021'!$B:$G,5,FALSE),0)</f>
        <v>0</v>
      </c>
      <c r="E111" s="44">
        <f>IFERROR(-VLOOKUP($B111,'5.3 - 2022'!$B:$G,5,FALSE),0)</f>
        <v>-1141.6429499999999</v>
      </c>
      <c r="F111" s="44">
        <f>IFERROR(-VLOOKUP($B111,'5.4 - 2023'!$B:$G,5,FALSE),0)</f>
        <v>-21.640669999999997</v>
      </c>
      <c r="G111" s="44">
        <f>IFERROR(-VLOOKUP($B111,'5.5 - 2024'!$B:$G,5,FALSE),0)</f>
        <v>0</v>
      </c>
      <c r="I111" s="45">
        <f t="shared" si="16"/>
        <v>-1163.2836199999999</v>
      </c>
    </row>
    <row r="112" spans="2:10" x14ac:dyDescent="0.35">
      <c r="B112" t="str">
        <f>'5.3 - 2022'!B74</f>
        <v>DSM Program 2022-2030</v>
      </c>
      <c r="D112" s="44">
        <f>IFERROR(-VLOOKUP($B112,'5.2 - 2021'!$B:$G,5,FALSE),0)</f>
        <v>0</v>
      </c>
      <c r="E112" s="44">
        <f>IFERROR(-VLOOKUP($B112,'5.3 - 2022'!$B:$G,5,FALSE),0)</f>
        <v>64.222470000000001</v>
      </c>
      <c r="F112" s="44">
        <f>IFERROR(-VLOOKUP($B112,'5.4 - 2023'!$B:$G,5,FALSE),0)</f>
        <v>1271.64067</v>
      </c>
      <c r="G112" s="44">
        <f>IFERROR(-VLOOKUP($B112,'5.5 - 2024'!$B:$G,5,FALSE),0)</f>
        <v>1160</v>
      </c>
      <c r="I112" s="45">
        <f t="shared" si="16"/>
        <v>2495.8631399999999</v>
      </c>
    </row>
    <row r="113" spans="2:10" x14ac:dyDescent="0.35">
      <c r="B113" t="str">
        <f>'5.2 - 2021'!B66</f>
        <v>Southern Lakes Storage</v>
      </c>
      <c r="D113" s="44">
        <f>IFERROR(-VLOOKUP($B113,'5.2 - 2021'!$B:$G,5,FALSE),0)</f>
        <v>0</v>
      </c>
      <c r="E113" s="44">
        <f>IFERROR(-VLOOKUP($B113,'5.3 - 2022'!$B:$G,5,FALSE),0)</f>
        <v>0</v>
      </c>
      <c r="F113" s="44">
        <f>IFERROR(-VLOOKUP($B113,'5.4 - 2023'!$B:$G,5,FALSE),0)</f>
        <v>8784.170970000001</v>
      </c>
      <c r="G113" s="44">
        <f>IFERROR(-VLOOKUP($B113,'5.5 - 2024'!$B:$G,5,FALSE),0)</f>
        <v>0</v>
      </c>
      <c r="I113" s="45">
        <f t="shared" si="16"/>
        <v>8784.170970000001</v>
      </c>
    </row>
    <row r="114" spans="2:10" x14ac:dyDescent="0.35">
      <c r="B114" t="str">
        <f>'5.2 - 2021'!B67</f>
        <v>Aishihik 5-Year License Renewal</v>
      </c>
      <c r="D114" s="44">
        <f>IFERROR(-VLOOKUP($B114,'5.2 - 2021'!$B:$G,5,FALSE),0)</f>
        <v>0</v>
      </c>
      <c r="E114" s="44">
        <f>IFERROR(-VLOOKUP($B114,'5.3 - 2022'!$B:$G,5,FALSE),0)</f>
        <v>3903.4295200000001</v>
      </c>
      <c r="F114" s="44">
        <f>IFERROR(-VLOOKUP($B114,'5.4 - 2023'!$B:$G,5,FALSE),0)</f>
        <v>575.35715000000005</v>
      </c>
      <c r="G114" s="44">
        <f>IFERROR(-VLOOKUP($B114,'5.5 - 2024'!$B:$G,5,FALSE),0)</f>
        <v>0</v>
      </c>
      <c r="I114" s="45">
        <f t="shared" si="16"/>
        <v>4478.7866700000004</v>
      </c>
    </row>
    <row r="115" spans="2:10" x14ac:dyDescent="0.35">
      <c r="B115" s="24" t="s">
        <v>74</v>
      </c>
      <c r="D115" s="47">
        <f>SUM(D110:D114)</f>
        <v>10.379430000000001</v>
      </c>
      <c r="E115" s="47">
        <f>SUM(E110:E114)</f>
        <v>4256.8315600000005</v>
      </c>
      <c r="F115" s="47">
        <f>SUM(F110:F114)</f>
        <v>10609.528120000001</v>
      </c>
      <c r="G115" s="47">
        <f>SUM(G110:G114)</f>
        <v>1160</v>
      </c>
      <c r="H115" s="47"/>
      <c r="I115" s="47">
        <f>SUM(I110:I114)</f>
        <v>16036.739110000002</v>
      </c>
      <c r="J115" s="47"/>
    </row>
    <row r="117" spans="2:10" x14ac:dyDescent="0.35">
      <c r="B117" s="24" t="s">
        <v>55</v>
      </c>
    </row>
    <row r="118" spans="2:10" x14ac:dyDescent="0.35">
      <c r="B118" t="str">
        <f>'5.2 - 2021'!B72</f>
        <v>IPP Standing Offer Program Implementation</v>
      </c>
      <c r="D118" s="44">
        <f>IFERROR(-VLOOKUP($B118,'5.2 - 2021'!$B:$G,5,FALSE),0)</f>
        <v>325.99815000000001</v>
      </c>
      <c r="E118" s="44">
        <f>IFERROR(-VLOOKUP($B118,'5.3 - 2022'!$B:$G,5,FALSE),0)</f>
        <v>0</v>
      </c>
      <c r="F118" s="44">
        <f>IFERROR(-VLOOKUP($B118,'5.4 - 2023'!$B:$G,5,FALSE),0)</f>
        <v>70.308399999999992</v>
      </c>
      <c r="G118" s="44">
        <f>IFERROR(-VLOOKUP($B118,'5.5 - 2024'!$B:$G,5,FALSE),0)</f>
        <v>0</v>
      </c>
      <c r="I118" s="45">
        <f t="shared" ref="I118:I136" si="17">SUM(D118:H118)</f>
        <v>396.30655000000002</v>
      </c>
    </row>
    <row r="119" spans="2:10" x14ac:dyDescent="0.35">
      <c r="B119" t="str">
        <f>'5.2 - 2021'!B73</f>
        <v>Dam Safety Review</v>
      </c>
      <c r="D119" s="44">
        <f>IFERROR(-VLOOKUP($B119,'5.2 - 2021'!$B:$G,5,FALSE),0)</f>
        <v>254.48933</v>
      </c>
      <c r="E119" s="44">
        <f>IFERROR(-VLOOKUP($B119,'5.3 - 2022'!$B:$G,5,FALSE),0)</f>
        <v>0</v>
      </c>
      <c r="F119" s="44">
        <f>IFERROR(-VLOOKUP($B119,'5.4 - 2023'!$B:$G,5,FALSE),0)</f>
        <v>0</v>
      </c>
      <c r="G119" s="44">
        <f>IFERROR(-VLOOKUP($B119,'5.5 - 2024'!$B:$G,5,FALSE),0)</f>
        <v>0</v>
      </c>
      <c r="I119" s="45">
        <f t="shared" si="17"/>
        <v>254.48933</v>
      </c>
    </row>
    <row r="120" spans="2:10" x14ac:dyDescent="0.35">
      <c r="B120" t="str">
        <f>'5.3 - 2022'!B82</f>
        <v>Atlin EPA Section 18 Proceeding (Hearing Reserve Acct)</v>
      </c>
      <c r="D120" s="44">
        <f>IFERROR(-VLOOKUP($B120,'5.2 - 2021'!$B:$G,5,FALSE),0)</f>
        <v>0</v>
      </c>
      <c r="E120" s="44">
        <f>IFERROR(-VLOOKUP($B120,'5.3 - 2022'!$B:$G,5,FALSE),0)</f>
        <v>0</v>
      </c>
      <c r="F120" s="44">
        <f>IFERROR(-VLOOKUP($B120,'5.4 - 2023'!$B:$G,5,FALSE),0)</f>
        <v>385.63777000000005</v>
      </c>
      <c r="G120" s="44">
        <f>IFERROR(-VLOOKUP($B120,'5.5 - 2024'!$B:$G,5,FALSE),0)</f>
        <v>0</v>
      </c>
      <c r="I120" s="45">
        <f t="shared" si="17"/>
        <v>385.63777000000005</v>
      </c>
    </row>
    <row r="121" spans="2:10" x14ac:dyDescent="0.35">
      <c r="B121" t="str">
        <f>'5.3 - 2022'!B83</f>
        <v>Mayo Civil Infrastructure Refurbishment Planning</v>
      </c>
      <c r="D121" s="44">
        <f>IFERROR(-VLOOKUP($B121,'5.2 - 2021'!$B:$G,5,FALSE),0)</f>
        <v>0</v>
      </c>
      <c r="E121" s="44">
        <f>IFERROR(-VLOOKUP($B121,'5.3 - 2022'!$B:$G,5,FALSE),0)</f>
        <v>0</v>
      </c>
      <c r="F121" s="44">
        <f>IFERROR(-VLOOKUP($B121,'5.4 - 2023'!$B:$G,5,FALSE),0)</f>
        <v>168.41776000000002</v>
      </c>
      <c r="G121" s="44">
        <f>IFERROR(-VLOOKUP($B121,'5.5 - 2024'!$B:$G,5,FALSE),0)</f>
        <v>0</v>
      </c>
      <c r="I121" s="45">
        <f t="shared" si="17"/>
        <v>168.41776000000002</v>
      </c>
    </row>
    <row r="122" spans="2:10" x14ac:dyDescent="0.35">
      <c r="B122" t="str">
        <f>'5.3 - 2022'!B84</f>
        <v>System Wide Arc Flash Study</v>
      </c>
      <c r="D122" s="44">
        <f>IFERROR(-VLOOKUP($B122,'5.2 - 2021'!$B:$G,5,FALSE),0)</f>
        <v>0</v>
      </c>
      <c r="E122" s="44">
        <f>IFERROR(-VLOOKUP($B122,'5.3 - 2022'!$B:$G,5,FALSE),0)</f>
        <v>0</v>
      </c>
      <c r="F122" s="44">
        <f>IFERROR(-VLOOKUP($B122,'5.4 - 2023'!$B:$G,5,FALSE),0)</f>
        <v>197.67159000000001</v>
      </c>
      <c r="G122" s="44">
        <f>IFERROR(-VLOOKUP($B122,'5.5 - 2024'!$B:$G,5,FALSE),0)</f>
        <v>0</v>
      </c>
      <c r="I122" s="45">
        <f t="shared" si="17"/>
        <v>197.67159000000001</v>
      </c>
    </row>
    <row r="123" spans="2:10" x14ac:dyDescent="0.35">
      <c r="B123" t="str">
        <f>'5.3 - 2022'!B85</f>
        <v>Whitehorse Post-Flood Assessment</v>
      </c>
      <c r="D123" s="44">
        <f>IFERROR(-VLOOKUP($B123,'5.2 - 2021'!$B:$G,5,FALSE),0)</f>
        <v>0</v>
      </c>
      <c r="E123" s="44">
        <f>IFERROR(-VLOOKUP($B123,'5.3 - 2022'!$B:$G,5,FALSE),0)</f>
        <v>115.23152999999999</v>
      </c>
      <c r="F123" s="44">
        <f>IFERROR(-VLOOKUP($B123,'5.4 - 2023'!$B:$G,5,FALSE),0)</f>
        <v>0</v>
      </c>
      <c r="G123" s="44">
        <f>IFERROR(-VLOOKUP($B123,'5.5 - 2024'!$B:$G,5,FALSE),0)</f>
        <v>0</v>
      </c>
      <c r="I123" s="45">
        <f t="shared" si="17"/>
        <v>115.23152999999999</v>
      </c>
    </row>
    <row r="124" spans="2:10" x14ac:dyDescent="0.35">
      <c r="B124" t="str">
        <f>'5.4 - 2023'!B84</f>
        <v>WRGS Thermal Assessment &amp; Permitting</v>
      </c>
      <c r="D124" s="44">
        <f>IFERROR(-VLOOKUP($B124,'5.2 - 2021'!$B:$G,5,FALSE),0)</f>
        <v>0</v>
      </c>
      <c r="E124" s="44">
        <f>IFERROR(-VLOOKUP($B124,'5.3 - 2022'!$B:$G,5,FALSE),0)</f>
        <v>0</v>
      </c>
      <c r="F124" s="44">
        <f>IFERROR(-VLOOKUP($B124,'5.4 - 2023'!$B:$G,5,FALSE),0)</f>
        <v>0</v>
      </c>
      <c r="G124" s="44">
        <f>IFERROR(-VLOOKUP($B124,'5.5 - 2024'!$B:$G,5,FALSE),0)</f>
        <v>413</v>
      </c>
      <c r="I124" s="45">
        <f t="shared" si="17"/>
        <v>413</v>
      </c>
    </row>
    <row r="125" spans="2:10" x14ac:dyDescent="0.35">
      <c r="B125" t="str">
        <f>'5.4 - 2023'!B85</f>
        <v>Public Safety Plans</v>
      </c>
      <c r="D125" s="44">
        <f>IFERROR(-VLOOKUP($B125,'5.2 - 2021'!$B:$G,5,FALSE),0)</f>
        <v>0</v>
      </c>
      <c r="E125" s="44">
        <f>IFERROR(-VLOOKUP($B125,'5.3 - 2022'!$B:$G,5,FALSE),0)</f>
        <v>0</v>
      </c>
      <c r="F125" s="44">
        <f>IFERROR(-VLOOKUP($B125,'5.4 - 2023'!$B:$G,5,FALSE),0)</f>
        <v>225</v>
      </c>
      <c r="G125" s="44">
        <f>IFERROR(-VLOOKUP($B125,'5.5 - 2024'!$B:$G,5,FALSE),0)</f>
        <v>0</v>
      </c>
      <c r="I125" s="45">
        <f t="shared" si="17"/>
        <v>225</v>
      </c>
    </row>
    <row r="126" spans="2:10" x14ac:dyDescent="0.35">
      <c r="B126" t="str">
        <f>'5.4 - 2023'!B86</f>
        <v>System Wide Stability Study</v>
      </c>
      <c r="D126" s="44">
        <f>IFERROR(-VLOOKUP($B126,'5.2 - 2021'!$B:$G,5,FALSE),0)</f>
        <v>0</v>
      </c>
      <c r="E126" s="44">
        <f>IFERROR(-VLOOKUP($B126,'5.3 - 2022'!$B:$G,5,FALSE),0)</f>
        <v>0</v>
      </c>
      <c r="F126" s="44">
        <f>IFERROR(-VLOOKUP($B126,'5.4 - 2023'!$B:$G,5,FALSE),0)</f>
        <v>200</v>
      </c>
      <c r="G126" s="44">
        <f>IFERROR(-VLOOKUP($B126,'5.5 - 2024'!$B:$G,5,FALSE),0)</f>
        <v>0</v>
      </c>
      <c r="I126" s="45">
        <f t="shared" si="17"/>
        <v>200</v>
      </c>
    </row>
    <row r="127" spans="2:10" x14ac:dyDescent="0.35">
      <c r="B127" t="str">
        <f>'5.4 - 2023'!B89</f>
        <v>Digital Strategy and Policy Development</v>
      </c>
      <c r="D127" s="44">
        <f>IFERROR(-VLOOKUP($B127,'5.2 - 2021'!$B:$G,5,FALSE),0)</f>
        <v>0</v>
      </c>
      <c r="E127" s="44">
        <f>IFERROR(-VLOOKUP($B127,'5.3 - 2022'!$B:$G,5,FALSE),0)</f>
        <v>0</v>
      </c>
      <c r="F127" s="44">
        <f>IFERROR(-VLOOKUP($B127,'5.4 - 2023'!$B:$G,5,FALSE),0)</f>
        <v>120</v>
      </c>
      <c r="G127" s="44">
        <f>IFERROR(-VLOOKUP($B127,'5.5 - 2024'!$B:$G,5,FALSE),0)</f>
        <v>0</v>
      </c>
      <c r="I127" s="45">
        <f t="shared" si="17"/>
        <v>120</v>
      </c>
    </row>
    <row r="128" spans="2:10" x14ac:dyDescent="0.35">
      <c r="B128" t="str">
        <f>'5.4 - 2023'!B90</f>
        <v>Privacy Management Program</v>
      </c>
      <c r="D128" s="44">
        <f>IFERROR(-VLOOKUP($B128,'5.2 - 2021'!$B:$G,5,FALSE),0)</f>
        <v>0</v>
      </c>
      <c r="E128" s="44">
        <f>IFERROR(-VLOOKUP($B128,'5.3 - 2022'!$B:$G,5,FALSE),0)</f>
        <v>0</v>
      </c>
      <c r="F128" s="44">
        <f>IFERROR(-VLOOKUP($B128,'5.4 - 2023'!$B:$G,5,FALSE),0)</f>
        <v>100</v>
      </c>
      <c r="G128" s="44">
        <f>IFERROR(-VLOOKUP($B128,'5.5 - 2024'!$B:$G,5,FALSE),0)</f>
        <v>0</v>
      </c>
      <c r="I128" s="45">
        <f t="shared" si="17"/>
        <v>100</v>
      </c>
    </row>
    <row r="129" spans="2:10" x14ac:dyDescent="0.35">
      <c r="B129" t="str">
        <f>'5.4 - 2023'!B91</f>
        <v>Vegetation Management Plan Update</v>
      </c>
      <c r="D129" s="44">
        <f>IFERROR(-VLOOKUP($B129,'5.2 - 2021'!$B:$G,5,FALSE),0)</f>
        <v>0</v>
      </c>
      <c r="E129" s="44">
        <f>IFERROR(-VLOOKUP($B129,'5.3 - 2022'!$B:$G,5,FALSE),0)</f>
        <v>0</v>
      </c>
      <c r="F129" s="44">
        <f>IFERROR(-VLOOKUP($B129,'5.4 - 2023'!$B:$G,5,FALSE),0)</f>
        <v>225</v>
      </c>
      <c r="G129" s="44">
        <f>IFERROR(-VLOOKUP($B129,'5.5 - 2024'!$B:$G,5,FALSE),0)</f>
        <v>0</v>
      </c>
      <c r="I129" s="45">
        <f t="shared" si="17"/>
        <v>225</v>
      </c>
    </row>
    <row r="130" spans="2:10" x14ac:dyDescent="0.35">
      <c r="B130" t="str">
        <f>'5.5 - 2024'!B61</f>
        <v>Cyber Security Framework</v>
      </c>
      <c r="D130" s="44">
        <f>IFERROR(-VLOOKUP($B130,'5.2 - 2021'!$B:$G,5,FALSE),0)</f>
        <v>0</v>
      </c>
      <c r="E130" s="44">
        <f>IFERROR(-VLOOKUP($B130,'5.3 - 2022'!$B:$G,5,FALSE),0)</f>
        <v>0</v>
      </c>
      <c r="F130" s="44">
        <f>IFERROR(-VLOOKUP($B130,'5.4 - 2023'!$B:$G,5,FALSE),0)</f>
        <v>0</v>
      </c>
      <c r="G130" s="44">
        <f>IFERROR(-VLOOKUP($B130,'5.5 - 2024'!$B:$G,5,FALSE),0)</f>
        <v>140</v>
      </c>
      <c r="I130" s="45">
        <f t="shared" si="17"/>
        <v>140</v>
      </c>
    </row>
    <row r="131" spans="2:10" x14ac:dyDescent="0.35">
      <c r="B131" t="str">
        <f>'5.5 - 2024'!B62</f>
        <v>Transmission Line Detailed Inspection Program</v>
      </c>
      <c r="D131" s="44">
        <f>IFERROR(-VLOOKUP($B131,'5.2 - 2021'!$B:$G,5,FALSE),0)</f>
        <v>0</v>
      </c>
      <c r="E131" s="44">
        <f>IFERROR(-VLOOKUP($B131,'5.3 - 2022'!$B:$G,5,FALSE),0)</f>
        <v>0</v>
      </c>
      <c r="F131" s="44">
        <f>IFERROR(-VLOOKUP($B131,'5.4 - 2023'!$B:$G,5,FALSE),0)</f>
        <v>0</v>
      </c>
      <c r="G131" s="44">
        <f>IFERROR(-VLOOKUP($B131,'5.5 - 2024'!$B:$G,5,FALSE),0)</f>
        <v>250</v>
      </c>
      <c r="I131" s="45">
        <f t="shared" si="17"/>
        <v>250</v>
      </c>
    </row>
    <row r="132" spans="2:10" x14ac:dyDescent="0.35">
      <c r="B132" t="str">
        <f>'5.5 - 2024'!B63</f>
        <v>Gates/TIV's Certification Assessment System Wide</v>
      </c>
      <c r="D132" s="44">
        <f>IFERROR(-VLOOKUP($B132,'5.2 - 2021'!$B:$G,5,FALSE),0)</f>
        <v>0</v>
      </c>
      <c r="E132" s="44">
        <f>IFERROR(-VLOOKUP($B132,'5.3 - 2022'!$B:$G,5,FALSE),0)</f>
        <v>0</v>
      </c>
      <c r="F132" s="44">
        <f>IFERROR(-VLOOKUP($B132,'5.4 - 2023'!$B:$G,5,FALSE),0)</f>
        <v>0</v>
      </c>
      <c r="G132" s="44">
        <f>IFERROR(-VLOOKUP($B132,'5.5 - 2024'!$B:$G,5,FALSE),0)</f>
        <v>200</v>
      </c>
      <c r="I132" s="45">
        <f t="shared" si="17"/>
        <v>200</v>
      </c>
    </row>
    <row r="133" spans="2:10" x14ac:dyDescent="0.35">
      <c r="B133" t="str">
        <f>'5.5 - 2024'!B64</f>
        <v>Digital Reporting Review</v>
      </c>
      <c r="D133" s="44">
        <f>IFERROR(-VLOOKUP($B133,'5.2 - 2021'!$B:$G,5,FALSE),0)</f>
        <v>0</v>
      </c>
      <c r="E133" s="44">
        <f>IFERROR(-VLOOKUP($B133,'5.3 - 2022'!$B:$G,5,FALSE),0)</f>
        <v>0</v>
      </c>
      <c r="F133" s="44">
        <f>IFERROR(-VLOOKUP($B133,'5.4 - 2023'!$B:$G,5,FALSE),0)</f>
        <v>0</v>
      </c>
      <c r="G133" s="44">
        <f>IFERROR(-VLOOKUP($B133,'5.5 - 2024'!$B:$G,5,FALSE),0)</f>
        <v>125</v>
      </c>
      <c r="I133" s="45">
        <f t="shared" si="17"/>
        <v>125</v>
      </c>
    </row>
    <row r="134" spans="2:10" x14ac:dyDescent="0.35">
      <c r="B134" t="str">
        <f>'5.5 - 2024'!B65</f>
        <v>Records Policy Planning and Program Development</v>
      </c>
      <c r="D134" s="44">
        <f>IFERROR(-VLOOKUP($B134,'5.2 - 2021'!$B:$G,5,FALSE),0)</f>
        <v>0</v>
      </c>
      <c r="E134" s="44">
        <f>IFERROR(-VLOOKUP($B134,'5.3 - 2022'!$B:$G,5,FALSE),0)</f>
        <v>0</v>
      </c>
      <c r="F134" s="44">
        <f>IFERROR(-VLOOKUP($B134,'5.4 - 2023'!$B:$G,5,FALSE),0)</f>
        <v>0</v>
      </c>
      <c r="G134" s="44">
        <f>IFERROR(-VLOOKUP($B134,'5.5 - 2024'!$B:$G,5,FALSE),0)</f>
        <v>100</v>
      </c>
      <c r="I134" s="45">
        <f t="shared" si="17"/>
        <v>100</v>
      </c>
    </row>
    <row r="135" spans="2:10" x14ac:dyDescent="0.35">
      <c r="B135" t="str">
        <f>'5.5 - 2024'!B66</f>
        <v>Breaker Condition Assessment</v>
      </c>
      <c r="D135" s="44">
        <f>IFERROR(-VLOOKUP($B135,'5.2 - 2021'!$B:$G,5,FALSE),0)</f>
        <v>0</v>
      </c>
      <c r="E135" s="44">
        <f>IFERROR(-VLOOKUP($B135,'5.3 - 2022'!$B:$G,5,FALSE),0)</f>
        <v>0</v>
      </c>
      <c r="F135" s="44">
        <f>IFERROR(-VLOOKUP($B135,'5.4 - 2023'!$B:$G,5,FALSE),0)</f>
        <v>0</v>
      </c>
      <c r="G135" s="44">
        <f>IFERROR(-VLOOKUP($B135,'5.5 - 2024'!$B:$G,5,FALSE),0)</f>
        <v>100</v>
      </c>
      <c r="I135" s="45">
        <f t="shared" si="17"/>
        <v>100</v>
      </c>
    </row>
    <row r="136" spans="2:10" x14ac:dyDescent="0.35">
      <c r="B136" t="str">
        <f>'5.5 - 2024'!B67</f>
        <v>Other Projects with &lt;$100k Spending</v>
      </c>
      <c r="D136" s="44">
        <f>-'5.2 - 2021'!F74</f>
        <v>262.76943</v>
      </c>
      <c r="E136" s="44">
        <f>-'5.3 - 2022'!F88</f>
        <v>172.62349999999998</v>
      </c>
      <c r="F136" s="44">
        <f>-'5.4 - 2023'!F93</f>
        <v>342.18849999999998</v>
      </c>
      <c r="G136" s="44">
        <f>-'5.5 - 2024'!F67</f>
        <v>-10</v>
      </c>
      <c r="I136" s="45">
        <f t="shared" si="17"/>
        <v>767.58142999999995</v>
      </c>
    </row>
    <row r="137" spans="2:10" x14ac:dyDescent="0.35">
      <c r="B137" s="24" t="s">
        <v>74</v>
      </c>
      <c r="D137" s="47">
        <f>SUM(D118:D136)</f>
        <v>843.25691000000006</v>
      </c>
      <c r="E137" s="47">
        <f>SUM(E118:E136)</f>
        <v>287.85502999999994</v>
      </c>
      <c r="F137" s="47">
        <f>SUM(F118:F136)</f>
        <v>2034.2240200000001</v>
      </c>
      <c r="G137" s="47">
        <f>SUM(G118:G136)</f>
        <v>1318</v>
      </c>
      <c r="H137" s="47"/>
      <c r="I137" s="47">
        <f>SUM(I118:I136)</f>
        <v>4483.3359600000003</v>
      </c>
      <c r="J137" s="47"/>
    </row>
    <row r="139" spans="2:10" x14ac:dyDescent="0.35">
      <c r="B139" s="24" t="s">
        <v>56</v>
      </c>
    </row>
    <row r="140" spans="2:10" x14ac:dyDescent="0.35">
      <c r="B140" t="s">
        <v>95</v>
      </c>
      <c r="D140" s="44">
        <f>IFERROR(-VLOOKUP($B140,'5.2 - 2021'!$B:$G,5,FALSE),0)</f>
        <v>0</v>
      </c>
      <c r="E140" s="44">
        <f>IFERROR(-VLOOKUP($B140,'5.3 - 2022'!$B:$G,5,FALSE),0)</f>
        <v>0</v>
      </c>
      <c r="F140" s="44">
        <f>IFERROR(-VLOOKUP($B140,'5.4 - 2023'!$B:$G,5,FALSE),0)</f>
        <v>5466.1814299999996</v>
      </c>
      <c r="G140" s="44">
        <f>IFERROR(-VLOOKUP($B140,'5.5 - 2024'!$B:$G,5,FALSE),0)</f>
        <v>0</v>
      </c>
      <c r="I140" s="45">
        <f t="shared" ref="I140:I141" si="18">SUM(D140:H140)</f>
        <v>5466.1814299999996</v>
      </c>
    </row>
    <row r="141" spans="2:10" x14ac:dyDescent="0.35">
      <c r="B141" t="s">
        <v>96</v>
      </c>
      <c r="D141" s="44">
        <f>IFERROR(-VLOOKUP($B141,'5.2 - 2021'!$B:$G,5,FALSE),0)</f>
        <v>4549.8533200000002</v>
      </c>
      <c r="E141" s="44">
        <f>IFERROR(-VLOOKUP($B141,'5.3 - 2022'!$B:$G,5,FALSE),0)</f>
        <v>0</v>
      </c>
      <c r="F141" s="44">
        <f>IFERROR(-VLOOKUP($B141,'5.4 - 2023'!$B:$G,5,FALSE),0)</f>
        <v>0</v>
      </c>
      <c r="G141" s="44">
        <f>IFERROR(-VLOOKUP($B141,'5.5 - 2024'!$B:$G,5,FALSE),0)</f>
        <v>0</v>
      </c>
      <c r="I141" s="45">
        <f t="shared" si="18"/>
        <v>4549.8533200000002</v>
      </c>
    </row>
    <row r="142" spans="2:10" x14ac:dyDescent="0.35">
      <c r="B142" s="24" t="s">
        <v>74</v>
      </c>
      <c r="D142" s="47">
        <f>SUM(D140:D141)</f>
        <v>4549.8533200000002</v>
      </c>
      <c r="E142" s="47">
        <f>SUM(E140:E141)</f>
        <v>0</v>
      </c>
      <c r="F142" s="47">
        <f>SUM(F140:F141)</f>
        <v>5466.1814299999996</v>
      </c>
      <c r="G142" s="47">
        <f>SUM(G140:G141)</f>
        <v>0</v>
      </c>
      <c r="H142" s="47"/>
      <c r="I142" s="47">
        <f t="shared" ref="I142" si="19">SUM(I140:I141)</f>
        <v>10016.034749999999</v>
      </c>
      <c r="J142" s="47"/>
    </row>
    <row r="144" spans="2:10" x14ac:dyDescent="0.35">
      <c r="B144" s="24" t="s">
        <v>57</v>
      </c>
    </row>
    <row r="145" spans="2:10" x14ac:dyDescent="0.35">
      <c r="B145" t="str">
        <f>'5.3 - 2022'!B96</f>
        <v>EAM Enhancements Review</v>
      </c>
      <c r="D145" s="44">
        <f>IFERROR(-VLOOKUP($B145,'5.2 - 2021'!$B:$G,5,FALSE),0)</f>
        <v>0</v>
      </c>
      <c r="E145" s="44">
        <f>IFERROR(-VLOOKUP($B145,'5.3 - 2022'!$B:$G,5,FALSE),0)</f>
        <v>147.33741000000001</v>
      </c>
      <c r="F145" s="44">
        <f>IFERROR(-VLOOKUP($B145,'5.4 - 2023'!$B:$G,5,FALSE),0)</f>
        <v>0</v>
      </c>
      <c r="G145" s="44">
        <f>IFERROR(-VLOOKUP($B145,'5.5 - 2024'!$B:$G,5,FALSE),0)</f>
        <v>0</v>
      </c>
      <c r="I145" s="45">
        <f t="shared" ref="I145:I150" si="20">SUM(D145:H145)</f>
        <v>147.33741000000001</v>
      </c>
    </row>
    <row r="146" spans="2:10" x14ac:dyDescent="0.35">
      <c r="B146" t="str">
        <f>'5.4 - 2023'!B101</f>
        <v>Network Software Traffic Shaping</v>
      </c>
      <c r="D146" s="44">
        <f>IFERROR(-VLOOKUP($B146,'5.2 - 2021'!$B:$G,5,FALSE),0)</f>
        <v>0</v>
      </c>
      <c r="E146" s="44">
        <f>IFERROR(-VLOOKUP($B146,'5.3 - 2022'!$B:$G,5,FALSE),0)</f>
        <v>0</v>
      </c>
      <c r="F146" s="44">
        <f>IFERROR(-VLOOKUP($B146,'5.4 - 2023'!$B:$G,5,FALSE),0)</f>
        <v>250</v>
      </c>
      <c r="G146" s="44">
        <f>IFERROR(-VLOOKUP($B146,'5.5 - 2024'!$B:$G,5,FALSE),0)</f>
        <v>0</v>
      </c>
      <c r="I146" s="45">
        <f t="shared" si="20"/>
        <v>250</v>
      </c>
    </row>
    <row r="147" spans="2:10" x14ac:dyDescent="0.35">
      <c r="B147" t="str">
        <f>'5.4 - 2023'!B102</f>
        <v>CIS Replacement</v>
      </c>
      <c r="D147" s="44">
        <f>IFERROR(-VLOOKUP($B147,'5.2 - 2021'!$B:$G,5,FALSE),0)</f>
        <v>0</v>
      </c>
      <c r="E147" s="44">
        <f>IFERROR(-VLOOKUP($B147,'5.3 - 2022'!$B:$G,5,FALSE),0)</f>
        <v>0</v>
      </c>
      <c r="F147" s="44">
        <f>IFERROR(-VLOOKUP($B147,'5.4 - 2023'!$B:$G,5,FALSE),0)</f>
        <v>118.32092999999999</v>
      </c>
      <c r="G147" s="44">
        <f>IFERROR(-VLOOKUP($B147,'5.5 - 2024'!$B:$G,5,FALSE),0)</f>
        <v>0</v>
      </c>
      <c r="I147" s="45">
        <f t="shared" si="20"/>
        <v>118.32092999999999</v>
      </c>
    </row>
    <row r="148" spans="2:10" x14ac:dyDescent="0.35">
      <c r="B148" t="str">
        <f>'5.5 - 2024'!B74</f>
        <v>P&amp;C Central Event Data Collection System</v>
      </c>
      <c r="D148" s="44">
        <f>IFERROR(-VLOOKUP($B148,'5.2 - 2021'!$B:$G,5,FALSE),0)</f>
        <v>0</v>
      </c>
      <c r="E148" s="44">
        <f>IFERROR(-VLOOKUP($B148,'5.3 - 2022'!$B:$G,5,FALSE),0)</f>
        <v>0</v>
      </c>
      <c r="F148" s="44">
        <f>IFERROR(-VLOOKUP($B148,'5.4 - 2023'!$B:$G,5,FALSE),0)</f>
        <v>0</v>
      </c>
      <c r="G148" s="44">
        <f>IFERROR(-VLOOKUP($B148,'5.5 - 2024'!$B:$G,5,FALSE),0)</f>
        <v>150</v>
      </c>
      <c r="I148" s="45">
        <f t="shared" si="20"/>
        <v>150</v>
      </c>
    </row>
    <row r="149" spans="2:10" x14ac:dyDescent="0.35">
      <c r="B149" t="str">
        <f>'5.5 - 2024'!B75</f>
        <v>SharePoint Upgrades</v>
      </c>
      <c r="D149" s="44">
        <f>IFERROR(-VLOOKUP($B149,'5.2 - 2021'!$B:$G,5,FALSE),0)</f>
        <v>0</v>
      </c>
      <c r="E149" s="44">
        <f>IFERROR(-VLOOKUP($B149,'5.3 - 2022'!$B:$G,5,FALSE),0)</f>
        <v>0</v>
      </c>
      <c r="F149" s="44">
        <f>IFERROR(-VLOOKUP($B149,'5.4 - 2023'!$B:$G,5,FALSE),0)</f>
        <v>0</v>
      </c>
      <c r="G149" s="44">
        <f>IFERROR(-VLOOKUP($B149,'5.5 - 2024'!$B:$G,5,FALSE),0)</f>
        <v>100</v>
      </c>
      <c r="I149" s="45">
        <f t="shared" si="20"/>
        <v>100</v>
      </c>
    </row>
    <row r="150" spans="2:10" x14ac:dyDescent="0.35">
      <c r="B150" t="str">
        <f>'5.5 - 2024'!B76</f>
        <v>Other Projects with &lt;$100k Spending</v>
      </c>
      <c r="D150" s="44">
        <f>-'5.2 - 2021'!F83</f>
        <v>98.774390000000011</v>
      </c>
      <c r="E150" s="44">
        <f>-'5.3 - 2022'!F98</f>
        <v>130.99198999999999</v>
      </c>
      <c r="F150" s="44">
        <f>-'5.4 - 2023'!F103</f>
        <v>72.786820000000006</v>
      </c>
      <c r="G150" s="44">
        <f>-'5.5 - 2024'!F76</f>
        <v>130</v>
      </c>
      <c r="I150" s="45">
        <f t="shared" si="20"/>
        <v>432.5532</v>
      </c>
    </row>
    <row r="151" spans="2:10" x14ac:dyDescent="0.35">
      <c r="B151" s="24" t="s">
        <v>74</v>
      </c>
      <c r="D151" s="47">
        <f>SUM(D145:D150)</f>
        <v>98.774390000000011</v>
      </c>
      <c r="E151" s="47">
        <f>SUM(E145:E150)</f>
        <v>278.32939999999996</v>
      </c>
      <c r="F151" s="47">
        <f t="shared" ref="F151:G151" si="21">SUM(F145:F150)</f>
        <v>441.10775000000001</v>
      </c>
      <c r="G151" s="47">
        <f t="shared" si="21"/>
        <v>380</v>
      </c>
      <c r="H151" s="47"/>
      <c r="I151" s="47">
        <f>SUM(I145:I150)</f>
        <v>1198.21154</v>
      </c>
      <c r="J151" s="47"/>
    </row>
    <row r="153" spans="2:10" x14ac:dyDescent="0.35">
      <c r="B153" s="24" t="s">
        <v>92</v>
      </c>
      <c r="D153" s="48">
        <f>D151+D142+D137+D115+D103+D83+D68+D58+D45+D30+D98+D92</f>
        <v>32847.97049</v>
      </c>
      <c r="E153" s="48">
        <f>E151+E142+E137+E115+E103+E83+E68+E58+E45+E30+E98+E92</f>
        <v>21571.844850000001</v>
      </c>
      <c r="F153" s="48">
        <f>F151+F142+F137+F115+F103+F83+F68+F58+F45+F30+F98+F92</f>
        <v>42912.952369999999</v>
      </c>
      <c r="G153" s="48">
        <f>G151+G142+G137+G115+G103+G83+G68+G58+G45+G30+G98+G92</f>
        <v>48361.813150000002</v>
      </c>
      <c r="H153" s="48"/>
      <c r="I153" s="48">
        <f>I151+I142+I137+I115+I103+I83+I68+I58+I45+I30+I98+I92</f>
        <v>145694.58086000002</v>
      </c>
      <c r="J153" s="48"/>
    </row>
    <row r="155" spans="2:10" x14ac:dyDescent="0.35">
      <c r="B155" s="24" t="s">
        <v>93</v>
      </c>
      <c r="D155" s="49">
        <f>D142+D115+D30</f>
        <v>27468.871900000002</v>
      </c>
      <c r="E155" s="49">
        <f>E142+E115+E30</f>
        <v>12552.71732</v>
      </c>
      <c r="F155" s="49">
        <f>F142+F115+F30</f>
        <v>31218.423089999997</v>
      </c>
      <c r="G155" s="49">
        <f>G142+G115+G30</f>
        <v>39606.07215</v>
      </c>
      <c r="H155" s="49"/>
      <c r="I155" s="49">
        <f>I142+I115+I30</f>
        <v>110846.08446</v>
      </c>
      <c r="J155" s="49"/>
    </row>
    <row r="156" spans="2:10" x14ac:dyDescent="0.35">
      <c r="B156" s="24" t="s">
        <v>94</v>
      </c>
      <c r="D156" s="50">
        <f>D151+D137+D83+D68+D58+D45-D161</f>
        <v>2735.4360100000004</v>
      </c>
      <c r="E156" s="50">
        <f>E151+E137+E83+E68+E58+E45-E161</f>
        <v>2165.0761499999999</v>
      </c>
      <c r="F156" s="50">
        <f>F151+F137+F83+F68+F58+F45-F161</f>
        <v>5130.9179399999985</v>
      </c>
      <c r="G156" s="50">
        <f>G151+G137+G83+G68+G58+G45-G161</f>
        <v>5929.01</v>
      </c>
      <c r="H156" s="50"/>
      <c r="I156" s="50">
        <f>I151+I137+I83+I68+I58+I45-I161</f>
        <v>15960.440100000002</v>
      </c>
      <c r="J156" s="50"/>
    </row>
    <row r="157" spans="2:10" x14ac:dyDescent="0.35">
      <c r="B157" s="3" t="s">
        <v>63</v>
      </c>
      <c r="D157" s="50">
        <f>D98</f>
        <v>0</v>
      </c>
      <c r="E157" s="50">
        <f>E98</f>
        <v>1180.856</v>
      </c>
      <c r="F157" s="50">
        <f>F98</f>
        <v>750.13410999999996</v>
      </c>
      <c r="G157" s="50">
        <f>G98</f>
        <v>0</v>
      </c>
      <c r="H157" s="50"/>
      <c r="I157" s="50">
        <f>I98</f>
        <v>1930.99011</v>
      </c>
      <c r="J157" s="50"/>
    </row>
    <row r="158" spans="2:10" x14ac:dyDescent="0.35">
      <c r="B158" s="24" t="s">
        <v>107</v>
      </c>
      <c r="D158" s="49">
        <f>D92</f>
        <v>0</v>
      </c>
      <c r="E158" s="49">
        <f>E92</f>
        <v>2340.8530799999999</v>
      </c>
      <c r="F158" s="49">
        <f>F92</f>
        <v>3260.96684</v>
      </c>
      <c r="G158" s="49">
        <f>G92</f>
        <v>850</v>
      </c>
      <c r="H158" s="49"/>
      <c r="I158" s="49">
        <f>I92</f>
        <v>6451.8199199999999</v>
      </c>
      <c r="J158" s="49"/>
    </row>
    <row r="159" spans="2:10" x14ac:dyDescent="0.35">
      <c r="B159" s="3" t="s">
        <v>64</v>
      </c>
      <c r="D159" s="49">
        <f>D103</f>
        <v>1393.2667099999999</v>
      </c>
      <c r="E159" s="49">
        <f>E103</f>
        <v>1916.08511</v>
      </c>
      <c r="F159" s="49">
        <f>F103</f>
        <v>899.91791000000001</v>
      </c>
      <c r="G159" s="49">
        <f>G103</f>
        <v>681.74099999999999</v>
      </c>
      <c r="H159" s="49"/>
      <c r="I159" s="49">
        <f>I103</f>
        <v>4891.0107300000009</v>
      </c>
      <c r="J159" s="49"/>
    </row>
    <row r="160" spans="2:10" x14ac:dyDescent="0.35">
      <c r="B160" s="24" t="s">
        <v>65</v>
      </c>
      <c r="D160" s="49">
        <f>D107</f>
        <v>0</v>
      </c>
      <c r="E160" s="49">
        <f>E107</f>
        <v>0</v>
      </c>
      <c r="F160" s="49">
        <f>F107</f>
        <v>763.09289999999999</v>
      </c>
      <c r="G160" s="49">
        <f>G107</f>
        <v>0</v>
      </c>
      <c r="H160" s="49"/>
      <c r="I160" s="49">
        <f>I107</f>
        <v>763.09289999999999</v>
      </c>
      <c r="J160" s="49"/>
    </row>
    <row r="161" spans="2:10" x14ac:dyDescent="0.35">
      <c r="B161" s="24" t="s">
        <v>75</v>
      </c>
      <c r="D161" s="49">
        <f>D150+D136+D82+D67+D57+D44</f>
        <v>1250.3958699999998</v>
      </c>
      <c r="E161" s="49">
        <f>E150+E136+E82+E67+E57+E44</f>
        <v>1416.2571900000003</v>
      </c>
      <c r="F161" s="49">
        <f>F150+F136+F82+F67+F57+F44</f>
        <v>1652.59248</v>
      </c>
      <c r="G161" s="49">
        <f>G150+G136+G82+G67+G57+G44</f>
        <v>1294.99</v>
      </c>
      <c r="H161" s="49"/>
      <c r="I161" s="49">
        <f>I150+I136+I82+I67+I57+I44</f>
        <v>5614.2355399999997</v>
      </c>
      <c r="J161" s="49"/>
    </row>
    <row r="162" spans="2:10" x14ac:dyDescent="0.35">
      <c r="B162" s="24" t="s">
        <v>92</v>
      </c>
      <c r="D162" s="48">
        <f>SUM(D155:D161)</f>
        <v>32847.97049</v>
      </c>
      <c r="E162" s="48">
        <f t="shared" ref="E162:I162" si="22">SUM(E155:E161)</f>
        <v>21571.844850000001</v>
      </c>
      <c r="F162" s="48">
        <f t="shared" si="22"/>
        <v>43676.045269999995</v>
      </c>
      <c r="G162" s="48">
        <f t="shared" si="22"/>
        <v>48361.813150000002</v>
      </c>
      <c r="H162" s="48"/>
      <c r="I162" s="48">
        <f t="shared" si="22"/>
        <v>146457.67376000001</v>
      </c>
      <c r="J162" s="48"/>
    </row>
  </sheetData>
  <mergeCells count="2">
    <mergeCell ref="D6:I6"/>
    <mergeCell ref="B3:G3"/>
  </mergeCells>
  <pageMargins left="0.70866141732283472" right="0.70866141732283472" top="0.74803149606299213" bottom="0.74803149606299213" header="0.31496062992125984" footer="0.31496062992125984"/>
  <pageSetup scale="49" orientation="portrait" verticalDpi="360" r:id="rId1"/>
  <rowBreaks count="1" manualBreakCount="1">
    <brk id="9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Y86"/>
  <sheetViews>
    <sheetView view="pageBreakPreview" topLeftCell="J63" zoomScale="85" zoomScaleNormal="100" zoomScaleSheetLayoutView="85" workbookViewId="0">
      <selection activeCell="N75" sqref="N75"/>
    </sheetView>
  </sheetViews>
  <sheetFormatPr defaultRowHeight="14.5" x14ac:dyDescent="0.35"/>
  <cols>
    <col min="1" max="1" width="2.08984375" customWidth="1"/>
    <col min="2" max="2" width="66.08984375" bestFit="1" customWidth="1"/>
    <col min="3" max="3" width="5.1796875" customWidth="1"/>
    <col min="4" max="5" width="9.90625" customWidth="1"/>
    <col min="7" max="7" width="9.90625" customWidth="1"/>
    <col min="8" max="8" width="1.36328125" customWidth="1"/>
    <col min="9" max="10" width="9.90625" customWidth="1"/>
    <col min="12" max="12" width="9.90625" customWidth="1"/>
    <col min="13" max="13" width="1.36328125" customWidth="1"/>
    <col min="14" max="14" width="66.08984375" bestFit="1" customWidth="1"/>
    <col min="15" max="15" width="1.36328125" customWidth="1"/>
    <col min="16" max="17" width="10.08984375" customWidth="1"/>
    <col min="19" max="19" width="10.08984375" customWidth="1"/>
    <col min="20" max="20" width="1.36328125" customWidth="1"/>
    <col min="21" max="22" width="10.08984375" customWidth="1"/>
    <col min="24" max="24" width="10.08984375" customWidth="1"/>
    <col min="25" max="25" width="2.1796875" customWidth="1"/>
  </cols>
  <sheetData>
    <row r="1" spans="2:25" x14ac:dyDescent="0.35">
      <c r="B1" s="24" t="s">
        <v>86</v>
      </c>
      <c r="C1" s="38"/>
      <c r="D1" s="38"/>
      <c r="E1" s="38"/>
      <c r="F1" s="38"/>
      <c r="L1" s="39" t="s">
        <v>115</v>
      </c>
      <c r="N1" s="24" t="s">
        <v>86</v>
      </c>
      <c r="O1" s="38"/>
      <c r="P1" s="38"/>
      <c r="Q1" s="38"/>
      <c r="R1" s="38"/>
      <c r="X1" s="39" t="str">
        <f>L1</f>
        <v>Table 5.7</v>
      </c>
    </row>
    <row r="2" spans="2:25" x14ac:dyDescent="0.35">
      <c r="B2" s="24" t="s">
        <v>87</v>
      </c>
      <c r="C2" s="24"/>
      <c r="D2" s="24"/>
      <c r="E2" s="24"/>
      <c r="F2" s="40"/>
      <c r="L2" s="41" t="str">
        <f>'5.1'!$F$2</f>
        <v>August 2023</v>
      </c>
      <c r="N2" s="24" t="s">
        <v>87</v>
      </c>
      <c r="O2" s="24"/>
      <c r="P2" s="24"/>
      <c r="Q2" s="24"/>
      <c r="R2" s="40"/>
      <c r="X2" s="39" t="str">
        <f>L2</f>
        <v>August 2023</v>
      </c>
    </row>
    <row r="3" spans="2:25" x14ac:dyDescent="0.35">
      <c r="B3" s="60" t="s">
        <v>15</v>
      </c>
      <c r="C3" s="60"/>
      <c r="D3" s="60"/>
      <c r="E3" s="60"/>
      <c r="F3" s="60"/>
      <c r="G3" s="60"/>
      <c r="N3" s="60" t="s">
        <v>15</v>
      </c>
      <c r="O3" s="60"/>
      <c r="P3" s="60"/>
      <c r="Q3" s="60"/>
      <c r="R3" s="60"/>
      <c r="S3" s="60"/>
    </row>
    <row r="4" spans="2:25" ht="15" thickBot="1" x14ac:dyDescent="0.4"/>
    <row r="5" spans="2:25" ht="15" thickBot="1" x14ac:dyDescent="0.4">
      <c r="D5" s="62">
        <v>2021</v>
      </c>
      <c r="E5" s="63"/>
      <c r="F5" s="63"/>
      <c r="G5" s="64"/>
      <c r="I5" s="62">
        <v>2022</v>
      </c>
      <c r="J5" s="63"/>
      <c r="K5" s="63"/>
      <c r="L5" s="64"/>
      <c r="P5" s="62">
        <v>2023</v>
      </c>
      <c r="Q5" s="63"/>
      <c r="R5" s="63"/>
      <c r="S5" s="64"/>
      <c r="U5" s="62">
        <v>2024</v>
      </c>
      <c r="V5" s="63"/>
      <c r="W5" s="63"/>
      <c r="X5" s="64"/>
    </row>
    <row r="6" spans="2:25" ht="43.5" x14ac:dyDescent="0.35">
      <c r="D6" s="33" t="s">
        <v>69</v>
      </c>
      <c r="E6" s="33" t="s">
        <v>70</v>
      </c>
      <c r="F6" s="33" t="s">
        <v>37</v>
      </c>
      <c r="G6" s="33" t="s">
        <v>71</v>
      </c>
      <c r="I6" s="33" t="s">
        <v>69</v>
      </c>
      <c r="J6" s="33" t="s">
        <v>70</v>
      </c>
      <c r="K6" s="33" t="s">
        <v>37</v>
      </c>
      <c r="L6" s="33" t="s">
        <v>71</v>
      </c>
      <c r="P6" s="33" t="s">
        <v>69</v>
      </c>
      <c r="Q6" s="33" t="s">
        <v>70</v>
      </c>
      <c r="R6" s="33" t="s">
        <v>37</v>
      </c>
      <c r="S6" s="33" t="s">
        <v>71</v>
      </c>
      <c r="U6" s="33" t="s">
        <v>69</v>
      </c>
      <c r="V6" s="33" t="s">
        <v>70</v>
      </c>
      <c r="W6" s="33" t="s">
        <v>37</v>
      </c>
      <c r="X6" s="33" t="s">
        <v>71</v>
      </c>
    </row>
    <row r="7" spans="2:25" x14ac:dyDescent="0.35">
      <c r="C7" s="24"/>
      <c r="H7" s="24"/>
      <c r="P7" s="30"/>
      <c r="Q7" s="30"/>
      <c r="R7" s="30"/>
      <c r="S7" s="30"/>
      <c r="T7" s="24"/>
      <c r="U7" s="30"/>
      <c r="V7" s="30"/>
      <c r="W7" s="30"/>
      <c r="X7" s="30"/>
      <c r="Y7" s="30"/>
    </row>
    <row r="8" spans="2:25" x14ac:dyDescent="0.35">
      <c r="B8" s="24" t="s">
        <v>58</v>
      </c>
      <c r="I8" s="30"/>
      <c r="J8" s="30"/>
      <c r="K8" s="30"/>
      <c r="L8" s="30"/>
      <c r="M8" s="30"/>
      <c r="N8" s="24" t="str">
        <f>B8</f>
        <v>Capital Projects – Major projects &gt; $1 million – Not impacting Rate Base</v>
      </c>
      <c r="O8" s="30"/>
      <c r="P8" s="30"/>
      <c r="Q8" s="30"/>
      <c r="R8" s="30"/>
      <c r="S8" s="30"/>
      <c r="U8" s="30"/>
      <c r="V8" s="30"/>
      <c r="W8" s="30"/>
      <c r="X8" s="30"/>
      <c r="Y8" s="30"/>
    </row>
    <row r="9" spans="2:25" x14ac:dyDescent="0.35">
      <c r="B9" t="s">
        <v>209</v>
      </c>
      <c r="D9" s="32">
        <v>517.39288999999997</v>
      </c>
      <c r="E9" s="32">
        <v>854.54684999999995</v>
      </c>
      <c r="F9" s="32">
        <v>-219.51868999999999</v>
      </c>
      <c r="G9" s="30">
        <f>SUM(D9:F9)</f>
        <v>1152.4210499999999</v>
      </c>
      <c r="I9" s="30">
        <f>G9</f>
        <v>1152.4210499999999</v>
      </c>
      <c r="J9" s="30">
        <v>8848.2765600000002</v>
      </c>
      <c r="K9" s="30">
        <v>0</v>
      </c>
      <c r="L9" s="30">
        <f>SUM(I9:K9)</f>
        <v>10000.697609999999</v>
      </c>
      <c r="M9" s="30"/>
      <c r="N9" t="str">
        <f t="shared" ref="N9:N66" si="0">B9</f>
        <v xml:space="preserve">Energy Storage System </v>
      </c>
      <c r="O9" s="30"/>
      <c r="P9" s="30">
        <f>L9</f>
        <v>10000.697609999999</v>
      </c>
      <c r="Q9" s="30">
        <v>19950.000540000001</v>
      </c>
      <c r="R9" s="30">
        <v>0</v>
      </c>
      <c r="S9" s="30">
        <f>SUM(P9:R9)</f>
        <v>29950.69815</v>
      </c>
      <c r="U9" s="30">
        <f>S9</f>
        <v>29950.69815</v>
      </c>
      <c r="V9" s="30">
        <v>1000</v>
      </c>
      <c r="W9" s="30">
        <v>0</v>
      </c>
      <c r="X9" s="30">
        <f t="shared" ref="X9:X27" si="1">SUM(U9:W9)</f>
        <v>30950.69815</v>
      </c>
      <c r="Y9" s="30"/>
    </row>
    <row r="10" spans="2:25" x14ac:dyDescent="0.35">
      <c r="B10" t="s">
        <v>210</v>
      </c>
      <c r="D10" s="32">
        <v>-316.22440999999998</v>
      </c>
      <c r="E10" s="32">
        <v>-581.32456999999999</v>
      </c>
      <c r="F10" s="32">
        <v>0</v>
      </c>
      <c r="G10" s="30">
        <f>SUM(D10:F10)</f>
        <v>-897.54898000000003</v>
      </c>
      <c r="I10" s="30">
        <f>G10</f>
        <v>-897.54898000000003</v>
      </c>
      <c r="J10" s="30">
        <v>-6128.5774800000008</v>
      </c>
      <c r="K10" s="30">
        <v>0</v>
      </c>
      <c r="L10" s="30">
        <f>SUM(I10:K10)</f>
        <v>-7026.1264600000013</v>
      </c>
      <c r="M10" s="30"/>
      <c r="N10" t="str">
        <f t="shared" si="0"/>
        <v>Energy Storage System Contributions</v>
      </c>
      <c r="O10" s="30"/>
      <c r="P10" s="30">
        <f>L10</f>
        <v>-7026.1264600000013</v>
      </c>
      <c r="Q10" s="30">
        <v>-9473.8735399999987</v>
      </c>
      <c r="R10" s="30">
        <v>0</v>
      </c>
      <c r="S10" s="30">
        <f>SUM(P10:R10)</f>
        <v>-16500</v>
      </c>
      <c r="U10" s="30">
        <f>S10</f>
        <v>-16500</v>
      </c>
      <c r="V10" s="30">
        <v>0</v>
      </c>
      <c r="W10" s="30">
        <v>0</v>
      </c>
      <c r="X10" s="30">
        <f>SUM(U10:W10)</f>
        <v>-16500</v>
      </c>
      <c r="Y10" s="30"/>
    </row>
    <row r="11" spans="2:25" x14ac:dyDescent="0.35">
      <c r="B11" t="s">
        <v>211</v>
      </c>
      <c r="D11" s="32"/>
      <c r="E11" s="32"/>
      <c r="F11" s="32"/>
      <c r="G11" s="32"/>
      <c r="H11" s="32"/>
      <c r="I11" s="30"/>
      <c r="J11" s="30"/>
      <c r="K11" s="30"/>
      <c r="L11" s="30"/>
      <c r="M11" s="30"/>
      <c r="N11" t="str">
        <f t="shared" si="0"/>
        <v>MH0 rockslide Stabilization and Remediation</v>
      </c>
      <c r="O11" s="30"/>
      <c r="P11" s="32">
        <v>0</v>
      </c>
      <c r="Q11" s="32">
        <v>2500</v>
      </c>
      <c r="R11" s="32">
        <v>0</v>
      </c>
      <c r="S11" s="30">
        <f>SUM(P11:R11)</f>
        <v>2500</v>
      </c>
      <c r="T11" s="32"/>
      <c r="U11" s="32">
        <v>2500</v>
      </c>
      <c r="V11" s="32">
        <v>9500</v>
      </c>
      <c r="W11" s="32">
        <v>0</v>
      </c>
      <c r="X11" s="30">
        <f t="shared" si="1"/>
        <v>12000</v>
      </c>
      <c r="Y11" s="30"/>
    </row>
    <row r="12" spans="2:25" x14ac:dyDescent="0.35">
      <c r="B12" t="s">
        <v>212</v>
      </c>
      <c r="D12" s="32"/>
      <c r="E12" s="32"/>
      <c r="F12" s="32"/>
      <c r="G12" s="32"/>
      <c r="H12" s="32"/>
      <c r="I12" s="32">
        <v>0</v>
      </c>
      <c r="J12" s="32">
        <v>324.48448999999999</v>
      </c>
      <c r="K12" s="32">
        <v>0</v>
      </c>
      <c r="L12" s="30">
        <f>SUM(I12:K12)</f>
        <v>324.48448999999999</v>
      </c>
      <c r="M12" s="30"/>
      <c r="N12" t="str">
        <f t="shared" ref="N12" si="2">B12</f>
        <v>MH0 Surge Chamber Replacement</v>
      </c>
      <c r="O12" s="30"/>
      <c r="P12" s="32">
        <v>324.48448999999999</v>
      </c>
      <c r="Q12" s="32">
        <v>1000</v>
      </c>
      <c r="R12" s="32">
        <v>0</v>
      </c>
      <c r="S12" s="30">
        <f>SUM(P12:R12)</f>
        <v>1324.4844900000001</v>
      </c>
      <c r="T12" s="32"/>
      <c r="U12" s="32">
        <v>1324.4844900000001</v>
      </c>
      <c r="V12" s="32">
        <v>3000</v>
      </c>
      <c r="W12" s="32">
        <v>0</v>
      </c>
      <c r="X12" s="30">
        <f t="shared" ref="X12" si="3">SUM(U12:W12)</f>
        <v>4324.4844899999998</v>
      </c>
      <c r="Y12" s="30"/>
    </row>
    <row r="13" spans="2:25" x14ac:dyDescent="0.35">
      <c r="B13" t="s">
        <v>213</v>
      </c>
      <c r="D13" s="32"/>
      <c r="E13" s="32"/>
      <c r="F13" s="32"/>
      <c r="G13" s="32"/>
      <c r="H13" s="32"/>
      <c r="I13" s="32">
        <v>0</v>
      </c>
      <c r="J13" s="32">
        <v>64.343230000000005</v>
      </c>
      <c r="K13" s="32">
        <v>0</v>
      </c>
      <c r="L13" s="30">
        <f>SUM(I13:K13)</f>
        <v>64.343230000000005</v>
      </c>
      <c r="M13" s="30"/>
      <c r="N13" t="str">
        <f t="shared" si="0"/>
        <v>Lewes River Boat Lock</v>
      </c>
      <c r="O13" s="30"/>
      <c r="P13" s="32">
        <v>64.343230000000005</v>
      </c>
      <c r="Q13" s="32">
        <v>450</v>
      </c>
      <c r="R13" s="32">
        <v>0</v>
      </c>
      <c r="S13" s="30">
        <f>SUM(P13:R13)</f>
        <v>514.34322999999995</v>
      </c>
      <c r="T13" s="32"/>
      <c r="U13" s="32">
        <v>514.34322999999995</v>
      </c>
      <c r="V13" s="32">
        <v>15000</v>
      </c>
      <c r="W13" s="32">
        <v>0</v>
      </c>
      <c r="X13" s="30">
        <f t="shared" si="1"/>
        <v>15514.34323</v>
      </c>
      <c r="Y13" s="30"/>
    </row>
    <row r="14" spans="2:25" x14ac:dyDescent="0.35">
      <c r="B14" t="s">
        <v>214</v>
      </c>
      <c r="D14" s="30"/>
      <c r="E14" s="30"/>
      <c r="F14" s="30"/>
      <c r="G14" s="30"/>
      <c r="H14" s="32"/>
      <c r="I14" s="32"/>
      <c r="J14" s="32"/>
      <c r="K14" s="32"/>
      <c r="L14" s="32"/>
      <c r="M14" s="32"/>
      <c r="N14" t="str">
        <f t="shared" si="0"/>
        <v>Lewes River Boat Lock Contributions</v>
      </c>
      <c r="O14" s="32"/>
      <c r="P14" s="32"/>
      <c r="Q14" s="32"/>
      <c r="R14" s="32"/>
      <c r="S14" s="32"/>
      <c r="T14" s="32"/>
      <c r="U14" s="32">
        <v>0</v>
      </c>
      <c r="V14" s="32">
        <v>-4500</v>
      </c>
      <c r="W14" s="32">
        <v>0</v>
      </c>
      <c r="X14" s="30">
        <f t="shared" si="1"/>
        <v>-4500</v>
      </c>
      <c r="Y14" s="30"/>
    </row>
    <row r="15" spans="2:25" x14ac:dyDescent="0.35">
      <c r="B15" t="s">
        <v>215</v>
      </c>
      <c r="D15" s="30"/>
      <c r="E15" s="30"/>
      <c r="F15" s="30"/>
      <c r="G15" s="30"/>
      <c r="H15" s="32"/>
      <c r="I15" s="32"/>
      <c r="J15" s="32"/>
      <c r="K15" s="32"/>
      <c r="L15" s="32"/>
      <c r="M15" s="32"/>
      <c r="N15" t="str">
        <f t="shared" si="0"/>
        <v>Mayo Civil/Structural Infrastructure Program</v>
      </c>
      <c r="O15" s="32"/>
      <c r="P15" s="32">
        <v>0</v>
      </c>
      <c r="Q15" s="32">
        <v>200</v>
      </c>
      <c r="R15" s="32">
        <v>0</v>
      </c>
      <c r="S15" s="30">
        <f>SUM(P15:R15)</f>
        <v>200</v>
      </c>
      <c r="T15" s="32"/>
      <c r="U15" s="32">
        <v>200</v>
      </c>
      <c r="V15" s="32">
        <v>2000</v>
      </c>
      <c r="W15" s="32">
        <v>0</v>
      </c>
      <c r="X15" s="30">
        <f t="shared" si="1"/>
        <v>2200</v>
      </c>
      <c r="Y15" s="30"/>
    </row>
    <row r="16" spans="2:25" x14ac:dyDescent="0.35">
      <c r="B16" t="s">
        <v>216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t="str">
        <f t="shared" si="0"/>
        <v>Aishihik Roof Replacement</v>
      </c>
      <c r="O16" s="32"/>
      <c r="P16" s="32"/>
      <c r="Q16" s="32"/>
      <c r="R16" s="32"/>
      <c r="S16" s="32"/>
      <c r="T16" s="32"/>
      <c r="U16" s="32">
        <v>0</v>
      </c>
      <c r="V16" s="32">
        <v>200</v>
      </c>
      <c r="W16" s="32">
        <v>0</v>
      </c>
      <c r="X16" s="30">
        <f t="shared" si="1"/>
        <v>200</v>
      </c>
      <c r="Y16" s="30"/>
    </row>
    <row r="17" spans="2:25" x14ac:dyDescent="0.35">
      <c r="B17" t="s">
        <v>217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t="str">
        <f t="shared" si="0"/>
        <v>Whitehorse WH0 P125 Trash Rake</v>
      </c>
      <c r="O17" s="32"/>
      <c r="P17" s="32"/>
      <c r="Q17" s="32"/>
      <c r="R17" s="32"/>
      <c r="S17" s="32"/>
      <c r="T17" s="32"/>
      <c r="U17" s="32">
        <v>0</v>
      </c>
      <c r="V17" s="32">
        <v>200</v>
      </c>
      <c r="W17" s="32">
        <v>0</v>
      </c>
      <c r="X17" s="30">
        <f t="shared" si="1"/>
        <v>200</v>
      </c>
      <c r="Y17" s="30"/>
    </row>
    <row r="18" spans="2:25" x14ac:dyDescent="0.35">
      <c r="B18" t="s">
        <v>218</v>
      </c>
      <c r="D18" s="32"/>
      <c r="E18" s="32"/>
      <c r="F18" s="32"/>
      <c r="G18" s="30"/>
      <c r="H18" s="32"/>
      <c r="I18" s="30"/>
      <c r="J18" s="30"/>
      <c r="K18" s="30"/>
      <c r="L18" s="30"/>
      <c r="M18" s="30"/>
      <c r="N18" t="str">
        <f t="shared" si="0"/>
        <v>Whitehorse WH4 Trash Rake</v>
      </c>
      <c r="O18" s="30"/>
      <c r="P18" s="32"/>
      <c r="Q18" s="32"/>
      <c r="R18" s="32"/>
      <c r="S18" s="32"/>
      <c r="T18" s="32"/>
      <c r="U18" s="32">
        <v>0</v>
      </c>
      <c r="V18" s="32">
        <v>200</v>
      </c>
      <c r="W18" s="32">
        <v>0</v>
      </c>
      <c r="X18" s="30">
        <f t="shared" si="1"/>
        <v>200</v>
      </c>
      <c r="Y18" s="30"/>
    </row>
    <row r="19" spans="2:25" x14ac:dyDescent="0.35">
      <c r="B19" t="s">
        <v>219</v>
      </c>
      <c r="D19" s="32"/>
      <c r="E19" s="32"/>
      <c r="F19" s="32"/>
      <c r="G19" s="30"/>
      <c r="H19" s="32"/>
      <c r="I19" s="32"/>
      <c r="J19" s="32"/>
      <c r="K19" s="32"/>
      <c r="L19" s="32"/>
      <c r="M19" s="32"/>
      <c r="N19" t="str">
        <f t="shared" si="0"/>
        <v>P126 Building Renovation</v>
      </c>
      <c r="O19" s="32"/>
      <c r="P19" s="32"/>
      <c r="Q19" s="32"/>
      <c r="R19" s="32"/>
      <c r="S19" s="32"/>
      <c r="T19" s="32"/>
      <c r="U19" s="32">
        <v>0</v>
      </c>
      <c r="V19" s="32">
        <v>500</v>
      </c>
      <c r="W19" s="32">
        <v>0</v>
      </c>
      <c r="X19" s="30">
        <f t="shared" si="1"/>
        <v>500</v>
      </c>
      <c r="Y19" s="30"/>
    </row>
    <row r="20" spans="2:25" x14ac:dyDescent="0.35">
      <c r="B20" t="s">
        <v>220</v>
      </c>
      <c r="D20" s="30"/>
      <c r="E20" s="30"/>
      <c r="F20" s="30"/>
      <c r="G20" s="30"/>
      <c r="H20" s="32"/>
      <c r="I20" s="32"/>
      <c r="J20" s="32"/>
      <c r="K20" s="32"/>
      <c r="L20" s="32"/>
      <c r="M20" s="32"/>
      <c r="N20" t="str">
        <f t="shared" si="0"/>
        <v>P&amp;C: WH4 Protection, Control, SCADA and Installation</v>
      </c>
      <c r="O20" s="32"/>
      <c r="P20" s="32"/>
      <c r="Q20" s="32"/>
      <c r="R20" s="32"/>
      <c r="S20" s="32"/>
      <c r="T20" s="32"/>
      <c r="U20" s="32">
        <v>0</v>
      </c>
      <c r="V20" s="32">
        <v>690</v>
      </c>
      <c r="W20" s="32">
        <v>0</v>
      </c>
      <c r="X20" s="30">
        <f t="shared" si="1"/>
        <v>690</v>
      </c>
      <c r="Y20" s="30"/>
    </row>
    <row r="21" spans="2:25" x14ac:dyDescent="0.35">
      <c r="B21" t="s">
        <v>221</v>
      </c>
      <c r="D21" s="30"/>
      <c r="E21" s="30"/>
      <c r="F21" s="30"/>
      <c r="G21" s="30"/>
      <c r="H21" s="32"/>
      <c r="I21" s="32"/>
      <c r="J21" s="32"/>
      <c r="K21" s="32"/>
      <c r="L21" s="32"/>
      <c r="M21" s="32"/>
      <c r="N21" t="str">
        <f t="shared" ref="N21" si="4">B21</f>
        <v>P&amp;C: S150 Protection, Control and SCADA Upgrade</v>
      </c>
      <c r="O21" s="32"/>
      <c r="P21" s="32"/>
      <c r="Q21" s="32"/>
      <c r="R21" s="32"/>
      <c r="S21" s="32"/>
      <c r="T21" s="32"/>
      <c r="U21" s="32">
        <v>0</v>
      </c>
      <c r="V21" s="32">
        <v>600</v>
      </c>
      <c r="W21" s="32">
        <v>0</v>
      </c>
      <c r="X21" s="30">
        <f t="shared" ref="X21" si="5">SUM(U21:W21)</f>
        <v>600</v>
      </c>
      <c r="Y21" s="30"/>
    </row>
    <row r="22" spans="2:25" x14ac:dyDescent="0.35">
      <c r="B22" t="s">
        <v>222</v>
      </c>
      <c r="D22" s="32">
        <v>0.43769000000000002</v>
      </c>
      <c r="E22" s="32">
        <v>1.116E-2</v>
      </c>
      <c r="F22" s="32">
        <v>0</v>
      </c>
      <c r="G22" s="30">
        <f>SUM(D22:F22)</f>
        <v>0.44885000000000003</v>
      </c>
      <c r="H22" s="32"/>
      <c r="I22" s="32">
        <v>0.44885000000000003</v>
      </c>
      <c r="J22" s="32">
        <v>72.087570000000014</v>
      </c>
      <c r="K22" s="32">
        <v>0</v>
      </c>
      <c r="L22" s="30">
        <f>SUM(I22:K22)</f>
        <v>72.536420000000007</v>
      </c>
      <c r="M22" s="30"/>
      <c r="N22" t="str">
        <f t="shared" si="0"/>
        <v>Pumped Storage</v>
      </c>
      <c r="O22" s="30"/>
      <c r="P22" s="32">
        <v>72.536419999999993</v>
      </c>
      <c r="Q22" s="32">
        <v>2</v>
      </c>
      <c r="R22" s="32">
        <v>0</v>
      </c>
      <c r="S22" s="30">
        <f>SUM(P22:R22)</f>
        <v>74.536419999999993</v>
      </c>
      <c r="T22" s="32"/>
      <c r="U22" s="32">
        <v>74.536419999999993</v>
      </c>
      <c r="V22" s="32">
        <v>250</v>
      </c>
      <c r="W22" s="32">
        <v>0</v>
      </c>
      <c r="X22" s="30">
        <f t="shared" si="1"/>
        <v>324.53642000000002</v>
      </c>
      <c r="Y22" s="30"/>
    </row>
    <row r="23" spans="2:25" x14ac:dyDescent="0.35">
      <c r="B23" t="s">
        <v>223</v>
      </c>
      <c r="D23" s="30"/>
      <c r="E23" s="30"/>
      <c r="F23" s="30"/>
      <c r="G23" s="30"/>
      <c r="H23" s="32"/>
      <c r="I23" s="32"/>
      <c r="J23" s="32"/>
      <c r="K23" s="32"/>
      <c r="L23" s="30"/>
      <c r="M23" s="30"/>
      <c r="N23" t="str">
        <f t="shared" si="0"/>
        <v>AH1 and AH2 Governor Upgrades</v>
      </c>
      <c r="O23" s="30"/>
      <c r="P23" s="32"/>
      <c r="Q23" s="32"/>
      <c r="R23" s="32"/>
      <c r="S23" s="32"/>
      <c r="T23" s="32"/>
      <c r="U23" s="32">
        <v>0</v>
      </c>
      <c r="V23" s="32">
        <v>200</v>
      </c>
      <c r="W23" s="32">
        <v>0</v>
      </c>
      <c r="X23" s="30">
        <f t="shared" si="1"/>
        <v>200</v>
      </c>
      <c r="Y23" s="30"/>
    </row>
    <row r="24" spans="2:25" x14ac:dyDescent="0.35">
      <c r="B24" t="s">
        <v>224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t="str">
        <f t="shared" si="0"/>
        <v>Lewes Gate Automation</v>
      </c>
      <c r="O24" s="32"/>
      <c r="P24" s="32"/>
      <c r="Q24" s="32"/>
      <c r="R24" s="32"/>
      <c r="S24" s="32"/>
      <c r="T24" s="32"/>
      <c r="U24" s="32">
        <v>0</v>
      </c>
      <c r="V24" s="32">
        <v>250</v>
      </c>
      <c r="W24" s="32">
        <v>0</v>
      </c>
      <c r="X24" s="30">
        <f t="shared" si="1"/>
        <v>250</v>
      </c>
      <c r="Y24" s="30"/>
    </row>
    <row r="25" spans="2:25" x14ac:dyDescent="0.35">
      <c r="B25" t="s">
        <v>225</v>
      </c>
      <c r="D25" s="30"/>
      <c r="E25" s="32"/>
      <c r="F25" s="32"/>
      <c r="G25" s="32"/>
      <c r="H25" s="32"/>
      <c r="I25" s="30"/>
      <c r="J25" s="30"/>
      <c r="K25" s="30"/>
      <c r="L25" s="30"/>
      <c r="M25" s="30"/>
      <c r="N25" t="str">
        <f t="shared" si="0"/>
        <v>Faro 870S and S140 Substation Interconnection</v>
      </c>
      <c r="O25" s="30"/>
      <c r="P25" s="32"/>
      <c r="Q25" s="32"/>
      <c r="R25" s="32"/>
      <c r="S25" s="32"/>
      <c r="T25" s="32"/>
      <c r="U25" s="32">
        <v>0</v>
      </c>
      <c r="V25" s="32">
        <v>400</v>
      </c>
      <c r="W25" s="32">
        <v>0</v>
      </c>
      <c r="X25" s="30">
        <f t="shared" si="1"/>
        <v>400</v>
      </c>
      <c r="Y25" s="30"/>
    </row>
    <row r="26" spans="2:25" x14ac:dyDescent="0.35">
      <c r="B26" t="s">
        <v>226</v>
      </c>
      <c r="D26" s="30"/>
      <c r="E26" s="32"/>
      <c r="F26" s="32"/>
      <c r="G26" s="32"/>
      <c r="H26" s="32"/>
      <c r="I26" s="30"/>
      <c r="J26" s="30"/>
      <c r="K26" s="30"/>
      <c r="L26" s="30"/>
      <c r="M26" s="30"/>
      <c r="N26" t="str">
        <f t="shared" ref="N26" si="6">B26</f>
        <v>Mayo Lake Control Structure Valve Clean Out System</v>
      </c>
      <c r="O26" s="30"/>
      <c r="P26" s="32"/>
      <c r="Q26" s="32"/>
      <c r="R26" s="32"/>
      <c r="S26" s="32"/>
      <c r="T26" s="32"/>
      <c r="U26" s="32">
        <v>0</v>
      </c>
      <c r="V26" s="32">
        <v>50</v>
      </c>
      <c r="W26" s="32">
        <v>0</v>
      </c>
      <c r="X26" s="30">
        <f t="shared" ref="X26" si="7">SUM(U26:W26)</f>
        <v>50</v>
      </c>
      <c r="Y26" s="30"/>
    </row>
    <row r="27" spans="2:25" x14ac:dyDescent="0.35">
      <c r="B27" t="s">
        <v>227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t="str">
        <f t="shared" si="0"/>
        <v>WH3 Headgate Replacement</v>
      </c>
      <c r="O27" s="32"/>
      <c r="P27" s="32"/>
      <c r="Q27" s="32"/>
      <c r="R27" s="32"/>
      <c r="S27" s="32"/>
      <c r="T27" s="32"/>
      <c r="U27" s="32">
        <v>0</v>
      </c>
      <c r="V27" s="32">
        <v>750</v>
      </c>
      <c r="W27" s="32">
        <v>0</v>
      </c>
      <c r="X27" s="30">
        <f t="shared" si="1"/>
        <v>750</v>
      </c>
      <c r="Y27" s="30"/>
    </row>
    <row r="28" spans="2:25" x14ac:dyDescent="0.35">
      <c r="B28" s="24" t="s">
        <v>74</v>
      </c>
      <c r="C28" s="24"/>
      <c r="D28" s="34">
        <f>SUBTOTAL(9,D9:D27)</f>
        <v>201.60616999999999</v>
      </c>
      <c r="E28" s="34">
        <f>SUBTOTAL(9,E9:E27)</f>
        <v>273.23343999999997</v>
      </c>
      <c r="F28" s="34">
        <f>SUBTOTAL(9,F9:F27)</f>
        <v>-219.51868999999999</v>
      </c>
      <c r="G28" s="34">
        <f>SUBTOTAL(9,G9:G27)</f>
        <v>255.32091999999989</v>
      </c>
      <c r="H28" s="34"/>
      <c r="I28" s="34">
        <f>SUBTOTAL(9,I9:I27)</f>
        <v>255.32091999999989</v>
      </c>
      <c r="J28" s="34">
        <f>SUBTOTAL(9,J9:J27)</f>
        <v>3180.6143699999993</v>
      </c>
      <c r="K28" s="34">
        <f>SUBTOTAL(9,K9:K27)</f>
        <v>0</v>
      </c>
      <c r="L28" s="34">
        <f>SUBTOTAL(9,L9:L27)</f>
        <v>3435.9352899999976</v>
      </c>
      <c r="M28" s="24"/>
      <c r="N28" s="24" t="str">
        <f t="shared" si="0"/>
        <v>Subtotal</v>
      </c>
      <c r="O28" s="24"/>
      <c r="P28" s="34">
        <f>SUBTOTAL(9,P9:P27)</f>
        <v>3435.9352899999976</v>
      </c>
      <c r="Q28" s="34">
        <f>SUBTOTAL(9,Q9:Q27)</f>
        <v>14628.127000000002</v>
      </c>
      <c r="R28" s="34">
        <f>SUBTOTAL(9,R9:R27)</f>
        <v>0</v>
      </c>
      <c r="S28" s="34">
        <f>SUBTOTAL(9,S9:S27)</f>
        <v>18064.062289999998</v>
      </c>
      <c r="T28" s="24"/>
      <c r="U28" s="34">
        <f>SUBTOTAL(9,U9:U27)</f>
        <v>18064.062289999998</v>
      </c>
      <c r="V28" s="34">
        <f>SUBTOTAL(9,V9:V27)</f>
        <v>30290</v>
      </c>
      <c r="W28" s="34">
        <f>SUBTOTAL(9,W9:W27)</f>
        <v>0</v>
      </c>
      <c r="X28" s="34">
        <f>SUBTOTAL(9,X9:X27)</f>
        <v>48354.062289999994</v>
      </c>
      <c r="Y28" s="30"/>
    </row>
    <row r="29" spans="2:25" x14ac:dyDescent="0.35">
      <c r="D29" s="32"/>
      <c r="E29" s="32"/>
      <c r="F29" s="32"/>
      <c r="G29" s="32"/>
      <c r="H29" s="32"/>
      <c r="U29" s="32"/>
      <c r="V29" s="32"/>
      <c r="W29" s="32"/>
      <c r="X29" s="30"/>
      <c r="Y29" s="30"/>
    </row>
    <row r="30" spans="2:25" x14ac:dyDescent="0.35">
      <c r="B30" s="24" t="s">
        <v>59</v>
      </c>
      <c r="D30" s="32"/>
      <c r="E30" s="32"/>
      <c r="F30" s="32"/>
      <c r="G30" s="32"/>
      <c r="H30" s="32"/>
      <c r="N30" s="24" t="str">
        <f t="shared" si="0"/>
        <v>Capital Projects – Projects $100,000 to $1 million – Not impacting Rate Base</v>
      </c>
      <c r="U30" s="32"/>
      <c r="V30" s="32"/>
      <c r="W30" s="32"/>
      <c r="X30" s="30"/>
      <c r="Y30" s="30"/>
    </row>
    <row r="31" spans="2:25" x14ac:dyDescent="0.35">
      <c r="B31" t="s">
        <v>228</v>
      </c>
      <c r="D31" s="32"/>
      <c r="E31" s="32"/>
      <c r="F31" s="32"/>
      <c r="G31" s="32"/>
      <c r="H31" s="32"/>
      <c r="I31" s="32">
        <v>0</v>
      </c>
      <c r="J31" s="32">
        <v>149.24179999999998</v>
      </c>
      <c r="K31" s="32">
        <v>0</v>
      </c>
      <c r="L31" s="30">
        <f>SUM(I31:K31)</f>
        <v>149.24179999999998</v>
      </c>
      <c r="M31" s="30"/>
      <c r="N31" t="str">
        <f t="shared" si="0"/>
        <v>Lewes Gate/Seal Refurbishment</v>
      </c>
      <c r="O31" s="30"/>
      <c r="P31" s="32">
        <v>149.24179999999998</v>
      </c>
      <c r="Q31" s="32">
        <v>0</v>
      </c>
      <c r="R31" s="32">
        <v>0</v>
      </c>
      <c r="S31" s="30">
        <f>SUM(P31:R31)</f>
        <v>149.24179999999998</v>
      </c>
      <c r="T31" s="32"/>
      <c r="U31" s="32">
        <v>149.24179999999998</v>
      </c>
      <c r="V31" s="32">
        <v>200</v>
      </c>
      <c r="W31" s="32">
        <v>0</v>
      </c>
      <c r="X31" s="30">
        <f>SUM(U31:W31)</f>
        <v>349.24180000000001</v>
      </c>
      <c r="Y31" s="30"/>
    </row>
    <row r="32" spans="2:25" x14ac:dyDescent="0.35">
      <c r="B32" t="s">
        <v>229</v>
      </c>
      <c r="D32" s="30"/>
      <c r="E32" s="32"/>
      <c r="F32" s="32"/>
      <c r="G32" s="32"/>
      <c r="H32" s="32"/>
      <c r="I32" s="30"/>
      <c r="J32" s="30"/>
      <c r="K32" s="30"/>
      <c r="L32" s="30"/>
      <c r="M32" s="30"/>
      <c r="N32" t="str">
        <f t="shared" si="0"/>
        <v>MBH1/MBH2 LP/HP Oil Supply System replacement</v>
      </c>
      <c r="O32" s="30"/>
      <c r="P32" s="32"/>
      <c r="Q32" s="32"/>
      <c r="R32" s="32"/>
      <c r="S32" s="32"/>
      <c r="T32" s="32"/>
      <c r="U32" s="32">
        <v>0</v>
      </c>
      <c r="V32" s="32">
        <v>150</v>
      </c>
      <c r="W32" s="32">
        <v>0</v>
      </c>
      <c r="X32" s="30">
        <f>SUM(U32:W32)</f>
        <v>150</v>
      </c>
      <c r="Y32" s="30"/>
    </row>
    <row r="33" spans="2:25" x14ac:dyDescent="0.35">
      <c r="B33" t="s">
        <v>230</v>
      </c>
      <c r="D33" s="30"/>
      <c r="E33" s="32"/>
      <c r="F33" s="32"/>
      <c r="G33" s="32"/>
      <c r="H33" s="32"/>
      <c r="I33" s="30"/>
      <c r="J33" s="30"/>
      <c r="K33" s="30"/>
      <c r="L33" s="30"/>
      <c r="M33" s="30"/>
      <c r="N33" t="str">
        <f t="shared" ref="N33" si="8">B33</f>
        <v>Carmacks Substation Relocate</v>
      </c>
      <c r="O33" s="30"/>
      <c r="P33" s="32"/>
      <c r="Q33" s="32"/>
      <c r="R33" s="32"/>
      <c r="S33" s="32"/>
      <c r="T33" s="32"/>
      <c r="U33" s="32">
        <v>0</v>
      </c>
      <c r="V33" s="32">
        <v>250</v>
      </c>
      <c r="W33" s="32">
        <v>0</v>
      </c>
      <c r="X33" s="30">
        <f>SUM(U33:W33)</f>
        <v>250</v>
      </c>
      <c r="Y33" s="30"/>
    </row>
    <row r="34" spans="2:25" x14ac:dyDescent="0.35">
      <c r="B34" t="s">
        <v>231</v>
      </c>
      <c r="D34" s="30"/>
      <c r="E34" s="32"/>
      <c r="F34" s="32"/>
      <c r="G34" s="32"/>
      <c r="H34" s="32"/>
      <c r="I34" s="30"/>
      <c r="J34" s="30"/>
      <c r="K34" s="30"/>
      <c r="L34" s="30"/>
      <c r="M34" s="30"/>
      <c r="N34" t="str">
        <f>B34</f>
        <v>Central Storeroom for Generation Parts</v>
      </c>
      <c r="O34" s="30"/>
      <c r="P34" s="32"/>
      <c r="Q34" s="32"/>
      <c r="R34" s="32"/>
      <c r="S34" s="32"/>
      <c r="T34" s="32"/>
      <c r="U34" s="32">
        <v>0</v>
      </c>
      <c r="V34" s="32">
        <v>400</v>
      </c>
      <c r="W34" s="32">
        <v>0</v>
      </c>
      <c r="X34" s="30">
        <f>SUM(U34:W34)</f>
        <v>400</v>
      </c>
      <c r="Y34" s="30"/>
    </row>
    <row r="35" spans="2:25" x14ac:dyDescent="0.35">
      <c r="B35" t="s">
        <v>232</v>
      </c>
      <c r="D35" s="30"/>
      <c r="E35" s="32"/>
      <c r="F35" s="32"/>
      <c r="G35" s="32"/>
      <c r="H35" s="32"/>
      <c r="I35" s="30"/>
      <c r="J35" s="30"/>
      <c r="K35" s="30"/>
      <c r="L35" s="30"/>
      <c r="M35" s="30"/>
      <c r="N35" t="str">
        <f>B35</f>
        <v>P&amp;C: DD0 Exciter, Governor and Load Sharing</v>
      </c>
      <c r="O35" s="30"/>
      <c r="P35" s="32"/>
      <c r="Q35" s="32"/>
      <c r="R35" s="32"/>
      <c r="S35" s="32"/>
      <c r="T35" s="32"/>
      <c r="U35" s="32">
        <v>0</v>
      </c>
      <c r="V35" s="32">
        <v>100</v>
      </c>
      <c r="W35" s="32">
        <v>0</v>
      </c>
      <c r="X35" s="30">
        <f>SUM(U35:W35)</f>
        <v>100</v>
      </c>
      <c r="Y35" s="30"/>
    </row>
    <row r="36" spans="2:25" x14ac:dyDescent="0.35">
      <c r="B36" t="s">
        <v>72</v>
      </c>
      <c r="D36" s="30">
        <v>486.69265000000001</v>
      </c>
      <c r="E36" s="30">
        <v>-479.25182000000001</v>
      </c>
      <c r="F36" s="30">
        <v>0</v>
      </c>
      <c r="G36" s="30">
        <v>7.4408300000000054</v>
      </c>
      <c r="H36" s="32"/>
      <c r="I36" s="30">
        <v>7.4408300000000001</v>
      </c>
      <c r="J36" s="30">
        <v>0</v>
      </c>
      <c r="K36" s="30">
        <v>0</v>
      </c>
      <c r="L36" s="30">
        <v>7.4408300000000001</v>
      </c>
      <c r="M36" s="30"/>
      <c r="N36" t="str">
        <f t="shared" si="0"/>
        <v>Other Projects with &lt;$100k Spending by 2024</v>
      </c>
      <c r="O36" s="30"/>
      <c r="P36" s="30">
        <v>7.4408300000000001</v>
      </c>
      <c r="Q36" s="30">
        <v>60</v>
      </c>
      <c r="R36" s="30">
        <v>0</v>
      </c>
      <c r="S36" s="30">
        <v>67.440830000000005</v>
      </c>
      <c r="T36" s="32"/>
      <c r="U36" s="30">
        <v>67.440830000000005</v>
      </c>
      <c r="V36" s="30">
        <v>135</v>
      </c>
      <c r="W36" s="30">
        <v>0</v>
      </c>
      <c r="X36" s="30">
        <v>202.44083000000001</v>
      </c>
      <c r="Y36" s="30"/>
    </row>
    <row r="37" spans="2:25" x14ac:dyDescent="0.35">
      <c r="B37" s="24" t="s">
        <v>74</v>
      </c>
      <c r="C37" s="24"/>
      <c r="D37" s="34">
        <f>SUBTOTAL(9,D31:D36)</f>
        <v>486.69265000000001</v>
      </c>
      <c r="E37" s="34">
        <f>SUBTOTAL(9,E31:E36)</f>
        <v>-479.25182000000001</v>
      </c>
      <c r="F37" s="34">
        <f>SUBTOTAL(9,F31:F36)</f>
        <v>0</v>
      </c>
      <c r="G37" s="34">
        <f>SUBTOTAL(9,G31:G36)</f>
        <v>7.4408300000000054</v>
      </c>
      <c r="H37" s="32"/>
      <c r="I37" s="34">
        <f>SUBTOTAL(9,I31:I36)</f>
        <v>7.4408300000000001</v>
      </c>
      <c r="J37" s="34">
        <f>SUBTOTAL(9,J31:J36)</f>
        <v>149.24179999999998</v>
      </c>
      <c r="K37" s="34">
        <f>SUBTOTAL(9,K31:K36)</f>
        <v>0</v>
      </c>
      <c r="L37" s="34">
        <f>SUBTOTAL(9,L31:L36)</f>
        <v>156.68262999999999</v>
      </c>
      <c r="M37" s="32"/>
      <c r="N37" s="24" t="str">
        <f t="shared" si="0"/>
        <v>Subtotal</v>
      </c>
      <c r="O37" s="32"/>
      <c r="P37" s="34">
        <f>SUBTOTAL(9,P31:P36)</f>
        <v>156.68262999999999</v>
      </c>
      <c r="Q37" s="34">
        <f>SUBTOTAL(9,Q31:Q36)</f>
        <v>60</v>
      </c>
      <c r="R37" s="34">
        <f>SUBTOTAL(9,R31:R36)</f>
        <v>0</v>
      </c>
      <c r="S37" s="34">
        <f>SUBTOTAL(9,S31:S36)</f>
        <v>216.68262999999999</v>
      </c>
      <c r="T37" s="32"/>
      <c r="U37" s="34">
        <f>SUBTOTAL(9,U31:U36)</f>
        <v>216.68262999999999</v>
      </c>
      <c r="V37" s="34">
        <f>SUBTOTAL(9,V31:V36)</f>
        <v>1235</v>
      </c>
      <c r="W37" s="34">
        <f>SUBTOTAL(9,W31:W36)</f>
        <v>0</v>
      </c>
      <c r="X37" s="34">
        <f>SUBTOTAL(9,X31:X36)</f>
        <v>1451.68263</v>
      </c>
      <c r="Y37" s="30"/>
    </row>
    <row r="38" spans="2:25" x14ac:dyDescent="0.35">
      <c r="D38" s="32"/>
      <c r="E38" s="32"/>
      <c r="F38" s="32"/>
      <c r="G38" s="32"/>
      <c r="H38" s="32"/>
      <c r="I38" s="32"/>
      <c r="J38" s="32"/>
      <c r="K38" s="32"/>
      <c r="L38" s="32"/>
      <c r="M38" s="32"/>
      <c r="O38" s="32"/>
      <c r="P38" s="32"/>
      <c r="Q38" s="32"/>
      <c r="R38" s="32"/>
      <c r="S38" s="32"/>
      <c r="T38" s="32"/>
      <c r="U38" s="30"/>
      <c r="V38" s="30"/>
      <c r="W38" s="30"/>
      <c r="X38" s="30"/>
      <c r="Y38" s="30"/>
    </row>
    <row r="39" spans="2:25" x14ac:dyDescent="0.35">
      <c r="B39" s="24" t="s">
        <v>68</v>
      </c>
      <c r="C39" s="24"/>
      <c r="D39" s="32"/>
      <c r="E39" s="32"/>
      <c r="F39" s="32"/>
      <c r="G39" s="32"/>
      <c r="H39" s="34"/>
      <c r="I39" s="30"/>
      <c r="J39" s="30"/>
      <c r="K39" s="30"/>
      <c r="L39" s="30"/>
      <c r="M39" s="30"/>
      <c r="N39" s="24" t="str">
        <f t="shared" si="0"/>
        <v>Deferred Costs – Major projects &gt;$1 million – Not impacting Rate Base</v>
      </c>
      <c r="O39" s="30"/>
      <c r="P39" s="30"/>
      <c r="Q39" s="30"/>
      <c r="R39" s="30"/>
      <c r="S39" s="30"/>
      <c r="T39" s="34"/>
      <c r="U39" s="30"/>
      <c r="V39" s="30"/>
      <c r="W39" s="30"/>
      <c r="X39" s="30"/>
      <c r="Y39" s="30"/>
    </row>
    <row r="40" spans="2:25" x14ac:dyDescent="0.35">
      <c r="B40" t="s">
        <v>233</v>
      </c>
      <c r="D40" s="32">
        <v>0</v>
      </c>
      <c r="E40" s="32">
        <v>121.98983</v>
      </c>
      <c r="F40" s="32">
        <v>0</v>
      </c>
      <c r="G40" s="30">
        <f>SUM(D40:F40)</f>
        <v>121.98983</v>
      </c>
      <c r="H40" s="32"/>
      <c r="I40" s="32">
        <v>121.98983</v>
      </c>
      <c r="J40" s="32">
        <v>1998.00073</v>
      </c>
      <c r="K40" s="32">
        <v>0</v>
      </c>
      <c r="L40" s="30">
        <f t="shared" ref="L40:L45" si="9">SUM(I40:K40)</f>
        <v>2119.9905600000002</v>
      </c>
      <c r="M40" s="30"/>
      <c r="N40" t="str">
        <f t="shared" si="0"/>
        <v>Whitehorse Water Use License Renewal</v>
      </c>
      <c r="O40" s="30"/>
      <c r="P40" s="32">
        <v>2119.9905600000002</v>
      </c>
      <c r="Q40" s="32">
        <v>5817.85</v>
      </c>
      <c r="R40" s="32">
        <v>0</v>
      </c>
      <c r="S40" s="30">
        <f t="shared" ref="S40:S46" si="10">SUM(P40:R40)</f>
        <v>7937.8405600000006</v>
      </c>
      <c r="T40" s="32"/>
      <c r="U40" s="32">
        <v>7937.8405599999996</v>
      </c>
      <c r="V40" s="32">
        <v>2500</v>
      </c>
      <c r="W40" s="32">
        <v>0</v>
      </c>
      <c r="X40" s="30">
        <f t="shared" ref="X40:X46" si="11">SUM(U40:W40)</f>
        <v>10437.840560000001</v>
      </c>
      <c r="Y40" s="30"/>
    </row>
    <row r="41" spans="2:25" x14ac:dyDescent="0.35">
      <c r="B41" t="s">
        <v>234</v>
      </c>
      <c r="D41" s="32"/>
      <c r="E41" s="32"/>
      <c r="F41" s="32"/>
      <c r="G41" s="32"/>
      <c r="H41" s="32"/>
      <c r="I41" s="32">
        <v>0</v>
      </c>
      <c r="J41" s="32">
        <v>94.233260000000001</v>
      </c>
      <c r="K41" s="32">
        <v>0</v>
      </c>
      <c r="L41" s="30">
        <f t="shared" si="9"/>
        <v>94.233260000000001</v>
      </c>
      <c r="M41" s="30"/>
      <c r="N41" t="str">
        <f t="shared" si="0"/>
        <v>MGS Water Use License Renewal</v>
      </c>
      <c r="O41" s="30"/>
      <c r="P41" s="32">
        <v>94.233260000000001</v>
      </c>
      <c r="Q41" s="32">
        <v>3500</v>
      </c>
      <c r="R41" s="32">
        <v>0</v>
      </c>
      <c r="S41" s="30">
        <f t="shared" si="10"/>
        <v>3594.23326</v>
      </c>
      <c r="T41" s="32"/>
      <c r="U41" s="32">
        <v>3594.23326</v>
      </c>
      <c r="V41" s="32">
        <v>3100</v>
      </c>
      <c r="W41" s="32">
        <v>0</v>
      </c>
      <c r="X41" s="30">
        <f t="shared" si="11"/>
        <v>6694.23326</v>
      </c>
      <c r="Y41" s="30"/>
    </row>
    <row r="42" spans="2:25" x14ac:dyDescent="0.35">
      <c r="B42" t="s">
        <v>235</v>
      </c>
      <c r="D42" s="32"/>
      <c r="E42" s="32"/>
      <c r="F42" s="32"/>
      <c r="G42" s="32"/>
      <c r="H42" s="32"/>
      <c r="I42" s="32">
        <v>0</v>
      </c>
      <c r="J42" s="32">
        <v>5734.9066399999992</v>
      </c>
      <c r="K42" s="32">
        <v>0</v>
      </c>
      <c r="L42" s="30">
        <f t="shared" si="9"/>
        <v>5734.9066399999992</v>
      </c>
      <c r="M42" s="30"/>
      <c r="N42" t="str">
        <f t="shared" si="0"/>
        <v>Aishihik 25-Year License Renewal</v>
      </c>
      <c r="O42" s="30"/>
      <c r="P42" s="32">
        <v>5734.9066399999992</v>
      </c>
      <c r="Q42" s="32">
        <v>1025</v>
      </c>
      <c r="R42" s="32">
        <v>0</v>
      </c>
      <c r="S42" s="30">
        <f t="shared" si="10"/>
        <v>6759.9066399999992</v>
      </c>
      <c r="T42" s="32"/>
      <c r="U42" s="32">
        <v>6759.9066399999992</v>
      </c>
      <c r="V42" s="32">
        <v>400</v>
      </c>
      <c r="W42" s="32">
        <v>0</v>
      </c>
      <c r="X42" s="30">
        <f t="shared" si="11"/>
        <v>7159.9066399999992</v>
      </c>
      <c r="Y42" s="30"/>
    </row>
    <row r="43" spans="2:25" x14ac:dyDescent="0.35">
      <c r="B43" t="s">
        <v>236</v>
      </c>
      <c r="D43" s="32">
        <v>4060.54718</v>
      </c>
      <c r="E43" s="32">
        <v>342.49546999999995</v>
      </c>
      <c r="F43" s="32">
        <v>0</v>
      </c>
      <c r="G43" s="30">
        <f>SUM(D43:F43)</f>
        <v>4403.0426500000003</v>
      </c>
      <c r="H43" s="32"/>
      <c r="I43" s="32">
        <v>4403.0426500000003</v>
      </c>
      <c r="J43" s="32">
        <v>138.39968999999999</v>
      </c>
      <c r="K43" s="32">
        <v>0</v>
      </c>
      <c r="L43" s="30">
        <f t="shared" si="9"/>
        <v>4541.4423400000005</v>
      </c>
      <c r="M43" s="30"/>
      <c r="N43" t="str">
        <f t="shared" si="0"/>
        <v>Mayo Lake Storage (see also P11-073)</v>
      </c>
      <c r="O43" s="30"/>
      <c r="P43" s="32">
        <v>4541.4423399999996</v>
      </c>
      <c r="Q43" s="32">
        <v>110</v>
      </c>
      <c r="R43" s="32">
        <v>0</v>
      </c>
      <c r="S43" s="30">
        <f t="shared" si="10"/>
        <v>4651.4423399999996</v>
      </c>
      <c r="T43" s="32"/>
      <c r="U43" s="32">
        <v>4651.4423399999996</v>
      </c>
      <c r="V43" s="32">
        <v>110</v>
      </c>
      <c r="W43" s="32">
        <v>0</v>
      </c>
      <c r="X43" s="30">
        <f t="shared" si="11"/>
        <v>4761.4423399999996</v>
      </c>
      <c r="Y43" s="30"/>
    </row>
    <row r="44" spans="2:25" x14ac:dyDescent="0.35">
      <c r="B44" t="s">
        <v>237</v>
      </c>
      <c r="D44" s="32">
        <v>201.74281999999999</v>
      </c>
      <c r="E44" s="32">
        <v>784.85031000000004</v>
      </c>
      <c r="F44" s="32">
        <v>0</v>
      </c>
      <c r="G44" s="30">
        <f>SUM(D44:F44)</f>
        <v>986.59312999999997</v>
      </c>
      <c r="H44" s="32"/>
      <c r="I44" s="32">
        <v>986.59312999999997</v>
      </c>
      <c r="J44" s="32">
        <v>487.5625</v>
      </c>
      <c r="K44" s="32">
        <v>0</v>
      </c>
      <c r="L44" s="30">
        <f t="shared" si="9"/>
        <v>1474.15563</v>
      </c>
      <c r="M44" s="30"/>
      <c r="N44" t="str">
        <f t="shared" ref="N44" si="12">B44</f>
        <v>Atlin Hydro SIS and EPA</v>
      </c>
      <c r="O44" s="30"/>
      <c r="P44" s="32">
        <v>1474.15563</v>
      </c>
      <c r="Q44" s="32">
        <v>150</v>
      </c>
      <c r="R44" s="32">
        <v>0</v>
      </c>
      <c r="S44" s="30">
        <f t="shared" si="10"/>
        <v>1624.15563</v>
      </c>
      <c r="T44" s="32"/>
      <c r="U44" s="32">
        <v>1624.15563</v>
      </c>
      <c r="V44" s="32">
        <v>0</v>
      </c>
      <c r="W44" s="32">
        <v>0</v>
      </c>
      <c r="X44" s="30">
        <f t="shared" si="11"/>
        <v>1624.15563</v>
      </c>
      <c r="Y44" s="30"/>
    </row>
    <row r="45" spans="2:25" x14ac:dyDescent="0.35">
      <c r="B45" t="s">
        <v>238</v>
      </c>
      <c r="D45" s="32">
        <v>0</v>
      </c>
      <c r="E45" s="32">
        <v>-63.540210000000002</v>
      </c>
      <c r="F45" s="32">
        <v>0</v>
      </c>
      <c r="G45" s="30">
        <f>SUM(D45:F45)</f>
        <v>-63.540210000000002</v>
      </c>
      <c r="H45" s="32"/>
      <c r="I45" s="32">
        <v>-63.540210000000002</v>
      </c>
      <c r="J45" s="32">
        <v>-225</v>
      </c>
      <c r="K45" s="32">
        <v>0</v>
      </c>
      <c r="L45" s="30">
        <f t="shared" si="9"/>
        <v>-288.54021</v>
      </c>
      <c r="M45" s="30"/>
      <c r="N45" t="str">
        <f t="shared" ref="N45" si="13">B45</f>
        <v>Atlin Hydro SIS and EPA Contributions</v>
      </c>
      <c r="O45" s="30"/>
      <c r="P45" s="32">
        <v>-288.54021</v>
      </c>
      <c r="Q45" s="32">
        <v>0</v>
      </c>
      <c r="R45" s="32">
        <v>0</v>
      </c>
      <c r="S45" s="30">
        <f t="shared" si="10"/>
        <v>-288.54021</v>
      </c>
      <c r="T45" s="32"/>
      <c r="U45" s="32">
        <v>-288.54021</v>
      </c>
      <c r="V45" s="32">
        <v>0</v>
      </c>
      <c r="W45" s="32">
        <v>0</v>
      </c>
      <c r="X45" s="30">
        <f t="shared" si="11"/>
        <v>-288.54021</v>
      </c>
      <c r="Y45" s="30"/>
    </row>
    <row r="46" spans="2:25" x14ac:dyDescent="0.35">
      <c r="B46" t="s">
        <v>239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t="str">
        <f t="shared" si="0"/>
        <v>2024 Resource Plan</v>
      </c>
      <c r="O46" s="32"/>
      <c r="P46" s="32">
        <v>0</v>
      </c>
      <c r="Q46" s="32">
        <v>400</v>
      </c>
      <c r="R46" s="32">
        <v>0</v>
      </c>
      <c r="S46" s="30">
        <f t="shared" si="10"/>
        <v>400</v>
      </c>
      <c r="T46" s="32"/>
      <c r="U46" s="32">
        <v>400</v>
      </c>
      <c r="V46" s="32">
        <v>1600</v>
      </c>
      <c r="W46" s="32">
        <v>0</v>
      </c>
      <c r="X46" s="30">
        <f t="shared" si="11"/>
        <v>2000</v>
      </c>
      <c r="Y46" s="30"/>
    </row>
    <row r="47" spans="2:25" x14ac:dyDescent="0.35">
      <c r="B47" s="24" t="s">
        <v>74</v>
      </c>
      <c r="C47" s="24"/>
      <c r="D47" s="34">
        <f>SUBTOTAL(9,D40:D46)</f>
        <v>4262.29</v>
      </c>
      <c r="E47" s="34">
        <f t="shared" ref="E47:G47" si="14">SUBTOTAL(9,E40:E46)</f>
        <v>1185.7954</v>
      </c>
      <c r="F47" s="34">
        <f t="shared" si="14"/>
        <v>0</v>
      </c>
      <c r="G47" s="34">
        <f t="shared" si="14"/>
        <v>5448.0854000000008</v>
      </c>
      <c r="H47" s="32"/>
      <c r="I47" s="34">
        <f t="shared" ref="I47:L47" si="15">SUBTOTAL(9,I40:I46)</f>
        <v>5448.0854000000008</v>
      </c>
      <c r="J47" s="34">
        <f t="shared" si="15"/>
        <v>8228.1028200000001</v>
      </c>
      <c r="K47" s="34">
        <f t="shared" si="15"/>
        <v>0</v>
      </c>
      <c r="L47" s="34">
        <f t="shared" si="15"/>
        <v>13676.18822</v>
      </c>
      <c r="M47" s="32"/>
      <c r="N47" s="24" t="str">
        <f t="shared" si="0"/>
        <v>Subtotal</v>
      </c>
      <c r="O47" s="32"/>
      <c r="P47" s="34">
        <f t="shared" ref="P47:S47" si="16">SUBTOTAL(9,P40:P46)</f>
        <v>13676.188219999998</v>
      </c>
      <c r="Q47" s="34">
        <f t="shared" si="16"/>
        <v>11002.85</v>
      </c>
      <c r="R47" s="34">
        <f t="shared" si="16"/>
        <v>0</v>
      </c>
      <c r="S47" s="34">
        <f t="shared" si="16"/>
        <v>24679.038220000002</v>
      </c>
      <c r="T47" s="32"/>
      <c r="U47" s="34">
        <f t="shared" ref="U47:X47" si="17">SUBTOTAL(9,U40:U46)</f>
        <v>24679.038220000002</v>
      </c>
      <c r="V47" s="34">
        <f t="shared" si="17"/>
        <v>7710</v>
      </c>
      <c r="W47" s="34">
        <f t="shared" si="17"/>
        <v>0</v>
      </c>
      <c r="X47" s="34">
        <f t="shared" si="17"/>
        <v>32389.038220000002</v>
      </c>
      <c r="Y47" s="30"/>
    </row>
    <row r="48" spans="2:25" x14ac:dyDescent="0.35">
      <c r="D48" s="32"/>
      <c r="E48" s="32"/>
      <c r="F48" s="32"/>
      <c r="G48" s="32"/>
      <c r="H48" s="32"/>
      <c r="I48" s="32"/>
      <c r="J48" s="32"/>
      <c r="K48" s="32"/>
      <c r="L48" s="32"/>
      <c r="M48" s="32"/>
      <c r="O48" s="32"/>
      <c r="P48" s="32"/>
      <c r="Q48" s="32"/>
      <c r="R48" s="32"/>
      <c r="S48" s="32"/>
      <c r="T48" s="32"/>
      <c r="U48" s="32"/>
      <c r="V48" s="32"/>
      <c r="W48" s="32"/>
      <c r="X48" s="30"/>
      <c r="Y48" s="30"/>
    </row>
    <row r="49" spans="2:25" x14ac:dyDescent="0.35">
      <c r="B49" s="24" t="s">
        <v>60</v>
      </c>
      <c r="C49" s="24"/>
      <c r="D49" s="32"/>
      <c r="E49" s="32"/>
      <c r="F49" s="32"/>
      <c r="G49" s="32"/>
      <c r="H49" s="34"/>
      <c r="I49" s="32"/>
      <c r="J49" s="32"/>
      <c r="K49" s="32"/>
      <c r="L49" s="32"/>
      <c r="M49" s="32"/>
      <c r="N49" s="24" t="str">
        <f t="shared" si="0"/>
        <v>Deferred Costs – Projects $100,000 to $1 million – Not impacting Rate Base</v>
      </c>
      <c r="O49" s="32"/>
      <c r="P49" s="32"/>
      <c r="Q49" s="32"/>
      <c r="R49" s="32"/>
      <c r="S49" s="32"/>
      <c r="T49" s="32"/>
      <c r="U49" s="32"/>
      <c r="V49" s="32"/>
      <c r="W49" s="32"/>
      <c r="X49" s="30"/>
      <c r="Y49" s="30"/>
    </row>
    <row r="50" spans="2:25" x14ac:dyDescent="0.35">
      <c r="B50" t="s">
        <v>240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t="str">
        <f t="shared" si="0"/>
        <v>Renewable Diesel Pilot Project</v>
      </c>
      <c r="O50" s="32"/>
      <c r="P50" s="32">
        <v>0</v>
      </c>
      <c r="Q50" s="32">
        <v>25</v>
      </c>
      <c r="R50" s="32">
        <v>0</v>
      </c>
      <c r="S50" s="30">
        <f>SUM(P50:R50)</f>
        <v>25</v>
      </c>
      <c r="T50" s="32"/>
      <c r="U50" s="32">
        <v>25</v>
      </c>
      <c r="V50" s="32">
        <v>200</v>
      </c>
      <c r="W50" s="32">
        <v>0</v>
      </c>
      <c r="X50" s="30">
        <f>SUM(U50:W50)</f>
        <v>225</v>
      </c>
      <c r="Y50" s="30"/>
    </row>
    <row r="51" spans="2:25" x14ac:dyDescent="0.35">
      <c r="B51" t="s">
        <v>241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t="str">
        <f t="shared" ref="N51" si="18">B51</f>
        <v>Substation and Distribution Load Planning Study</v>
      </c>
      <c r="O51" s="32"/>
      <c r="P51" s="32">
        <v>0</v>
      </c>
      <c r="Q51" s="32">
        <v>0</v>
      </c>
      <c r="R51" s="32">
        <v>0</v>
      </c>
      <c r="S51" s="30">
        <f>SUM(P51:R51)</f>
        <v>0</v>
      </c>
      <c r="T51" s="32"/>
      <c r="U51" s="32">
        <v>0</v>
      </c>
      <c r="V51" s="32">
        <v>300</v>
      </c>
      <c r="W51" s="32">
        <v>0</v>
      </c>
      <c r="X51" s="30">
        <f>SUM(U51:W51)</f>
        <v>300</v>
      </c>
      <c r="Y51" s="30"/>
    </row>
    <row r="52" spans="2:25" x14ac:dyDescent="0.35">
      <c r="B52" t="s">
        <v>242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t="str">
        <f t="shared" si="0"/>
        <v>Skagway Shoreside Power</v>
      </c>
      <c r="O52" s="32"/>
      <c r="P52" s="32">
        <v>0</v>
      </c>
      <c r="Q52" s="32">
        <v>100</v>
      </c>
      <c r="R52" s="32">
        <v>0</v>
      </c>
      <c r="S52" s="30">
        <f>SUM(P52:R52)</f>
        <v>100</v>
      </c>
      <c r="T52" s="32"/>
      <c r="U52" s="32">
        <v>100</v>
      </c>
      <c r="V52" s="32">
        <v>50</v>
      </c>
      <c r="W52" s="32">
        <v>0</v>
      </c>
      <c r="X52" s="30">
        <f>SUM(U52:W52)</f>
        <v>150</v>
      </c>
      <c r="Y52" s="30"/>
    </row>
    <row r="53" spans="2:25" x14ac:dyDescent="0.35">
      <c r="B53" t="s">
        <v>243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t="str">
        <f t="shared" si="0"/>
        <v>GRA 2023-2024 (Hearing Reserve Acct)</v>
      </c>
      <c r="O53" s="32"/>
      <c r="P53" s="32">
        <v>0</v>
      </c>
      <c r="Q53" s="32">
        <v>250</v>
      </c>
      <c r="R53" s="32">
        <v>0</v>
      </c>
      <c r="S53" s="30">
        <f>SUM(P53:R53)</f>
        <v>250</v>
      </c>
      <c r="T53" s="32"/>
      <c r="U53" s="32">
        <v>250</v>
      </c>
      <c r="V53" s="32">
        <v>0</v>
      </c>
      <c r="W53" s="32">
        <v>0</v>
      </c>
      <c r="X53" s="30">
        <f>SUM(U53:W53)</f>
        <v>250</v>
      </c>
      <c r="Y53" s="30"/>
    </row>
    <row r="54" spans="2:25" x14ac:dyDescent="0.35">
      <c r="B54" t="s">
        <v>72</v>
      </c>
      <c r="D54" s="30">
        <v>0</v>
      </c>
      <c r="E54" s="30">
        <v>0</v>
      </c>
      <c r="F54" s="30">
        <v>0</v>
      </c>
      <c r="G54" s="30">
        <v>0</v>
      </c>
      <c r="H54" s="32"/>
      <c r="I54" s="30">
        <v>0</v>
      </c>
      <c r="J54" s="30">
        <v>0</v>
      </c>
      <c r="K54" s="30">
        <v>0</v>
      </c>
      <c r="L54" s="30">
        <v>0</v>
      </c>
      <c r="M54" s="32"/>
      <c r="N54" t="str">
        <f t="shared" ref="N54" si="19">B54</f>
        <v>Other Projects with &lt;$100k Spending by 2024</v>
      </c>
      <c r="O54" s="32"/>
      <c r="P54" s="30">
        <v>0</v>
      </c>
      <c r="Q54" s="30">
        <v>25</v>
      </c>
      <c r="R54" s="30">
        <v>0</v>
      </c>
      <c r="S54" s="30">
        <v>25</v>
      </c>
      <c r="T54" s="32"/>
      <c r="U54" s="30">
        <v>25</v>
      </c>
      <c r="V54" s="30">
        <v>85</v>
      </c>
      <c r="W54" s="30">
        <v>0</v>
      </c>
      <c r="X54" s="30">
        <v>110</v>
      </c>
      <c r="Y54" s="30"/>
    </row>
    <row r="55" spans="2:25" x14ac:dyDescent="0.35">
      <c r="B55" s="24" t="s">
        <v>74</v>
      </c>
      <c r="C55" s="24"/>
      <c r="D55" s="34">
        <f>SUBTOTAL(9,D50:D54)</f>
        <v>0</v>
      </c>
      <c r="E55" s="34">
        <f>SUBTOTAL(9,E50:E54)</f>
        <v>0</v>
      </c>
      <c r="F55" s="34">
        <f>SUBTOTAL(9,F50:F54)</f>
        <v>0</v>
      </c>
      <c r="G55" s="34">
        <f>SUBTOTAL(9,G50:G54)</f>
        <v>0</v>
      </c>
      <c r="H55" s="32"/>
      <c r="I55" s="34">
        <f>SUBTOTAL(9,I50:I54)</f>
        <v>0</v>
      </c>
      <c r="J55" s="34">
        <f>SUBTOTAL(9,J50:J54)</f>
        <v>0</v>
      </c>
      <c r="K55" s="34">
        <f>SUBTOTAL(9,K50:K54)</f>
        <v>0</v>
      </c>
      <c r="L55" s="34">
        <f>SUBTOTAL(9,L50:L54)</f>
        <v>0</v>
      </c>
      <c r="M55" s="32"/>
      <c r="N55" s="24" t="str">
        <f t="shared" si="0"/>
        <v>Subtotal</v>
      </c>
      <c r="O55" s="32"/>
      <c r="P55" s="34">
        <f>SUBTOTAL(9,P50:P54)</f>
        <v>0</v>
      </c>
      <c r="Q55" s="34">
        <f>SUBTOTAL(9,Q50:Q54)</f>
        <v>400</v>
      </c>
      <c r="R55" s="34">
        <f>SUBTOTAL(9,R50:R54)</f>
        <v>0</v>
      </c>
      <c r="S55" s="34">
        <f>SUBTOTAL(9,S50:S54)</f>
        <v>400</v>
      </c>
      <c r="T55" s="32"/>
      <c r="U55" s="34">
        <f>SUBTOTAL(9,U50:U54)</f>
        <v>400</v>
      </c>
      <c r="V55" s="34">
        <f>SUBTOTAL(9,V50:V54)</f>
        <v>635</v>
      </c>
      <c r="W55" s="34">
        <f>SUBTOTAL(9,W50:W54)</f>
        <v>0</v>
      </c>
      <c r="X55" s="34">
        <f>SUBTOTAL(9,X50:X54)</f>
        <v>1035</v>
      </c>
      <c r="Y55" s="30"/>
    </row>
    <row r="56" spans="2:25" x14ac:dyDescent="0.35">
      <c r="D56" s="32"/>
      <c r="E56" s="32"/>
      <c r="F56" s="32"/>
      <c r="G56" s="32"/>
      <c r="H56" s="32"/>
      <c r="I56" s="32"/>
      <c r="J56" s="32"/>
      <c r="K56" s="32"/>
      <c r="L56" s="32"/>
      <c r="M56" s="32"/>
      <c r="O56" s="32"/>
      <c r="P56" s="32"/>
      <c r="Q56" s="32"/>
      <c r="R56" s="32"/>
      <c r="S56" s="32"/>
      <c r="T56" s="32"/>
      <c r="U56" s="30"/>
      <c r="V56" s="30"/>
      <c r="W56" s="30"/>
      <c r="X56" s="30"/>
      <c r="Y56" s="30"/>
    </row>
    <row r="57" spans="2:25" x14ac:dyDescent="0.35">
      <c r="B57" s="24" t="s">
        <v>61</v>
      </c>
      <c r="C57" s="24"/>
      <c r="D57" s="32"/>
      <c r="E57" s="32"/>
      <c r="F57" s="32"/>
      <c r="G57" s="32"/>
      <c r="H57" s="34"/>
      <c r="I57" s="32"/>
      <c r="J57" s="32"/>
      <c r="K57" s="32"/>
      <c r="L57" s="32"/>
      <c r="M57" s="32"/>
      <c r="N57" s="24" t="str">
        <f t="shared" si="0"/>
        <v>Intangible Assets – Major projects &gt; $1 million – Not impacting Rate Base</v>
      </c>
      <c r="O57" s="32"/>
      <c r="P57" s="30"/>
      <c r="Q57" s="30"/>
      <c r="R57" s="30"/>
      <c r="S57" s="30"/>
      <c r="T57" s="34"/>
      <c r="U57" s="30"/>
      <c r="V57" s="30"/>
      <c r="W57" s="30"/>
      <c r="X57" s="30"/>
      <c r="Y57" s="30"/>
    </row>
    <row r="58" spans="2:25" x14ac:dyDescent="0.35">
      <c r="B58" t="s">
        <v>244</v>
      </c>
      <c r="D58" s="32">
        <v>0</v>
      </c>
      <c r="E58" s="32">
        <v>24.975000000000001</v>
      </c>
      <c r="F58" s="32">
        <v>0</v>
      </c>
      <c r="G58" s="30">
        <f>SUM(D58:F58)</f>
        <v>24.975000000000001</v>
      </c>
      <c r="H58" s="32"/>
      <c r="I58" s="32">
        <v>24.975000000000001</v>
      </c>
      <c r="J58" s="32">
        <v>74.837320000000005</v>
      </c>
      <c r="K58" s="32">
        <v>0</v>
      </c>
      <c r="L58" s="30">
        <f>SUM(I58:K58)</f>
        <v>99.81232</v>
      </c>
      <c r="M58" s="30"/>
      <c r="N58" t="str">
        <f t="shared" si="0"/>
        <v>ERP Replacement</v>
      </c>
      <c r="O58" s="30"/>
      <c r="P58" s="32">
        <v>99.812320000000014</v>
      </c>
      <c r="Q58" s="32">
        <v>75</v>
      </c>
      <c r="R58" s="32">
        <v>0</v>
      </c>
      <c r="S58" s="30">
        <f>SUM(P58:R58)</f>
        <v>174.81232</v>
      </c>
      <c r="T58" s="32"/>
      <c r="U58" s="32">
        <v>174.81232</v>
      </c>
      <c r="V58" s="32">
        <v>4200</v>
      </c>
      <c r="W58" s="32">
        <v>0</v>
      </c>
      <c r="X58" s="30">
        <f>SUM(U58:W58)</f>
        <v>4374.81232</v>
      </c>
      <c r="Y58" s="30"/>
    </row>
    <row r="59" spans="2:25" x14ac:dyDescent="0.35">
      <c r="B59" s="24" t="s">
        <v>74</v>
      </c>
      <c r="C59" s="24"/>
      <c r="D59" s="34">
        <f>SUBTOTAL(9,D58:D58)</f>
        <v>0</v>
      </c>
      <c r="E59" s="34">
        <f t="shared" ref="E59:G59" si="20">SUBTOTAL(9,E58:E58)</f>
        <v>24.975000000000001</v>
      </c>
      <c r="F59" s="34">
        <f t="shared" si="20"/>
        <v>0</v>
      </c>
      <c r="G59" s="34">
        <f t="shared" si="20"/>
        <v>24.975000000000001</v>
      </c>
      <c r="H59" s="32"/>
      <c r="I59" s="34">
        <f t="shared" ref="I59:L59" si="21">SUBTOTAL(9,I58:I58)</f>
        <v>24.975000000000001</v>
      </c>
      <c r="J59" s="34">
        <f t="shared" si="21"/>
        <v>74.837320000000005</v>
      </c>
      <c r="K59" s="34">
        <f t="shared" si="21"/>
        <v>0</v>
      </c>
      <c r="L59" s="34">
        <f t="shared" si="21"/>
        <v>99.81232</v>
      </c>
      <c r="M59" s="32"/>
      <c r="N59" s="24" t="str">
        <f t="shared" si="0"/>
        <v>Subtotal</v>
      </c>
      <c r="O59" s="32"/>
      <c r="P59" s="34">
        <f t="shared" ref="P59:S59" si="22">SUBTOTAL(9,P58:P58)</f>
        <v>99.812320000000014</v>
      </c>
      <c r="Q59" s="34">
        <f t="shared" si="22"/>
        <v>75</v>
      </c>
      <c r="R59" s="34">
        <f t="shared" si="22"/>
        <v>0</v>
      </c>
      <c r="S59" s="34">
        <f t="shared" si="22"/>
        <v>174.81232</v>
      </c>
      <c r="T59" s="32"/>
      <c r="U59" s="34">
        <f t="shared" ref="U59:X59" si="23">SUBTOTAL(9,U58:U58)</f>
        <v>174.81232</v>
      </c>
      <c r="V59" s="34">
        <f t="shared" si="23"/>
        <v>4200</v>
      </c>
      <c r="W59" s="34">
        <f t="shared" si="23"/>
        <v>0</v>
      </c>
      <c r="X59" s="34">
        <f t="shared" si="23"/>
        <v>4374.81232</v>
      </c>
      <c r="Y59" s="30"/>
    </row>
    <row r="60" spans="2:25" x14ac:dyDescent="0.35">
      <c r="D60" s="32"/>
      <c r="E60" s="32"/>
      <c r="F60" s="32"/>
      <c r="G60" s="32"/>
      <c r="H60" s="32"/>
      <c r="I60" s="32"/>
      <c r="J60" s="32"/>
      <c r="K60" s="32"/>
      <c r="L60" s="32"/>
      <c r="M60" s="32"/>
      <c r="O60" s="32"/>
      <c r="P60" s="32"/>
      <c r="Q60" s="32"/>
      <c r="R60" s="32"/>
      <c r="S60" s="32"/>
      <c r="T60" s="32"/>
      <c r="U60" s="30"/>
      <c r="V60" s="30"/>
      <c r="W60" s="30"/>
      <c r="X60" s="30"/>
      <c r="Y60" s="30"/>
    </row>
    <row r="61" spans="2:25" x14ac:dyDescent="0.35">
      <c r="B61" s="24" t="s">
        <v>62</v>
      </c>
      <c r="C61" s="24"/>
      <c r="D61" s="32"/>
      <c r="E61" s="32"/>
      <c r="F61" s="32"/>
      <c r="G61" s="32"/>
      <c r="H61" s="34"/>
      <c r="I61" s="32"/>
      <c r="J61" s="32"/>
      <c r="K61" s="32"/>
      <c r="L61" s="32"/>
      <c r="M61" s="32"/>
      <c r="N61" s="24" t="str">
        <f t="shared" si="0"/>
        <v>Intangible Assets – Projects $100,000 to $1 million – Not impacting Rate Base</v>
      </c>
      <c r="O61" s="32"/>
      <c r="P61" s="32"/>
      <c r="Q61" s="32"/>
      <c r="R61" s="32"/>
      <c r="S61" s="32"/>
      <c r="T61" s="34"/>
      <c r="U61" s="30"/>
      <c r="V61" s="30"/>
      <c r="W61" s="30"/>
      <c r="X61" s="30"/>
      <c r="Y61" s="30"/>
    </row>
    <row r="62" spans="2:25" x14ac:dyDescent="0.35">
      <c r="B62" t="s">
        <v>245</v>
      </c>
      <c r="D62" s="32">
        <v>0</v>
      </c>
      <c r="E62" s="32">
        <v>0</v>
      </c>
      <c r="F62" s="32">
        <v>0</v>
      </c>
      <c r="G62" s="30">
        <f>SUM(D62:F62)</f>
        <v>0</v>
      </c>
      <c r="H62" s="32"/>
      <c r="I62" s="32">
        <v>0</v>
      </c>
      <c r="J62" s="32">
        <v>0</v>
      </c>
      <c r="K62" s="32">
        <v>0</v>
      </c>
      <c r="L62" s="30">
        <f>SUM(I62:K62)</f>
        <v>0</v>
      </c>
      <c r="M62" s="30"/>
      <c r="N62" t="str">
        <f t="shared" ref="N62" si="24">B62</f>
        <v>Project Management Software</v>
      </c>
      <c r="O62" s="30"/>
      <c r="P62" s="32">
        <v>0</v>
      </c>
      <c r="Q62" s="32">
        <v>0</v>
      </c>
      <c r="R62" s="32">
        <v>0</v>
      </c>
      <c r="S62" s="30">
        <f>SUM(P62:R62)</f>
        <v>0</v>
      </c>
      <c r="T62" s="32"/>
      <c r="U62" s="32">
        <v>0</v>
      </c>
      <c r="V62" s="32">
        <v>150</v>
      </c>
      <c r="W62" s="32">
        <v>0</v>
      </c>
      <c r="X62" s="30">
        <f>SUM(U62:W62)</f>
        <v>150</v>
      </c>
      <c r="Y62" s="30"/>
    </row>
    <row r="63" spans="2:25" x14ac:dyDescent="0.35">
      <c r="B63" t="s">
        <v>72</v>
      </c>
      <c r="D63" s="30">
        <v>0</v>
      </c>
      <c r="E63" s="30">
        <v>0</v>
      </c>
      <c r="F63" s="30">
        <v>0</v>
      </c>
      <c r="G63" s="30">
        <v>0</v>
      </c>
      <c r="H63" s="32"/>
      <c r="I63" s="30">
        <v>0</v>
      </c>
      <c r="J63" s="30">
        <v>0</v>
      </c>
      <c r="K63" s="30">
        <v>0</v>
      </c>
      <c r="L63" s="30">
        <v>0</v>
      </c>
      <c r="M63" s="32"/>
      <c r="N63" t="str">
        <f t="shared" si="0"/>
        <v>Other Projects with &lt;$100k Spending by 2024</v>
      </c>
      <c r="O63" s="32"/>
      <c r="P63" s="30">
        <v>0</v>
      </c>
      <c r="Q63" s="30">
        <v>0</v>
      </c>
      <c r="R63" s="30">
        <v>0</v>
      </c>
      <c r="S63" s="30">
        <v>0</v>
      </c>
      <c r="T63" s="32"/>
      <c r="U63" s="30">
        <v>0</v>
      </c>
      <c r="V63" s="30">
        <v>100</v>
      </c>
      <c r="W63" s="30">
        <v>0</v>
      </c>
      <c r="X63" s="30">
        <v>100</v>
      </c>
      <c r="Y63" s="30"/>
    </row>
    <row r="64" spans="2:25" x14ac:dyDescent="0.35">
      <c r="B64" s="24" t="s">
        <v>74</v>
      </c>
      <c r="C64" s="24"/>
      <c r="D64" s="34">
        <f>SUBTOTAL(9,D62:D63)</f>
        <v>0</v>
      </c>
      <c r="E64" s="34">
        <f>SUBTOTAL(9,E62:E63)</f>
        <v>0</v>
      </c>
      <c r="F64" s="34">
        <f>SUBTOTAL(9,F62:F63)</f>
        <v>0</v>
      </c>
      <c r="G64" s="34">
        <f>SUBTOTAL(9,G62:G63)</f>
        <v>0</v>
      </c>
      <c r="H64" s="32"/>
      <c r="I64" s="34">
        <f>SUBTOTAL(9,I62:I63)</f>
        <v>0</v>
      </c>
      <c r="J64" s="34">
        <f>SUBTOTAL(9,J62:J63)</f>
        <v>0</v>
      </c>
      <c r="K64" s="34">
        <f>SUBTOTAL(9,K62:K63)</f>
        <v>0</v>
      </c>
      <c r="L64" s="34">
        <f>SUBTOTAL(9,L62:L63)</f>
        <v>0</v>
      </c>
      <c r="M64" s="32"/>
      <c r="N64" s="24" t="str">
        <f t="shared" si="0"/>
        <v>Subtotal</v>
      </c>
      <c r="O64" s="32"/>
      <c r="P64" s="34">
        <f>SUBTOTAL(9,P62:P63)</f>
        <v>0</v>
      </c>
      <c r="Q64" s="34">
        <f>SUBTOTAL(9,Q62:Q63)</f>
        <v>0</v>
      </c>
      <c r="R64" s="34">
        <f>SUBTOTAL(9,R62:R63)</f>
        <v>0</v>
      </c>
      <c r="S64" s="34">
        <f>SUBTOTAL(9,S62:S63)</f>
        <v>0</v>
      </c>
      <c r="T64" s="32"/>
      <c r="U64" s="34">
        <f>SUBTOTAL(9,U62:U63)</f>
        <v>0</v>
      </c>
      <c r="V64" s="34">
        <f>SUBTOTAL(9,V62:V63)</f>
        <v>250</v>
      </c>
      <c r="W64" s="34">
        <f>SUBTOTAL(9,W62:W63)</f>
        <v>0</v>
      </c>
      <c r="X64" s="34">
        <f>SUBTOTAL(9,X62:X63)</f>
        <v>250</v>
      </c>
    </row>
    <row r="65" spans="2:24" x14ac:dyDescent="0.35">
      <c r="D65" s="32"/>
      <c r="E65" s="32"/>
      <c r="F65" s="32"/>
      <c r="G65" s="32"/>
      <c r="H65" s="32"/>
      <c r="I65" s="32"/>
      <c r="J65" s="32"/>
      <c r="K65" s="32"/>
      <c r="L65" s="32"/>
      <c r="M65" s="32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spans="2:24" ht="15" thickBot="1" x14ac:dyDescent="0.4">
      <c r="B66" s="36" t="s">
        <v>73</v>
      </c>
      <c r="C66" s="36"/>
      <c r="D66" s="37">
        <f>SUBTOTAL(9,D9:D64)</f>
        <v>4950.5888199999999</v>
      </c>
      <c r="E66" s="37">
        <f>SUBTOTAL(9,E9:E64)</f>
        <v>1004.7520199999999</v>
      </c>
      <c r="F66" s="37">
        <f>SUBTOTAL(9,F9:F64)</f>
        <v>-219.51868999999999</v>
      </c>
      <c r="G66" s="37">
        <f>SUBTOTAL(9,G9:G64)</f>
        <v>5735.8221500000009</v>
      </c>
      <c r="H66" s="32"/>
      <c r="I66" s="37">
        <f>SUBTOTAL(9,I9:I64)</f>
        <v>5735.8221500000009</v>
      </c>
      <c r="J66" s="37">
        <f>SUBTOTAL(9,J9:J64)</f>
        <v>11632.796309999998</v>
      </c>
      <c r="K66" s="37">
        <f>SUBTOTAL(9,K9:K64)</f>
        <v>0</v>
      </c>
      <c r="L66" s="37">
        <f>SUBTOTAL(9,L9:L64)</f>
        <v>17368.618460000002</v>
      </c>
      <c r="M66" s="32"/>
      <c r="N66" s="36" t="str">
        <f t="shared" si="0"/>
        <v>Total</v>
      </c>
      <c r="O66" s="36"/>
      <c r="P66" s="37">
        <f>SUBTOTAL(9,P9:P64)</f>
        <v>17368.618459999998</v>
      </c>
      <c r="Q66" s="37">
        <f>SUBTOTAL(9,Q9:Q64)</f>
        <v>26165.977000000003</v>
      </c>
      <c r="R66" s="37">
        <f>SUBTOTAL(9,R9:R64)</f>
        <v>0</v>
      </c>
      <c r="S66" s="37">
        <f>SUBTOTAL(9,S9:S64)</f>
        <v>43534.595459999997</v>
      </c>
      <c r="T66" s="32"/>
      <c r="U66" s="37">
        <f>SUBTOTAL(9,U9:U64)</f>
        <v>43534.595459999997</v>
      </c>
      <c r="V66" s="37">
        <f>SUBTOTAL(9,V9:V64)</f>
        <v>44320</v>
      </c>
      <c r="W66" s="37">
        <f>SUBTOTAL(9,W9:W64)</f>
        <v>0</v>
      </c>
      <c r="X66" s="37">
        <f>SUBTOTAL(9,X9:X64)</f>
        <v>87854.595459999968</v>
      </c>
    </row>
    <row r="67" spans="2:24" ht="15" thickTop="1" x14ac:dyDescent="0.35">
      <c r="D67" s="32"/>
      <c r="E67" s="32"/>
      <c r="F67" s="32"/>
      <c r="G67" s="32"/>
      <c r="H67" s="32"/>
      <c r="I67" s="32"/>
      <c r="J67" s="32"/>
      <c r="K67" s="32"/>
      <c r="L67" s="32"/>
      <c r="M67" s="32"/>
      <c r="O67" s="32"/>
      <c r="P67" s="32"/>
      <c r="Q67" s="32"/>
      <c r="R67" s="32"/>
      <c r="S67" s="32"/>
      <c r="T67" s="32"/>
      <c r="U67" s="32"/>
      <c r="V67" s="32"/>
      <c r="W67" s="32"/>
      <c r="X67" s="32"/>
    </row>
    <row r="68" spans="2:24" x14ac:dyDescent="0.35">
      <c r="D68" s="32"/>
      <c r="E68" s="32"/>
      <c r="F68" s="32"/>
      <c r="G68" s="32"/>
      <c r="H68" s="32"/>
      <c r="I68" s="32"/>
      <c r="J68" s="32"/>
      <c r="K68" s="32"/>
      <c r="L68" s="32"/>
      <c r="M68" s="32"/>
      <c r="O68" s="32"/>
      <c r="P68" s="32"/>
      <c r="Q68" s="32"/>
      <c r="R68" s="32"/>
      <c r="S68" s="32"/>
      <c r="T68" s="32"/>
      <c r="U68" s="32"/>
      <c r="V68" s="32"/>
      <c r="W68" s="32"/>
      <c r="X68" s="32"/>
    </row>
    <row r="69" spans="2:24" x14ac:dyDescent="0.35">
      <c r="B69" s="2" t="s">
        <v>76</v>
      </c>
      <c r="D69" s="32">
        <f>D28-D14-D10</f>
        <v>517.83057999999994</v>
      </c>
      <c r="E69" s="32">
        <f>E28-E14-E10</f>
        <v>854.55800999999997</v>
      </c>
      <c r="F69" s="32">
        <f>F28-F14-F10</f>
        <v>-219.51868999999999</v>
      </c>
      <c r="G69" s="32">
        <f>G28-G14-G10</f>
        <v>1152.8698999999999</v>
      </c>
      <c r="H69" s="32"/>
      <c r="I69" s="32">
        <f>I28-I14-I10</f>
        <v>1152.8698999999999</v>
      </c>
      <c r="J69" s="32">
        <f>J28-J14-J10</f>
        <v>9309.1918499999992</v>
      </c>
      <c r="K69" s="32">
        <f>K28-K14-K10</f>
        <v>0</v>
      </c>
      <c r="L69" s="32">
        <f>L28-L14-L10</f>
        <v>10462.061749999999</v>
      </c>
      <c r="M69" s="32"/>
      <c r="N69" s="2" t="s">
        <v>76</v>
      </c>
      <c r="P69" s="32">
        <f>P28-P14-P10</f>
        <v>10462.061749999999</v>
      </c>
      <c r="Q69" s="32">
        <f>Q28-Q14-Q10</f>
        <v>24102.000540000001</v>
      </c>
      <c r="R69" s="32">
        <f>R28-R14-R10</f>
        <v>0</v>
      </c>
      <c r="S69" s="32">
        <f>S28-S14-S10</f>
        <v>34564.062290000002</v>
      </c>
      <c r="T69" s="32"/>
      <c r="U69" s="32">
        <f>U28-U14-U10</f>
        <v>34564.062290000002</v>
      </c>
      <c r="V69" s="32">
        <f>V28-V14-V10</f>
        <v>34790</v>
      </c>
      <c r="W69" s="32">
        <f>W28-W14-W10</f>
        <v>0</v>
      </c>
      <c r="X69" s="32">
        <f>X28-X14-X10</f>
        <v>69354.062290000002</v>
      </c>
    </row>
    <row r="70" spans="2:24" x14ac:dyDescent="0.35">
      <c r="B70" s="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"/>
      <c r="P70" s="32"/>
      <c r="Q70" s="32"/>
      <c r="R70" s="32"/>
      <c r="S70" s="32"/>
      <c r="T70" s="32"/>
      <c r="U70" s="32"/>
      <c r="V70" s="32"/>
      <c r="W70" s="32"/>
      <c r="X70" s="32"/>
    </row>
    <row r="71" spans="2:24" x14ac:dyDescent="0.35">
      <c r="B71" s="2" t="s">
        <v>77</v>
      </c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" t="s">
        <v>77</v>
      </c>
      <c r="P71" s="32"/>
      <c r="Q71" s="32"/>
      <c r="R71" s="32"/>
      <c r="S71" s="32"/>
      <c r="T71" s="32"/>
      <c r="U71" s="32"/>
      <c r="V71" s="32"/>
      <c r="W71" s="32"/>
      <c r="X71" s="32"/>
    </row>
    <row r="72" spans="2:24" x14ac:dyDescent="0.35">
      <c r="B72" s="8" t="s">
        <v>12</v>
      </c>
      <c r="D72" s="32">
        <f>D31+D32+D36</f>
        <v>486.69265000000001</v>
      </c>
      <c r="E72" s="32">
        <f>E31+E32+E36</f>
        <v>-479.25182000000001</v>
      </c>
      <c r="F72" s="32">
        <f>F31+F32+F36</f>
        <v>0</v>
      </c>
      <c r="G72" s="32">
        <f>G31+G32+G36</f>
        <v>7.4408300000000054</v>
      </c>
      <c r="H72" s="32"/>
      <c r="I72" s="32">
        <f>I31+I32+I36</f>
        <v>7.4408300000000001</v>
      </c>
      <c r="J72" s="32">
        <f>J31+J32+J36</f>
        <v>149.24179999999998</v>
      </c>
      <c r="K72" s="32">
        <f>K31+K32+K36</f>
        <v>0</v>
      </c>
      <c r="L72" s="32">
        <f>L31+L32+L36</f>
        <v>156.68262999999999</v>
      </c>
      <c r="M72" s="32"/>
      <c r="N72" s="8" t="s">
        <v>12</v>
      </c>
      <c r="P72" s="32">
        <f>P31+P32+P36</f>
        <v>156.68262999999999</v>
      </c>
      <c r="Q72" s="32">
        <f>Q31+Q32+Q36</f>
        <v>60</v>
      </c>
      <c r="R72" s="32">
        <f>R31+R32+R36</f>
        <v>0</v>
      </c>
      <c r="S72" s="32">
        <f>S31+S32+S36</f>
        <v>216.68262999999999</v>
      </c>
      <c r="T72" s="32"/>
      <c r="U72" s="32">
        <f>U31+U32+U36</f>
        <v>216.68262999999999</v>
      </c>
      <c r="V72" s="32">
        <f>V31+V32+V36</f>
        <v>485</v>
      </c>
      <c r="W72" s="32">
        <f>W31+W32+W36</f>
        <v>0</v>
      </c>
      <c r="X72" s="32">
        <f>X31+X32+X36</f>
        <v>701.68263000000002</v>
      </c>
    </row>
    <row r="73" spans="2:24" x14ac:dyDescent="0.35">
      <c r="B73" s="8" t="s">
        <v>10</v>
      </c>
      <c r="D73" s="32">
        <f>D35</f>
        <v>0</v>
      </c>
      <c r="E73" s="32">
        <f>E35</f>
        <v>0</v>
      </c>
      <c r="F73" s="32">
        <f>F35</f>
        <v>0</v>
      </c>
      <c r="G73" s="32">
        <f>G35</f>
        <v>0</v>
      </c>
      <c r="H73" s="32"/>
      <c r="I73" s="32">
        <f>I35</f>
        <v>0</v>
      </c>
      <c r="J73" s="32">
        <f>J35</f>
        <v>0</v>
      </c>
      <c r="K73" s="32">
        <f>K35</f>
        <v>0</v>
      </c>
      <c r="L73" s="32">
        <f>L35</f>
        <v>0</v>
      </c>
      <c r="M73" s="32"/>
      <c r="N73" s="8" t="s">
        <v>10</v>
      </c>
      <c r="P73" s="32">
        <f>P35</f>
        <v>0</v>
      </c>
      <c r="Q73" s="32">
        <f>Q35</f>
        <v>0</v>
      </c>
      <c r="R73" s="32">
        <f>R35</f>
        <v>0</v>
      </c>
      <c r="S73" s="32">
        <f>S35</f>
        <v>0</v>
      </c>
      <c r="T73" s="32"/>
      <c r="U73" s="32">
        <f>U35</f>
        <v>0</v>
      </c>
      <c r="V73" s="32">
        <f>V35</f>
        <v>100</v>
      </c>
      <c r="W73" s="32">
        <f>W35</f>
        <v>0</v>
      </c>
      <c r="X73" s="32">
        <f>X35</f>
        <v>100</v>
      </c>
    </row>
    <row r="74" spans="2:24" x14ac:dyDescent="0.35">
      <c r="B74" s="8" t="s">
        <v>11</v>
      </c>
      <c r="D74" s="32">
        <f>D33</f>
        <v>0</v>
      </c>
      <c r="E74" s="32">
        <f>E33</f>
        <v>0</v>
      </c>
      <c r="F74" s="32">
        <f>F33</f>
        <v>0</v>
      </c>
      <c r="G74" s="32">
        <f>G33</f>
        <v>0</v>
      </c>
      <c r="H74" s="32"/>
      <c r="I74" s="32">
        <f>I33</f>
        <v>0</v>
      </c>
      <c r="J74" s="32">
        <f>J33</f>
        <v>0</v>
      </c>
      <c r="K74" s="32">
        <f>K33</f>
        <v>0</v>
      </c>
      <c r="L74" s="32">
        <f>L33</f>
        <v>0</v>
      </c>
      <c r="M74" s="32"/>
      <c r="N74" s="8" t="s">
        <v>11</v>
      </c>
      <c r="P74" s="32">
        <f>P33</f>
        <v>0</v>
      </c>
      <c r="Q74" s="32">
        <f>Q33</f>
        <v>0</v>
      </c>
      <c r="R74" s="32">
        <f>R33</f>
        <v>0</v>
      </c>
      <c r="S74" s="32">
        <f>S33</f>
        <v>0</v>
      </c>
      <c r="T74" s="32"/>
      <c r="U74" s="32">
        <f t="shared" ref="U74:X75" si="25">U33</f>
        <v>0</v>
      </c>
      <c r="V74" s="32">
        <f t="shared" si="25"/>
        <v>250</v>
      </c>
      <c r="W74" s="32">
        <f t="shared" si="25"/>
        <v>0</v>
      </c>
      <c r="X74" s="32">
        <f t="shared" si="25"/>
        <v>250</v>
      </c>
    </row>
    <row r="75" spans="2:24" x14ac:dyDescent="0.35">
      <c r="B75" s="8" t="s">
        <v>13</v>
      </c>
      <c r="D75" s="32">
        <f t="shared" ref="D75:G75" si="26">D34</f>
        <v>0</v>
      </c>
      <c r="E75" s="32">
        <f t="shared" si="26"/>
        <v>0</v>
      </c>
      <c r="F75" s="32">
        <f t="shared" si="26"/>
        <v>0</v>
      </c>
      <c r="G75" s="32">
        <f t="shared" si="26"/>
        <v>0</v>
      </c>
      <c r="H75" s="32"/>
      <c r="I75" s="32">
        <f t="shared" ref="I75:L75" si="27">I34</f>
        <v>0</v>
      </c>
      <c r="J75" s="32">
        <f t="shared" si="27"/>
        <v>0</v>
      </c>
      <c r="K75" s="32">
        <f t="shared" si="27"/>
        <v>0</v>
      </c>
      <c r="L75" s="32">
        <f t="shared" si="27"/>
        <v>0</v>
      </c>
      <c r="M75" s="32"/>
      <c r="N75" s="8" t="s">
        <v>13</v>
      </c>
      <c r="P75" s="32">
        <f t="shared" ref="P75:S75" si="28">P34</f>
        <v>0</v>
      </c>
      <c r="Q75" s="32">
        <f t="shared" si="28"/>
        <v>0</v>
      </c>
      <c r="R75" s="32">
        <f t="shared" si="28"/>
        <v>0</v>
      </c>
      <c r="S75" s="32">
        <f t="shared" si="28"/>
        <v>0</v>
      </c>
      <c r="T75" s="32"/>
      <c r="U75" s="32">
        <f t="shared" si="25"/>
        <v>0</v>
      </c>
      <c r="V75" s="32">
        <f t="shared" si="25"/>
        <v>400</v>
      </c>
      <c r="W75" s="32">
        <f t="shared" si="25"/>
        <v>0</v>
      </c>
      <c r="X75" s="32">
        <f t="shared" si="25"/>
        <v>400</v>
      </c>
    </row>
    <row r="76" spans="2:24" x14ac:dyDescent="0.35">
      <c r="D76" s="32"/>
      <c r="E76" s="32"/>
      <c r="F76" s="32"/>
      <c r="G76" s="32"/>
      <c r="H76" s="32"/>
      <c r="I76" s="32"/>
      <c r="J76" s="32"/>
      <c r="K76" s="32"/>
      <c r="L76" s="32"/>
      <c r="M76" s="32"/>
      <c r="P76" s="32"/>
      <c r="Q76" s="32"/>
      <c r="R76" s="32"/>
      <c r="S76" s="32"/>
      <c r="T76" s="32"/>
      <c r="U76" s="32"/>
      <c r="V76" s="32"/>
      <c r="W76" s="32"/>
      <c r="X76" s="32"/>
    </row>
    <row r="77" spans="2:24" x14ac:dyDescent="0.35">
      <c r="B77" s="2" t="s">
        <v>78</v>
      </c>
      <c r="D77" s="32">
        <f>D14+D10</f>
        <v>-316.22440999999998</v>
      </c>
      <c r="E77" s="32">
        <f>E14+E10</f>
        <v>-581.32456999999999</v>
      </c>
      <c r="F77" s="32">
        <f>F14+F10</f>
        <v>0</v>
      </c>
      <c r="G77" s="32">
        <f>G14+G10</f>
        <v>-897.54898000000003</v>
      </c>
      <c r="H77" s="32"/>
      <c r="I77" s="32">
        <f>I14+I10</f>
        <v>-897.54898000000003</v>
      </c>
      <c r="J77" s="32">
        <f>J14+J10</f>
        <v>-6128.5774800000008</v>
      </c>
      <c r="K77" s="32">
        <f>K14+K10</f>
        <v>0</v>
      </c>
      <c r="L77" s="32">
        <f>L14+L10</f>
        <v>-7026.1264600000013</v>
      </c>
      <c r="M77" s="32"/>
      <c r="N77" s="2" t="s">
        <v>78</v>
      </c>
      <c r="P77" s="32">
        <f>P14+P10</f>
        <v>-7026.1264600000013</v>
      </c>
      <c r="Q77" s="32">
        <f>Q14+Q10</f>
        <v>-9473.8735399999987</v>
      </c>
      <c r="R77" s="32">
        <f>R14+R10</f>
        <v>0</v>
      </c>
      <c r="S77" s="32">
        <f>S14+S10</f>
        <v>-16500</v>
      </c>
      <c r="T77" s="32"/>
      <c r="U77" s="32">
        <f>U14+U10</f>
        <v>-16500</v>
      </c>
      <c r="V77" s="32">
        <f>V14+V10</f>
        <v>-4500</v>
      </c>
      <c r="W77" s="32">
        <f>W14+W10</f>
        <v>0</v>
      </c>
      <c r="X77" s="32">
        <f>X14+X10</f>
        <v>-21000</v>
      </c>
    </row>
    <row r="78" spans="2:24" x14ac:dyDescent="0.35">
      <c r="D78" s="32"/>
      <c r="E78" s="32"/>
      <c r="F78" s="32"/>
      <c r="G78" s="32"/>
      <c r="H78" s="32"/>
      <c r="I78" s="32"/>
      <c r="J78" s="32"/>
      <c r="K78" s="32"/>
      <c r="L78" s="32"/>
      <c r="M78" s="32"/>
      <c r="P78" s="32"/>
      <c r="Q78" s="32"/>
      <c r="R78" s="32"/>
      <c r="S78" s="32"/>
      <c r="T78" s="32"/>
      <c r="U78" s="32"/>
      <c r="V78" s="32"/>
      <c r="W78" s="32"/>
      <c r="X78" s="32"/>
    </row>
    <row r="79" spans="2:24" x14ac:dyDescent="0.35">
      <c r="B79" s="2" t="s">
        <v>79</v>
      </c>
      <c r="D79" s="32">
        <f>D47+D55-D81</f>
        <v>4262.29</v>
      </c>
      <c r="E79" s="32">
        <f>E47+E55-E81</f>
        <v>1249.3356100000001</v>
      </c>
      <c r="F79" s="32">
        <f>F47+F55-F81</f>
        <v>0</v>
      </c>
      <c r="G79" s="32">
        <f>G47+G55-G81</f>
        <v>5511.625610000001</v>
      </c>
      <c r="H79" s="32"/>
      <c r="I79" s="32">
        <f>I47+I55-I81</f>
        <v>5511.625610000001</v>
      </c>
      <c r="J79" s="32">
        <f>J47+J55-J81</f>
        <v>8453.1028200000001</v>
      </c>
      <c r="K79" s="32">
        <f>K47+K55-K81</f>
        <v>0</v>
      </c>
      <c r="L79" s="32">
        <f>L47+L55-L81</f>
        <v>13964.728429999999</v>
      </c>
      <c r="M79" s="32"/>
      <c r="N79" s="2" t="s">
        <v>79</v>
      </c>
      <c r="P79" s="32">
        <f>P47+P55-P81</f>
        <v>13964.728429999997</v>
      </c>
      <c r="Q79" s="32">
        <f>Q47+Q55-Q81</f>
        <v>11402.85</v>
      </c>
      <c r="R79" s="32">
        <f>R47+R55-R81</f>
        <v>0</v>
      </c>
      <c r="S79" s="32">
        <f>S47+S55-S81</f>
        <v>25367.578430000001</v>
      </c>
      <c r="T79" s="32"/>
      <c r="U79" s="32">
        <f>U47+U55-U81</f>
        <v>25367.578430000001</v>
      </c>
      <c r="V79" s="32">
        <f>V47+V55-V81</f>
        <v>8345</v>
      </c>
      <c r="W79" s="32">
        <f>W47+W55-W81</f>
        <v>0</v>
      </c>
      <c r="X79" s="32">
        <f>X47+X55-X81</f>
        <v>33712.578430000001</v>
      </c>
    </row>
    <row r="80" spans="2:24" x14ac:dyDescent="0.35">
      <c r="D80" s="32"/>
      <c r="E80" s="32"/>
      <c r="F80" s="32"/>
      <c r="G80" s="32"/>
      <c r="H80" s="32"/>
      <c r="I80" s="32"/>
      <c r="J80" s="32"/>
      <c r="K80" s="32"/>
      <c r="L80" s="32"/>
      <c r="M80" s="32"/>
      <c r="P80" s="32"/>
      <c r="Q80" s="32"/>
      <c r="R80" s="32"/>
      <c r="S80" s="32"/>
      <c r="T80" s="32"/>
      <c r="U80" s="32"/>
      <c r="V80" s="32"/>
      <c r="W80" s="32"/>
      <c r="X80" s="32"/>
    </row>
    <row r="81" spans="2:24" x14ac:dyDescent="0.35">
      <c r="B81" s="2" t="s">
        <v>80</v>
      </c>
      <c r="D81" s="32">
        <f>D45</f>
        <v>0</v>
      </c>
      <c r="E81" s="32">
        <f>E45</f>
        <v>-63.540210000000002</v>
      </c>
      <c r="F81" s="32">
        <f>F45</f>
        <v>0</v>
      </c>
      <c r="G81" s="32">
        <f>G45</f>
        <v>-63.540210000000002</v>
      </c>
      <c r="H81" s="32"/>
      <c r="I81" s="32">
        <f>I45</f>
        <v>-63.540210000000002</v>
      </c>
      <c r="J81" s="32">
        <f>J45</f>
        <v>-225</v>
      </c>
      <c r="K81" s="32">
        <f>K45</f>
        <v>0</v>
      </c>
      <c r="L81" s="32">
        <f>L45</f>
        <v>-288.54021</v>
      </c>
      <c r="M81" s="32"/>
      <c r="N81" s="2" t="s">
        <v>80</v>
      </c>
      <c r="P81" s="32">
        <f>P45</f>
        <v>-288.54021</v>
      </c>
      <c r="Q81" s="32">
        <f>Q45</f>
        <v>0</v>
      </c>
      <c r="R81" s="32">
        <f>R45</f>
        <v>0</v>
      </c>
      <c r="S81" s="32">
        <f>S45</f>
        <v>-288.54021</v>
      </c>
      <c r="T81" s="32"/>
      <c r="U81" s="32">
        <f>U45</f>
        <v>-288.54021</v>
      </c>
      <c r="V81" s="32">
        <f>V45</f>
        <v>0</v>
      </c>
      <c r="W81" s="32">
        <f>W45</f>
        <v>0</v>
      </c>
      <c r="X81" s="32">
        <f>X45</f>
        <v>-288.54021</v>
      </c>
    </row>
    <row r="82" spans="2:24" x14ac:dyDescent="0.35">
      <c r="D82" s="32"/>
      <c r="E82" s="32"/>
      <c r="F82" s="32"/>
      <c r="G82" s="32"/>
      <c r="H82" s="32"/>
      <c r="I82" s="32"/>
      <c r="J82" s="32"/>
      <c r="K82" s="32"/>
      <c r="L82" s="32"/>
      <c r="M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2:24" x14ac:dyDescent="0.35">
      <c r="B83" s="2" t="s">
        <v>81</v>
      </c>
      <c r="D83" s="32">
        <f>D59+D64</f>
        <v>0</v>
      </c>
      <c r="E83" s="32">
        <f>E59+E64</f>
        <v>24.975000000000001</v>
      </c>
      <c r="F83" s="32">
        <f>F59+F64</f>
        <v>0</v>
      </c>
      <c r="G83" s="32">
        <f>G59+G64</f>
        <v>24.975000000000001</v>
      </c>
      <c r="H83" s="32"/>
      <c r="I83" s="32">
        <f>I59+I64</f>
        <v>24.975000000000001</v>
      </c>
      <c r="J83" s="32">
        <f>J59+J64</f>
        <v>74.837320000000005</v>
      </c>
      <c r="K83" s="32">
        <f>K59+K64</f>
        <v>0</v>
      </c>
      <c r="L83" s="32">
        <f>L59+L64</f>
        <v>99.81232</v>
      </c>
      <c r="M83" s="32"/>
      <c r="N83" s="2" t="s">
        <v>81</v>
      </c>
      <c r="P83" s="32">
        <f>P59+P64</f>
        <v>99.812320000000014</v>
      </c>
      <c r="Q83" s="32">
        <f>Q59+Q64</f>
        <v>75</v>
      </c>
      <c r="R83" s="32">
        <f>R59+R64</f>
        <v>0</v>
      </c>
      <c r="S83" s="32">
        <f>S59+S64</f>
        <v>174.81232</v>
      </c>
      <c r="T83" s="32"/>
      <c r="U83" s="32">
        <f>U59+U64</f>
        <v>174.81232</v>
      </c>
      <c r="V83" s="32">
        <f>V59+V64</f>
        <v>4450</v>
      </c>
      <c r="W83" s="32">
        <f>W59+W64</f>
        <v>0</v>
      </c>
      <c r="X83" s="32">
        <f>X59+X64</f>
        <v>4624.81232</v>
      </c>
    </row>
    <row r="84" spans="2:24" x14ac:dyDescent="0.35">
      <c r="D84" s="32"/>
      <c r="E84" s="32"/>
      <c r="F84" s="32"/>
      <c r="G84" s="32"/>
      <c r="H84" s="32"/>
      <c r="I84" s="32"/>
      <c r="J84" s="32"/>
      <c r="K84" s="32"/>
      <c r="L84" s="32"/>
      <c r="M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2:24" ht="15" thickBot="1" x14ac:dyDescent="0.4">
      <c r="B85" s="36" t="s">
        <v>73</v>
      </c>
      <c r="C85" s="36"/>
      <c r="D85" s="37">
        <f>SUM(D69:D83)</f>
        <v>4950.5888199999999</v>
      </c>
      <c r="E85" s="37">
        <f>SUM(E69:E83)</f>
        <v>1004.7520200000001</v>
      </c>
      <c r="F85" s="37">
        <f>SUM(F69:F83)</f>
        <v>-219.51868999999999</v>
      </c>
      <c r="G85" s="37">
        <f>SUM(G69:G83)</f>
        <v>5735.8221500000009</v>
      </c>
      <c r="H85" s="32"/>
      <c r="I85" s="37">
        <f>SUM(I69:I83)</f>
        <v>5735.8221500000009</v>
      </c>
      <c r="J85" s="37">
        <f>SUM(J69:J83)</f>
        <v>11632.79631</v>
      </c>
      <c r="K85" s="37">
        <f>SUM(K69:K83)</f>
        <v>0</v>
      </c>
      <c r="L85" s="37">
        <f>SUM(L69:L83)</f>
        <v>17368.618459999998</v>
      </c>
      <c r="M85" s="32"/>
      <c r="N85" s="36" t="s">
        <v>73</v>
      </c>
      <c r="O85" s="36"/>
      <c r="P85" s="37">
        <f>SUM(P69:P83)</f>
        <v>17368.618459999994</v>
      </c>
      <c r="Q85" s="37">
        <f>SUM(Q69:Q83)</f>
        <v>26165.977000000003</v>
      </c>
      <c r="R85" s="37">
        <f>SUM(R69:R83)</f>
        <v>0</v>
      </c>
      <c r="S85" s="37">
        <f>SUM(S69:S83)</f>
        <v>43534.595460000004</v>
      </c>
      <c r="T85" s="32"/>
      <c r="U85" s="37">
        <f>SUM(U69:U83)</f>
        <v>43534.595460000004</v>
      </c>
      <c r="V85" s="37">
        <f>SUM(V69:V83)</f>
        <v>44320</v>
      </c>
      <c r="W85" s="37">
        <f>SUM(W69:W83)</f>
        <v>0</v>
      </c>
      <c r="X85" s="37">
        <f>SUM(X69:X83)</f>
        <v>87854.595459999982</v>
      </c>
    </row>
    <row r="86" spans="2:24" ht="15" thickTop="1" x14ac:dyDescent="0.35">
      <c r="D86" s="32"/>
      <c r="E86" s="32"/>
      <c r="F86" s="32"/>
      <c r="G86" s="32"/>
      <c r="H86" s="32"/>
      <c r="I86" s="32"/>
      <c r="J86" s="32"/>
      <c r="K86" s="32"/>
      <c r="L86" s="32"/>
      <c r="M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</sheetData>
  <mergeCells count="6">
    <mergeCell ref="D5:G5"/>
    <mergeCell ref="I5:L5"/>
    <mergeCell ref="P5:S5"/>
    <mergeCell ref="U5:X5"/>
    <mergeCell ref="B3:G3"/>
    <mergeCell ref="N3:S3"/>
  </mergeCells>
  <pageMargins left="0.70866141732283472" right="0.70866141732283472" top="0.74803149606299213" bottom="0.74803149606299213" header="0.31496062992125984" footer="0.31496062992125984"/>
  <pageSetup scale="54" fitToWidth="2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7E092911265439F2FFC4A0897F5B1" ma:contentTypeVersion="0" ma:contentTypeDescription="Create a new document." ma:contentTypeScope="" ma:versionID="0be6aa7257834247ca860e39b26f4bc5">
  <xsd:schema xmlns:xsd="http://www.w3.org/2001/XMLSchema" xmlns:xs="http://www.w3.org/2001/XMLSchema" xmlns:p="http://schemas.microsoft.com/office/2006/metadata/properties" xmlns:ns2="ebfaebbf-4320-422c-ac1d-4cb4d6876cbf" xmlns:ns3="5925ECD6-3344-4054-AFF6-73630168C54F" targetNamespace="http://schemas.microsoft.com/office/2006/metadata/properties" ma:root="true" ma:fieldsID="a0053e016f16d4dc33c493eff08a90fa" ns2:_="" ns3:_="">
    <xsd:import namespace="ebfaebbf-4320-422c-ac1d-4cb4d6876cbf"/>
    <xsd:import namespace="5925ECD6-3344-4054-AFF6-73630168C5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5ECD6-3344-4054-AFF6-73630168C54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5925ECD6-3344-4054-AFF6-73630168C54F" xsi:nil="true"/>
  </documentManagement>
</p:properties>
</file>

<file path=customXml/itemProps1.xml><?xml version="1.0" encoding="utf-8"?>
<ds:datastoreItem xmlns:ds="http://schemas.openxmlformats.org/officeDocument/2006/customXml" ds:itemID="{3CA5D974-4A23-4867-836E-A529DDA092A5}"/>
</file>

<file path=customXml/itemProps2.xml><?xml version="1.0" encoding="utf-8"?>
<ds:datastoreItem xmlns:ds="http://schemas.openxmlformats.org/officeDocument/2006/customXml" ds:itemID="{0B2073CF-5B05-4F88-AF2F-28EF087D4E73}"/>
</file>

<file path=customXml/itemProps3.xml><?xml version="1.0" encoding="utf-8"?>
<ds:datastoreItem xmlns:ds="http://schemas.openxmlformats.org/officeDocument/2006/customXml" ds:itemID="{0BA9E446-0682-4A92-A244-2A5D7EA8A88F}"/>
</file>

<file path=customXml/itemProps4.xml><?xml version="1.0" encoding="utf-8"?>
<ds:datastoreItem xmlns:ds="http://schemas.openxmlformats.org/officeDocument/2006/customXml" ds:itemID="{D24A15A5-61BF-4BFB-B7C5-73E3D86D78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5.1</vt:lpstr>
      <vt:lpstr>5.2 - 2021</vt:lpstr>
      <vt:lpstr>5.3 - 2022</vt:lpstr>
      <vt:lpstr>5.4 - 2023</vt:lpstr>
      <vt:lpstr>5.5 - 2024</vt:lpstr>
      <vt:lpstr>5.6 - completed projects</vt:lpstr>
      <vt:lpstr>5.7 - Not Impacting Rate Base</vt:lpstr>
      <vt:lpstr>'5.1'!Print_Area</vt:lpstr>
      <vt:lpstr>'5.2 - 2021'!Print_Area</vt:lpstr>
      <vt:lpstr>'5.3 - 2022'!Print_Area</vt:lpstr>
      <vt:lpstr>'5.4 - 2023'!Print_Area</vt:lpstr>
      <vt:lpstr>'5.5 - 2024'!Print_Area</vt:lpstr>
      <vt:lpstr>'5.6 - completed projects'!Print_Area</vt:lpstr>
      <vt:lpstr>'5.7 - Not Impacting Rate Base'!Print_Area</vt:lpstr>
      <vt:lpstr>'5.2 - 2021'!Print_Titles</vt:lpstr>
      <vt:lpstr>'5.3 - 2022'!Print_Titles</vt:lpstr>
      <vt:lpstr>'5.4 - 2023'!Print_Titles</vt:lpstr>
      <vt:lpstr>'5.5 - 2024'!Print_Titles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2023-08-30T16:31:48Z</dcterms:created>
  <dcterms:modified xsi:type="dcterms:W3CDTF">2023-08-30T16:32:04Z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0x01010014D7E092911265439F2FFC4A0897F5B1</vt:lpwstr>
  </property>
</Properties>
</file>