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3" documentId="8_{37885B5D-2A37-4E2E-9783-0E85DB47A553}" xr6:coauthVersionLast="47" xr6:coauthVersionMax="47" xr10:uidLastSave="{81DABF1A-E2AC-4E6E-82B8-67B37B1240C8}"/>
  <bookViews>
    <workbookView xWindow="-110" yWindow="-110" windowWidth="19420" windowHeight="10420" xr2:uid="{08005BDB-0B17-4FB4-81AE-50A579F2E456}"/>
  </bookViews>
  <sheets>
    <sheet name="5 MW - Faro (10 years)" sheetId="1" r:id="rId1"/>
  </sheets>
  <definedNames>
    <definedName name="BTU" localSheetId="0">#REF!</definedName>
    <definedName name="BTU">#REF!</definedName>
    <definedName name="D_RATE" localSheetId="0">'5 MW - Faro (10 years)'!#REF!</definedName>
    <definedName name="EFF" localSheetId="0">#REF!</definedName>
    <definedName name="EFF">#REF!</definedName>
    <definedName name="END_CAPEX_YEAR" localSheetId="0">'5 MW - Faro (10 years)'!#REF!</definedName>
    <definedName name="END_CAPEX_YEAR">#REF!</definedName>
    <definedName name="GWH" localSheetId="0">'5 MW - Faro (10 years)'!#REF!</definedName>
    <definedName name="ID" localSheetId="0">#REF!</definedName>
    <definedName name="ID">#REF!</definedName>
    <definedName name="INFL" localSheetId="0">'5 MW - Faro (10 years)'!$J$7</definedName>
    <definedName name="LIFE" localSheetId="0">'5 MW - Faro (10 years)'!$C$10</definedName>
    <definedName name="List" localSheetId="0">#REF!</definedName>
    <definedName name="List">#REF!</definedName>
    <definedName name="LOSSES" localSheetId="0">#REF!</definedName>
    <definedName name="LOSSES">#REF!</definedName>
    <definedName name="_xlnm.Print_Area" localSheetId="0">'5 MW - Faro (10 years)'!$A$1:$K$33</definedName>
    <definedName name="REAL_D_RATE" localSheetId="0">'5 MW - Faro (10 years)'!$J$8</definedName>
    <definedName name="REAL_D_RATE">#REF!</definedName>
    <definedName name="Sc_ID" localSheetId="0">#REF!</definedName>
    <definedName name="Sc_ID">#REF!</definedName>
    <definedName name="USG" localSheetId="0">#REF!</definedName>
    <definedName name="USG">#REF!</definedName>
    <definedName name="WACC" localSheetId="0">'5 MW - Faro (10 years)'!$J$6</definedName>
    <definedName name="WACC">#REF!</definedName>
    <definedName name="WACC2" localSheetId="0">'5 MW - Faro (10 years)'!#REF!</definedName>
    <definedName name="WACC2">#REF!</definedName>
    <definedName name="WACC3" localSheetId="0">'5 MW - Faro (10 years)'!#REF!</definedName>
    <definedName name="WACC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J6" i="1"/>
  <c r="J8" i="1" s="1"/>
  <c r="C9" i="1"/>
  <c r="B15" i="1"/>
  <c r="J15" i="1"/>
  <c r="B17" i="1"/>
  <c r="C17" i="1"/>
  <c r="D17" i="1"/>
  <c r="E17" i="1"/>
  <c r="F17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B18" i="1"/>
  <c r="D18" i="1" s="1"/>
  <c r="C18" i="1"/>
  <c r="J18" i="1"/>
  <c r="I19" i="1"/>
  <c r="I20" i="1" s="1"/>
  <c r="I21" i="1" s="1"/>
  <c r="I22" i="1" s="1"/>
  <c r="I23" i="1" s="1"/>
  <c r="I24" i="1" s="1"/>
  <c r="I25" i="1" s="1"/>
  <c r="I26" i="1" s="1"/>
  <c r="I27" i="1" s="1"/>
  <c r="E18" i="1" l="1"/>
  <c r="F18" i="1" s="1"/>
  <c r="B19" i="1"/>
  <c r="E19" i="1" l="1"/>
  <c r="C19" i="1"/>
  <c r="D19" i="1"/>
  <c r="J19" i="1" l="1"/>
  <c r="F19" i="1"/>
  <c r="B20" i="1"/>
  <c r="D20" i="1" l="1"/>
  <c r="C20" i="1"/>
  <c r="E20" i="1"/>
  <c r="J20" i="1" l="1"/>
  <c r="F20" i="1"/>
  <c r="B21" i="1"/>
  <c r="C21" i="1" l="1"/>
  <c r="D21" i="1"/>
  <c r="E21" i="1"/>
  <c r="B22" i="1"/>
  <c r="C22" i="1" l="1"/>
  <c r="D22" i="1"/>
  <c r="E22" i="1"/>
  <c r="F21" i="1"/>
  <c r="J21" i="1"/>
  <c r="F22" i="1" l="1"/>
  <c r="J22" i="1"/>
  <c r="B23" i="1"/>
  <c r="D23" i="1" l="1"/>
  <c r="C23" i="1"/>
  <c r="E23" i="1"/>
  <c r="J23" i="1" l="1"/>
  <c r="F23" i="1"/>
  <c r="B24" i="1"/>
  <c r="C24" i="1" l="1"/>
  <c r="B25" i="1" s="1"/>
  <c r="D24" i="1"/>
  <c r="E24" i="1"/>
  <c r="E25" i="1" l="1"/>
  <c r="C25" i="1"/>
  <c r="B26" i="1" s="1"/>
  <c r="D25" i="1"/>
  <c r="F24" i="1"/>
  <c r="J24" i="1"/>
  <c r="D26" i="1" l="1"/>
  <c r="C26" i="1"/>
  <c r="B27" i="1" s="1"/>
  <c r="E26" i="1"/>
  <c r="J25" i="1"/>
  <c r="F25" i="1"/>
  <c r="D27" i="1" l="1"/>
  <c r="E27" i="1"/>
  <c r="C27" i="1"/>
  <c r="J26" i="1"/>
  <c r="F26" i="1"/>
  <c r="F27" i="1" l="1"/>
  <c r="J27" i="1"/>
  <c r="F29" i="1" l="1"/>
  <c r="J10" i="1" s="1"/>
  <c r="J12" i="1" s="1"/>
</calcChain>
</file>

<file path=xl/sharedStrings.xml><?xml version="1.0" encoding="utf-8"?>
<sst xmlns="http://schemas.openxmlformats.org/spreadsheetml/2006/main" count="23" uniqueCount="22">
  <si>
    <t>2. Weighted average cost of capital is based on proposed ROE at 8.70% and new long term debt cost at 4.23%.</t>
  </si>
  <si>
    <t>1. Faro diesel replacement cost as per Table 5.1A-1.1 in Tab 5.</t>
  </si>
  <si>
    <t>Notes:</t>
  </si>
  <si>
    <t>NPV</t>
  </si>
  <si>
    <t>Total</t>
  </si>
  <si>
    <t>Fixed O&amp;M</t>
  </si>
  <si>
    <t>Return</t>
  </si>
  <si>
    <t>Depr</t>
  </si>
  <si>
    <t>Year-End Balance</t>
  </si>
  <si>
    <t>Year from In-service</t>
  </si>
  <si>
    <t>Year</t>
  </si>
  <si>
    <t>years</t>
  </si>
  <si>
    <t>Assumed Life</t>
  </si>
  <si>
    <t xml:space="preserve">$000/yr </t>
  </si>
  <si>
    <t>Real Weighted Average Cost of Capital</t>
  </si>
  <si>
    <t>Capital  ($000)</t>
  </si>
  <si>
    <t>Inflation Rate</t>
  </si>
  <si>
    <t>Winter MW</t>
  </si>
  <si>
    <t>Weighted Average Cost of Capital</t>
  </si>
  <si>
    <t>Diesel Replacement Options - Faro 5 MW</t>
  </si>
  <si>
    <t>YEC 2023/24 GRA</t>
  </si>
  <si>
    <t>YUB-YEC-1-48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</si>
</sst>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&quot;$&quot;#,##0_);\(&quot;$&quot;#,##0\)"/>
    <numFmt numFmtId="168" formatCode="&quot;$&quot;#,##0_);[Red]\(&quot;$&quot;#,##0\)"/>
    <numFmt numFmtId="169" formatCode="[Blue]&quot;$&quot;#,##0;\(&quot;$&quot;#,##0\)"/>
    <numFmt numFmtId="170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Helv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</font>
    <font>
      <b/>
      <sz val="8"/>
      <color rgb="FF3333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center" vertical="center"/>
    </xf>
    <xf numFmtId="1" fontId="5" fillId="0" borderId="0" xfId="2" applyNumberFormat="1" applyFont="1" applyAlignment="1">
      <alignment vertical="center"/>
    </xf>
    <xf numFmtId="2" fontId="5" fillId="0" borderId="0" xfId="2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/>
    </xf>
    <xf numFmtId="165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66" fontId="5" fillId="0" borderId="0" xfId="3" applyNumberFormat="1" applyFont="1" applyFill="1" applyBorder="1" applyAlignment="1">
      <alignment vertical="center"/>
    </xf>
    <xf numFmtId="166" fontId="5" fillId="0" borderId="2" xfId="3" applyNumberFormat="1" applyFont="1" applyFill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2" fontId="5" fillId="0" borderId="3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1" fontId="4" fillId="0" borderId="0" xfId="2" applyNumberFormat="1" applyFont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167" fontId="7" fillId="0" borderId="0" xfId="2" applyNumberFormat="1" applyFont="1" applyAlignment="1">
      <alignment horizontal="center" vertical="center"/>
    </xf>
    <xf numFmtId="167" fontId="7" fillId="0" borderId="2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7" fillId="0" borderId="4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9" fontId="5" fillId="0" borderId="0" xfId="2" applyNumberFormat="1" applyFont="1" applyAlignment="1">
      <alignment vertical="center"/>
    </xf>
    <xf numFmtId="168" fontId="8" fillId="3" borderId="1" xfId="4" applyNumberFormat="1" applyFont="1" applyFill="1" applyAlignment="1">
      <alignment horizontal="center" vertical="center"/>
    </xf>
    <xf numFmtId="0" fontId="9" fillId="0" borderId="0" xfId="2" applyFont="1" applyAlignment="1">
      <alignment horizontal="right" vertical="center"/>
    </xf>
    <xf numFmtId="166" fontId="7" fillId="0" borderId="0" xfId="1" applyNumberFormat="1" applyFont="1" applyFill="1" applyAlignment="1" applyProtection="1">
      <alignment horizontal="right" vertical="center"/>
    </xf>
    <xf numFmtId="0" fontId="7" fillId="0" borderId="0" xfId="2" applyFont="1" applyAlignment="1">
      <alignment horizontal="left" vertical="center"/>
    </xf>
    <xf numFmtId="169" fontId="7" fillId="0" borderId="3" xfId="2" applyNumberFormat="1" applyFont="1" applyBorder="1" applyAlignment="1">
      <alignment horizontal="right" vertical="center"/>
    </xf>
    <xf numFmtId="1" fontId="5" fillId="2" borderId="6" xfId="5" applyNumberFormat="1" applyFont="1" applyFill="1" applyBorder="1" applyAlignment="1">
      <alignment horizontal="center" vertical="center"/>
    </xf>
    <xf numFmtId="10" fontId="11" fillId="0" borderId="0" xfId="5" applyNumberFormat="1" applyFont="1" applyFill="1" applyAlignment="1" applyProtection="1">
      <alignment horizontal="center" vertical="center"/>
    </xf>
    <xf numFmtId="0" fontId="7" fillId="0" borderId="0" xfId="2" applyFont="1" applyAlignment="1">
      <alignment horizontal="right" vertical="center"/>
    </xf>
    <xf numFmtId="43" fontId="7" fillId="0" borderId="0" xfId="1" applyFont="1" applyFill="1" applyBorder="1" applyAlignment="1" applyProtection="1">
      <alignment horizontal="right" vertical="center"/>
    </xf>
    <xf numFmtId="9" fontId="11" fillId="2" borderId="1" xfId="5" applyFont="1" applyFill="1" applyBorder="1" applyAlignment="1">
      <alignment horizontal="center" vertical="center"/>
    </xf>
    <xf numFmtId="167" fontId="5" fillId="0" borderId="0" xfId="2" applyNumberFormat="1" applyFont="1" applyAlignment="1">
      <alignment vertical="center"/>
    </xf>
    <xf numFmtId="43" fontId="7" fillId="0" borderId="3" xfId="1" applyFont="1" applyFill="1" applyBorder="1" applyAlignment="1" applyProtection="1">
      <alignment horizontal="right" vertical="center"/>
    </xf>
    <xf numFmtId="9" fontId="5" fillId="0" borderId="0" xfId="2" applyNumberFormat="1" applyFont="1" applyAlignment="1">
      <alignment horizontal="center" vertical="center"/>
    </xf>
    <xf numFmtId="170" fontId="11" fillId="0" borderId="0" xfId="5" applyNumberFormat="1" applyFont="1" applyFill="1" applyAlignment="1" applyProtection="1">
      <alignment horizontal="center" vertical="center"/>
    </xf>
    <xf numFmtId="1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</cellXfs>
  <cellStyles count="6">
    <cellStyle name="Calculation 2" xfId="4" xr:uid="{CD39FAC1-7310-4C2E-8F32-749D93929D21}"/>
    <cellStyle name="Comma" xfId="1" builtinId="3"/>
    <cellStyle name="Comma 2" xfId="3" xr:uid="{BAA07A1F-7CF7-4FB9-B6AB-78597EA0978E}"/>
    <cellStyle name="Normal" xfId="0" builtinId="0"/>
    <cellStyle name="Normal_Infrastructure plan economic Spreadsheet draft 2" xfId="2" xr:uid="{FC253988-5C82-45C8-8105-018283AC4166}"/>
    <cellStyle name="Percent 2" xfId="5" xr:uid="{A2D199E7-2C0B-4D58-87B0-2E9D347A6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04E7-E155-49CF-AE7F-197C812A5434}">
  <sheetPr>
    <pageSetUpPr fitToPage="1"/>
  </sheetPr>
  <dimension ref="A1:R47"/>
  <sheetViews>
    <sheetView tabSelected="1" view="pageBreakPreview" zoomScale="130" zoomScaleNormal="115" zoomScaleSheetLayoutView="130" workbookViewId="0">
      <selection activeCell="B6" sqref="B6"/>
    </sheetView>
  </sheetViews>
  <sheetFormatPr defaultColWidth="6" defaultRowHeight="10.5" x14ac:dyDescent="0.35"/>
  <cols>
    <col min="1" max="1" width="9.7265625" style="2" customWidth="1"/>
    <col min="2" max="2" width="10" style="2" customWidth="1"/>
    <col min="3" max="5" width="8" style="2" customWidth="1"/>
    <col min="6" max="6" width="8" style="3" customWidth="1"/>
    <col min="7" max="7" width="1.90625" style="3" customWidth="1"/>
    <col min="8" max="8" width="1.453125" style="2" customWidth="1"/>
    <col min="9" max="9" width="9.54296875" style="2" customWidth="1"/>
    <col min="10" max="10" width="10.81640625" style="2" customWidth="1"/>
    <col min="11" max="11" width="4.1796875" style="2" customWidth="1"/>
    <col min="12" max="12" width="7.54296875" style="1" bestFit="1" customWidth="1"/>
    <col min="13" max="14" width="6" style="1"/>
    <col min="15" max="15" width="10.36328125" style="1" bestFit="1" customWidth="1"/>
    <col min="16" max="16384" width="6" style="1"/>
  </cols>
  <sheetData>
    <row r="1" spans="1:11" x14ac:dyDescent="0.35">
      <c r="I1" s="1"/>
      <c r="J1" s="11" t="s">
        <v>20</v>
      </c>
    </row>
    <row r="2" spans="1:11" x14ac:dyDescent="0.35">
      <c r="I2" s="1"/>
      <c r="J2" s="11" t="s">
        <v>21</v>
      </c>
    </row>
    <row r="5" spans="1:11" x14ac:dyDescent="0.35">
      <c r="A5" s="47" t="s">
        <v>19</v>
      </c>
      <c r="E5" s="46"/>
    </row>
    <row r="6" spans="1:11" x14ac:dyDescent="0.35">
      <c r="H6" s="42"/>
      <c r="I6" s="39" t="s">
        <v>18</v>
      </c>
      <c r="J6" s="45">
        <f>8.7%*0.4+4.23%*0.6</f>
        <v>6.0179999999999997E-2</v>
      </c>
      <c r="K6" s="44"/>
    </row>
    <row r="7" spans="1:11" ht="12.75" customHeight="1" x14ac:dyDescent="0.35">
      <c r="A7" s="35" t="s">
        <v>17</v>
      </c>
      <c r="B7" s="26"/>
      <c r="C7" s="43">
        <v>5</v>
      </c>
      <c r="H7" s="42"/>
      <c r="I7" s="39" t="s">
        <v>16</v>
      </c>
      <c r="J7" s="41">
        <v>0.02</v>
      </c>
    </row>
    <row r="8" spans="1:11" x14ac:dyDescent="0.35">
      <c r="A8" s="35" t="s">
        <v>15</v>
      </c>
      <c r="B8" s="37">
        <v>2024</v>
      </c>
      <c r="C8" s="36">
        <v>18175</v>
      </c>
      <c r="G8" s="40"/>
      <c r="I8" s="39" t="s">
        <v>14</v>
      </c>
      <c r="J8" s="38">
        <f>(1+J6)/(1+J7)-1</f>
        <v>3.9392156862744887E-2</v>
      </c>
      <c r="K8" s="1"/>
    </row>
    <row r="9" spans="1:11" x14ac:dyDescent="0.35">
      <c r="A9" s="35" t="s">
        <v>5</v>
      </c>
      <c r="B9" s="37">
        <v>2020</v>
      </c>
      <c r="C9" s="36">
        <f>170/10*C7</f>
        <v>85</v>
      </c>
      <c r="D9" s="10" t="s">
        <v>13</v>
      </c>
      <c r="F9" s="2"/>
      <c r="G9" s="2"/>
      <c r="H9" s="9"/>
      <c r="K9" s="1"/>
    </row>
    <row r="10" spans="1:11" x14ac:dyDescent="0.35">
      <c r="A10" s="35" t="s">
        <v>12</v>
      </c>
      <c r="C10" s="34">
        <v>40</v>
      </c>
      <c r="D10" s="2" t="s">
        <v>11</v>
      </c>
      <c r="F10" s="2"/>
      <c r="G10" s="2"/>
      <c r="H10" s="9"/>
      <c r="I10" s="33" t="str">
        <f>CONCATENATE("PV of 10 Year Cost at ",B8,"$", " ($000)")</f>
        <v>PV of 10 Year Cost at 2024$ ($000)</v>
      </c>
      <c r="J10" s="32">
        <f>$F$29</f>
        <v>11884.188981697613</v>
      </c>
      <c r="K10" s="1"/>
    </row>
    <row r="11" spans="1:11" ht="11.25" customHeight="1" x14ac:dyDescent="0.35">
      <c r="F11" s="2"/>
      <c r="G11" s="2"/>
      <c r="H11" s="9"/>
      <c r="I11" s="1"/>
      <c r="K11" s="1"/>
    </row>
    <row r="12" spans="1:11" x14ac:dyDescent="0.35">
      <c r="F12" s="2"/>
      <c r="G12" s="2"/>
      <c r="H12" s="5"/>
      <c r="I12" s="33" t="str">
        <f>CONCATENATE("Project LCOC for 10 Years ($/MW) at ",B8,"$")</f>
        <v>Project LCOC for 10 Years ($/MW) at 2024$</v>
      </c>
      <c r="J12" s="32">
        <f>(J10)/(NPV(REAL_D_RATE,J19:J27)+J18)*1000</f>
        <v>281084.01819164824</v>
      </c>
    </row>
    <row r="13" spans="1:11" x14ac:dyDescent="0.35">
      <c r="F13" s="2"/>
      <c r="G13" s="2"/>
      <c r="H13" s="31"/>
    </row>
    <row r="14" spans="1:11" ht="12.75" customHeight="1" x14ac:dyDescent="0.35"/>
    <row r="15" spans="1:11" ht="21.75" customHeight="1" x14ac:dyDescent="0.35">
      <c r="A15" s="48" t="s">
        <v>10</v>
      </c>
      <c r="B15" s="51" t="str">
        <f>$A$5</f>
        <v>Diesel Replacement Options - Faro 5 MW</v>
      </c>
      <c r="C15" s="51"/>
      <c r="D15" s="51"/>
      <c r="E15" s="51"/>
      <c r="F15" s="51"/>
      <c r="G15" s="26"/>
      <c r="H15" s="26"/>
      <c r="I15" s="52" t="s">
        <v>9</v>
      </c>
      <c r="J15" s="52" t="str">
        <f>CONCATENATE("Annual Winter Capacity MW, ",C7)</f>
        <v>Annual Winter Capacity MW, 5</v>
      </c>
      <c r="K15" s="25"/>
    </row>
    <row r="16" spans="1:11" ht="31" customHeight="1" x14ac:dyDescent="0.35">
      <c r="A16" s="49"/>
      <c r="B16" s="30" t="s">
        <v>8</v>
      </c>
      <c r="C16" s="29" t="s">
        <v>7</v>
      </c>
      <c r="D16" s="29" t="s">
        <v>6</v>
      </c>
      <c r="E16" s="29" t="s">
        <v>5</v>
      </c>
      <c r="F16" s="28" t="s">
        <v>4</v>
      </c>
      <c r="G16" s="27"/>
      <c r="H16" s="26"/>
      <c r="I16" s="52"/>
      <c r="J16" s="52"/>
      <c r="K16" s="25"/>
    </row>
    <row r="17" spans="1:18" ht="16.5" customHeight="1" x14ac:dyDescent="0.35">
      <c r="A17" s="50"/>
      <c r="B17" s="24" t="str">
        <f>"$000"</f>
        <v>$000</v>
      </c>
      <c r="C17" s="24" t="str">
        <f>"$000"</f>
        <v>$000</v>
      </c>
      <c r="D17" s="24" t="str">
        <f>"$000"</f>
        <v>$000</v>
      </c>
      <c r="E17" s="24" t="str">
        <f>"$000"</f>
        <v>$000</v>
      </c>
      <c r="F17" s="24" t="str">
        <f>"$000"</f>
        <v>$000</v>
      </c>
      <c r="G17" s="23"/>
      <c r="H17" s="3"/>
      <c r="I17" s="52"/>
      <c r="J17" s="52"/>
      <c r="K17" s="21"/>
    </row>
    <row r="18" spans="1:18" x14ac:dyDescent="0.35">
      <c r="A18" s="22">
        <f>B8</f>
        <v>2024</v>
      </c>
      <c r="B18" s="19">
        <f>$C$8-$C$18</f>
        <v>17720.625</v>
      </c>
      <c r="C18" s="19">
        <f>(($C$8)/$C$10)</f>
        <v>454.375</v>
      </c>
      <c r="D18" s="19">
        <f>(B18+$C$8)/2*WACC</f>
        <v>1080.09935625</v>
      </c>
      <c r="E18" s="19">
        <f>(((C$9)*(1+INFL)^($A18-$B$9)))</f>
        <v>92.006733600000004</v>
      </c>
      <c r="F18" s="19">
        <f t="shared" ref="F18:F27" si="0">SUM(C18:E18)</f>
        <v>1626.48108985</v>
      </c>
      <c r="H18" s="3"/>
      <c r="I18" s="18">
        <v>1</v>
      </c>
      <c r="J18" s="17">
        <f>$C$7</f>
        <v>5</v>
      </c>
      <c r="K18" s="21"/>
    </row>
    <row r="19" spans="1:18" x14ac:dyDescent="0.35">
      <c r="A19" s="18">
        <f t="shared" ref="A19:A27" si="1">1+A18</f>
        <v>2025</v>
      </c>
      <c r="B19" s="20">
        <f t="shared" ref="B19:B27" si="2">B18-C18</f>
        <v>17266.25</v>
      </c>
      <c r="C19" s="20">
        <f t="shared" ref="C19:C27" si="3">IF(ISNUMBER(B19),IF(B19&gt;B18,(B19/$C$10),C18),"")</f>
        <v>454.375</v>
      </c>
      <c r="D19" s="20">
        <f t="shared" ref="D19:D27" si="4">IF(ISNUMBER(B19),(B19+B18)/2*WACC,"")</f>
        <v>1052.75506875</v>
      </c>
      <c r="E19" s="19">
        <f t="shared" ref="E19:E27" si="5">IF(ISNUMBER(B19),E18*(1+J$7),"")</f>
        <v>93.846868272000009</v>
      </c>
      <c r="F19" s="19">
        <f t="shared" si="0"/>
        <v>1600.9769370219999</v>
      </c>
      <c r="H19" s="3"/>
      <c r="I19" s="18">
        <f t="shared" ref="I19:I27" si="6">I18+1</f>
        <v>2</v>
      </c>
      <c r="J19" s="17">
        <f t="shared" ref="J19:J27" si="7">IF(ISNUMBER(C19),$C$7,"")</f>
        <v>5</v>
      </c>
      <c r="K19" s="21"/>
    </row>
    <row r="20" spans="1:18" x14ac:dyDescent="0.35">
      <c r="A20" s="18">
        <f t="shared" si="1"/>
        <v>2026</v>
      </c>
      <c r="B20" s="20">
        <f t="shared" si="2"/>
        <v>16811.875</v>
      </c>
      <c r="C20" s="20">
        <f t="shared" si="3"/>
        <v>454.375</v>
      </c>
      <c r="D20" s="20">
        <f t="shared" si="4"/>
        <v>1025.4107812499999</v>
      </c>
      <c r="E20" s="19">
        <f t="shared" si="5"/>
        <v>95.723805637440009</v>
      </c>
      <c r="F20" s="19">
        <f t="shared" si="0"/>
        <v>1575.5095868874398</v>
      </c>
      <c r="H20" s="3"/>
      <c r="I20" s="18">
        <f t="shared" si="6"/>
        <v>3</v>
      </c>
      <c r="J20" s="17">
        <f t="shared" si="7"/>
        <v>5</v>
      </c>
      <c r="K20" s="21"/>
    </row>
    <row r="21" spans="1:18" x14ac:dyDescent="0.35">
      <c r="A21" s="18">
        <f t="shared" si="1"/>
        <v>2027</v>
      </c>
      <c r="B21" s="20">
        <f t="shared" si="2"/>
        <v>16357.5</v>
      </c>
      <c r="C21" s="20">
        <f t="shared" si="3"/>
        <v>454.375</v>
      </c>
      <c r="D21" s="20">
        <f t="shared" si="4"/>
        <v>998.06649374999995</v>
      </c>
      <c r="E21" s="19">
        <f t="shared" si="5"/>
        <v>97.63828175018881</v>
      </c>
      <c r="F21" s="19">
        <f t="shared" si="0"/>
        <v>1550.0797755001888</v>
      </c>
      <c r="H21" s="3"/>
      <c r="I21" s="18">
        <f t="shared" si="6"/>
        <v>4</v>
      </c>
      <c r="J21" s="17">
        <f t="shared" si="7"/>
        <v>5</v>
      </c>
      <c r="K21" s="21"/>
    </row>
    <row r="22" spans="1:18" x14ac:dyDescent="0.35">
      <c r="A22" s="18">
        <f t="shared" si="1"/>
        <v>2028</v>
      </c>
      <c r="B22" s="20">
        <f t="shared" si="2"/>
        <v>15903.125</v>
      </c>
      <c r="C22" s="20">
        <f t="shared" si="3"/>
        <v>454.375</v>
      </c>
      <c r="D22" s="20">
        <f t="shared" si="4"/>
        <v>970.72220625</v>
      </c>
      <c r="E22" s="19">
        <f t="shared" si="5"/>
        <v>99.591047385192581</v>
      </c>
      <c r="F22" s="19">
        <f t="shared" si="0"/>
        <v>1524.6882536351925</v>
      </c>
      <c r="H22" s="3"/>
      <c r="I22" s="18">
        <f t="shared" si="6"/>
        <v>5</v>
      </c>
      <c r="J22" s="17">
        <f t="shared" si="7"/>
        <v>5</v>
      </c>
      <c r="K22" s="21"/>
    </row>
    <row r="23" spans="1:18" x14ac:dyDescent="0.35">
      <c r="A23" s="18">
        <f t="shared" si="1"/>
        <v>2029</v>
      </c>
      <c r="B23" s="20">
        <f t="shared" si="2"/>
        <v>15448.75</v>
      </c>
      <c r="C23" s="20">
        <f t="shared" si="3"/>
        <v>454.375</v>
      </c>
      <c r="D23" s="20">
        <f t="shared" si="4"/>
        <v>943.37791874999994</v>
      </c>
      <c r="E23" s="19">
        <f t="shared" si="5"/>
        <v>101.58286833289644</v>
      </c>
      <c r="F23" s="19">
        <f t="shared" si="0"/>
        <v>1499.3357870828963</v>
      </c>
      <c r="H23" s="3"/>
      <c r="I23" s="18">
        <f t="shared" si="6"/>
        <v>6</v>
      </c>
      <c r="J23" s="17">
        <f t="shared" si="7"/>
        <v>5</v>
      </c>
      <c r="K23" s="21"/>
    </row>
    <row r="24" spans="1:18" x14ac:dyDescent="0.35">
      <c r="A24" s="18">
        <f t="shared" si="1"/>
        <v>2030</v>
      </c>
      <c r="B24" s="20">
        <f t="shared" si="2"/>
        <v>14994.375</v>
      </c>
      <c r="C24" s="20">
        <f t="shared" si="3"/>
        <v>454.375</v>
      </c>
      <c r="D24" s="20">
        <f t="shared" si="4"/>
        <v>916.03363124999998</v>
      </c>
      <c r="E24" s="19">
        <f t="shared" si="5"/>
        <v>103.61452569955436</v>
      </c>
      <c r="F24" s="19">
        <f t="shared" si="0"/>
        <v>1474.0231569495543</v>
      </c>
      <c r="H24" s="3"/>
      <c r="I24" s="18">
        <f t="shared" si="6"/>
        <v>7</v>
      </c>
      <c r="J24" s="17">
        <f t="shared" si="7"/>
        <v>5</v>
      </c>
      <c r="K24" s="21"/>
    </row>
    <row r="25" spans="1:18" x14ac:dyDescent="0.35">
      <c r="A25" s="18">
        <f t="shared" si="1"/>
        <v>2031</v>
      </c>
      <c r="B25" s="20">
        <f t="shared" si="2"/>
        <v>14540</v>
      </c>
      <c r="C25" s="20">
        <f t="shared" si="3"/>
        <v>454.375</v>
      </c>
      <c r="D25" s="20">
        <f t="shared" si="4"/>
        <v>888.68934374999992</v>
      </c>
      <c r="E25" s="19">
        <f t="shared" si="5"/>
        <v>105.68681621354546</v>
      </c>
      <c r="F25" s="19">
        <f t="shared" si="0"/>
        <v>1448.7511599635452</v>
      </c>
      <c r="H25" s="3"/>
      <c r="I25" s="18">
        <f t="shared" si="6"/>
        <v>8</v>
      </c>
      <c r="J25" s="17">
        <f t="shared" si="7"/>
        <v>5</v>
      </c>
      <c r="K25" s="21"/>
    </row>
    <row r="26" spans="1:18" x14ac:dyDescent="0.35">
      <c r="A26" s="18">
        <f t="shared" si="1"/>
        <v>2032</v>
      </c>
      <c r="B26" s="20">
        <f t="shared" si="2"/>
        <v>14085.625</v>
      </c>
      <c r="C26" s="20">
        <f t="shared" si="3"/>
        <v>454.375</v>
      </c>
      <c r="D26" s="20">
        <f t="shared" si="4"/>
        <v>861.34505624999997</v>
      </c>
      <c r="E26" s="19">
        <f t="shared" si="5"/>
        <v>107.80055253781637</v>
      </c>
      <c r="F26" s="19">
        <f t="shared" si="0"/>
        <v>1423.5206087878164</v>
      </c>
      <c r="H26" s="3"/>
      <c r="I26" s="18">
        <f t="shared" si="6"/>
        <v>9</v>
      </c>
      <c r="J26" s="17">
        <f t="shared" si="7"/>
        <v>5</v>
      </c>
      <c r="K26" s="21"/>
    </row>
    <row r="27" spans="1:18" x14ac:dyDescent="0.35">
      <c r="A27" s="18">
        <f t="shared" si="1"/>
        <v>2033</v>
      </c>
      <c r="B27" s="20">
        <f t="shared" si="2"/>
        <v>13631.25</v>
      </c>
      <c r="C27" s="20">
        <f t="shared" si="3"/>
        <v>454.375</v>
      </c>
      <c r="D27" s="20">
        <f t="shared" si="4"/>
        <v>834.00076875000002</v>
      </c>
      <c r="E27" s="19">
        <f t="shared" si="5"/>
        <v>109.95656358857271</v>
      </c>
      <c r="F27" s="19">
        <f t="shared" si="0"/>
        <v>1398.3323323385728</v>
      </c>
      <c r="H27" s="3"/>
      <c r="I27" s="18">
        <f t="shared" si="6"/>
        <v>10</v>
      </c>
      <c r="J27" s="17">
        <f t="shared" si="7"/>
        <v>5</v>
      </c>
      <c r="K27" s="1"/>
    </row>
    <row r="28" spans="1:18" ht="12" customHeight="1" x14ac:dyDescent="0.35">
      <c r="A28" s="15"/>
      <c r="B28" s="14"/>
      <c r="C28" s="14"/>
      <c r="D28" s="14"/>
      <c r="E28" s="14"/>
      <c r="F28" s="14"/>
      <c r="G28" s="13"/>
      <c r="H28" s="5"/>
      <c r="I28" s="16"/>
    </row>
    <row r="29" spans="1:18" ht="12" customHeight="1" x14ac:dyDescent="0.35">
      <c r="A29" s="15" t="s">
        <v>3</v>
      </c>
      <c r="B29" s="14"/>
      <c r="C29" s="14"/>
      <c r="D29" s="14"/>
      <c r="E29" s="14"/>
      <c r="F29" s="14">
        <f>NPV(WACC,F19:F27)+F18</f>
        <v>11884.188981697613</v>
      </c>
      <c r="G29" s="13"/>
      <c r="H29" s="5"/>
      <c r="I29" s="12"/>
      <c r="K29" s="3"/>
    </row>
    <row r="30" spans="1:18" s="2" customFormat="1" x14ac:dyDescent="0.35">
      <c r="A30" s="4"/>
      <c r="B30" s="11"/>
      <c r="C30" s="11"/>
      <c r="F30" s="3"/>
      <c r="G30" s="3"/>
      <c r="L30" s="1"/>
      <c r="M30" s="1"/>
      <c r="N30" s="1"/>
      <c r="O30" s="1"/>
      <c r="P30" s="1"/>
      <c r="Q30" s="1"/>
      <c r="R30" s="1"/>
    </row>
    <row r="31" spans="1:18" s="2" customFormat="1" x14ac:dyDescent="0.35">
      <c r="A31" s="10" t="s">
        <v>2</v>
      </c>
      <c r="B31" s="9"/>
      <c r="C31" s="6"/>
      <c r="D31" s="5"/>
      <c r="F31" s="3"/>
      <c r="G31" s="3"/>
      <c r="L31" s="1"/>
      <c r="M31" s="1"/>
      <c r="N31" s="1"/>
      <c r="O31" s="1"/>
      <c r="P31" s="1"/>
      <c r="Q31" s="1"/>
      <c r="R31" s="1"/>
    </row>
    <row r="32" spans="1:18" s="2" customFormat="1" x14ac:dyDescent="0.35">
      <c r="A32" s="8" t="s">
        <v>1</v>
      </c>
      <c r="D32" s="5"/>
      <c r="F32" s="3"/>
      <c r="G32" s="3"/>
      <c r="L32" s="1"/>
      <c r="M32" s="1"/>
      <c r="N32" s="1"/>
      <c r="O32" s="1"/>
      <c r="P32" s="1"/>
      <c r="Q32" s="1"/>
      <c r="R32" s="1"/>
    </row>
    <row r="33" spans="1:18" s="2" customFormat="1" x14ac:dyDescent="0.35">
      <c r="A33" s="8" t="s">
        <v>0</v>
      </c>
      <c r="B33" s="7"/>
      <c r="C33" s="6"/>
      <c r="D33" s="5"/>
      <c r="F33" s="3"/>
      <c r="G33" s="3"/>
      <c r="L33" s="1"/>
      <c r="M33" s="1"/>
      <c r="N33" s="1"/>
      <c r="O33" s="1"/>
      <c r="P33" s="1"/>
      <c r="Q33" s="1"/>
      <c r="R33" s="1"/>
    </row>
    <row r="34" spans="1:18" s="2" customFormat="1" x14ac:dyDescent="0.35">
      <c r="A34" s="4"/>
      <c r="B34" s="7"/>
      <c r="C34" s="6"/>
      <c r="D34" s="5"/>
      <c r="F34" s="3"/>
      <c r="G34" s="3"/>
      <c r="L34" s="1"/>
      <c r="M34" s="1"/>
      <c r="N34" s="1"/>
      <c r="O34" s="1"/>
      <c r="P34" s="1"/>
      <c r="Q34" s="1"/>
      <c r="R34" s="1"/>
    </row>
    <row r="35" spans="1:18" s="2" customFormat="1" x14ac:dyDescent="0.35">
      <c r="A35" s="4"/>
      <c r="B35" s="7"/>
      <c r="C35" s="6"/>
      <c r="D35" s="5"/>
      <c r="F35" s="3"/>
      <c r="G35" s="3"/>
      <c r="L35" s="1"/>
      <c r="M35" s="1"/>
      <c r="N35" s="1"/>
      <c r="O35" s="1"/>
      <c r="P35" s="1"/>
      <c r="Q35" s="1"/>
      <c r="R35" s="1"/>
    </row>
    <row r="36" spans="1:18" s="2" customFormat="1" x14ac:dyDescent="0.35">
      <c r="A36" s="4"/>
      <c r="B36" s="7"/>
      <c r="C36" s="6"/>
      <c r="D36" s="5"/>
      <c r="F36" s="3"/>
      <c r="G36" s="3"/>
      <c r="L36" s="1"/>
      <c r="M36" s="1"/>
      <c r="N36" s="1"/>
      <c r="O36" s="1"/>
      <c r="P36" s="1"/>
      <c r="Q36" s="1"/>
      <c r="R36" s="1"/>
    </row>
    <row r="37" spans="1:18" s="2" customFormat="1" x14ac:dyDescent="0.35">
      <c r="A37" s="4"/>
      <c r="B37" s="7"/>
      <c r="C37" s="6"/>
      <c r="D37" s="5"/>
      <c r="F37" s="3"/>
      <c r="G37" s="3"/>
      <c r="L37" s="1"/>
      <c r="M37" s="1"/>
      <c r="N37" s="1"/>
      <c r="O37" s="1"/>
      <c r="P37" s="1"/>
      <c r="Q37" s="1"/>
      <c r="R37" s="1"/>
    </row>
    <row r="38" spans="1:18" s="2" customFormat="1" x14ac:dyDescent="0.35">
      <c r="A38" s="4"/>
      <c r="F38" s="3"/>
      <c r="G38" s="3"/>
      <c r="L38" s="1"/>
      <c r="M38" s="1"/>
      <c r="N38" s="1"/>
      <c r="O38" s="1"/>
      <c r="P38" s="1"/>
      <c r="Q38" s="1"/>
      <c r="R38" s="1"/>
    </row>
    <row r="39" spans="1:18" s="2" customFormat="1" x14ac:dyDescent="0.35">
      <c r="A39" s="4"/>
      <c r="F39" s="3"/>
      <c r="G39" s="3"/>
      <c r="L39" s="1"/>
      <c r="M39" s="1"/>
      <c r="N39" s="1"/>
      <c r="O39" s="1"/>
      <c r="P39" s="1"/>
      <c r="Q39" s="1"/>
      <c r="R39" s="1"/>
    </row>
    <row r="40" spans="1:18" s="2" customFormat="1" x14ac:dyDescent="0.35">
      <c r="A40" s="4"/>
      <c r="F40" s="3"/>
      <c r="G40" s="3"/>
    </row>
    <row r="41" spans="1:18" s="2" customFormat="1" x14ac:dyDescent="0.35">
      <c r="A41" s="4"/>
      <c r="F41" s="3"/>
      <c r="G41" s="3"/>
    </row>
    <row r="42" spans="1:18" s="2" customFormat="1" x14ac:dyDescent="0.35">
      <c r="A42" s="4"/>
      <c r="F42" s="3"/>
      <c r="G42" s="3"/>
    </row>
    <row r="43" spans="1:18" s="2" customFormat="1" x14ac:dyDescent="0.35">
      <c r="A43" s="4"/>
      <c r="F43" s="3"/>
      <c r="G43" s="3"/>
    </row>
    <row r="44" spans="1:18" s="2" customFormat="1" x14ac:dyDescent="0.35">
      <c r="A44" s="4"/>
      <c r="F44" s="3"/>
      <c r="G44" s="3"/>
    </row>
    <row r="45" spans="1:18" s="2" customFormat="1" x14ac:dyDescent="0.35">
      <c r="A45" s="4"/>
      <c r="F45" s="3"/>
      <c r="G45" s="3"/>
    </row>
    <row r="46" spans="1:18" s="2" customFormat="1" x14ac:dyDescent="0.35">
      <c r="A46" s="4"/>
      <c r="F46" s="3"/>
      <c r="G46" s="3"/>
    </row>
    <row r="47" spans="1:18" s="2" customFormat="1" x14ac:dyDescent="0.35">
      <c r="A47" s="4"/>
      <c r="F47" s="3"/>
      <c r="G47" s="3"/>
    </row>
  </sheetData>
  <mergeCells count="4">
    <mergeCell ref="A15:A17"/>
    <mergeCell ref="B15:F15"/>
    <mergeCell ref="I15:I17"/>
    <mergeCell ref="J15:J1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7E0F5D3C41B4C8EE81329C34E65EA" ma:contentTypeVersion="5" ma:contentTypeDescription="Create a new document." ma:contentTypeScope="" ma:versionID="8a1b1c98d5da7e450532c2f450f713fc">
  <xsd:schema xmlns:xsd="http://www.w3.org/2001/XMLSchema" xmlns:xs="http://www.w3.org/2001/XMLSchema" xmlns:p="http://schemas.microsoft.com/office/2006/metadata/properties" xmlns:ns2="0d132f34-d741-46df-b4b9-50c8ccc58b94" xmlns:ns3="7fbb6728-2fd9-426b-bdb9-830ace184c1c" targetNamespace="http://schemas.microsoft.com/office/2006/metadata/properties" ma:root="true" ma:fieldsID="dcee96f05e98b81722148804848bda28" ns2:_="" ns3:_="">
    <xsd:import namespace="0d132f34-d741-46df-b4b9-50c8ccc58b94"/>
    <xsd:import namespace="7fbb6728-2fd9-426b-bdb9-830ace184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32f34-d741-46df-b4b9-50c8ccc58b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b6728-2fd9-426b-bdb9-830ace184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B2EAD1-B1F6-41C2-8936-C84B64158B2C}"/>
</file>

<file path=customXml/itemProps2.xml><?xml version="1.0" encoding="utf-8"?>
<ds:datastoreItem xmlns:ds="http://schemas.openxmlformats.org/officeDocument/2006/customXml" ds:itemID="{53F74297-33F7-4F35-B0DD-D66A7B932A05}"/>
</file>

<file path=customXml/itemProps3.xml><?xml version="1.0" encoding="utf-8"?>
<ds:datastoreItem xmlns:ds="http://schemas.openxmlformats.org/officeDocument/2006/customXml" ds:itemID="{C43B7047-CBE3-4584-836D-1C5CA4AC5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5 MW - Faro (10 years)</vt:lpstr>
      <vt:lpstr>'5 MW - Faro (10 years)'!INFL</vt:lpstr>
      <vt:lpstr>'5 MW - Faro (10 years)'!LIFE</vt:lpstr>
      <vt:lpstr>'5 MW - Faro (10 years)'!Print_Area</vt:lpstr>
      <vt:lpstr>'5 MW - Faro (10 years)'!REAL_D_RATE</vt:lpstr>
      <vt:lpstr>'5 MW - Faro (10 years)'!WACC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2023-11-28T16:56:07Z</dcterms:created>
  <dcterms:modified xsi:type="dcterms:W3CDTF">2023-11-28T16:56:12Z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0x0101003C67E0F5D3C41B4C8EE81329C34E65EA</vt:lpwstr>
  </property>
</Properties>
</file>