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13320" yWindow="156" windowWidth="7200" windowHeight="7308" tabRatio="728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4" sheetId="29" r:id="rId6"/>
    <sheet name="Schedule 5" sheetId="18" r:id="rId7"/>
    <sheet name="Schedule 6" sheetId="19" r:id="rId8"/>
    <sheet name="Schedule 7" sheetId="20" r:id="rId9"/>
    <sheet name="Schedule 8" sheetId="23" r:id="rId10"/>
    <sheet name="Schedule 9" sheetId="25" r:id="rId11"/>
    <sheet name="Schedule 10" sheetId="27" r:id="rId12"/>
    <sheet name="Schedule 11" sheetId="36" r:id="rId13"/>
  </sheets>
  <definedNames>
    <definedName name="_xlnm.Print_Area" localSheetId="0">Index!$B$1:$J$31</definedName>
    <definedName name="_xlnm.Print_Area" localSheetId="1">'Schedule 1'!$A$1:$N$57</definedName>
    <definedName name="_xlnm.Print_Area" localSheetId="11">'Schedule 10'!$A$1:$N$39</definedName>
    <definedName name="_xlnm.Print_Area" localSheetId="12">'Schedule 11'!$A$1:$N$60</definedName>
    <definedName name="_xlnm.Print_Area" localSheetId="2">'Schedule 2'!$A$1:$N$22</definedName>
    <definedName name="_xlnm.Print_Area" localSheetId="3">'Schedule 2A'!$A$1:$N$30</definedName>
    <definedName name="_xlnm.Print_Area" localSheetId="4">'Schedule 3'!$A$1:$N$42</definedName>
    <definedName name="_xlnm.Print_Area" localSheetId="5">'Schedule 4'!$A$3:$P$36,'Schedule 4'!$A$38:$P$73</definedName>
    <definedName name="_xlnm.Print_Area" localSheetId="6">'Schedule 5'!$A$1:$N$31</definedName>
    <definedName name="_xlnm.Print_Area" localSheetId="7">'Schedule 6'!$A$1:$N$35</definedName>
    <definedName name="_xlnm.Print_Area" localSheetId="8">'Schedule 7'!$A$1:$N$29</definedName>
    <definedName name="_xlnm.Print_Area" localSheetId="9">'Schedule 8'!$A$1:$N$31</definedName>
    <definedName name="_xlnm.Print_Area" localSheetId="10">'Schedule 9'!$A$1:$M$64</definedName>
    <definedName name="_xlnm.Print_Titles" localSheetId="1">'Schedule 1'!$1:$7</definedName>
  </definedNames>
  <calcPr calcId="144525"/>
</workbook>
</file>

<file path=xl/calcChain.xml><?xml version="1.0" encoding="utf-8"?>
<calcChain xmlns="http://schemas.openxmlformats.org/spreadsheetml/2006/main">
  <c r="D27" i="31" l="1"/>
  <c r="N19" i="19" l="1"/>
  <c r="L19" i="19"/>
  <c r="J19" i="19"/>
  <c r="I19" i="19"/>
  <c r="H19" i="19"/>
  <c r="G19" i="19"/>
  <c r="N23" i="13"/>
  <c r="L23" i="13"/>
  <c r="J23" i="13"/>
  <c r="I23" i="13"/>
  <c r="H23" i="13"/>
  <c r="I22" i="12"/>
  <c r="J22" i="12" s="1"/>
  <c r="L22" i="12" s="1"/>
  <c r="N22" i="12" s="1"/>
  <c r="H22" i="12"/>
  <c r="L7" i="25" l="1"/>
  <c r="J7" i="25"/>
  <c r="F2" i="31" l="1"/>
  <c r="A21" i="19" l="1"/>
  <c r="A23" i="19" s="1"/>
  <c r="A24" i="19" s="1"/>
  <c r="A25" i="19" s="1"/>
  <c r="A26" i="19" s="1"/>
  <c r="A28" i="19" s="1"/>
  <c r="A29" i="19" s="1"/>
  <c r="A30" i="19" s="1"/>
  <c r="A32" i="19" s="1"/>
  <c r="A43" i="14" l="1"/>
  <c r="A44" i="14" s="1"/>
  <c r="A45" i="14" s="1"/>
  <c r="A46" i="14" s="1"/>
  <c r="A48" i="14" s="1"/>
  <c r="A49" i="14" s="1"/>
  <c r="A51" i="14" s="1"/>
  <c r="A53" i="14" s="1"/>
  <c r="E54" i="25" l="1"/>
  <c r="B27" i="31" l="1"/>
  <c r="B29" i="31" s="1"/>
  <c r="D25" i="31"/>
  <c r="D23" i="31"/>
  <c r="G53" i="36"/>
  <c r="A22" i="20"/>
  <c r="A23" i="20" s="1"/>
  <c r="A24" i="20" s="1"/>
  <c r="A55" i="25" l="1"/>
  <c r="A56" i="25" s="1"/>
  <c r="A58" i="25" s="1"/>
  <c r="A60" i="25" s="1"/>
  <c r="A62" i="25" s="1"/>
  <c r="N19" i="23" l="1"/>
  <c r="L19" i="23"/>
  <c r="J19" i="23"/>
  <c r="I19" i="23"/>
  <c r="H19" i="23"/>
  <c r="G19" i="23"/>
  <c r="A12" i="36" l="1"/>
  <c r="A13" i="36" s="1"/>
  <c r="A14" i="36" s="1"/>
  <c r="A15" i="36" s="1"/>
  <c r="A16" i="36" l="1"/>
  <c r="A17" i="36" s="1"/>
  <c r="A18" i="36" s="1"/>
  <c r="A19" i="36" s="1"/>
  <c r="A20" i="36" s="1"/>
  <c r="A21" i="36" s="1"/>
  <c r="A22" i="36" s="1"/>
  <c r="A23" i="36" s="1"/>
  <c r="A24" i="36" s="1"/>
  <c r="A25" i="36" s="1"/>
  <c r="A28" i="36" s="1"/>
  <c r="G26" i="19" l="1"/>
  <c r="G23" i="13"/>
  <c r="G28" i="36" l="1"/>
  <c r="G33" i="27"/>
  <c r="G32" i="27"/>
  <c r="G31" i="27"/>
  <c r="G26" i="27"/>
  <c r="G19" i="27"/>
  <c r="G15" i="27"/>
  <c r="G20" i="23"/>
  <c r="G18" i="23"/>
  <c r="G17" i="23"/>
  <c r="G13" i="23"/>
  <c r="G12" i="23"/>
  <c r="G9" i="23"/>
  <c r="G30" i="19"/>
  <c r="G21" i="18"/>
  <c r="G20" i="18"/>
  <c r="G18" i="18"/>
  <c r="G19" i="18"/>
  <c r="G17" i="18"/>
  <c r="G10" i="11" s="1"/>
  <c r="G16" i="18"/>
  <c r="G35" i="13"/>
  <c r="G34" i="13"/>
  <c r="G33" i="13"/>
  <c r="G32" i="13"/>
  <c r="G28" i="13"/>
  <c r="G27" i="13"/>
  <c r="G26" i="13"/>
  <c r="G24" i="12"/>
  <c r="G28" i="12" s="1"/>
  <c r="G13" i="12"/>
  <c r="G17" i="12" s="1"/>
  <c r="G25" i="14"/>
  <c r="J19" i="27"/>
  <c r="H19" i="27"/>
  <c r="G9" i="11" l="1"/>
  <c r="G13" i="11" s="1"/>
  <c r="G15" i="11" s="1"/>
  <c r="E33" i="25"/>
  <c r="G28" i="27"/>
  <c r="K27" i="25"/>
  <c r="K13" i="25"/>
  <c r="G14" i="23"/>
  <c r="M13" i="25"/>
  <c r="K31" i="25"/>
  <c r="K40" i="25"/>
  <c r="G21" i="23"/>
  <c r="G30" i="12"/>
  <c r="G19" i="11" s="1"/>
  <c r="G36" i="13"/>
  <c r="G29" i="13"/>
  <c r="G22" i="27"/>
  <c r="G35" i="27" s="1"/>
  <c r="G44" i="14"/>
  <c r="G46" i="14" s="1"/>
  <c r="G49" i="14" s="1"/>
  <c r="G51" i="14" s="1"/>
  <c r="G25" i="18"/>
  <c r="G27" i="18" s="1"/>
  <c r="M23" i="25"/>
  <c r="M40" i="25"/>
  <c r="K19" i="25"/>
  <c r="M19" i="25"/>
  <c r="M27" i="25"/>
  <c r="M31" i="25"/>
  <c r="E40" i="25"/>
  <c r="E34" i="25"/>
  <c r="E42" i="25" s="1"/>
  <c r="E50" i="25" s="1"/>
  <c r="E35" i="25"/>
  <c r="E43" i="25" s="1"/>
  <c r="E51" i="25" s="1"/>
  <c r="E58" i="25" s="1"/>
  <c r="E48" i="25"/>
  <c r="E13" i="25"/>
  <c r="E19" i="25"/>
  <c r="G21" i="19" l="1"/>
  <c r="G23" i="23"/>
  <c r="E52" i="25"/>
  <c r="G21" i="11"/>
  <c r="G35" i="14" s="1"/>
  <c r="E44" i="25"/>
  <c r="E36" i="25"/>
  <c r="G32" i="19" l="1"/>
  <c r="G12" i="20" s="1"/>
  <c r="G13" i="20" s="1"/>
  <c r="E62" i="25"/>
  <c r="F35" i="25" l="1"/>
  <c r="G35" i="25"/>
  <c r="F43" i="25" l="1"/>
  <c r="G43" i="25"/>
  <c r="G51" i="25" l="1"/>
  <c r="J33" i="27" l="1"/>
  <c r="H33" i="27"/>
  <c r="J13" i="23"/>
  <c r="J21" i="18"/>
  <c r="J31" i="27"/>
  <c r="J32" i="27"/>
  <c r="I12" i="23"/>
  <c r="I21" i="18"/>
  <c r="I31" i="27"/>
  <c r="I18" i="18"/>
  <c r="H12" i="23"/>
  <c r="H21" i="18"/>
  <c r="H31" i="27"/>
  <c r="H32" i="27"/>
  <c r="J20" i="23"/>
  <c r="J19" i="18"/>
  <c r="J17" i="18"/>
  <c r="J10" i="11" s="1"/>
  <c r="I20" i="23"/>
  <c r="I19" i="18"/>
  <c r="H20" i="23"/>
  <c r="H19" i="18"/>
  <c r="H17" i="18"/>
  <c r="H10" i="11" s="1"/>
  <c r="J27" i="13"/>
  <c r="I27" i="13"/>
  <c r="H27" i="13"/>
  <c r="N7" i="36"/>
  <c r="L7" i="36"/>
  <c r="N7" i="27"/>
  <c r="L7" i="27"/>
  <c r="M7" i="25"/>
  <c r="N7" i="23"/>
  <c r="L7" i="23"/>
  <c r="N7" i="20"/>
  <c r="L7" i="20"/>
  <c r="N7" i="19"/>
  <c r="L7" i="19"/>
  <c r="N7" i="18"/>
  <c r="L7" i="18"/>
  <c r="N7" i="13"/>
  <c r="L7" i="13"/>
  <c r="N7" i="12"/>
  <c r="L7" i="12"/>
  <c r="N7" i="11"/>
  <c r="L7" i="11"/>
  <c r="G58" i="25" l="1"/>
  <c r="G62" i="25" s="1"/>
  <c r="I20" i="18"/>
  <c r="J26" i="19"/>
  <c r="J12" i="23"/>
  <c r="J53" i="36"/>
  <c r="J26" i="27"/>
  <c r="H26" i="27"/>
  <c r="G30" i="36" l="1"/>
  <c r="G14" i="29" s="1"/>
  <c r="J20" i="18"/>
  <c r="A29" i="36" l="1"/>
  <c r="A30" i="36" s="1"/>
  <c r="A36" i="36" s="1"/>
  <c r="A37" i="36" s="1"/>
  <c r="A38" i="36" s="1"/>
  <c r="A39" i="36" s="1"/>
  <c r="A40" i="36" s="1"/>
  <c r="A41" i="36" s="1"/>
  <c r="A42" i="36" l="1"/>
  <c r="A43" i="36" l="1"/>
  <c r="A44" i="36" s="1"/>
  <c r="A45" i="36" s="1"/>
  <c r="A46" i="36" s="1"/>
  <c r="A47" i="36" s="1"/>
  <c r="A48" i="36" s="1"/>
  <c r="A49" i="36" s="1"/>
  <c r="A50" i="36" s="1"/>
  <c r="A51" i="36" s="1"/>
  <c r="A53" i="36" s="1"/>
  <c r="A55" i="36" s="1"/>
  <c r="N2" i="36"/>
  <c r="N2" i="27"/>
  <c r="L2" i="25"/>
  <c r="N2" i="23"/>
  <c r="N2" i="20"/>
  <c r="N2" i="19"/>
  <c r="N2" i="18"/>
  <c r="O39" i="29"/>
  <c r="O4" i="29"/>
  <c r="N2" i="13"/>
  <c r="N2" i="12"/>
  <c r="N2" i="11"/>
  <c r="K32" i="13" l="1"/>
  <c r="M32" i="13"/>
  <c r="K33" i="13"/>
  <c r="M33" i="13"/>
  <c r="M36" i="13" l="1"/>
  <c r="K36" i="13"/>
  <c r="M59" i="25" l="1"/>
  <c r="M53" i="25"/>
  <c r="M49" i="25"/>
  <c r="M45" i="25"/>
  <c r="M41" i="25"/>
  <c r="M37" i="25"/>
  <c r="M32" i="25"/>
  <c r="K59" i="25"/>
  <c r="K53" i="25"/>
  <c r="K49" i="25"/>
  <c r="K45" i="25"/>
  <c r="K41" i="25"/>
  <c r="K37" i="25"/>
  <c r="K32" i="25"/>
  <c r="I42" i="25" l="1"/>
  <c r="I50" i="25" s="1"/>
  <c r="I43" i="25"/>
  <c r="I51" i="25" s="1"/>
  <c r="M33" i="25" l="1"/>
  <c r="K33" i="25"/>
  <c r="M34" i="25" l="1"/>
  <c r="K34" i="25"/>
  <c r="N27" i="13" l="1"/>
  <c r="L27" i="13"/>
  <c r="O13" i="12" l="1"/>
  <c r="O24" i="12"/>
  <c r="O19" i="11"/>
  <c r="O35" i="14"/>
  <c r="O42" i="14"/>
  <c r="O43" i="14"/>
  <c r="D6" i="31"/>
  <c r="D8" i="31"/>
  <c r="D9" i="31"/>
  <c r="D11" i="31"/>
  <c r="D17" i="31"/>
  <c r="D19" i="31"/>
  <c r="D21" i="31"/>
  <c r="D29" i="31"/>
  <c r="O44" i="14" l="1"/>
  <c r="G13" i="14" l="1"/>
  <c r="G18" i="14" s="1"/>
  <c r="I14" i="29" l="1"/>
  <c r="G18" i="29"/>
  <c r="I16" i="29"/>
  <c r="M18" i="29" l="1"/>
  <c r="I18" i="29"/>
  <c r="O18" i="29" l="1"/>
  <c r="M42" i="25" l="1"/>
  <c r="K42" i="25"/>
  <c r="M35" i="25" l="1"/>
  <c r="M36" i="25" l="1"/>
  <c r="M43" i="25"/>
  <c r="G15" i="13" l="1"/>
  <c r="G38" i="13" l="1"/>
  <c r="G10" i="14"/>
  <c r="G28" i="14" l="1"/>
  <c r="K54" i="25" l="1"/>
  <c r="M54" i="25"/>
  <c r="K35" i="25" l="1"/>
  <c r="K43" i="25" l="1"/>
  <c r="K51" i="25" s="1"/>
  <c r="K36" i="25"/>
  <c r="K44" i="25" l="1"/>
  <c r="K58" i="25"/>
  <c r="M51" i="25" l="1"/>
  <c r="M44" i="25" l="1"/>
  <c r="M58" i="25"/>
  <c r="M60" i="25" l="1"/>
  <c r="K60" i="25"/>
  <c r="M62" i="25" l="1"/>
  <c r="K62" i="25"/>
  <c r="G18" i="20" l="1"/>
  <c r="G23" i="20" l="1"/>
  <c r="G24" i="20" s="1"/>
  <c r="G30" i="14" l="1"/>
  <c r="G32" i="14"/>
  <c r="G38" i="14" s="1"/>
  <c r="G53" i="14" s="1"/>
  <c r="G9" i="18" l="1"/>
  <c r="G11" i="18" l="1"/>
  <c r="H34" i="13" l="1"/>
  <c r="I34" i="13" l="1"/>
  <c r="J34" i="13" l="1"/>
  <c r="L34" i="13" l="1"/>
  <c r="N34" i="13" l="1"/>
  <c r="H15" i="13" l="1"/>
  <c r="H10" i="14" l="1"/>
  <c r="I11" i="13"/>
  <c r="I15" i="13" l="1"/>
  <c r="J11" i="13" l="1"/>
  <c r="I10" i="14"/>
  <c r="H13" i="23" l="1"/>
  <c r="H26" i="19"/>
  <c r="H18" i="18"/>
  <c r="H20" i="18" l="1"/>
  <c r="L19" i="27" l="1"/>
  <c r="L33" i="27"/>
  <c r="N33" i="27" l="1"/>
  <c r="N19" i="27"/>
  <c r="H13" i="14" l="1"/>
  <c r="I13" i="14" l="1"/>
  <c r="J13" i="14" l="1"/>
  <c r="H16" i="18" l="1"/>
  <c r="H9" i="11" l="1"/>
  <c r="H21" i="19"/>
  <c r="H33" i="13" l="1"/>
  <c r="I33" i="13"/>
  <c r="H26" i="13" l="1"/>
  <c r="I26" i="13"/>
  <c r="H35" i="13" l="1"/>
  <c r="I35" i="13" l="1"/>
  <c r="J35" i="13" l="1"/>
  <c r="H25" i="18" l="1"/>
  <c r="H18" i="23"/>
  <c r="H13" i="11"/>
  <c r="H15" i="11" s="1"/>
  <c r="J18" i="23" l="1"/>
  <c r="N13" i="23" l="1"/>
  <c r="L13" i="23" l="1"/>
  <c r="N18" i="23" l="1"/>
  <c r="L18" i="23" l="1"/>
  <c r="J28" i="36" l="1"/>
  <c r="L29" i="36" l="1"/>
  <c r="J24" i="12" l="1"/>
  <c r="J28" i="12" s="1"/>
  <c r="I24" i="12" l="1"/>
  <c r="I28" i="12" s="1"/>
  <c r="H44" i="14" l="1"/>
  <c r="I44" i="14" l="1"/>
  <c r="I53" i="36" l="1"/>
  <c r="I28" i="36" l="1"/>
  <c r="H53" i="36"/>
  <c r="J29" i="36" l="1"/>
  <c r="J30" i="36" s="1"/>
  <c r="J55" i="36" l="1"/>
  <c r="G49" i="29"/>
  <c r="J17" i="23" l="1"/>
  <c r="J21" i="23" s="1"/>
  <c r="J30" i="19"/>
  <c r="H28" i="36" l="1"/>
  <c r="I29" i="36" l="1"/>
  <c r="I30" i="36" s="1"/>
  <c r="H30" i="36"/>
  <c r="G32" i="29" l="1"/>
  <c r="I55" i="36"/>
  <c r="G23" i="29"/>
  <c r="H55" i="36"/>
  <c r="H46" i="14" l="1"/>
  <c r="I48" i="14" l="1"/>
  <c r="H49" i="14"/>
  <c r="H51" i="14" s="1"/>
  <c r="I46" i="14"/>
  <c r="J48" i="14" s="1"/>
  <c r="I49" i="14" l="1"/>
  <c r="I51" i="14" s="1"/>
  <c r="H32" i="13" l="1"/>
  <c r="H36" i="13" s="1"/>
  <c r="H25" i="14"/>
  <c r="I32" i="13" l="1"/>
  <c r="I36" i="13" s="1"/>
  <c r="I25" i="14"/>
  <c r="H18" i="14" l="1"/>
  <c r="H28" i="14" s="1"/>
  <c r="H28" i="13"/>
  <c r="H29" i="13" s="1"/>
  <c r="H38" i="13" s="1"/>
  <c r="I29" i="14" l="1"/>
  <c r="I18" i="14"/>
  <c r="I28" i="14" s="1"/>
  <c r="I28" i="13"/>
  <c r="I29" i="13" s="1"/>
  <c r="I38" i="13" s="1"/>
  <c r="H32" i="14"/>
  <c r="H30" i="14"/>
  <c r="I32" i="14" l="1"/>
  <c r="I30" i="14"/>
  <c r="J29" i="14"/>
  <c r="J28" i="13" l="1"/>
  <c r="H24" i="12" l="1"/>
  <c r="H28" i="12" s="1"/>
  <c r="H13" i="12" l="1"/>
  <c r="H17" i="12" s="1"/>
  <c r="H30" i="12" s="1"/>
  <c r="H19" i="11" s="1"/>
  <c r="H21" i="11" l="1"/>
  <c r="H35" i="14" s="1"/>
  <c r="H38" i="14" s="1"/>
  <c r="H53" i="14" s="1"/>
  <c r="K27" i="29" l="1"/>
  <c r="H9" i="18"/>
  <c r="H17" i="23" l="1"/>
  <c r="H21" i="23" s="1"/>
  <c r="H30" i="19"/>
  <c r="H32" i="19" s="1"/>
  <c r="I30" i="19" l="1"/>
  <c r="I17" i="23"/>
  <c r="H12" i="20"/>
  <c r="H13" i="20" l="1"/>
  <c r="H18" i="20" s="1"/>
  <c r="I9" i="20" s="1"/>
  <c r="H23" i="20" l="1"/>
  <c r="H24" i="20" s="1"/>
  <c r="I25" i="29" l="1"/>
  <c r="K25" i="29" s="1"/>
  <c r="G27" i="29"/>
  <c r="I23" i="29"/>
  <c r="I27" i="29" l="1"/>
  <c r="K23" i="29"/>
  <c r="O23" i="29" s="1"/>
  <c r="M27" i="29" l="1"/>
  <c r="O25" i="29"/>
  <c r="L53" i="36" l="1"/>
  <c r="O27" i="29"/>
  <c r="H13" i="18" s="1"/>
  <c r="L17" i="23" l="1"/>
  <c r="L30" i="19"/>
  <c r="H27" i="18" l="1"/>
  <c r="H9" i="23"/>
  <c r="H14" i="23" s="1"/>
  <c r="H23" i="23" s="1"/>
  <c r="H27" i="23" s="1"/>
  <c r="H11" i="18"/>
  <c r="H35" i="25" l="1"/>
  <c r="H43" i="25" s="1"/>
  <c r="H51" i="25" s="1"/>
  <c r="H58" i="25" s="1"/>
  <c r="H62" i="25" s="1"/>
  <c r="H48" i="25" l="1"/>
  <c r="G48" i="25"/>
  <c r="H40" i="25"/>
  <c r="G40" i="25"/>
  <c r="F40" i="25"/>
  <c r="H31" i="25"/>
  <c r="G31" i="25"/>
  <c r="F31" i="25"/>
  <c r="H27" i="25"/>
  <c r="G27" i="25"/>
  <c r="F27" i="25"/>
  <c r="H19" i="25"/>
  <c r="G19" i="25"/>
  <c r="F19" i="25"/>
  <c r="G33" i="25"/>
  <c r="H33" i="25"/>
  <c r="F33" i="25" l="1"/>
  <c r="K46" i="25"/>
  <c r="J13" i="25"/>
  <c r="J35" i="25"/>
  <c r="L40" i="25"/>
  <c r="H34" i="25"/>
  <c r="H13" i="25"/>
  <c r="L31" i="25"/>
  <c r="J40" i="25"/>
  <c r="J33" i="25"/>
  <c r="J34" i="25"/>
  <c r="J42" i="25" s="1"/>
  <c r="J50" i="25" s="1"/>
  <c r="G13" i="25"/>
  <c r="G34" i="25"/>
  <c r="L19" i="25"/>
  <c r="L27" i="25"/>
  <c r="J31" i="25"/>
  <c r="F48" i="25"/>
  <c r="F51" i="25"/>
  <c r="F58" i="25" s="1"/>
  <c r="F62" i="25" s="1"/>
  <c r="L33" i="25"/>
  <c r="F13" i="25"/>
  <c r="F34" i="25"/>
  <c r="L34" i="25"/>
  <c r="L42" i="25" s="1"/>
  <c r="L50" i="25" s="1"/>
  <c r="M46" i="25"/>
  <c r="L13" i="25"/>
  <c r="L35" i="25"/>
  <c r="J19" i="25"/>
  <c r="L23" i="25"/>
  <c r="J27" i="25"/>
  <c r="J43" i="25" l="1"/>
  <c r="J36" i="25"/>
  <c r="L36" i="25"/>
  <c r="L43" i="25"/>
  <c r="K50" i="25"/>
  <c r="K52" i="25" s="1"/>
  <c r="K48" i="25"/>
  <c r="G42" i="25"/>
  <c r="G36" i="25"/>
  <c r="H42" i="25"/>
  <c r="H36" i="25"/>
  <c r="M48" i="25"/>
  <c r="M50" i="25"/>
  <c r="M52" i="25" s="1"/>
  <c r="F36" i="25"/>
  <c r="F42" i="25"/>
  <c r="L44" i="25" l="1"/>
  <c r="L51" i="25"/>
  <c r="J44" i="25"/>
  <c r="J51" i="25"/>
  <c r="F44" i="25"/>
  <c r="F50" i="25"/>
  <c r="F52" i="25" s="1"/>
  <c r="H50" i="25"/>
  <c r="H52" i="25" s="1"/>
  <c r="H44" i="25"/>
  <c r="G44" i="25"/>
  <c r="G50" i="25"/>
  <c r="G52" i="25" s="1"/>
  <c r="L58" i="25" l="1"/>
  <c r="L62" i="25" s="1"/>
  <c r="L52" i="25"/>
  <c r="J52" i="25"/>
  <c r="J58" i="25"/>
  <c r="J62" i="25" s="1"/>
  <c r="I26" i="19" l="1"/>
  <c r="I13" i="23"/>
  <c r="L28" i="36" l="1"/>
  <c r="L30" i="36" s="1"/>
  <c r="N29" i="36" l="1"/>
  <c r="G58" i="29"/>
  <c r="L55" i="36"/>
  <c r="M58" i="29" s="1"/>
  <c r="N53" i="36" l="1"/>
  <c r="N28" i="36" l="1"/>
  <c r="N30" i="36" s="1"/>
  <c r="N30" i="19"/>
  <c r="N17" i="23"/>
  <c r="G67" i="29" l="1"/>
  <c r="N55" i="36"/>
  <c r="M67" i="29" s="1"/>
  <c r="I26" i="27" l="1"/>
  <c r="I19" i="27" l="1"/>
  <c r="I33" i="27"/>
  <c r="I32" i="27"/>
  <c r="I17" i="18"/>
  <c r="I10" i="11" s="1"/>
  <c r="I18" i="23" l="1"/>
  <c r="I21" i="23" s="1"/>
  <c r="I16" i="18" l="1"/>
  <c r="I9" i="11" l="1"/>
  <c r="I13" i="11" s="1"/>
  <c r="I15" i="11" s="1"/>
  <c r="I25" i="18"/>
  <c r="I21" i="19"/>
  <c r="I32" i="19" s="1"/>
  <c r="I12" i="20" l="1"/>
  <c r="I13" i="20" l="1"/>
  <c r="I18" i="20" s="1"/>
  <c r="I23" i="20" l="1"/>
  <c r="I24" i="20" s="1"/>
  <c r="G34" i="29" s="1"/>
  <c r="I34" i="29" s="1"/>
  <c r="J9" i="20"/>
  <c r="G36" i="29" l="1"/>
  <c r="I32" i="29"/>
  <c r="I36" i="29" s="1"/>
  <c r="J15" i="27" l="1"/>
  <c r="J22" i="27" l="1"/>
  <c r="J35" i="27" s="1"/>
  <c r="J28" i="27"/>
  <c r="I15" i="27"/>
  <c r="I28" i="27" l="1"/>
  <c r="I22" i="27"/>
  <c r="I35" i="27" s="1"/>
  <c r="H15" i="27" l="1"/>
  <c r="H28" i="27" l="1"/>
  <c r="H22" i="27"/>
  <c r="H35" i="27" s="1"/>
  <c r="I13" i="12" l="1"/>
  <c r="I17" i="12" s="1"/>
  <c r="I30" i="12" s="1"/>
  <c r="I19" i="11" s="1"/>
  <c r="I21" i="11" l="1"/>
  <c r="I35" i="14" s="1"/>
  <c r="I38" i="14" s="1"/>
  <c r="I53" i="14" s="1"/>
  <c r="K36" i="29" l="1"/>
  <c r="I9" i="18"/>
  <c r="K32" i="29" l="1"/>
  <c r="O32" i="29" s="1"/>
  <c r="K34" i="29"/>
  <c r="M36" i="29" l="1"/>
  <c r="O34" i="29"/>
  <c r="O36" i="29" l="1"/>
  <c r="I13" i="18" l="1"/>
  <c r="I9" i="23" l="1"/>
  <c r="I14" i="23" s="1"/>
  <c r="I23" i="23" s="1"/>
  <c r="I27" i="23" s="1"/>
  <c r="I27" i="18"/>
  <c r="I11" i="18"/>
  <c r="J16" i="18" l="1"/>
  <c r="J9" i="11" l="1"/>
  <c r="J13" i="11" s="1"/>
  <c r="J15" i="11" s="1"/>
  <c r="J33" i="13" l="1"/>
  <c r="N20" i="23" l="1"/>
  <c r="L20" i="23"/>
  <c r="N21" i="23" l="1"/>
  <c r="L21" i="23"/>
  <c r="L35" i="13"/>
  <c r="J18" i="14"/>
  <c r="J26" i="13"/>
  <c r="J29" i="13" s="1"/>
  <c r="N26" i="27" l="1"/>
  <c r="L26" i="27"/>
  <c r="L31" i="27" l="1"/>
  <c r="L19" i="18"/>
  <c r="J18" i="18" l="1"/>
  <c r="J21" i="19" l="1"/>
  <c r="J32" i="19" s="1"/>
  <c r="J25" i="18"/>
  <c r="J12" i="20" l="1"/>
  <c r="J13" i="20" l="1"/>
  <c r="J18" i="20" s="1"/>
  <c r="L9" i="20" l="1"/>
  <c r="J23" i="20"/>
  <c r="J24" i="20" s="1"/>
  <c r="G51" i="29" s="1"/>
  <c r="I51" i="29" s="1"/>
  <c r="I49" i="29" l="1"/>
  <c r="I53" i="29" s="1"/>
  <c r="G53" i="29"/>
  <c r="N17" i="18" l="1"/>
  <c r="N32" i="27"/>
  <c r="L17" i="18"/>
  <c r="L32" i="27"/>
  <c r="L10" i="11" l="1"/>
  <c r="N10" i="11"/>
  <c r="N12" i="23" l="1"/>
  <c r="N26" i="19"/>
  <c r="L12" i="23"/>
  <c r="L26" i="19"/>
  <c r="N31" i="27" l="1"/>
  <c r="N19" i="18"/>
  <c r="L24" i="12" l="1"/>
  <c r="L28" i="12" s="1"/>
  <c r="N35" i="13" l="1"/>
  <c r="L28" i="13" l="1"/>
  <c r="N28" i="13" l="1"/>
  <c r="N24" i="12" l="1"/>
  <c r="N28" i="12" s="1"/>
  <c r="L18" i="18" l="1"/>
  <c r="N18" i="18" l="1"/>
  <c r="J25" i="14" l="1"/>
  <c r="J32" i="13"/>
  <c r="J36" i="13" s="1"/>
  <c r="L32" i="13" l="1"/>
  <c r="N32" i="13" l="1"/>
  <c r="L21" i="18" l="1"/>
  <c r="L20" i="18"/>
  <c r="N21" i="18" l="1"/>
  <c r="L13" i="14"/>
  <c r="N20" i="18"/>
  <c r="N13" i="14" l="1"/>
  <c r="J44" i="14" l="1"/>
  <c r="J46" i="14" s="1"/>
  <c r="L44" i="14" l="1"/>
  <c r="L46" i="14" s="1"/>
  <c r="N48" i="14" s="1"/>
  <c r="J49" i="14"/>
  <c r="J51" i="14" s="1"/>
  <c r="L48" i="14"/>
  <c r="N44" i="14" l="1"/>
  <c r="N46" i="14" s="1"/>
  <c r="N49" i="14" s="1"/>
  <c r="N51" i="14" s="1"/>
  <c r="L49" i="14"/>
  <c r="L51" i="14" s="1"/>
  <c r="J15" i="13" l="1"/>
  <c r="J38" i="13" s="1"/>
  <c r="L11" i="13" l="1"/>
  <c r="J10" i="14"/>
  <c r="L15" i="13" l="1"/>
  <c r="J28" i="14"/>
  <c r="L10" i="14" l="1"/>
  <c r="N11" i="13"/>
  <c r="J32" i="14"/>
  <c r="L29" i="14"/>
  <c r="J30" i="14"/>
  <c r="N15" i="13" l="1"/>
  <c r="N10" i="14" l="1"/>
  <c r="L33" i="13" l="1"/>
  <c r="L25" i="14"/>
  <c r="L36" i="13" l="1"/>
  <c r="L26" i="13"/>
  <c r="L18" i="14"/>
  <c r="L28" i="14" s="1"/>
  <c r="L29" i="13" l="1"/>
  <c r="L38" i="13" s="1"/>
  <c r="N33" i="13"/>
  <c r="N25" i="14"/>
  <c r="N29" i="14"/>
  <c r="L30" i="14"/>
  <c r="L32" i="14"/>
  <c r="N36" i="13" l="1"/>
  <c r="N26" i="13"/>
  <c r="N18" i="14"/>
  <c r="N28" i="14" s="1"/>
  <c r="N32" i="14" l="1"/>
  <c r="N29" i="13"/>
  <c r="N38" i="13" s="1"/>
  <c r="N30" i="14"/>
  <c r="J13" i="12" l="1"/>
  <c r="J17" i="12" s="1"/>
  <c r="J30" i="12" s="1"/>
  <c r="J19" i="11" s="1"/>
  <c r="J21" i="11" l="1"/>
  <c r="J35" i="14" s="1"/>
  <c r="J38" i="14" s="1"/>
  <c r="J53" i="14" s="1"/>
  <c r="K53" i="29" l="1"/>
  <c r="J9" i="18"/>
  <c r="K51" i="29" l="1"/>
  <c r="K49" i="29"/>
  <c r="O49" i="29" s="1"/>
  <c r="M53" i="29" l="1"/>
  <c r="O51" i="29"/>
  <c r="O53" i="29" l="1"/>
  <c r="J13" i="18" l="1"/>
  <c r="J9" i="23" l="1"/>
  <c r="J14" i="23" s="1"/>
  <c r="J23" i="23" s="1"/>
  <c r="J27" i="18"/>
  <c r="J11" i="18"/>
  <c r="L16" i="18" l="1"/>
  <c r="L15" i="27" l="1"/>
  <c r="L22" i="27" s="1"/>
  <c r="L35" i="27" s="1"/>
  <c r="L9" i="11"/>
  <c r="L25" i="18"/>
  <c r="L21" i="19"/>
  <c r="L32" i="19" s="1"/>
  <c r="L28" i="27" l="1"/>
  <c r="L13" i="11"/>
  <c r="L15" i="11" s="1"/>
  <c r="L13" i="12"/>
  <c r="L17" i="12" s="1"/>
  <c r="L30" i="12" s="1"/>
  <c r="L19" i="11" s="1"/>
  <c r="L12" i="20"/>
  <c r="L13" i="20" s="1"/>
  <c r="L21" i="11" l="1"/>
  <c r="L35" i="14" s="1"/>
  <c r="L38" i="14" s="1"/>
  <c r="L53" i="14" s="1"/>
  <c r="L18" i="20"/>
  <c r="N9" i="20" s="1"/>
  <c r="L23" i="20" l="1"/>
  <c r="L24" i="20" s="1"/>
  <c r="G60" i="29" s="1"/>
  <c r="N16" i="18"/>
  <c r="K62" i="29"/>
  <c r="L9" i="18"/>
  <c r="I58" i="29" l="1"/>
  <c r="I60" i="29"/>
  <c r="G62" i="29"/>
  <c r="N15" i="27"/>
  <c r="N28" i="27" s="1"/>
  <c r="N9" i="11"/>
  <c r="N25" i="18"/>
  <c r="N21" i="19"/>
  <c r="N32" i="19" s="1"/>
  <c r="K60" i="29"/>
  <c r="I62" i="29" l="1"/>
  <c r="K58" i="29"/>
  <c r="O58" i="29" s="1"/>
  <c r="N22" i="27"/>
  <c r="N35" i="27" s="1"/>
  <c r="N13" i="11"/>
  <c r="N15" i="11" s="1"/>
  <c r="N12" i="20"/>
  <c r="N13" i="20" s="1"/>
  <c r="N18" i="20" l="1"/>
  <c r="N23" i="20" s="1"/>
  <c r="N24" i="20" s="1"/>
  <c r="G69" i="29" s="1"/>
  <c r="N13" i="12" l="1"/>
  <c r="N17" i="12" s="1"/>
  <c r="N30" i="12" s="1"/>
  <c r="N19" i="11" s="1"/>
  <c r="G71" i="29"/>
  <c r="I67" i="29"/>
  <c r="I69" i="29"/>
  <c r="I71" i="29" l="1"/>
  <c r="N21" i="11"/>
  <c r="N35" i="14" s="1"/>
  <c r="N38" i="14" l="1"/>
  <c r="N53" i="14" s="1"/>
  <c r="K71" i="29" l="1"/>
  <c r="N9" i="18"/>
  <c r="O60" i="29" l="1"/>
  <c r="M62" i="29"/>
  <c r="K69" i="29"/>
  <c r="K67" i="29"/>
  <c r="O67" i="29" l="1"/>
  <c r="O62" i="29"/>
  <c r="L13" i="18" l="1"/>
  <c r="L9" i="23" l="1"/>
  <c r="L27" i="18"/>
  <c r="L11" i="18"/>
  <c r="L14" i="23" l="1"/>
  <c r="L23" i="23" s="1"/>
  <c r="O69" i="29" l="1"/>
  <c r="M71" i="29"/>
  <c r="O71" i="29" l="1"/>
  <c r="N13" i="18" l="1"/>
  <c r="N27" i="18" l="1"/>
  <c r="N9" i="23"/>
  <c r="N11" i="18"/>
  <c r="N14" i="23" l="1"/>
  <c r="N23" i="23" s="1"/>
</calcChain>
</file>

<file path=xl/sharedStrings.xml><?xml version="1.0" encoding="utf-8"?>
<sst xmlns="http://schemas.openxmlformats.org/spreadsheetml/2006/main" count="557" uniqueCount="281">
  <si>
    <t>Line No.</t>
  </si>
  <si>
    <t>Description</t>
  </si>
  <si>
    <t>Cross Ref.</t>
  </si>
  <si>
    <t>Schedule 1</t>
  </si>
  <si>
    <t>Yukon Energy Corporation</t>
  </si>
  <si>
    <t>Computation of Rate Base</t>
  </si>
  <si>
    <t>($000s)</t>
  </si>
  <si>
    <t>Schedule 2</t>
  </si>
  <si>
    <t>Computation of Allowance for Working Capital</t>
  </si>
  <si>
    <t>Effect of GST on Working Capital</t>
  </si>
  <si>
    <t>Schedule 2A</t>
  </si>
  <si>
    <t>Schedule 3</t>
  </si>
  <si>
    <t>Continuity Schedule of Property, Plant and Equipment</t>
  </si>
  <si>
    <t>Utility Revenue Requirement</t>
  </si>
  <si>
    <t>Schedule 5</t>
  </si>
  <si>
    <t>Schedule 6</t>
  </si>
  <si>
    <t>Statement of Earnings</t>
  </si>
  <si>
    <t>Schedule 7</t>
  </si>
  <si>
    <t>Statement of Retained Earnings</t>
  </si>
  <si>
    <t>Schedule 8</t>
  </si>
  <si>
    <t>Schedule 9</t>
  </si>
  <si>
    <t>Reconciliation of Utility Income to Net Earnings</t>
  </si>
  <si>
    <t>Schedule 11</t>
  </si>
  <si>
    <t>Summary of Customers, Energy Sales and Revenues</t>
  </si>
  <si>
    <t>Summary of Operating and Maintenance Expenses</t>
  </si>
  <si>
    <t>Cost of Capital Calculation</t>
  </si>
  <si>
    <t>Mid Year Balance</t>
  </si>
  <si>
    <t>Ratio</t>
  </si>
  <si>
    <t>Mid Year Rate Base</t>
  </si>
  <si>
    <t>Mid Year Cost Rate</t>
  </si>
  <si>
    <t>Return</t>
  </si>
  <si>
    <t>Schedule 4A</t>
  </si>
  <si>
    <t>Schedule 4B</t>
  </si>
  <si>
    <t>Long-Term debt</t>
  </si>
  <si>
    <t>Common Stock</t>
  </si>
  <si>
    <t>Total</t>
  </si>
  <si>
    <t>S.5 L.3</t>
  </si>
  <si>
    <t>Schedule Index</t>
  </si>
  <si>
    <t>2A</t>
  </si>
  <si>
    <t>4A</t>
  </si>
  <si>
    <t>4B</t>
  </si>
  <si>
    <t>4C</t>
  </si>
  <si>
    <t>Property, Plant and Equipment</t>
  </si>
  <si>
    <t>Year end balance</t>
  </si>
  <si>
    <t>Deduct: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</si>
  <si>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</si>
  <si>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</si>
  <si>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</si>
  <si>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</si>
  <si>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</si>
  <si>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</si>
  <si>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</si>
  <si>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Mid-year balance</t>
  </si>
  <si>
    <t>Mid-year rate case expense</t>
  </si>
  <si>
    <t>Working capital</t>
  </si>
  <si>
    <t>Gross Rate Base</t>
  </si>
  <si>
    <t>Contributions for extensions</t>
  </si>
  <si>
    <t>Net Rate Base</t>
  </si>
  <si>
    <t>Construction-in-progress</t>
  </si>
  <si>
    <t>Operating and maintenance</t>
  </si>
  <si>
    <t>Taxes other than income</t>
  </si>
  <si>
    <t>Non-allowable expenses</t>
  </si>
  <si>
    <t>GST Impact on working capital</t>
  </si>
  <si>
    <t>Cash operating expenses</t>
  </si>
  <si>
    <t>S.2A L.11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</si>
  <si>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</si>
  <si>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</si>
  <si>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</si>
  <si>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</si>
  <si>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</si>
  <si>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</si>
  <si>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</si>
  <si>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</si>
  <si>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</si>
  <si>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</si>
  <si>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Balance at beginning of year</t>
  </si>
  <si>
    <t>Balance at end of year</t>
  </si>
  <si>
    <t>Depreciation expense</t>
  </si>
  <si>
    <t>Disallowed assets</t>
  </si>
  <si>
    <t>Net Property, Plant and Equipment</t>
  </si>
  <si>
    <t>S.3 L.10</t>
  </si>
  <si>
    <t>S.6 L.6</t>
  </si>
  <si>
    <t>S.1 L.5</t>
  </si>
  <si>
    <t>S.1 L.11</t>
  </si>
  <si>
    <t>S.3 L.5</t>
  </si>
  <si>
    <t>S.1 L.2</t>
  </si>
  <si>
    <t>S.1 L.4</t>
  </si>
  <si>
    <t>S.1 L.6</t>
  </si>
  <si>
    <t>S.5 L.5</t>
  </si>
  <si>
    <t>S.5 L.6</t>
  </si>
  <si>
    <t>S.3 L.12</t>
  </si>
  <si>
    <t>S.3 L.13</t>
  </si>
  <si>
    <t>S.3 L.18</t>
  </si>
  <si>
    <t>S.5 L.1</t>
  </si>
  <si>
    <t>S.6 L.5</t>
  </si>
  <si>
    <t>S.6 L.7</t>
  </si>
  <si>
    <t>Net rate base</t>
  </si>
  <si>
    <t>Utility income</t>
  </si>
  <si>
    <t>Utility expenses</t>
  </si>
  <si>
    <t>Amortization of deferred costs</t>
  </si>
  <si>
    <t>Depreciation</t>
  </si>
  <si>
    <t>Disallowed depreciation</t>
  </si>
  <si>
    <t>Total utility expenses</t>
  </si>
  <si>
    <t>S.6 L.1</t>
  </si>
  <si>
    <t>Operating expenses</t>
  </si>
  <si>
    <t>Operating income</t>
  </si>
  <si>
    <t>Other income</t>
  </si>
  <si>
    <t>Allowed for Funds Used</t>
  </si>
  <si>
    <t>Other expenses</t>
  </si>
  <si>
    <t>Interest expense</t>
  </si>
  <si>
    <t>Net earnings</t>
  </si>
  <si>
    <t>S.3 L.8</t>
  </si>
  <si>
    <t>Less:</t>
  </si>
  <si>
    <t>Shareholder's Equity</t>
  </si>
  <si>
    <t>Common shares</t>
  </si>
  <si>
    <t>Retained earnings</t>
  </si>
  <si>
    <t>Interest - long-term</t>
  </si>
  <si>
    <t>Donations</t>
  </si>
  <si>
    <t>Net earnings per financial statements</t>
  </si>
  <si>
    <t>S.5 L.12</t>
  </si>
  <si>
    <t>Residential</t>
  </si>
  <si>
    <t>Customers</t>
  </si>
  <si>
    <t>MWh sales per customer</t>
  </si>
  <si>
    <t>Revenue ($000s)</t>
  </si>
  <si>
    <t>Cents per KWh</t>
  </si>
  <si>
    <t>Industrial</t>
  </si>
  <si>
    <t>Street lights</t>
  </si>
  <si>
    <t>Space lights</t>
  </si>
  <si>
    <t>Wholesale sales</t>
  </si>
  <si>
    <t xml:space="preserve">Total Company </t>
  </si>
  <si>
    <t>Production</t>
  </si>
  <si>
    <t>Transmission and distribution</t>
  </si>
  <si>
    <t>General</t>
  </si>
  <si>
    <t>Sub-total</t>
  </si>
  <si>
    <t>O&amp;M not including fuel and</t>
  </si>
  <si>
    <t>purchased power</t>
  </si>
  <si>
    <t>Fuel</t>
  </si>
  <si>
    <t>Total operating and maintenance</t>
  </si>
  <si>
    <t>Amortize deferred costs</t>
  </si>
  <si>
    <t>Purchased power</t>
  </si>
  <si>
    <t>Utility operations</t>
  </si>
  <si>
    <t>S.6 L.3</t>
  </si>
  <si>
    <t xml:space="preserve">Miscellaneous reserves </t>
  </si>
  <si>
    <t xml:space="preserve"> </t>
  </si>
  <si>
    <t>Sales in MWh</t>
  </si>
  <si>
    <t>Allowance for funds used</t>
  </si>
  <si>
    <t>Contributions in WIP</t>
  </si>
  <si>
    <t>Current year-end balance in-service</t>
  </si>
  <si>
    <t>Accumulated amortization of contributions</t>
  </si>
  <si>
    <t>Net current year-end balance in-service</t>
  </si>
  <si>
    <t>Other income (expenses)</t>
  </si>
  <si>
    <t>General Service</t>
  </si>
  <si>
    <t>Total Company - Firm</t>
  </si>
  <si>
    <t>Secondary</t>
  </si>
  <si>
    <t>Rider J</t>
  </si>
  <si>
    <t>Total Sales of Power</t>
  </si>
  <si>
    <t>Other Revenues</t>
  </si>
  <si>
    <t>S.3 L.17</t>
  </si>
  <si>
    <t>S.1 L.10</t>
  </si>
  <si>
    <t>S.6 L.4</t>
  </si>
  <si>
    <t>S.5 L.7</t>
  </si>
  <si>
    <t>S.6 L.17</t>
  </si>
  <si>
    <t>Reserve for Injuries and Damages</t>
  </si>
  <si>
    <t>S.5 L.8</t>
  </si>
  <si>
    <t>S.5 L.10</t>
  </si>
  <si>
    <t>S.5 L.13</t>
  </si>
  <si>
    <t>S.6 L.8</t>
  </si>
  <si>
    <t>S.6 L.13</t>
  </si>
  <si>
    <t>S.6 L.14</t>
  </si>
  <si>
    <t>Interest Costs</t>
  </si>
  <si>
    <t>YDC Loan #12 (5.88%)</t>
  </si>
  <si>
    <t>YDC Mayo-Dawson Note (6.55%)</t>
  </si>
  <si>
    <t>Mid Year</t>
  </si>
  <si>
    <t>General Purpose Long-Term Debt Balance</t>
  </si>
  <si>
    <t>Total Cost of Interest</t>
  </si>
  <si>
    <t>Mid-Year Cost of Debt</t>
  </si>
  <si>
    <t>Retirements, disposals and adjustments (note 1)</t>
  </si>
  <si>
    <t>Summary of Cost of Long - Term Debt</t>
  </si>
  <si>
    <t>Deferred study costs (note 2)</t>
  </si>
  <si>
    <t>Revenue Requirement</t>
  </si>
  <si>
    <t>Note 1:</t>
  </si>
  <si>
    <t xml:space="preserve">YDC Loan #13 (6.03%) </t>
  </si>
  <si>
    <t>Operating and maintenance (note 1)</t>
  </si>
  <si>
    <t>YDC Loan #14 (5.40%)</t>
  </si>
  <si>
    <t>Less: Studies in Progress</t>
  </si>
  <si>
    <t>Other deferred costs</t>
  </si>
  <si>
    <t>Accumulated depreciation (note 1)</t>
  </si>
  <si>
    <t>Disallowed Expenses (note 2)</t>
  </si>
  <si>
    <t>S.3 L.11</t>
  </si>
  <si>
    <t>S.3 L.15</t>
  </si>
  <si>
    <t>S.3 L.16</t>
  </si>
  <si>
    <t>S.3 L.20</t>
  </si>
  <si>
    <t>S.1 L.8</t>
  </si>
  <si>
    <t>S.1 L.9</t>
  </si>
  <si>
    <t>S.1  L.13</t>
  </si>
  <si>
    <t>S.1 L.30</t>
  </si>
  <si>
    <t>S.5 L.11</t>
  </si>
  <si>
    <t>Revenues (note 1)</t>
  </si>
  <si>
    <t>YDC Loan #15 (5.34%)</t>
  </si>
  <si>
    <t>YDC Loan #16 (5.28%)</t>
  </si>
  <si>
    <t>YDC Loan #17 (5.28%)</t>
  </si>
  <si>
    <t>YDC Loan #18 (5.28%)</t>
  </si>
  <si>
    <t>Property Taxes</t>
  </si>
  <si>
    <t>less: Donations</t>
  </si>
  <si>
    <t>Operating and Maintenance Expense Reported in Tab 3 excludes fuel and purchase power, but also includes the following:</t>
  </si>
  <si>
    <t>Miscellaneous (note 2)</t>
  </si>
  <si>
    <t>Utility Income (Return on Rate Base)</t>
  </si>
  <si>
    <t>Disallowed costs</t>
  </si>
  <si>
    <t>Accumulated depreciation (including Future Removal Reserve)</t>
  </si>
  <si>
    <t>Note 1: Includes fuel expenses and purchased power.</t>
  </si>
  <si>
    <t>Deferred study costs (note 3)</t>
  </si>
  <si>
    <t>Miscellaneous reserves (note 2)</t>
  </si>
  <si>
    <t>Average Rate of return on rate base</t>
  </si>
  <si>
    <t>Total Company - Firm Retail and Industrial</t>
  </si>
  <si>
    <t>S.1 L.19</t>
  </si>
  <si>
    <t>S.2 L.7</t>
  </si>
  <si>
    <t>Actual 2009</t>
  </si>
  <si>
    <t>Actual 2010</t>
  </si>
  <si>
    <t>Proposed 2012</t>
  </si>
  <si>
    <t>Proposed 2013</t>
  </si>
  <si>
    <t>2009 Approved and 2009-2010 Actual</t>
  </si>
  <si>
    <t>2009 Approved</t>
  </si>
  <si>
    <t>Proposed 2012 - GRA</t>
  </si>
  <si>
    <t>Proposed 2013 - GRA</t>
  </si>
  <si>
    <t>2011 Actual and 2012 Forecast</t>
  </si>
  <si>
    <t>27/365 in 2009 GRA</t>
  </si>
  <si>
    <t>Canada Flexible Term Note</t>
  </si>
  <si>
    <t>Mayo B Flexible Term Note</t>
  </si>
  <si>
    <t>Post-GRA Reconcil Req'd</t>
  </si>
  <si>
    <t>Insurance</t>
  </si>
  <si>
    <t>Administration and general</t>
  </si>
  <si>
    <t>Note:</t>
  </si>
  <si>
    <t>2009 Actual</t>
  </si>
  <si>
    <t>2010 Actual</t>
  </si>
  <si>
    <t>2011 Preliminary Actual</t>
  </si>
  <si>
    <t>S.7 L. 8</t>
  </si>
  <si>
    <t>Minto Diesel</t>
  </si>
  <si>
    <t>Cost of Capital Calculation - 2009 - 2010 Actuals</t>
  </si>
  <si>
    <t>Cost of Capital Calculation - 2011 Preliminary Actuals and 2012 Forecast</t>
  </si>
  <si>
    <t>Cost of Capital Calculation - 2013 Forecast</t>
  </si>
  <si>
    <t>S.11 L.18</t>
  </si>
  <si>
    <t>S.8 L.1</t>
  </si>
  <si>
    <t>S.10 L.15</t>
  </si>
  <si>
    <t>S.8 L.2</t>
  </si>
  <si>
    <t>S.8 L.3</t>
  </si>
  <si>
    <t>S.8 L.4</t>
  </si>
  <si>
    <t>GRA Increase Req'd</t>
  </si>
  <si>
    <t>GST blended rate (2009 GRA)</t>
  </si>
  <si>
    <t>S.2 L.8</t>
  </si>
  <si>
    <t>Schedule 10</t>
  </si>
  <si>
    <t>Note 2: Miscellaneous primarily consistent of Regulatory gain/losses and other interest income/expenses.</t>
  </si>
  <si>
    <t xml:space="preserve">Note 1: Includes revenues from sales, non-operating revenues and other revenues. 2009 revenues also include the Faro Dewatering transfer. </t>
  </si>
  <si>
    <t>Net Increases to PPE (Table 5.1)</t>
  </si>
  <si>
    <t>Inventory (three year average)</t>
  </si>
  <si>
    <t>Note 2: 2009 disallowed expenses with respect to 2008/2009 GRA Cost Awards Filing (YUB 2009-11). Other disallowed expenses are included in Regulatory gain/losses (Schedule 6, Line 13).</t>
  </si>
  <si>
    <t>S.8 L.8</t>
  </si>
  <si>
    <t>S.6 L.18</t>
  </si>
  <si>
    <t>2009 actuals reflect the impact of YUB Order 2009-8 (Note 1, Schedule 8).</t>
  </si>
  <si>
    <t>O&amp;M per Table 3.3 (Tab 3)</t>
  </si>
  <si>
    <t>Amortization of contributions and fire insurance recoveries</t>
  </si>
  <si>
    <t>Prelim. Actual 2011</t>
  </si>
  <si>
    <t>1. YDC equity injection required in order to maintain 60/40 debt to equity ratio.</t>
  </si>
  <si>
    <t>Total Revenues</t>
  </si>
  <si>
    <t>Note 2: Planning and Study costs, Relicencing, Dam Safety costs and Deferred Overhauls. Net of contributions.</t>
  </si>
  <si>
    <t>Note 3: Planning and Study costs, Relicencing, Dam Safety costs and Deferred Overhauls. Net of contributions.</t>
  </si>
  <si>
    <t>Common Dividends/(Injection) (note 1)</t>
  </si>
  <si>
    <t>Adjustments to Net earnings (note 1)</t>
  </si>
  <si>
    <t>1. Adjustments to the net earnings reflect the impact of YUB 2009-8 ($0.375 million secondary sales revenues: decrease in 2009 and increase in 2008; $0.026 million transfer from deferred Dewatering revenues: decrease in 2009 and increase in 2008; $0.4 million rate case amortization expense: decrease in 2009 and increase in 2008; $0.05 million RFID: decrease in 2009 and increase in 2008; $0.192 million fuel cost: decrease in 2009 and increase in 2008)</t>
  </si>
  <si>
    <t>S.5 L.15</t>
  </si>
  <si>
    <t>Note 1: Including Reserve for Future Removal and Site Restoration.</t>
  </si>
  <si>
    <t>Note 1: Largely relate to retirements and disposals, as well as charges against the Reserve for Future Removal and Restoration.</t>
  </si>
  <si>
    <t>Note 2: Includes Fire Insurance Reserve, Deferred Dewatering Revenues and the Reserve for Injuries and Damages.</t>
  </si>
  <si>
    <t>TD Canada Trust (4.02%)</t>
  </si>
  <si>
    <t>YDC Loan (4.25%)</t>
  </si>
  <si>
    <t>New YDC Loan (3.97%)</t>
  </si>
  <si>
    <t>New YDC Loan - 2011 (3.69%)</t>
  </si>
  <si>
    <t>New YDC Loan (3.58%)</t>
  </si>
  <si>
    <t>2. The interest rate of 5.28% is for column "2009 Approved", 2009-2010 actual interest rate is 4.65%.</t>
  </si>
  <si>
    <t>1. New YDC loan in 2011 includes of $19.148 million includes YDC loan of $17.095 million with interest rate of 3.69% due in December 31, 2036 and YDC unsecured advance of $2.053 million at interest rate of 3.97%.</t>
  </si>
  <si>
    <t>June 20, 2013 Refiling</t>
  </si>
  <si>
    <t>Yukon Energy Corporation 2012/13 GRA Revised Compliance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</si>
</sst>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_);_(&quot;$&quot;* \(#,##0\);_(&quot;$&quot;* &quot;-&quot;_);_(@_)"/>
    <numFmt numFmtId="165" formatCode="_-* #,##0_-;\-* #,##0_-;_-* &quot;-&quot;??_-;_-@_-"/>
    <numFmt numFmtId="166" formatCode="_(* #,##0.0_);_(* \(#,##0.0\);_(* &quot;-&quot;??_);_(@_)"/>
    <numFmt numFmtId="167" formatCode="_(* #,##0_);_(* \(#,##0\);_(* &quot;-&quot;??_);_(@_)"/>
    <numFmt numFmtId="168" formatCode="0.0%"/>
    <numFmt numFmtId="169" formatCode="0.000%"/>
    <numFmt numFmtId="170" formatCode="0.000"/>
    <numFmt numFmtId="171" formatCode="#,##0.0"/>
    <numFmt numFmtId="172" formatCode="d\-mmm\-yy\ &quot;filing&quot;"/>
    <numFmt numFmtId="173" formatCode="0.0"/>
    <numFmt numFmtId="174" formatCode="?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color indexed="53"/>
      <name val="Arial"/>
      <family val="2"/>
    </font>
    <font>
      <sz val="10"/>
      <color indexed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Tahoma"/>
      <family val="2"/>
    </font>
    <font>
      <sz val="10"/>
      <color rgb="FFFF0000"/>
      <name val="Tahoma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" fillId="0" borderId="0"/>
  </cellStyleXfs>
  <cellXfs count="20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Fill="1" applyBorder="1"/>
    <xf numFmtId="0" fontId="1" fillId="0" borderId="0" xfId="0" applyFont="1"/>
    <xf numFmtId="0" fontId="6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/>
    <xf numFmtId="0" fontId="0" fillId="0" borderId="0" xfId="0" applyFill="1" applyAlignment="1">
      <alignment horizontal="center"/>
    </xf>
    <xf numFmtId="169" fontId="0" fillId="0" borderId="0" xfId="0" applyNumberFormat="1" applyFill="1"/>
    <xf numFmtId="3" fontId="1" fillId="0" borderId="0" xfId="0" applyNumberFormat="1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67" fontId="1" fillId="0" borderId="0" xfId="1" applyFont="1" applyFill="1" applyBorder="1"/>
    <xf numFmtId="3" fontId="1" fillId="0" borderId="0" xfId="0" applyNumberFormat="1" applyFont="1" applyFill="1" applyBorder="1"/>
    <xf numFmtId="0" fontId="0" fillId="0" borderId="0" xfId="0" applyFill="1" applyAlignment="1">
      <alignment vertical="top"/>
    </xf>
    <xf numFmtId="3" fontId="0" fillId="0" borderId="0" xfId="0" applyNumberFormat="1" applyFill="1"/>
    <xf numFmtId="0" fontId="13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5" fontId="1" fillId="0" borderId="0" xfId="0" applyNumberFormat="1" applyFont="1" applyFill="1" applyAlignment="1">
      <alignment horizontal="center"/>
    </xf>
    <xf numFmtId="0" fontId="17" fillId="0" borderId="0" xfId="0" applyFont="1" applyFill="1" applyAlignment="1"/>
    <xf numFmtId="0" fontId="16" fillId="0" borderId="0" xfId="0" applyFont="1" applyFill="1" applyAlignment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/>
    <xf numFmtId="0" fontId="6" fillId="0" borderId="0" xfId="0" applyFont="1" applyFill="1" applyBorder="1"/>
    <xf numFmtId="1" fontId="1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172" fontId="0" fillId="0" borderId="0" xfId="0" applyNumberFormat="1" applyFill="1" applyAlignment="1">
      <alignment horizontal="right"/>
    </xf>
    <xf numFmtId="172" fontId="0" fillId="0" borderId="0" xfId="0" applyNumberFormat="1" applyFill="1" applyAlignment="1"/>
    <xf numFmtId="167" fontId="1" fillId="0" borderId="1" xfId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172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/>
    <xf numFmtId="3" fontId="1" fillId="0" borderId="1" xfId="0" applyNumberFormat="1" applyFont="1" applyFill="1" applyBorder="1"/>
    <xf numFmtId="167" fontId="1" fillId="0" borderId="0" xfId="1" applyFont="1" applyFill="1"/>
    <xf numFmtId="10" fontId="1" fillId="0" borderId="0" xfId="2" applyNumberFormat="1" applyFont="1"/>
    <xf numFmtId="0" fontId="1" fillId="2" borderId="0" xfId="0" applyFont="1" applyFill="1"/>
    <xf numFmtId="0" fontId="1" fillId="2" borderId="0" xfId="0" applyFont="1" applyFill="1" applyBorder="1"/>
    <xf numFmtId="1" fontId="1" fillId="0" borderId="0" xfId="0" applyNumberFormat="1" applyFont="1" applyBorder="1"/>
    <xf numFmtId="1" fontId="1" fillId="2" borderId="0" xfId="0" applyNumberFormat="1" applyFont="1" applyFill="1" applyBorder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top"/>
    </xf>
    <xf numFmtId="168" fontId="0" fillId="0" borderId="0" xfId="0" applyNumberFormat="1" applyFill="1"/>
    <xf numFmtId="167" fontId="1" fillId="0" borderId="1" xfId="5" applyNumberFormat="1" applyFont="1" applyFill="1" applyBorder="1"/>
    <xf numFmtId="167" fontId="1" fillId="0" borderId="0" xfId="5" applyNumberFormat="1" applyFont="1" applyFill="1" applyBorder="1"/>
    <xf numFmtId="167" fontId="1" fillId="0" borderId="0" xfId="0" applyNumberFormat="1" applyFont="1" applyFill="1"/>
    <xf numFmtId="167" fontId="1" fillId="0" borderId="1" xfId="0" applyNumberFormat="1" applyFont="1" applyFill="1" applyBorder="1"/>
    <xf numFmtId="167" fontId="1" fillId="0" borderId="0" xfId="0" applyNumberFormat="1" applyFont="1" applyFill="1" applyBorder="1"/>
    <xf numFmtId="37" fontId="1" fillId="0" borderId="0" xfId="0" applyNumberFormat="1" applyFont="1" applyFill="1" applyBorder="1"/>
    <xf numFmtId="3" fontId="1" fillId="0" borderId="0" xfId="1" applyNumberFormat="1" applyFont="1" applyFill="1" applyBorder="1"/>
    <xf numFmtId="167" fontId="1" fillId="0" borderId="3" xfId="0" applyNumberFormat="1" applyFont="1" applyFill="1" applyBorder="1"/>
    <xf numFmtId="172" fontId="1" fillId="0" borderId="0" xfId="0" quotePrefix="1" applyNumberFormat="1" applyFont="1" applyFill="1" applyAlignment="1">
      <alignment horizontal="right"/>
    </xf>
    <xf numFmtId="0" fontId="1" fillId="0" borderId="0" xfId="4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6" applyFont="1" applyFill="1"/>
    <xf numFmtId="0" fontId="1" fillId="0" borderId="0" xfId="6" applyFont="1" applyFill="1" applyAlignment="1">
      <alignment horizontal="left" indent="1"/>
    </xf>
    <xf numFmtId="0" fontId="22" fillId="0" borderId="0" xfId="6" applyFont="1" applyFill="1" applyBorder="1"/>
    <xf numFmtId="3" fontId="1" fillId="0" borderId="0" xfId="6" applyNumberFormat="1" applyFill="1"/>
    <xf numFmtId="2" fontId="1" fillId="0" borderId="0" xfId="6" applyNumberFormat="1" applyFont="1" applyFill="1"/>
    <xf numFmtId="3" fontId="1" fillId="0" borderId="0" xfId="6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167" fontId="16" fillId="0" borderId="0" xfId="5" applyNumberFormat="1" applyFont="1" applyFill="1" applyBorder="1"/>
    <xf numFmtId="167" fontId="1" fillId="0" borderId="4" xfId="1" applyFont="1" applyFill="1" applyBorder="1"/>
    <xf numFmtId="167" fontId="1" fillId="0" borderId="3" xfId="1" applyFont="1" applyFill="1" applyBorder="1"/>
    <xf numFmtId="0" fontId="1" fillId="0" borderId="0" xfId="0" applyFont="1" applyFill="1" applyBorder="1" applyAlignment="1">
      <alignment horizontal="left" wrapText="1"/>
    </xf>
    <xf numFmtId="0" fontId="14" fillId="0" borderId="0" xfId="0" applyFont="1" applyFill="1"/>
    <xf numFmtId="0" fontId="15" fillId="0" borderId="0" xfId="0" applyFont="1" applyFill="1" applyAlignment="1">
      <alignment horizontal="center"/>
    </xf>
    <xf numFmtId="165" fontId="1" fillId="0" borderId="0" xfId="1" applyNumberFormat="1" applyFont="1" applyFill="1"/>
    <xf numFmtId="165" fontId="1" fillId="0" borderId="0" xfId="1" applyNumberFormat="1" applyFont="1" applyFill="1" applyBorder="1"/>
    <xf numFmtId="0" fontId="9" fillId="0" borderId="0" xfId="0" applyFont="1" applyFill="1"/>
    <xf numFmtId="165" fontId="1" fillId="0" borderId="3" xfId="1" applyNumberFormat="1" applyFont="1" applyFill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67" fontId="0" fillId="0" borderId="0" xfId="1" applyFont="1" applyFill="1"/>
    <xf numFmtId="167" fontId="0" fillId="0" borderId="0" xfId="0" applyNumberFormat="1" applyFill="1"/>
    <xf numFmtId="167" fontId="0" fillId="0" borderId="0" xfId="0" applyNumberFormat="1" applyFill="1" applyBorder="1"/>
    <xf numFmtId="10" fontId="0" fillId="0" borderId="1" xfId="0" applyNumberFormat="1" applyFill="1" applyBorder="1"/>
    <xf numFmtId="10" fontId="0" fillId="0" borderId="0" xfId="0" applyNumberFormat="1" applyFill="1" applyBorder="1"/>
    <xf numFmtId="167" fontId="0" fillId="0" borderId="0" xfId="1" applyFont="1" applyFill="1" applyBorder="1"/>
    <xf numFmtId="167" fontId="0" fillId="0" borderId="1" xfId="1" applyFont="1" applyFill="1" applyBorder="1"/>
    <xf numFmtId="167" fontId="0" fillId="0" borderId="3" xfId="0" applyNumberFormat="1" applyFill="1" applyBorder="1"/>
    <xf numFmtId="10" fontId="0" fillId="0" borderId="0" xfId="0" applyNumberFormat="1" applyFill="1"/>
    <xf numFmtId="1" fontId="1" fillId="0" borderId="0" xfId="0" applyNumberFormat="1" applyFont="1" applyFill="1" applyBorder="1"/>
    <xf numFmtId="1" fontId="1" fillId="0" borderId="4" xfId="0" applyNumberFormat="1" applyFont="1" applyFill="1" applyBorder="1"/>
    <xf numFmtId="0" fontId="1" fillId="0" borderId="0" xfId="0" applyFont="1" applyFill="1" applyAlignment="1">
      <alignment horizontal="left" vertical="top" wrapText="1"/>
    </xf>
    <xf numFmtId="10" fontId="1" fillId="0" borderId="0" xfId="0" applyNumberFormat="1" applyFont="1" applyFill="1"/>
    <xf numFmtId="10" fontId="1" fillId="0" borderId="0" xfId="0" applyNumberFormat="1" applyFont="1" applyFill="1" applyBorder="1"/>
    <xf numFmtId="165" fontId="1" fillId="0" borderId="0" xfId="0" applyNumberFormat="1" applyFont="1" applyFill="1"/>
    <xf numFmtId="0" fontId="4" fillId="0" borderId="0" xfId="0" applyFont="1" applyFill="1"/>
    <xf numFmtId="3" fontId="0" fillId="0" borderId="0" xfId="0" applyNumberFormat="1" applyFill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3" fontId="0" fillId="0" borderId="1" xfId="0" applyNumberFormat="1" applyFill="1" applyBorder="1"/>
    <xf numFmtId="3" fontId="4" fillId="0" borderId="0" xfId="0" applyNumberFormat="1" applyFont="1" applyFill="1"/>
    <xf numFmtId="3" fontId="0" fillId="0" borderId="3" xfId="0" applyNumberFormat="1" applyFill="1" applyBorder="1"/>
    <xf numFmtId="10" fontId="0" fillId="0" borderId="3" xfId="0" applyNumberFormat="1" applyFill="1" applyBorder="1"/>
    <xf numFmtId="3" fontId="0" fillId="0" borderId="0" xfId="1" applyNumberFormat="1" applyFont="1" applyFill="1"/>
    <xf numFmtId="3" fontId="0" fillId="0" borderId="1" xfId="1" applyNumberFormat="1" applyFont="1" applyFill="1" applyBorder="1"/>
    <xf numFmtId="3" fontId="0" fillId="0" borderId="3" xfId="1" applyNumberFormat="1" applyFont="1" applyFill="1" applyBorder="1"/>
    <xf numFmtId="3" fontId="0" fillId="0" borderId="0" xfId="0" applyNumberFormat="1" applyFill="1" applyBorder="1"/>
    <xf numFmtId="169" fontId="0" fillId="0" borderId="0" xfId="0" applyNumberFormat="1" applyFill="1" applyBorder="1"/>
    <xf numFmtId="168" fontId="0" fillId="0" borderId="1" xfId="0" applyNumberFormat="1" applyFill="1" applyBorder="1"/>
    <xf numFmtId="168" fontId="0" fillId="0" borderId="3" xfId="0" applyNumberFormat="1" applyFill="1" applyBorder="1"/>
    <xf numFmtId="174" fontId="16" fillId="0" borderId="0" xfId="0" applyNumberFormat="1" applyFont="1" applyFill="1"/>
    <xf numFmtId="168" fontId="0" fillId="0" borderId="0" xfId="0" applyNumberFormat="1" applyFill="1" applyAlignment="1">
      <alignment horizontal="center"/>
    </xf>
    <xf numFmtId="168" fontId="2" fillId="0" borderId="1" xfId="0" applyNumberFormat="1" applyFont="1" applyFill="1" applyBorder="1" applyAlignment="1">
      <alignment horizontal="center" wrapText="1"/>
    </xf>
    <xf numFmtId="0" fontId="7" fillId="0" borderId="0" xfId="0" applyFont="1" applyFill="1"/>
    <xf numFmtId="3" fontId="1" fillId="0" borderId="4" xfId="0" applyNumberFormat="1" applyFont="1" applyFill="1" applyBorder="1"/>
    <xf numFmtId="3" fontId="1" fillId="0" borderId="4" xfId="1" applyNumberFormat="1" applyFont="1" applyFill="1" applyBorder="1"/>
    <xf numFmtId="38" fontId="1" fillId="0" borderId="0" xfId="0" applyNumberFormat="1" applyFont="1" applyFill="1"/>
    <xf numFmtId="38" fontId="1" fillId="0" borderId="0" xfId="0" applyNumberFormat="1" applyFont="1" applyFill="1" applyBorder="1"/>
    <xf numFmtId="165" fontId="1" fillId="0" borderId="0" xfId="0" applyNumberFormat="1" applyFont="1" applyFill="1" applyBorder="1"/>
    <xf numFmtId="166" fontId="1" fillId="0" borderId="0" xfId="0" applyNumberFormat="1" applyFont="1" applyFill="1"/>
    <xf numFmtId="166" fontId="1" fillId="0" borderId="0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167" fontId="1" fillId="0" borderId="0" xfId="5" applyNumberFormat="1" applyFont="1" applyFill="1"/>
    <xf numFmtId="167" fontId="1" fillId="0" borderId="0" xfId="3" applyNumberFormat="1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0" fontId="12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8" fillId="0" borderId="0" xfId="0" applyFont="1" applyFill="1"/>
    <xf numFmtId="171" fontId="1" fillId="0" borderId="0" xfId="0" applyNumberFormat="1" applyFont="1" applyFill="1"/>
    <xf numFmtId="173" fontId="1" fillId="0" borderId="0" xfId="0" applyNumberFormat="1" applyFont="1" applyFill="1"/>
    <xf numFmtId="170" fontId="1" fillId="0" borderId="0" xfId="0" applyNumberFormat="1" applyFont="1" applyFill="1"/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3" fontId="20" fillId="0" borderId="0" xfId="5" applyNumberFormat="1" applyFont="1" applyFill="1"/>
    <xf numFmtId="3" fontId="21" fillId="0" borderId="0" xfId="0" applyNumberFormat="1" applyFont="1" applyFill="1"/>
    <xf numFmtId="3" fontId="1" fillId="0" borderId="2" xfId="0" applyNumberFormat="1" applyFont="1" applyFill="1" applyBorder="1"/>
    <xf numFmtId="3" fontId="4" fillId="0" borderId="0" xfId="0" applyNumberFormat="1" applyFont="1" applyFill="1" applyBorder="1"/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3" fontId="2" fillId="0" borderId="0" xfId="0" applyNumberFormat="1" applyFont="1" applyFill="1" applyBorder="1"/>
    <xf numFmtId="0" fontId="0" fillId="0" borderId="0" xfId="0" applyFill="1" applyAlignment="1"/>
    <xf numFmtId="0" fontId="5" fillId="0" borderId="0" xfId="0" applyFont="1" applyFill="1" applyAlignment="1"/>
    <xf numFmtId="37" fontId="0" fillId="0" borderId="0" xfId="0" applyNumberFormat="1" applyFill="1" applyBorder="1"/>
    <xf numFmtId="3" fontId="1" fillId="0" borderId="3" xfId="0" applyNumberFormat="1" applyFont="1" applyFill="1" applyBorder="1"/>
    <xf numFmtId="3" fontId="6" fillId="0" borderId="0" xfId="0" applyNumberFormat="1" applyFont="1" applyFill="1" applyBorder="1"/>
    <xf numFmtId="1" fontId="6" fillId="0" borderId="0" xfId="0" applyNumberFormat="1" applyFont="1" applyFill="1" applyBorder="1"/>
    <xf numFmtId="37" fontId="6" fillId="0" borderId="1" xfId="0" applyNumberFormat="1" applyFont="1" applyFill="1" applyBorder="1"/>
    <xf numFmtId="37" fontId="6" fillId="0" borderId="0" xfId="0" applyNumberFormat="1" applyFont="1" applyFill="1" applyBorder="1"/>
    <xf numFmtId="0" fontId="0" fillId="0" borderId="0" xfId="0" applyFill="1" applyAlignment="1">
      <alignment horizontal="left" vertical="top" wrapText="1"/>
    </xf>
    <xf numFmtId="1" fontId="0" fillId="0" borderId="0" xfId="0" applyNumberFormat="1" applyFill="1"/>
    <xf numFmtId="3" fontId="0" fillId="0" borderId="0" xfId="0" applyNumberFormat="1" applyFill="1" applyAlignment="1">
      <alignment vertical="top" wrapText="1"/>
    </xf>
    <xf numFmtId="164" fontId="0" fillId="0" borderId="0" xfId="0" applyNumberFormat="1" applyFill="1"/>
    <xf numFmtId="38" fontId="0" fillId="0" borderId="0" xfId="0" applyNumberFormat="1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3" fontId="1" fillId="0" borderId="0" xfId="3" applyNumberFormat="1" applyFont="1" applyFill="1"/>
    <xf numFmtId="9" fontId="1" fillId="0" borderId="0" xfId="2" applyFont="1" applyFill="1"/>
    <xf numFmtId="0" fontId="1" fillId="0" borderId="0" xfId="0" applyFont="1" applyFill="1" applyAlignment="1">
      <alignment horizontal="left" vertical="top" wrapText="1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7" fontId="1" fillId="0" borderId="0" xfId="1" applyFont="1" applyFill="1" applyAlignment="1">
      <alignment horizontal="center" vertical="center"/>
    </xf>
    <xf numFmtId="167" fontId="1" fillId="0" borderId="0" xfId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67" fontId="1" fillId="0" borderId="0" xfId="1" applyFont="1" applyFill="1" applyAlignment="1">
      <alignment vertical="center"/>
    </xf>
    <xf numFmtId="167" fontId="1" fillId="0" borderId="0" xfId="1" applyFont="1" applyFill="1" applyBorder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6" applyFont="1" applyFill="1" applyBorder="1"/>
    <xf numFmtId="3" fontId="1" fillId="0" borderId="0" xfId="6" applyNumberFormat="1" applyFont="1" applyFill="1" applyBorder="1"/>
    <xf numFmtId="0" fontId="2" fillId="0" borderId="1" xfId="0" applyFont="1" applyFill="1" applyBorder="1" applyAlignment="1">
      <alignment horizontal="center"/>
    </xf>
    <xf numFmtId="0" fontId="23" fillId="0" borderId="0" xfId="0" applyFont="1" applyFill="1"/>
    <xf numFmtId="174" fontId="16" fillId="0" borderId="0" xfId="0" applyNumberFormat="1" applyFont="1" applyFill="1" applyBorder="1"/>
    <xf numFmtId="168" fontId="0" fillId="0" borderId="0" xfId="0" applyNumberFormat="1" applyFill="1" applyBorder="1"/>
    <xf numFmtId="3" fontId="0" fillId="0" borderId="0" xfId="1" applyNumberFormat="1" applyFont="1" applyFill="1" applyBorder="1"/>
    <xf numFmtId="0" fontId="1" fillId="2" borderId="0" xfId="0" applyFont="1" applyFill="1" applyBorder="1" applyAlignment="1">
      <alignment horizontal="center"/>
    </xf>
    <xf numFmtId="10" fontId="1" fillId="2" borderId="0" xfId="0" applyNumberFormat="1" applyFont="1" applyFill="1" applyBorder="1"/>
    <xf numFmtId="0" fontId="2" fillId="0" borderId="0" xfId="0" applyFont="1" applyFill="1" applyBorder="1" applyAlignment="1"/>
    <xf numFmtId="3" fontId="1" fillId="0" borderId="0" xfId="0" applyNumberFormat="1" applyFont="1" applyBorder="1"/>
    <xf numFmtId="0" fontId="1" fillId="0" borderId="0" xfId="0" applyFont="1" applyFill="1" applyAlignment="1">
      <alignment horizontal="left" wrapText="1"/>
    </xf>
    <xf numFmtId="0" fontId="1" fillId="6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1" fillId="0" borderId="0" xfId="6" applyFont="1" applyFill="1" applyBorder="1" applyAlignment="1">
      <alignment horizontal="left" wrapText="1"/>
    </xf>
  </cellXfs>
  <cellStyles count="7">
    <cellStyle name="60% - Accent4" xfId="4" builtinId="44"/>
    <cellStyle name="Accent2" xfId="5" builtinId="33"/>
    <cellStyle name="Accent4" xfId="3" builtinId="41"/>
    <cellStyle name="Comma" xfId="1" builtinId="3"/>
    <cellStyle name="Normal" xfId="0" builtinId="0"/>
    <cellStyle name="Normal 2" xfId="6"/>
    <cellStyle name="Percent" xfId="2" builtinId="5"/>
  </cellStyles>
  <dxfs count="1">
    <dxf>
      <font>
        <color theme="0"/>
      </font>
      <numFmt numFmtId="2" formatCode="0.00"/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P29"/>
  <sheetViews>
    <sheetView tabSelected="1" view="pageBreakPreview" zoomScale="115" zoomScaleSheetLayoutView="115" workbookViewId="0">
      <selection activeCell="F1" sqref="F1"/>
    </sheetView>
  </sheetViews>
  <sheetFormatPr defaultRowHeight="13.2" x14ac:dyDescent="0.25"/>
  <cols>
    <col min="1" max="1" width="6.6640625" customWidth="1"/>
    <col min="2" max="2" width="9.109375" style="5"/>
    <col min="11" max="11" width="6.5546875" customWidth="1"/>
    <col min="12" max="12" width="6" hidden="1" customWidth="1"/>
  </cols>
  <sheetData>
    <row r="1" spans="2:16" ht="15.6" x14ac:dyDescent="0.3">
      <c r="D1" s="4"/>
      <c r="F1" s="7" t="s">
        <v>280</v>
      </c>
    </row>
    <row r="2" spans="2:16" x14ac:dyDescent="0.25">
      <c r="D2" s="4"/>
      <c r="F2" s="34" t="str">
        <f>'Schedule 1'!N2</f>
        <v>June 20, 2013 Refiling</v>
      </c>
    </row>
    <row r="3" spans="2:16" x14ac:dyDescent="0.25">
      <c r="D3" s="4"/>
      <c r="F3" s="34"/>
    </row>
    <row r="4" spans="2:16" ht="17.399999999999999" x14ac:dyDescent="0.3">
      <c r="F4" s="32" t="s">
        <v>37</v>
      </c>
    </row>
    <row r="6" spans="2:16" x14ac:dyDescent="0.25">
      <c r="B6" s="5">
        <v>1</v>
      </c>
      <c r="D6" t="str">
        <f>'Schedule 1'!H2</f>
        <v>Computation of Rate Base</v>
      </c>
    </row>
    <row r="8" spans="2:16" x14ac:dyDescent="0.25">
      <c r="B8" s="5">
        <v>2</v>
      </c>
      <c r="D8" t="str">
        <f>'Schedule 2'!H2</f>
        <v>Computation of Allowance for Working Capital</v>
      </c>
    </row>
    <row r="9" spans="2:16" x14ac:dyDescent="0.25">
      <c r="B9" s="5" t="s">
        <v>38</v>
      </c>
      <c r="D9" t="str">
        <f>'Schedule 2A'!H2</f>
        <v>Effect of GST on Working Capital</v>
      </c>
    </row>
    <row r="11" spans="2:16" x14ac:dyDescent="0.25">
      <c r="B11" s="5">
        <v>3</v>
      </c>
      <c r="D11" t="str">
        <f>'Schedule 3'!H2</f>
        <v>Continuity Schedule of Property, Plant and Equipment</v>
      </c>
    </row>
    <row r="12" spans="2:16" x14ac:dyDescent="0.25">
      <c r="B12" s="9"/>
      <c r="C12" s="8"/>
      <c r="D12" s="8"/>
      <c r="E12" s="8"/>
      <c r="F12" s="8"/>
      <c r="G12" s="8"/>
      <c r="H12" s="8"/>
      <c r="K12" s="3"/>
      <c r="L12" s="3"/>
      <c r="M12" s="3"/>
      <c r="N12" s="3"/>
      <c r="O12" s="3"/>
      <c r="P12" s="3"/>
    </row>
    <row r="13" spans="2:16" x14ac:dyDescent="0.25">
      <c r="B13" s="9" t="s">
        <v>39</v>
      </c>
      <c r="C13" s="8"/>
      <c r="D13" s="8" t="s">
        <v>237</v>
      </c>
      <c r="E13" s="8"/>
      <c r="F13" s="8"/>
      <c r="G13" s="8"/>
      <c r="H13" s="8"/>
      <c r="K13" s="3"/>
      <c r="L13" s="3"/>
      <c r="M13" s="3"/>
      <c r="N13" s="3"/>
      <c r="O13" s="3"/>
      <c r="P13" s="3"/>
    </row>
    <row r="14" spans="2:16" x14ac:dyDescent="0.25">
      <c r="B14" s="9" t="s">
        <v>40</v>
      </c>
      <c r="C14" s="8"/>
      <c r="D14" s="8" t="s">
        <v>238</v>
      </c>
      <c r="E14" s="8"/>
      <c r="F14" s="8"/>
      <c r="G14" s="8"/>
      <c r="H14" s="8"/>
      <c r="K14" s="3"/>
      <c r="L14" s="3"/>
      <c r="M14" s="3"/>
      <c r="N14" s="3"/>
      <c r="O14" s="3"/>
      <c r="P14" s="3"/>
    </row>
    <row r="15" spans="2:16" x14ac:dyDescent="0.25">
      <c r="B15" s="9" t="s">
        <v>41</v>
      </c>
      <c r="C15" s="8"/>
      <c r="D15" s="8" t="s">
        <v>239</v>
      </c>
      <c r="E15" s="8"/>
      <c r="F15" s="8"/>
      <c r="G15" s="8"/>
      <c r="H15" s="8"/>
      <c r="K15" s="3"/>
      <c r="L15" s="3"/>
      <c r="M15" s="3"/>
      <c r="N15" s="3"/>
      <c r="O15" s="3"/>
      <c r="P15" s="3"/>
    </row>
    <row r="16" spans="2:16" x14ac:dyDescent="0.25">
      <c r="B16" s="9"/>
      <c r="C16" s="8"/>
      <c r="D16" s="8"/>
      <c r="E16" s="8"/>
      <c r="F16" s="8"/>
      <c r="G16" s="8"/>
      <c r="H16" s="8"/>
      <c r="K16" s="3"/>
    </row>
    <row r="17" spans="2:4" x14ac:dyDescent="0.25">
      <c r="B17" s="5">
        <v>5</v>
      </c>
      <c r="D17" t="str">
        <f>'Schedule 5'!H2</f>
        <v>Utility Revenue Requirement</v>
      </c>
    </row>
    <row r="19" spans="2:4" x14ac:dyDescent="0.25">
      <c r="B19" s="5">
        <v>6</v>
      </c>
      <c r="D19" t="str">
        <f>'Schedule 6'!H2</f>
        <v>Statement of Earnings</v>
      </c>
    </row>
    <row r="21" spans="2:4" x14ac:dyDescent="0.25">
      <c r="B21" s="5">
        <v>7</v>
      </c>
      <c r="D21" t="str">
        <f>'Schedule 7'!H2</f>
        <v>Statement of Retained Earnings</v>
      </c>
    </row>
    <row r="23" spans="2:4" x14ac:dyDescent="0.25">
      <c r="B23" s="5">
        <v>8</v>
      </c>
      <c r="D23" t="str">
        <f>'Schedule 8'!H2</f>
        <v>Reconciliation of Utility Income to Net Earnings</v>
      </c>
    </row>
    <row r="25" spans="2:4" x14ac:dyDescent="0.25">
      <c r="B25" s="5">
        <v>9</v>
      </c>
      <c r="D25" t="str">
        <f>'Schedule 9'!F2</f>
        <v>Summary of Customers, Energy Sales and Revenues</v>
      </c>
    </row>
    <row r="27" spans="2:4" x14ac:dyDescent="0.25">
      <c r="B27" s="5">
        <f>B25+1</f>
        <v>10</v>
      </c>
      <c r="D27" t="str">
        <f>'Schedule 10'!H2</f>
        <v>Summary of Operating and Maintenance Expenses</v>
      </c>
    </row>
    <row r="29" spans="2:4" x14ac:dyDescent="0.25">
      <c r="B29" s="5">
        <f>B27+1</f>
        <v>11</v>
      </c>
      <c r="D29" t="str">
        <f>'Schedule 11'!H2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theme="9" tint="0.39997558519241921"/>
    <pageSetUpPr fitToPage="1"/>
  </sheetPr>
  <dimension ref="A1:O32"/>
  <sheetViews>
    <sheetView view="pageBreakPreview" zoomScale="85" zoomScaleSheetLayoutView="85" workbookViewId="0">
      <selection activeCell="F1" sqref="F1"/>
    </sheetView>
  </sheetViews>
  <sheetFormatPr defaultColWidth="9.109375" defaultRowHeight="13.2" x14ac:dyDescent="0.25"/>
  <cols>
    <col min="1" max="1" width="5.33203125" style="21" customWidth="1"/>
    <col min="2" max="2" width="1.88671875" style="21" customWidth="1"/>
    <col min="3" max="3" width="32" style="21" customWidth="1"/>
    <col min="4" max="4" width="1.88671875" style="21" customWidth="1"/>
    <col min="5" max="5" width="9.109375" style="50"/>
    <col min="6" max="6" width="1.88671875" style="21" customWidth="1"/>
    <col min="7" max="7" width="10.109375" style="21" customWidth="1"/>
    <col min="8" max="10" width="9.44140625" style="21" customWidth="1"/>
    <col min="11" max="11" width="1.44140625" style="54" customWidth="1"/>
    <col min="12" max="12" width="10.44140625" style="21" customWidth="1"/>
    <col min="13" max="13" width="1.44140625" style="54" customWidth="1"/>
    <col min="14" max="14" width="10.44140625" style="21" customWidth="1"/>
    <col min="15" max="15" width="1.88671875" style="21" customWidth="1"/>
    <col min="16" max="16384" width="9.109375" style="21"/>
  </cols>
  <sheetData>
    <row r="1" spans="1:15" ht="15.6" x14ac:dyDescent="0.3">
      <c r="H1" s="22" t="s">
        <v>4</v>
      </c>
      <c r="N1" s="85" t="s">
        <v>19</v>
      </c>
    </row>
    <row r="2" spans="1:15" x14ac:dyDescent="0.25">
      <c r="H2" s="23" t="s">
        <v>21</v>
      </c>
      <c r="N2" s="53" t="str">
        <f>'Schedule 1'!$N$2</f>
        <v>June 20, 2013 Refiling</v>
      </c>
    </row>
    <row r="3" spans="1:15" x14ac:dyDescent="0.25">
      <c r="H3" s="23" t="s">
        <v>6</v>
      </c>
    </row>
    <row r="6" spans="1:15" s="50" customFormat="1" x14ac:dyDescent="0.25">
      <c r="G6" s="77"/>
      <c r="H6" s="77"/>
      <c r="I6" s="77"/>
      <c r="J6" s="77"/>
      <c r="K6" s="77"/>
      <c r="L6" s="192"/>
      <c r="M6" s="77"/>
      <c r="N6" s="192"/>
    </row>
    <row r="7" spans="1:15" s="16" customFormat="1" ht="39.6" x14ac:dyDescent="0.25">
      <c r="A7" s="15" t="s">
        <v>0</v>
      </c>
      <c r="C7" s="15" t="s">
        <v>1</v>
      </c>
      <c r="E7" s="15" t="s">
        <v>2</v>
      </c>
      <c r="G7" s="15" t="s">
        <v>221</v>
      </c>
      <c r="H7" s="15" t="s">
        <v>216</v>
      </c>
      <c r="I7" s="15" t="s">
        <v>217</v>
      </c>
      <c r="J7" s="15" t="s">
        <v>260</v>
      </c>
      <c r="K7" s="27"/>
      <c r="L7" s="15" t="str">
        <f>'Schedule 1'!$L$7</f>
        <v>Proposed 2012</v>
      </c>
      <c r="M7" s="27"/>
      <c r="N7" s="15" t="str">
        <f>'Schedule 1'!$N$7</f>
        <v>Proposed 2013</v>
      </c>
    </row>
    <row r="9" spans="1:15" x14ac:dyDescent="0.25">
      <c r="A9" s="21">
        <v>1</v>
      </c>
      <c r="C9" s="21" t="s">
        <v>206</v>
      </c>
      <c r="E9" s="50" t="s">
        <v>36</v>
      </c>
      <c r="G9" s="58">
        <f>'Schedule 5'!G13</f>
        <v>10487.5</v>
      </c>
      <c r="H9" s="58">
        <f>'Schedule 5'!H13</f>
        <v>10094.696761728135</v>
      </c>
      <c r="I9" s="58">
        <f>'Schedule 5'!I13</f>
        <v>10184.911175177571</v>
      </c>
      <c r="J9" s="58">
        <f>'Schedule 5'!J13</f>
        <v>8704.1681897692797</v>
      </c>
      <c r="K9" s="28"/>
      <c r="L9" s="141">
        <f>'Schedule 5'!L13</f>
        <v>11396.429401848716</v>
      </c>
      <c r="M9" s="68"/>
      <c r="N9" s="141">
        <f>'Schedule 5'!N13</f>
        <v>12347.922358426327</v>
      </c>
    </row>
    <row r="10" spans="1:15" x14ac:dyDescent="0.25">
      <c r="G10" s="58"/>
      <c r="H10" s="58"/>
      <c r="I10" s="58"/>
      <c r="J10" s="58"/>
      <c r="K10" s="28"/>
      <c r="L10" s="58"/>
      <c r="M10" s="28"/>
      <c r="N10" s="58"/>
    </row>
    <row r="11" spans="1:15" x14ac:dyDescent="0.25">
      <c r="C11" s="21" t="s">
        <v>46</v>
      </c>
      <c r="G11" s="58"/>
      <c r="H11" s="58"/>
      <c r="I11" s="58"/>
      <c r="J11" s="58"/>
      <c r="K11" s="28"/>
      <c r="L11" s="58"/>
      <c r="M11" s="28"/>
      <c r="N11" s="58"/>
      <c r="O11" s="54"/>
    </row>
    <row r="12" spans="1:15" x14ac:dyDescent="0.25">
      <c r="A12" s="21">
        <v>2</v>
      </c>
      <c r="C12" s="143" t="s">
        <v>145</v>
      </c>
      <c r="E12" s="50" t="s">
        <v>167</v>
      </c>
      <c r="G12" s="58">
        <f>'Schedule 6'!G24</f>
        <v>798</v>
      </c>
      <c r="H12" s="58">
        <f>'Schedule 6'!H24</f>
        <v>392</v>
      </c>
      <c r="I12" s="58">
        <f>'Schedule 6'!I24</f>
        <v>514</v>
      </c>
      <c r="J12" s="58">
        <f>'Schedule 6'!J24</f>
        <v>554.79899999999998</v>
      </c>
      <c r="K12" s="28"/>
      <c r="L12" s="58">
        <f>'Schedule 6'!L24</f>
        <v>500</v>
      </c>
      <c r="M12" s="28"/>
      <c r="N12" s="58">
        <f>'Schedule 6'!N24</f>
        <v>500</v>
      </c>
      <c r="O12" s="54"/>
    </row>
    <row r="13" spans="1:15" x14ac:dyDescent="0.25">
      <c r="A13" s="21">
        <v>3</v>
      </c>
      <c r="C13" s="21" t="s">
        <v>150</v>
      </c>
      <c r="E13" s="50" t="s">
        <v>168</v>
      </c>
      <c r="G13" s="48">
        <f>'Schedule 6'!G25</f>
        <v>-155</v>
      </c>
      <c r="H13" s="48">
        <f>'Schedule 6'!H25</f>
        <v>1098.5</v>
      </c>
      <c r="I13" s="48">
        <f>'Schedule 6'!I25</f>
        <v>1163</v>
      </c>
      <c r="J13" s="48">
        <f>'Schedule 6'!J25</f>
        <v>61.166999999999973</v>
      </c>
      <c r="K13" s="28"/>
      <c r="L13" s="48">
        <f>'Schedule 6'!L25</f>
        <v>-49.315068493150683</v>
      </c>
      <c r="M13" s="48"/>
      <c r="N13" s="48">
        <f>'Schedule 6'!N25</f>
        <v>-22.602739726027398</v>
      </c>
      <c r="O13" s="54"/>
    </row>
    <row r="14" spans="1:15" x14ac:dyDescent="0.25">
      <c r="G14" s="48">
        <f t="shared" ref="G14" si="0">SUM(G9:G13)</f>
        <v>11130.5</v>
      </c>
      <c r="H14" s="48">
        <f t="shared" ref="H14:J14" si="1">SUM(H9:H13)</f>
        <v>11585.196761728135</v>
      </c>
      <c r="I14" s="48">
        <f t="shared" si="1"/>
        <v>11861.911175177571</v>
      </c>
      <c r="J14" s="48">
        <f t="shared" si="1"/>
        <v>9320.1341897692782</v>
      </c>
      <c r="K14" s="28"/>
      <c r="L14" s="48">
        <f>SUM(L9:L13)</f>
        <v>11847.114333355565</v>
      </c>
      <c r="M14" s="28"/>
      <c r="N14" s="48">
        <f>SUM(N9:N13)</f>
        <v>12825.3196187003</v>
      </c>
      <c r="O14" s="54"/>
    </row>
    <row r="15" spans="1:15" x14ac:dyDescent="0.25">
      <c r="O15" s="54"/>
    </row>
    <row r="16" spans="1:15" x14ac:dyDescent="0.25">
      <c r="C16" s="21" t="s">
        <v>112</v>
      </c>
      <c r="O16" s="54"/>
    </row>
    <row r="17" spans="1:15" x14ac:dyDescent="0.25">
      <c r="A17" s="21">
        <v>4</v>
      </c>
      <c r="C17" s="21" t="s">
        <v>116</v>
      </c>
      <c r="E17" s="50" t="s">
        <v>161</v>
      </c>
      <c r="G17" s="58">
        <f>'Schedule 6'!G29</f>
        <v>5665</v>
      </c>
      <c r="H17" s="58">
        <f>'Schedule 6'!H29</f>
        <v>6893.3653599297368</v>
      </c>
      <c r="I17" s="58">
        <f>'Schedule 6'!I29</f>
        <v>7005.6916235255594</v>
      </c>
      <c r="J17" s="58">
        <f>'Schedule 6'!J29</f>
        <v>4277.7579999999998</v>
      </c>
      <c r="K17" s="28"/>
      <c r="L17" s="58">
        <f>'Schedule 6'!L29</f>
        <v>4275.9951645035999</v>
      </c>
      <c r="M17" s="28"/>
      <c r="N17" s="58">
        <f>'Schedule 6'!N29</f>
        <v>4917.2862240983786</v>
      </c>
      <c r="O17" s="54"/>
    </row>
    <row r="18" spans="1:15" x14ac:dyDescent="0.25">
      <c r="A18" s="21">
        <v>5</v>
      </c>
      <c r="C18" s="21" t="s">
        <v>117</v>
      </c>
      <c r="E18" s="50" t="s">
        <v>119</v>
      </c>
      <c r="G18" s="58">
        <f>-'Schedule 5'!G23</f>
        <v>85</v>
      </c>
      <c r="H18" s="58">
        <f>-'Schedule 5'!H23</f>
        <v>94</v>
      </c>
      <c r="I18" s="58">
        <f>-'Schedule 5'!I23</f>
        <v>75</v>
      </c>
      <c r="J18" s="58">
        <f>-'Schedule 5'!J23</f>
        <v>85</v>
      </c>
      <c r="K18" s="28"/>
      <c r="L18" s="58">
        <f>-'Schedule 5'!L23</f>
        <v>85</v>
      </c>
      <c r="M18" s="28"/>
      <c r="N18" s="58">
        <f>-'Schedule 5'!N23</f>
        <v>85</v>
      </c>
      <c r="O18" s="54"/>
    </row>
    <row r="19" spans="1:15" x14ac:dyDescent="0.25">
      <c r="A19" s="21">
        <v>6</v>
      </c>
      <c r="C19" s="21" t="s">
        <v>207</v>
      </c>
      <c r="E19" s="50" t="s">
        <v>165</v>
      </c>
      <c r="G19" s="142">
        <f>-'Schedule 5'!G24</f>
        <v>0</v>
      </c>
      <c r="H19" s="142">
        <f>-'Schedule 5'!H24</f>
        <v>224</v>
      </c>
      <c r="I19" s="142">
        <f>-'Schedule 5'!I24</f>
        <v>0</v>
      </c>
      <c r="J19" s="142">
        <f>-'Schedule 5'!J24</f>
        <v>0</v>
      </c>
      <c r="K19" s="142"/>
      <c r="L19" s="142">
        <f>-'Schedule 5'!L24</f>
        <v>0</v>
      </c>
      <c r="M19" s="142">
        <v>0</v>
      </c>
      <c r="N19" s="142">
        <f>-'Schedule 5'!N24</f>
        <v>0</v>
      </c>
      <c r="O19" s="54"/>
    </row>
    <row r="20" spans="1:15" x14ac:dyDescent="0.25">
      <c r="A20" s="21">
        <v>7</v>
      </c>
      <c r="C20" s="21" t="s">
        <v>101</v>
      </c>
      <c r="E20" s="50" t="s">
        <v>196</v>
      </c>
      <c r="G20" s="48">
        <f>-'Schedule 5'!G22</f>
        <v>4</v>
      </c>
      <c r="H20" s="48">
        <f>-'Schedule 5'!H22</f>
        <v>4</v>
      </c>
      <c r="I20" s="48">
        <f>-'Schedule 5'!I22</f>
        <v>4</v>
      </c>
      <c r="J20" s="48">
        <f>-'Schedule 5'!J22</f>
        <v>4</v>
      </c>
      <c r="K20" s="28"/>
      <c r="L20" s="48">
        <f>-'Schedule 5'!L22</f>
        <v>16.278565</v>
      </c>
      <c r="M20" s="28"/>
      <c r="N20" s="48">
        <f>-'Schedule 5'!N22</f>
        <v>16.278565</v>
      </c>
      <c r="O20" s="41"/>
    </row>
    <row r="21" spans="1:15" x14ac:dyDescent="0.25">
      <c r="G21" s="48">
        <f t="shared" ref="G21" si="2">SUM(G17:G20)</f>
        <v>5754</v>
      </c>
      <c r="H21" s="48">
        <f t="shared" ref="H21:J21" si="3">SUM(H17:H20)</f>
        <v>7215.3653599297368</v>
      </c>
      <c r="I21" s="48">
        <f t="shared" si="3"/>
        <v>7084.6916235255594</v>
      </c>
      <c r="J21" s="48">
        <f t="shared" si="3"/>
        <v>4366.7579999999998</v>
      </c>
      <c r="K21" s="28"/>
      <c r="L21" s="48">
        <f>SUM(L17:L20)</f>
        <v>4377.2737295035995</v>
      </c>
      <c r="M21" s="28"/>
      <c r="N21" s="48">
        <f>SUM(N17:N20)</f>
        <v>5018.5647890983782</v>
      </c>
      <c r="O21" s="54"/>
    </row>
    <row r="22" spans="1:15" x14ac:dyDescent="0.25">
      <c r="G22" s="108"/>
      <c r="H22" s="108"/>
      <c r="I22" s="108"/>
      <c r="J22" s="108"/>
      <c r="K22" s="108"/>
      <c r="L22" s="108"/>
      <c r="M22" s="108"/>
      <c r="N22" s="108"/>
      <c r="O22" s="54"/>
    </row>
    <row r="23" spans="1:15" x14ac:dyDescent="0.25">
      <c r="A23" s="21">
        <v>8</v>
      </c>
      <c r="C23" s="21" t="s">
        <v>110</v>
      </c>
      <c r="E23" s="50" t="s">
        <v>256</v>
      </c>
      <c r="G23" s="58">
        <f>G14-G21+1</f>
        <v>5377.5</v>
      </c>
      <c r="H23" s="58">
        <f t="shared" ref="H23:J23" si="4">H14-H21</f>
        <v>4369.8314017983985</v>
      </c>
      <c r="I23" s="58">
        <f t="shared" si="4"/>
        <v>4777.2195516520114</v>
      </c>
      <c r="J23" s="58">
        <f t="shared" si="4"/>
        <v>4953.3761897692784</v>
      </c>
      <c r="K23" s="28"/>
      <c r="L23" s="58">
        <f>L14-L21</f>
        <v>7469.8406038519652</v>
      </c>
      <c r="M23" s="28"/>
      <c r="N23" s="58">
        <f>N14-N21</f>
        <v>7806.7548296019213</v>
      </c>
      <c r="O23" s="54"/>
    </row>
    <row r="24" spans="1:15" x14ac:dyDescent="0.25">
      <c r="G24" s="58"/>
      <c r="H24" s="58"/>
      <c r="I24" s="58"/>
      <c r="J24" s="58"/>
      <c r="K24" s="28"/>
      <c r="L24" s="58"/>
      <c r="M24" s="28"/>
      <c r="N24" s="58"/>
      <c r="O24" s="54"/>
    </row>
    <row r="25" spans="1:15" x14ac:dyDescent="0.25">
      <c r="A25" s="21">
        <v>9</v>
      </c>
      <c r="C25" s="21" t="s">
        <v>266</v>
      </c>
      <c r="E25" s="76"/>
      <c r="G25" s="58"/>
      <c r="H25" s="58">
        <v>-241</v>
      </c>
      <c r="I25" s="58"/>
      <c r="J25" s="58"/>
      <c r="K25" s="28"/>
      <c r="L25" s="58"/>
      <c r="M25" s="28"/>
      <c r="N25" s="58"/>
      <c r="O25" s="54"/>
    </row>
    <row r="26" spans="1:15" x14ac:dyDescent="0.25">
      <c r="O26" s="54"/>
    </row>
    <row r="27" spans="1:15" ht="13.8" thickBot="1" x14ac:dyDescent="0.3">
      <c r="A27" s="21">
        <v>10</v>
      </c>
      <c r="C27" s="21" t="s">
        <v>118</v>
      </c>
      <c r="G27" s="96"/>
      <c r="H27" s="96">
        <f>H23+H25</f>
        <v>4128.8314017983985</v>
      </c>
      <c r="I27" s="96">
        <f t="shared" ref="I27" si="5">I23+I25</f>
        <v>4777.2195516520114</v>
      </c>
      <c r="J27" s="96"/>
      <c r="K27" s="96"/>
      <c r="L27" s="96"/>
      <c r="M27" s="96"/>
      <c r="N27" s="96"/>
      <c r="O27" s="54"/>
    </row>
    <row r="28" spans="1:15" x14ac:dyDescent="0.25">
      <c r="G28" s="41"/>
      <c r="H28" s="41"/>
      <c r="I28" s="41"/>
      <c r="J28" s="41"/>
      <c r="K28" s="108"/>
      <c r="L28" s="41"/>
      <c r="M28" s="108"/>
      <c r="N28" s="41"/>
      <c r="O28" s="54"/>
    </row>
    <row r="29" spans="1:15" x14ac:dyDescent="0.25">
      <c r="A29" s="65" t="s">
        <v>180</v>
      </c>
      <c r="C29" s="204"/>
      <c r="D29" s="204"/>
      <c r="E29" s="204"/>
      <c r="F29" s="204"/>
      <c r="G29" s="110"/>
      <c r="H29" s="110"/>
      <c r="I29" s="110"/>
      <c r="J29" s="110"/>
      <c r="K29" s="144"/>
      <c r="L29" s="110"/>
      <c r="M29" s="144"/>
      <c r="N29" s="110"/>
      <c r="O29" s="54"/>
    </row>
    <row r="30" spans="1:15" ht="51.75" customHeight="1" x14ac:dyDescent="0.25">
      <c r="A30" s="204" t="s">
        <v>267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54"/>
    </row>
    <row r="31" spans="1:15" x14ac:dyDescent="0.25">
      <c r="A31" s="65"/>
      <c r="C31" s="178"/>
      <c r="D31" s="178"/>
      <c r="E31" s="178"/>
      <c r="F31" s="178"/>
      <c r="G31" s="178"/>
      <c r="H31" s="178"/>
      <c r="I31" s="178"/>
      <c r="J31" s="178"/>
      <c r="K31" s="144"/>
      <c r="L31" s="178"/>
      <c r="M31" s="144"/>
      <c r="N31" s="178"/>
      <c r="O31" s="54"/>
    </row>
    <row r="32" spans="1:15" x14ac:dyDescent="0.25">
      <c r="G32" s="41"/>
      <c r="H32" s="41"/>
      <c r="I32" s="41"/>
      <c r="J32" s="41"/>
      <c r="K32" s="108"/>
      <c r="L32" s="41"/>
      <c r="M32" s="108"/>
      <c r="N32" s="41"/>
    </row>
  </sheetData>
  <mergeCells count="2">
    <mergeCell ref="C29:F29"/>
    <mergeCell ref="A30:N30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theme="9" tint="0.39997558519241921"/>
    <pageSetUpPr fitToPage="1"/>
  </sheetPr>
  <dimension ref="A1:S92"/>
  <sheetViews>
    <sheetView view="pageBreakPreview" zoomScale="115" zoomScaleSheetLayoutView="115" workbookViewId="0">
      <selection activeCell="F1" sqref="F1"/>
    </sheetView>
  </sheetViews>
  <sheetFormatPr defaultColWidth="9.109375" defaultRowHeight="13.2" x14ac:dyDescent="0.25"/>
  <cols>
    <col min="1" max="1" width="5.33203125" style="8" customWidth="1"/>
    <col min="2" max="2" width="1.88671875" style="8" customWidth="1"/>
    <col min="3" max="3" width="27.44140625" style="8" customWidth="1"/>
    <col min="4" max="4" width="1.88671875" style="8" customWidth="1"/>
    <col min="5" max="5" width="10.109375" style="8" customWidth="1"/>
    <col min="6" max="8" width="9.44140625" style="8" customWidth="1"/>
    <col min="9" max="9" width="1.5546875" style="12" customWidth="1"/>
    <col min="10" max="10" width="9.44140625" style="8" customWidth="1"/>
    <col min="11" max="11" width="1" style="8" customWidth="1"/>
    <col min="12" max="12" width="9.44140625" style="8" customWidth="1"/>
    <col min="13" max="13" width="10.6640625" style="8" hidden="1" customWidth="1"/>
    <col min="14" max="14" width="2.5546875" style="8" customWidth="1"/>
    <col min="15" max="16384" width="9.109375" style="8"/>
  </cols>
  <sheetData>
    <row r="1" spans="1:17" ht="15.6" x14ac:dyDescent="0.3">
      <c r="C1" s="145"/>
      <c r="F1" s="22" t="s">
        <v>4</v>
      </c>
      <c r="I1" s="45"/>
      <c r="L1" s="9" t="s">
        <v>20</v>
      </c>
    </row>
    <row r="2" spans="1:17" x14ac:dyDescent="0.25">
      <c r="F2" s="23" t="s">
        <v>23</v>
      </c>
      <c r="I2" s="77"/>
      <c r="L2" s="46" t="str">
        <f>'Schedule 1'!$N$2</f>
        <v>June 20, 2013 Refiling</v>
      </c>
    </row>
    <row r="3" spans="1:17" x14ac:dyDescent="0.25">
      <c r="C3" s="95"/>
      <c r="F3" s="23" t="s">
        <v>6</v>
      </c>
      <c r="I3" s="77"/>
    </row>
    <row r="4" spans="1:17" x14ac:dyDescent="0.25">
      <c r="C4" s="146"/>
    </row>
    <row r="5" spans="1:17" x14ac:dyDescent="0.25">
      <c r="C5" s="114"/>
    </row>
    <row r="6" spans="1:17" s="18" customFormat="1" x14ac:dyDescent="0.25">
      <c r="C6" s="147"/>
      <c r="E6" s="77"/>
      <c r="F6" s="77"/>
      <c r="G6" s="77"/>
      <c r="H6" s="77"/>
      <c r="I6" s="77"/>
      <c r="J6" s="205"/>
      <c r="K6" s="205"/>
      <c r="L6" s="205"/>
      <c r="M6" s="205"/>
      <c r="N6" s="139"/>
    </row>
    <row r="7" spans="1:17" s="16" customFormat="1" ht="39.6" x14ac:dyDescent="0.25">
      <c r="A7" s="15" t="s">
        <v>0</v>
      </c>
      <c r="C7" s="15" t="s">
        <v>1</v>
      </c>
      <c r="E7" s="15" t="s">
        <v>221</v>
      </c>
      <c r="F7" s="15" t="s">
        <v>216</v>
      </c>
      <c r="G7" s="15" t="s">
        <v>217</v>
      </c>
      <c r="H7" s="15" t="s">
        <v>260</v>
      </c>
      <c r="I7" s="27"/>
      <c r="J7" s="15" t="str">
        <f>'Schedule 1'!$L$7</f>
        <v>Proposed 2012</v>
      </c>
      <c r="K7" s="15"/>
      <c r="L7" s="15" t="str">
        <f>'Schedule 1'!$N$7</f>
        <v>Proposed 2013</v>
      </c>
      <c r="M7" s="15" t="str">
        <f>'Schedule 1'!$N$7</f>
        <v>Proposed 2013</v>
      </c>
      <c r="N7" s="27"/>
    </row>
    <row r="8" spans="1:17" x14ac:dyDescent="0.25">
      <c r="A8" s="21">
        <v>1</v>
      </c>
      <c r="B8" s="21"/>
      <c r="C8" s="148" t="s">
        <v>120</v>
      </c>
      <c r="Q8" s="78"/>
    </row>
    <row r="9" spans="1:17" x14ac:dyDescent="0.25">
      <c r="A9" s="21">
        <v>2</v>
      </c>
      <c r="B9" s="21"/>
      <c r="C9" s="55" t="s">
        <v>121</v>
      </c>
      <c r="E9" s="20">
        <v>1432</v>
      </c>
      <c r="F9" s="20">
        <v>1456.5</v>
      </c>
      <c r="G9" s="20">
        <v>1472.3333333333333</v>
      </c>
      <c r="H9" s="20">
        <v>1514.6666666666667</v>
      </c>
      <c r="I9" s="20"/>
      <c r="J9" s="20">
        <v>1525.6936111111111</v>
      </c>
      <c r="K9" s="20">
        <v>0</v>
      </c>
      <c r="L9" s="20">
        <v>1536.4991666666665</v>
      </c>
      <c r="M9" s="20">
        <v>0</v>
      </c>
      <c r="N9" s="20"/>
      <c r="Q9" s="79"/>
    </row>
    <row r="10" spans="1:17" x14ac:dyDescent="0.25">
      <c r="A10" s="21">
        <v>3</v>
      </c>
      <c r="B10" s="21"/>
      <c r="C10" s="55" t="s">
        <v>144</v>
      </c>
      <c r="E10" s="20">
        <v>11183</v>
      </c>
      <c r="F10" s="20">
        <v>11676.19</v>
      </c>
      <c r="G10" s="20">
        <v>11386.352999999999</v>
      </c>
      <c r="H10" s="20">
        <v>12710.045</v>
      </c>
      <c r="I10" s="20"/>
      <c r="J10" s="20">
        <v>12325.177481246677</v>
      </c>
      <c r="K10" s="20">
        <v>0</v>
      </c>
      <c r="L10" s="20">
        <v>12408.471247515801</v>
      </c>
      <c r="M10" s="20">
        <v>0</v>
      </c>
      <c r="N10" s="20"/>
      <c r="Q10" s="79"/>
    </row>
    <row r="11" spans="1:17" x14ac:dyDescent="0.25">
      <c r="A11" s="21">
        <v>4</v>
      </c>
      <c r="B11" s="21"/>
      <c r="C11" s="55" t="s">
        <v>122</v>
      </c>
      <c r="E11" s="20">
        <v>7.8093575418994412</v>
      </c>
      <c r="F11" s="20">
        <v>8.0166083075866812</v>
      </c>
      <c r="G11" s="20">
        <v>7.7335429024224585</v>
      </c>
      <c r="H11" s="20">
        <v>8.3913149207746471</v>
      </c>
      <c r="I11" s="150"/>
      <c r="J11" s="20">
        <v>8.0784093159246222</v>
      </c>
      <c r="K11" s="20">
        <v>0</v>
      </c>
      <c r="L11" s="20">
        <v>8.0758073396389545</v>
      </c>
      <c r="M11" s="20">
        <v>0</v>
      </c>
      <c r="N11" s="149"/>
      <c r="Q11" s="79"/>
    </row>
    <row r="12" spans="1:17" x14ac:dyDescent="0.25">
      <c r="A12" s="21">
        <v>5</v>
      </c>
      <c r="B12" s="21"/>
      <c r="C12" s="55" t="s">
        <v>123</v>
      </c>
      <c r="D12" s="114"/>
      <c r="E12" s="20">
        <v>1335</v>
      </c>
      <c r="F12" s="20">
        <v>1385.5229999999999</v>
      </c>
      <c r="G12" s="20">
        <v>1358.9739999999999</v>
      </c>
      <c r="H12" s="20">
        <v>1693.721</v>
      </c>
      <c r="I12" s="20"/>
      <c r="J12" s="20">
        <v>1802.9374743356047</v>
      </c>
      <c r="K12" s="20">
        <v>0</v>
      </c>
      <c r="L12" s="20">
        <v>1815.1217575082931</v>
      </c>
      <c r="M12" s="20">
        <v>0</v>
      </c>
      <c r="N12" s="20"/>
      <c r="Q12" s="79"/>
    </row>
    <row r="13" spans="1:17" x14ac:dyDescent="0.25">
      <c r="A13" s="21">
        <v>6</v>
      </c>
      <c r="B13" s="21"/>
      <c r="C13" s="55" t="s">
        <v>124</v>
      </c>
      <c r="D13" s="146"/>
      <c r="E13" s="152">
        <f t="shared" ref="E13:H13" si="0">E12/E10*100</f>
        <v>11.937762675489584</v>
      </c>
      <c r="F13" s="152">
        <f t="shared" si="0"/>
        <v>11.866225198459428</v>
      </c>
      <c r="G13" s="152">
        <f t="shared" si="0"/>
        <v>11.935112146971028</v>
      </c>
      <c r="H13" s="152">
        <f t="shared" si="0"/>
        <v>13.325845817225668</v>
      </c>
      <c r="I13" s="152"/>
      <c r="J13" s="152">
        <f t="shared" ref="J13:K13" si="1">J12/J10*100</f>
        <v>14.628085291906398</v>
      </c>
      <c r="K13" s="152" t="e">
        <f t="shared" si="1"/>
        <v>#DIV/0!</v>
      </c>
      <c r="L13" s="152">
        <f t="shared" ref="L13" si="2">L12/L10*100</f>
        <v>14.628085291906395</v>
      </c>
      <c r="M13" s="152" t="e">
        <f t="shared" ref="M13" si="3">M12/M10*100</f>
        <v>#DIV/0!</v>
      </c>
      <c r="N13" s="151"/>
      <c r="Q13" s="79"/>
    </row>
    <row r="14" spans="1:17" x14ac:dyDescent="0.25">
      <c r="A14" s="21">
        <v>7</v>
      </c>
      <c r="B14" s="21"/>
      <c r="C14" s="148" t="s">
        <v>151</v>
      </c>
      <c r="E14" s="20"/>
      <c r="F14" s="20"/>
      <c r="G14" s="20"/>
      <c r="H14" s="20"/>
      <c r="I14" s="21"/>
      <c r="J14" s="20"/>
      <c r="K14" s="20"/>
      <c r="L14" s="21"/>
      <c r="M14" s="21"/>
      <c r="N14" s="21"/>
      <c r="Q14" s="78"/>
    </row>
    <row r="15" spans="1:17" x14ac:dyDescent="0.25">
      <c r="A15" s="21">
        <v>8</v>
      </c>
      <c r="B15" s="21"/>
      <c r="C15" s="55" t="s">
        <v>121</v>
      </c>
      <c r="E15" s="20">
        <v>457</v>
      </c>
      <c r="F15" s="20">
        <v>442</v>
      </c>
      <c r="G15" s="20">
        <v>454.58333333333331</v>
      </c>
      <c r="H15" s="20">
        <v>463.91666666666669</v>
      </c>
      <c r="I15" s="20"/>
      <c r="J15" s="20">
        <v>460.34119055436787</v>
      </c>
      <c r="K15" s="20">
        <v>0</v>
      </c>
      <c r="L15" s="20">
        <v>466.69523780304013</v>
      </c>
      <c r="M15" s="20">
        <v>0</v>
      </c>
      <c r="N15" s="41"/>
      <c r="Q15" s="79"/>
    </row>
    <row r="16" spans="1:17" x14ac:dyDescent="0.25">
      <c r="A16" s="21">
        <v>9</v>
      </c>
      <c r="B16" s="21"/>
      <c r="C16" s="55" t="s">
        <v>144</v>
      </c>
      <c r="E16" s="20">
        <v>19543</v>
      </c>
      <c r="F16" s="20">
        <v>19671.832999999999</v>
      </c>
      <c r="G16" s="20">
        <v>22719.361990000001</v>
      </c>
      <c r="H16" s="20">
        <v>21305.138999999999</v>
      </c>
      <c r="I16" s="20"/>
      <c r="J16" s="20">
        <v>21693.189648938886</v>
      </c>
      <c r="K16" s="20">
        <v>0</v>
      </c>
      <c r="L16" s="20">
        <v>22619.641098856657</v>
      </c>
      <c r="M16" s="20">
        <v>0</v>
      </c>
      <c r="N16" s="20"/>
      <c r="Q16" s="79"/>
    </row>
    <row r="17" spans="1:17" x14ac:dyDescent="0.25">
      <c r="A17" s="21">
        <v>10</v>
      </c>
      <c r="B17" s="21"/>
      <c r="C17" s="55" t="s">
        <v>122</v>
      </c>
      <c r="E17" s="20">
        <v>42.763676148796499</v>
      </c>
      <c r="F17" s="20">
        <v>44.506409502262443</v>
      </c>
      <c r="G17" s="20">
        <v>49.978431508707615</v>
      </c>
      <c r="H17" s="20">
        <v>45.924495778695885</v>
      </c>
      <c r="I17" s="150"/>
      <c r="J17" s="20">
        <v>47.124155070318103</v>
      </c>
      <c r="K17" s="20">
        <v>0</v>
      </c>
      <c r="L17" s="20">
        <v>48.467692118175947</v>
      </c>
      <c r="M17" s="20">
        <v>0</v>
      </c>
      <c r="N17" s="149"/>
      <c r="Q17" s="79"/>
    </row>
    <row r="18" spans="1:17" x14ac:dyDescent="0.25">
      <c r="A18" s="21">
        <v>11</v>
      </c>
      <c r="B18" s="21"/>
      <c r="C18" s="55" t="s">
        <v>123</v>
      </c>
      <c r="E18" s="20">
        <v>2637</v>
      </c>
      <c r="F18" s="20">
        <v>2695.6280000000002</v>
      </c>
      <c r="G18" s="20">
        <v>2941.9160000000002</v>
      </c>
      <c r="H18" s="20">
        <v>3217.6480000000001</v>
      </c>
      <c r="I18" s="20"/>
      <c r="J18" s="20">
        <v>3582.1880644490388</v>
      </c>
      <c r="K18" s="20">
        <v>0</v>
      </c>
      <c r="L18" s="20">
        <v>3735.1726361000451</v>
      </c>
      <c r="M18" s="20">
        <v>0</v>
      </c>
      <c r="N18" s="20"/>
      <c r="Q18" s="79"/>
    </row>
    <row r="19" spans="1:17" x14ac:dyDescent="0.25">
      <c r="A19" s="21">
        <v>12</v>
      </c>
      <c r="B19" s="21"/>
      <c r="C19" s="55" t="s">
        <v>124</v>
      </c>
      <c r="E19" s="152">
        <f t="shared" ref="E19:H19" si="4">E18/E16*100</f>
        <v>13.493322417233792</v>
      </c>
      <c r="F19" s="152">
        <f t="shared" si="4"/>
        <v>13.702983346798442</v>
      </c>
      <c r="G19" s="152">
        <f t="shared" si="4"/>
        <v>12.948937568294806</v>
      </c>
      <c r="H19" s="152">
        <f t="shared" si="4"/>
        <v>15.10268484988528</v>
      </c>
      <c r="I19" s="152"/>
      <c r="J19" s="152">
        <f t="shared" ref="J19:K19" si="5">J18/J16*100</f>
        <v>16.512961544243264</v>
      </c>
      <c r="K19" s="152" t="e">
        <f t="shared" si="5"/>
        <v>#DIV/0!</v>
      </c>
      <c r="L19" s="152">
        <f t="shared" ref="L19" si="6">L18/L16*100</f>
        <v>16.512961544243268</v>
      </c>
      <c r="M19" s="152" t="e">
        <f t="shared" ref="M19" si="7">M18/M16*100</f>
        <v>#DIV/0!</v>
      </c>
      <c r="N19" s="152"/>
      <c r="Q19" s="79"/>
    </row>
    <row r="20" spans="1:17" x14ac:dyDescent="0.25">
      <c r="A20" s="21">
        <v>13</v>
      </c>
      <c r="B20" s="21"/>
      <c r="C20" s="148" t="s">
        <v>125</v>
      </c>
      <c r="E20" s="20"/>
      <c r="F20" s="20"/>
      <c r="G20" s="20"/>
      <c r="H20" s="20"/>
      <c r="I20" s="21"/>
      <c r="J20" s="20"/>
      <c r="K20" s="20"/>
      <c r="L20" s="21"/>
      <c r="M20" s="21"/>
      <c r="N20" s="21"/>
      <c r="Q20" s="78"/>
    </row>
    <row r="21" spans="1:17" x14ac:dyDescent="0.25">
      <c r="A21" s="21">
        <v>14</v>
      </c>
      <c r="B21" s="21"/>
      <c r="C21" s="55" t="s">
        <v>144</v>
      </c>
      <c r="E21" s="20">
        <v>29023</v>
      </c>
      <c r="F21" s="20">
        <v>29354.723999999998</v>
      </c>
      <c r="G21" s="20">
        <v>30255.200000000001</v>
      </c>
      <c r="H21" s="20">
        <v>43258.7</v>
      </c>
      <c r="I21" s="20"/>
      <c r="J21" s="20">
        <v>42782.599040639769</v>
      </c>
      <c r="K21" s="20">
        <v>0</v>
      </c>
      <c r="L21" s="20">
        <v>40591.971022043414</v>
      </c>
      <c r="M21" s="20">
        <v>0</v>
      </c>
      <c r="N21" s="20"/>
      <c r="Q21" s="79"/>
    </row>
    <row r="22" spans="1:17" x14ac:dyDescent="0.25">
      <c r="A22" s="21">
        <v>15</v>
      </c>
      <c r="B22" s="21"/>
      <c r="C22" s="55" t="s">
        <v>123</v>
      </c>
      <c r="E22" s="20">
        <v>3203</v>
      </c>
      <c r="F22" s="20">
        <v>3190.2959999999998</v>
      </c>
      <c r="G22" s="20">
        <v>3310.6619999999998</v>
      </c>
      <c r="H22" s="20">
        <v>4598.915</v>
      </c>
      <c r="I22" s="20"/>
      <c r="J22" s="20">
        <v>4955.0173824594422</v>
      </c>
      <c r="K22" s="20">
        <v>0</v>
      </c>
      <c r="L22" s="20">
        <v>4786.6931945921997</v>
      </c>
      <c r="M22" s="20">
        <v>0</v>
      </c>
      <c r="N22" s="20"/>
      <c r="Q22" s="79"/>
    </row>
    <row r="23" spans="1:17" x14ac:dyDescent="0.25">
      <c r="A23" s="21">
        <v>16</v>
      </c>
      <c r="B23" s="21"/>
      <c r="C23" s="55" t="s">
        <v>124</v>
      </c>
      <c r="E23" s="20">
        <v>11.036074837198084</v>
      </c>
      <c r="F23" s="20">
        <v>10.868083787808736</v>
      </c>
      <c r="G23" s="20">
        <v>10.942456172823183</v>
      </c>
      <c r="H23" s="20">
        <v>10.631190951184387</v>
      </c>
      <c r="I23" s="152"/>
      <c r="J23" s="20">
        <v>11.581852186569133</v>
      </c>
      <c r="K23" s="20">
        <v>0</v>
      </c>
      <c r="L23" s="152">
        <f t="shared" ref="L23" si="8">L22/L21*100</f>
        <v>11.792216721855642</v>
      </c>
      <c r="M23" s="152" t="e">
        <f t="shared" ref="M23" si="9">M22/M21*100</f>
        <v>#DIV/0!</v>
      </c>
      <c r="N23" s="153"/>
      <c r="Q23" s="79"/>
    </row>
    <row r="24" spans="1:17" x14ac:dyDescent="0.25">
      <c r="A24" s="21">
        <v>17</v>
      </c>
      <c r="B24" s="21"/>
      <c r="C24" s="148" t="s">
        <v>126</v>
      </c>
      <c r="E24" s="20"/>
      <c r="F24" s="20"/>
      <c r="G24" s="20"/>
      <c r="H24" s="20"/>
      <c r="I24" s="21"/>
      <c r="J24" s="20"/>
      <c r="K24" s="20"/>
      <c r="L24" s="21"/>
      <c r="M24" s="21"/>
      <c r="N24" s="21"/>
      <c r="Q24" s="78"/>
    </row>
    <row r="25" spans="1:17" x14ac:dyDescent="0.25">
      <c r="A25" s="21">
        <v>18</v>
      </c>
      <c r="B25" s="21"/>
      <c r="C25" s="55" t="s">
        <v>144</v>
      </c>
      <c r="E25" s="20">
        <v>278</v>
      </c>
      <c r="F25" s="20">
        <v>496.495</v>
      </c>
      <c r="G25" s="20">
        <v>282.80799999999999</v>
      </c>
      <c r="H25" s="20">
        <v>282.95999999999998</v>
      </c>
      <c r="I25" s="20"/>
      <c r="J25" s="20">
        <v>278.64</v>
      </c>
      <c r="K25" s="20">
        <v>0</v>
      </c>
      <c r="L25" s="20">
        <v>278.64</v>
      </c>
      <c r="M25" s="20">
        <v>0</v>
      </c>
      <c r="N25" s="20"/>
      <c r="Q25" s="79"/>
    </row>
    <row r="26" spans="1:17" x14ac:dyDescent="0.25">
      <c r="A26" s="21">
        <v>19</v>
      </c>
      <c r="B26" s="21"/>
      <c r="C26" s="55" t="s">
        <v>123</v>
      </c>
      <c r="D26" s="95"/>
      <c r="E26" s="20">
        <v>71</v>
      </c>
      <c r="F26" s="20">
        <v>59.911999999999999</v>
      </c>
      <c r="G26" s="20">
        <v>74.260000000000005</v>
      </c>
      <c r="H26" s="20">
        <v>82.129000000000005</v>
      </c>
      <c r="I26" s="20"/>
      <c r="J26" s="20">
        <v>87.915186791149239</v>
      </c>
      <c r="K26" s="20">
        <v>0</v>
      </c>
      <c r="L26" s="20">
        <v>87.915186791149239</v>
      </c>
      <c r="M26" s="20">
        <v>0</v>
      </c>
      <c r="N26" s="20"/>
      <c r="Q26" s="79"/>
    </row>
    <row r="27" spans="1:17" x14ac:dyDescent="0.25">
      <c r="A27" s="21">
        <v>20</v>
      </c>
      <c r="B27" s="21"/>
      <c r="C27" s="55" t="s">
        <v>124</v>
      </c>
      <c r="E27" s="152">
        <v>25.63</v>
      </c>
      <c r="F27" s="152">
        <f t="shared" ref="F27:H27" si="10">F26/F25*100</f>
        <v>12.0669895970755</v>
      </c>
      <c r="G27" s="152">
        <f t="shared" si="10"/>
        <v>26.258097366411135</v>
      </c>
      <c r="H27" s="152">
        <f t="shared" si="10"/>
        <v>29.024950523042133</v>
      </c>
      <c r="I27" s="152"/>
      <c r="J27" s="152">
        <f t="shared" ref="J27:K27" si="11">J26/J25*100</f>
        <v>31.551531291684338</v>
      </c>
      <c r="K27" s="152" t="e">
        <f t="shared" si="11"/>
        <v>#DIV/0!</v>
      </c>
      <c r="L27" s="152">
        <f t="shared" ref="L27" si="12">L26/L25*100</f>
        <v>31.551531291684338</v>
      </c>
      <c r="M27" s="152" t="e">
        <f t="shared" ref="M27" si="13">M26/M25*100</f>
        <v>#DIV/0!</v>
      </c>
      <c r="N27" s="152"/>
      <c r="Q27" s="79"/>
    </row>
    <row r="28" spans="1:17" x14ac:dyDescent="0.25">
      <c r="A28" s="21">
        <v>21</v>
      </c>
      <c r="B28" s="21"/>
      <c r="C28" s="148" t="s">
        <v>127</v>
      </c>
      <c r="E28" s="20"/>
      <c r="F28" s="20"/>
      <c r="G28" s="20"/>
      <c r="H28" s="20"/>
      <c r="I28" s="21"/>
      <c r="J28" s="20"/>
      <c r="K28" s="20"/>
      <c r="L28" s="21"/>
      <c r="M28" s="21"/>
      <c r="N28" s="21"/>
      <c r="Q28" s="78"/>
    </row>
    <row r="29" spans="1:17" x14ac:dyDescent="0.25">
      <c r="A29" s="21">
        <v>22</v>
      </c>
      <c r="B29" s="21"/>
      <c r="C29" s="55" t="s">
        <v>144</v>
      </c>
      <c r="E29" s="20">
        <v>15</v>
      </c>
      <c r="F29" s="20">
        <v>26.115780000000001</v>
      </c>
      <c r="G29" s="20">
        <v>14.26</v>
      </c>
      <c r="H29" s="20">
        <v>13.94</v>
      </c>
      <c r="I29" s="20"/>
      <c r="J29" s="20">
        <v>14.58</v>
      </c>
      <c r="K29" s="20">
        <v>0</v>
      </c>
      <c r="L29" s="20">
        <v>14.58</v>
      </c>
      <c r="M29" s="20">
        <v>0</v>
      </c>
      <c r="N29" s="20"/>
      <c r="Q29" s="79"/>
    </row>
    <row r="30" spans="1:17" x14ac:dyDescent="0.25">
      <c r="A30" s="21">
        <v>23</v>
      </c>
      <c r="B30" s="21"/>
      <c r="C30" s="55" t="s">
        <v>123</v>
      </c>
      <c r="E30" s="20">
        <v>3</v>
      </c>
      <c r="F30" s="20">
        <v>3.1429999999999998</v>
      </c>
      <c r="G30" s="20">
        <v>3.0979999999999999</v>
      </c>
      <c r="H30" s="20">
        <v>3.34</v>
      </c>
      <c r="I30" s="20"/>
      <c r="J30" s="20">
        <v>3.9022838238728017</v>
      </c>
      <c r="K30" s="20">
        <v>0</v>
      </c>
      <c r="L30" s="20">
        <v>3.9022838238728017</v>
      </c>
      <c r="M30" s="20">
        <v>0</v>
      </c>
      <c r="N30" s="41"/>
      <c r="Q30" s="79"/>
    </row>
    <row r="31" spans="1:17" x14ac:dyDescent="0.25">
      <c r="A31" s="21">
        <v>24</v>
      </c>
      <c r="B31" s="21"/>
      <c r="C31" s="55" t="s">
        <v>124</v>
      </c>
      <c r="E31" s="152">
        <v>21.54</v>
      </c>
      <c r="F31" s="152">
        <f t="shared" ref="F31:H31" si="14">F30/F29*100</f>
        <v>12.034869339533415</v>
      </c>
      <c r="G31" s="152">
        <f t="shared" si="14"/>
        <v>21.725105189340812</v>
      </c>
      <c r="H31" s="152">
        <f t="shared" si="14"/>
        <v>23.959827833572454</v>
      </c>
      <c r="I31" s="152"/>
      <c r="J31" s="152">
        <f t="shared" ref="J31:K31" si="15">J30/J29*100</f>
        <v>26.764635280334716</v>
      </c>
      <c r="K31" s="152" t="e">
        <f t="shared" si="15"/>
        <v>#DIV/0!</v>
      </c>
      <c r="L31" s="152">
        <f t="shared" ref="L31:M31" si="16">L30/L29*100</f>
        <v>26.764635280334716</v>
      </c>
      <c r="M31" s="152" t="e">
        <f t="shared" si="16"/>
        <v>#DIV/0!</v>
      </c>
      <c r="N31" s="152"/>
      <c r="Q31" s="79"/>
    </row>
    <row r="32" spans="1:17" x14ac:dyDescent="0.25">
      <c r="A32" s="21">
        <v>25</v>
      </c>
      <c r="B32" s="21"/>
      <c r="C32" s="148" t="s">
        <v>213</v>
      </c>
      <c r="E32" s="20"/>
      <c r="F32" s="20"/>
      <c r="G32" s="20"/>
      <c r="H32" s="20"/>
      <c r="I32" s="21"/>
      <c r="J32" s="20"/>
      <c r="K32" s="20" t="str">
        <f t="shared" ref="K32:K60" si="17">IF(J32&lt;&gt;"",J32,"")</f>
        <v/>
      </c>
      <c r="L32" s="21"/>
      <c r="M32" s="20" t="str">
        <f t="shared" ref="M32:M60" si="18">IF(L32&lt;&gt;"",L32,"")</f>
        <v/>
      </c>
      <c r="N32" s="21"/>
      <c r="Q32" s="80"/>
    </row>
    <row r="33" spans="1:17" x14ac:dyDescent="0.25">
      <c r="A33" s="21">
        <v>26</v>
      </c>
      <c r="B33" s="21"/>
      <c r="C33" s="55" t="s">
        <v>121</v>
      </c>
      <c r="E33" s="81">
        <f t="shared" ref="E33" si="19">E9+E15</f>
        <v>1889</v>
      </c>
      <c r="F33" s="81">
        <f t="shared" ref="F33:H33" si="20">F9+F15</f>
        <v>1898.5</v>
      </c>
      <c r="G33" s="81">
        <f t="shared" si="20"/>
        <v>1926.9166666666665</v>
      </c>
      <c r="H33" s="81">
        <f t="shared" si="20"/>
        <v>1978.5833333333335</v>
      </c>
      <c r="I33" s="20"/>
      <c r="J33" s="81">
        <f t="shared" ref="J33:K33" si="21">J9+J15</f>
        <v>1986.0348016654789</v>
      </c>
      <c r="K33" s="81">
        <f t="shared" si="21"/>
        <v>0</v>
      </c>
      <c r="L33" s="81">
        <f t="shared" ref="L33:M33" si="22">L9+L15</f>
        <v>2003.1944044697066</v>
      </c>
      <c r="M33" s="81">
        <f t="shared" si="22"/>
        <v>0</v>
      </c>
      <c r="N33" s="20"/>
      <c r="Q33" s="79"/>
    </row>
    <row r="34" spans="1:17" x14ac:dyDescent="0.25">
      <c r="A34" s="21">
        <v>27</v>
      </c>
      <c r="B34" s="21"/>
      <c r="C34" s="55" t="s">
        <v>144</v>
      </c>
      <c r="E34" s="81">
        <f t="shared" ref="E34" si="23">E10+E16+E21+E25+E29</f>
        <v>60042</v>
      </c>
      <c r="F34" s="81">
        <f t="shared" ref="F34:H34" si="24">F10+F16+F21+F25+F29</f>
        <v>61225.357780000006</v>
      </c>
      <c r="G34" s="81">
        <f t="shared" si="24"/>
        <v>64657.982990000004</v>
      </c>
      <c r="H34" s="81">
        <f t="shared" si="24"/>
        <v>77570.784</v>
      </c>
      <c r="I34" s="20"/>
      <c r="J34" s="81">
        <f t="shared" ref="J34:K34" si="25">J10+J16+J21+J25+J29</f>
        <v>77094.186170825327</v>
      </c>
      <c r="K34" s="81">
        <f t="shared" si="25"/>
        <v>0</v>
      </c>
      <c r="L34" s="81">
        <f t="shared" ref="L34:M34" si="26">L10+L16+L21+L25+L29</f>
        <v>75913.303368415873</v>
      </c>
      <c r="M34" s="81">
        <f t="shared" si="26"/>
        <v>0</v>
      </c>
      <c r="N34" s="20"/>
      <c r="Q34" s="79"/>
    </row>
    <row r="35" spans="1:17" x14ac:dyDescent="0.25">
      <c r="A35" s="21">
        <v>28</v>
      </c>
      <c r="B35" s="21"/>
      <c r="C35" s="55" t="s">
        <v>123</v>
      </c>
      <c r="E35" s="81">
        <f t="shared" ref="E35" si="27">E12+E18+E22+E26+E30</f>
        <v>7249</v>
      </c>
      <c r="F35" s="81">
        <f t="shared" ref="F35:H35" si="28">F12+F18+F22+F26+F30</f>
        <v>7334.5020000000004</v>
      </c>
      <c r="G35" s="81">
        <f t="shared" si="28"/>
        <v>7688.91</v>
      </c>
      <c r="H35" s="81">
        <f t="shared" si="28"/>
        <v>9595.7530000000006</v>
      </c>
      <c r="I35" s="20"/>
      <c r="J35" s="81">
        <f t="shared" ref="J35:K35" si="29">J12+J18+J22+J26+J30</f>
        <v>10431.960391859107</v>
      </c>
      <c r="K35" s="81">
        <f t="shared" si="29"/>
        <v>0</v>
      </c>
      <c r="L35" s="81">
        <f t="shared" ref="L35:M35" si="30">L12+L18+L22+L26+L30</f>
        <v>10428.80505881556</v>
      </c>
      <c r="M35" s="81">
        <f t="shared" si="30"/>
        <v>0</v>
      </c>
      <c r="N35" s="20"/>
      <c r="Q35" s="79"/>
    </row>
    <row r="36" spans="1:17" x14ac:dyDescent="0.25">
      <c r="A36" s="21">
        <v>29</v>
      </c>
      <c r="B36" s="21"/>
      <c r="C36" s="55" t="s">
        <v>124</v>
      </c>
      <c r="E36" s="82">
        <f t="shared" ref="E36" si="31">SUM(E35/E34)*100</f>
        <v>12.073215415875554</v>
      </c>
      <c r="F36" s="82">
        <f t="shared" ref="F36:H36" si="32">SUM(F35/F34)*100</f>
        <v>11.979516765512317</v>
      </c>
      <c r="G36" s="82">
        <f t="shared" si="32"/>
        <v>11.891663866454302</v>
      </c>
      <c r="H36" s="82">
        <f t="shared" si="32"/>
        <v>12.370318443603717</v>
      </c>
      <c r="I36" s="152"/>
      <c r="J36" s="82">
        <f t="shared" ref="J36:K36" si="33">SUM(J35/J34)*100</f>
        <v>13.531448880910379</v>
      </c>
      <c r="K36" s="82" t="e">
        <f t="shared" si="33"/>
        <v>#DIV/0!</v>
      </c>
      <c r="L36" s="82">
        <f t="shared" ref="L36:M36" si="34">SUM(L35/L34)*100</f>
        <v>13.737783229117809</v>
      </c>
      <c r="M36" s="82" t="e">
        <f t="shared" si="34"/>
        <v>#DIV/0!</v>
      </c>
      <c r="N36" s="152"/>
      <c r="Q36" s="79"/>
    </row>
    <row r="37" spans="1:17" x14ac:dyDescent="0.25">
      <c r="A37" s="21">
        <v>30</v>
      </c>
      <c r="B37" s="21"/>
      <c r="C37" s="148" t="s">
        <v>128</v>
      </c>
      <c r="E37" s="20"/>
      <c r="F37" s="20"/>
      <c r="G37" s="20"/>
      <c r="H37" s="20"/>
      <c r="I37" s="21"/>
      <c r="J37" s="20"/>
      <c r="K37" s="20" t="str">
        <f t="shared" si="17"/>
        <v/>
      </c>
      <c r="L37" s="21"/>
      <c r="M37" s="20" t="str">
        <f t="shared" si="18"/>
        <v/>
      </c>
      <c r="N37" s="21"/>
      <c r="Q37" s="78"/>
    </row>
    <row r="38" spans="1:17" x14ac:dyDescent="0.25">
      <c r="A38" s="21">
        <v>31</v>
      </c>
      <c r="B38" s="21"/>
      <c r="C38" s="55" t="s">
        <v>144</v>
      </c>
      <c r="E38" s="20">
        <v>267747</v>
      </c>
      <c r="F38" s="20">
        <v>267229.43100000004</v>
      </c>
      <c r="G38" s="20">
        <v>276344.69900000002</v>
      </c>
      <c r="H38" s="20">
        <v>290541.44500000001</v>
      </c>
      <c r="I38" s="20"/>
      <c r="J38" s="20">
        <v>296000</v>
      </c>
      <c r="K38" s="20">
        <v>0</v>
      </c>
      <c r="L38" s="20">
        <v>307147.3236449305</v>
      </c>
      <c r="M38" s="20">
        <v>0</v>
      </c>
      <c r="N38" s="20"/>
      <c r="Q38" s="79"/>
    </row>
    <row r="39" spans="1:17" x14ac:dyDescent="0.25">
      <c r="A39" s="21">
        <v>32</v>
      </c>
      <c r="B39" s="21"/>
      <c r="C39" s="55" t="s">
        <v>123</v>
      </c>
      <c r="E39" s="20">
        <v>18314</v>
      </c>
      <c r="F39" s="20">
        <v>18278.510999999999</v>
      </c>
      <c r="G39" s="20">
        <v>18901.976999999999</v>
      </c>
      <c r="H39" s="20">
        <v>21939.599999999999</v>
      </c>
      <c r="I39" s="20"/>
      <c r="J39" s="20">
        <v>24562.080000000002</v>
      </c>
      <c r="K39" s="20">
        <v>0</v>
      </c>
      <c r="L39" s="20">
        <v>25487.084916056334</v>
      </c>
      <c r="M39" s="20">
        <v>0</v>
      </c>
      <c r="N39" s="20"/>
      <c r="Q39" s="79"/>
    </row>
    <row r="40" spans="1:17" x14ac:dyDescent="0.25">
      <c r="A40" s="21">
        <v>33</v>
      </c>
      <c r="B40" s="21"/>
      <c r="C40" s="55" t="s">
        <v>124</v>
      </c>
      <c r="E40" s="152">
        <f t="shared" ref="E40:H40" si="35">E39/E38*100</f>
        <v>6.8400392908230536</v>
      </c>
      <c r="F40" s="152">
        <f t="shared" si="35"/>
        <v>6.840006705698519</v>
      </c>
      <c r="G40" s="152">
        <f t="shared" si="35"/>
        <v>6.8399998510555822</v>
      </c>
      <c r="H40" s="152">
        <f t="shared" si="35"/>
        <v>7.5512806787341473</v>
      </c>
      <c r="I40" s="152"/>
      <c r="J40" s="152">
        <f t="shared" ref="J40:K40" si="36">J39/J38*100</f>
        <v>8.2980000000000018</v>
      </c>
      <c r="K40" s="152" t="e">
        <f t="shared" si="36"/>
        <v>#DIV/0!</v>
      </c>
      <c r="L40" s="152">
        <f t="shared" ref="L40:M40" si="37">L39/L38*100</f>
        <v>8.298</v>
      </c>
      <c r="M40" s="152" t="e">
        <f t="shared" si="37"/>
        <v>#DIV/0!</v>
      </c>
      <c r="N40" s="152"/>
      <c r="Q40" s="79"/>
    </row>
    <row r="41" spans="1:17" x14ac:dyDescent="0.25">
      <c r="A41" s="21">
        <v>34</v>
      </c>
      <c r="B41" s="21"/>
      <c r="C41" s="148" t="s">
        <v>152</v>
      </c>
      <c r="E41" s="20"/>
      <c r="F41" s="20"/>
      <c r="G41" s="20"/>
      <c r="H41" s="20"/>
      <c r="I41" s="21"/>
      <c r="J41" s="20"/>
      <c r="K41" s="20" t="str">
        <f t="shared" si="17"/>
        <v/>
      </c>
      <c r="L41" s="21"/>
      <c r="M41" s="20" t="str">
        <f t="shared" si="18"/>
        <v/>
      </c>
      <c r="N41" s="21"/>
      <c r="Q41" s="80"/>
    </row>
    <row r="42" spans="1:17" x14ac:dyDescent="0.25">
      <c r="A42" s="21">
        <v>35</v>
      </c>
      <c r="B42" s="21"/>
      <c r="C42" s="55" t="s">
        <v>144</v>
      </c>
      <c r="E42" s="83">
        <f t="shared" ref="E42:E43" si="38">E34+E38</f>
        <v>327789</v>
      </c>
      <c r="F42" s="83">
        <f t="shared" ref="F42:H42" si="39">F34+F38</f>
        <v>328454.78878000006</v>
      </c>
      <c r="G42" s="83">
        <f t="shared" si="39"/>
        <v>341002.68199000001</v>
      </c>
      <c r="H42" s="83">
        <f t="shared" si="39"/>
        <v>368112.22899999999</v>
      </c>
      <c r="I42" s="20">
        <f t="shared" ref="I42" si="40">I38+I34</f>
        <v>0</v>
      </c>
      <c r="J42" s="83">
        <f t="shared" ref="J42:K42" si="41">J34+J38</f>
        <v>373094.18617082533</v>
      </c>
      <c r="K42" s="83">
        <f t="shared" si="41"/>
        <v>0</v>
      </c>
      <c r="L42" s="83">
        <f t="shared" ref="L42:M42" si="42">L34+L38</f>
        <v>383060.62701334635</v>
      </c>
      <c r="M42" s="83">
        <f t="shared" si="42"/>
        <v>0</v>
      </c>
      <c r="N42" s="20"/>
      <c r="Q42" s="79"/>
    </row>
    <row r="43" spans="1:17" x14ac:dyDescent="0.25">
      <c r="A43" s="21">
        <v>36</v>
      </c>
      <c r="B43" s="21"/>
      <c r="C43" s="55" t="s">
        <v>123</v>
      </c>
      <c r="E43" s="83">
        <f t="shared" si="38"/>
        <v>25563</v>
      </c>
      <c r="F43" s="83">
        <f t="shared" ref="F43:H43" si="43">F35+F39</f>
        <v>25613.012999999999</v>
      </c>
      <c r="G43" s="83">
        <f t="shared" si="43"/>
        <v>26590.886999999999</v>
      </c>
      <c r="H43" s="83">
        <f t="shared" si="43"/>
        <v>31535.352999999999</v>
      </c>
      <c r="I43" s="20">
        <f t="shared" ref="I43" si="44">I39+I35</f>
        <v>0</v>
      </c>
      <c r="J43" s="83">
        <f t="shared" ref="J43:K43" si="45">J35+J39</f>
        <v>34994.040391859111</v>
      </c>
      <c r="K43" s="83">
        <f t="shared" si="45"/>
        <v>0</v>
      </c>
      <c r="L43" s="83">
        <f t="shared" ref="L43:M43" si="46">L35+L39</f>
        <v>35915.889974871898</v>
      </c>
      <c r="M43" s="83">
        <f t="shared" si="46"/>
        <v>0</v>
      </c>
      <c r="N43" s="20"/>
      <c r="Q43" s="79"/>
    </row>
    <row r="44" spans="1:17" x14ac:dyDescent="0.25">
      <c r="A44" s="21">
        <v>37</v>
      </c>
      <c r="B44" s="21"/>
      <c r="C44" s="55" t="s">
        <v>124</v>
      </c>
      <c r="E44" s="152">
        <f t="shared" ref="E44:H44" si="47">E43/E42*100</f>
        <v>7.7986143525255587</v>
      </c>
      <c r="F44" s="152">
        <f t="shared" si="47"/>
        <v>7.7980330550624632</v>
      </c>
      <c r="G44" s="152">
        <f t="shared" si="47"/>
        <v>7.7978527455627997</v>
      </c>
      <c r="H44" s="152">
        <f t="shared" si="47"/>
        <v>8.5667767913246919</v>
      </c>
      <c r="I44" s="152"/>
      <c r="J44" s="152">
        <f t="shared" ref="J44" si="48">J43/J42*100</f>
        <v>9.3794118721101434</v>
      </c>
      <c r="K44" s="152" t="e">
        <f t="shared" ref="K44" si="49">K43/K42*100</f>
        <v>#DIV/0!</v>
      </c>
      <c r="L44" s="152">
        <f t="shared" ref="L44" si="50">L43/L42*100</f>
        <v>9.376032784914889</v>
      </c>
      <c r="M44" s="152" t="e">
        <f t="shared" ref="M44" si="51">M43/M42*100</f>
        <v>#DIV/0!</v>
      </c>
      <c r="N44" s="152"/>
      <c r="Q44" s="79"/>
    </row>
    <row r="45" spans="1:17" x14ac:dyDescent="0.25">
      <c r="A45" s="21">
        <v>38</v>
      </c>
      <c r="B45" s="21"/>
      <c r="C45" s="148" t="s">
        <v>153</v>
      </c>
      <c r="E45" s="20"/>
      <c r="F45" s="20"/>
      <c r="G45" s="20"/>
      <c r="H45" s="20"/>
      <c r="I45" s="152"/>
      <c r="J45" s="20"/>
      <c r="K45" s="20" t="str">
        <f t="shared" si="17"/>
        <v/>
      </c>
      <c r="L45" s="152"/>
      <c r="M45" s="20" t="str">
        <f t="shared" si="18"/>
        <v/>
      </c>
      <c r="N45" s="152"/>
      <c r="Q45" s="78"/>
    </row>
    <row r="46" spans="1:17" x14ac:dyDescent="0.25">
      <c r="A46" s="21">
        <v>39</v>
      </c>
      <c r="B46" s="21"/>
      <c r="C46" s="55" t="s">
        <v>144</v>
      </c>
      <c r="E46" s="20">
        <v>7584</v>
      </c>
      <c r="F46" s="20">
        <v>17384.170000120001</v>
      </c>
      <c r="G46" s="20">
        <v>10489.15</v>
      </c>
      <c r="H46" s="20">
        <v>552.29999999999995</v>
      </c>
      <c r="I46" s="20"/>
      <c r="J46" s="20">
        <v>0</v>
      </c>
      <c r="K46" s="20">
        <f t="shared" si="17"/>
        <v>0</v>
      </c>
      <c r="L46" s="20">
        <v>0</v>
      </c>
      <c r="M46" s="20">
        <f t="shared" si="18"/>
        <v>0</v>
      </c>
      <c r="N46" s="20"/>
      <c r="Q46" s="79"/>
    </row>
    <row r="47" spans="1:17" x14ac:dyDescent="0.25">
      <c r="A47" s="21">
        <v>40</v>
      </c>
      <c r="B47" s="21"/>
      <c r="C47" s="55" t="s">
        <v>123</v>
      </c>
      <c r="E47" s="20">
        <v>470</v>
      </c>
      <c r="F47" s="20">
        <v>1066.39021000864</v>
      </c>
      <c r="G47" s="20">
        <v>643.53399999999999</v>
      </c>
      <c r="H47" s="20">
        <v>45.829000000000001</v>
      </c>
      <c r="I47" s="20"/>
      <c r="J47" s="20">
        <v>0</v>
      </c>
      <c r="K47" s="154">
        <v>1396</v>
      </c>
      <c r="L47" s="20">
        <v>0</v>
      </c>
      <c r="M47" s="154">
        <v>1369.1959999999999</v>
      </c>
      <c r="N47" s="20"/>
      <c r="Q47" s="79"/>
    </row>
    <row r="48" spans="1:17" x14ac:dyDescent="0.25">
      <c r="A48" s="21">
        <v>41</v>
      </c>
      <c r="B48" s="21"/>
      <c r="C48" s="55" t="s">
        <v>124</v>
      </c>
      <c r="E48" s="152">
        <f t="shared" ref="E48:H48" si="52">E47/E46*100</f>
        <v>6.197257383966245</v>
      </c>
      <c r="F48" s="152">
        <f t="shared" si="52"/>
        <v>6.1342601343709759</v>
      </c>
      <c r="G48" s="152">
        <f t="shared" si="52"/>
        <v>6.1352349809088444</v>
      </c>
      <c r="H48" s="152">
        <f t="shared" si="52"/>
        <v>8.2978453738910023</v>
      </c>
      <c r="I48" s="152"/>
      <c r="J48" s="152"/>
      <c r="K48" s="152" t="e">
        <f t="shared" ref="K48" si="53">K47/K46*100</f>
        <v>#DIV/0!</v>
      </c>
      <c r="L48" s="152"/>
      <c r="M48" s="152" t="e">
        <f t="shared" ref="M48" si="54">M47/M46*100</f>
        <v>#DIV/0!</v>
      </c>
      <c r="N48" s="152"/>
      <c r="Q48" s="79"/>
    </row>
    <row r="49" spans="1:17" x14ac:dyDescent="0.25">
      <c r="A49" s="21">
        <v>42</v>
      </c>
      <c r="B49" s="21"/>
      <c r="C49" s="148" t="s">
        <v>129</v>
      </c>
      <c r="E49" s="20"/>
      <c r="F49" s="20"/>
      <c r="G49" s="20"/>
      <c r="H49" s="20"/>
      <c r="I49" s="21"/>
      <c r="J49" s="20"/>
      <c r="K49" s="20" t="str">
        <f t="shared" si="17"/>
        <v/>
      </c>
      <c r="L49" s="21"/>
      <c r="M49" s="20" t="str">
        <f t="shared" si="18"/>
        <v/>
      </c>
      <c r="N49" s="21"/>
      <c r="Q49" s="78"/>
    </row>
    <row r="50" spans="1:17" x14ac:dyDescent="0.25">
      <c r="A50" s="21">
        <v>43</v>
      </c>
      <c r="B50" s="21"/>
      <c r="C50" s="55" t="s">
        <v>144</v>
      </c>
      <c r="E50" s="20">
        <f t="shared" ref="E50:K51" si="55">E42+E46</f>
        <v>335373</v>
      </c>
      <c r="F50" s="20">
        <f t="shared" si="55"/>
        <v>345838.95878012007</v>
      </c>
      <c r="G50" s="20">
        <f t="shared" si="55"/>
        <v>351491.83199000004</v>
      </c>
      <c r="H50" s="20">
        <f t="shared" si="55"/>
        <v>368664.52899999998</v>
      </c>
      <c r="I50" s="20">
        <f t="shared" si="55"/>
        <v>0</v>
      </c>
      <c r="J50" s="20">
        <f t="shared" si="55"/>
        <v>373094.18617082533</v>
      </c>
      <c r="K50" s="20">
        <f t="shared" si="55"/>
        <v>0</v>
      </c>
      <c r="L50" s="20">
        <f>L42+L46</f>
        <v>383060.62701334635</v>
      </c>
      <c r="M50" s="20">
        <f>M42+M46</f>
        <v>0</v>
      </c>
      <c r="N50" s="20"/>
      <c r="Q50" s="79"/>
    </row>
    <row r="51" spans="1:17" x14ac:dyDescent="0.25">
      <c r="A51" s="21">
        <v>44</v>
      </c>
      <c r="B51" s="21"/>
      <c r="C51" s="55" t="s">
        <v>123</v>
      </c>
      <c r="E51" s="20">
        <f t="shared" si="55"/>
        <v>26033</v>
      </c>
      <c r="F51" s="20">
        <f t="shared" si="55"/>
        <v>26679.403210008641</v>
      </c>
      <c r="G51" s="20">
        <f t="shared" si="55"/>
        <v>27234.420999999998</v>
      </c>
      <c r="H51" s="20">
        <f t="shared" si="55"/>
        <v>31581.182000000001</v>
      </c>
      <c r="I51" s="20">
        <f t="shared" si="55"/>
        <v>0</v>
      </c>
      <c r="J51" s="20">
        <f t="shared" si="55"/>
        <v>34994.040391859111</v>
      </c>
      <c r="K51" s="20">
        <f t="shared" si="55"/>
        <v>1396</v>
      </c>
      <c r="L51" s="20">
        <f>L43+L47</f>
        <v>35915.889974871898</v>
      </c>
      <c r="M51" s="20">
        <f>M43+M47</f>
        <v>1369.1959999999999</v>
      </c>
      <c r="N51" s="20"/>
      <c r="Q51" s="79"/>
    </row>
    <row r="52" spans="1:17" x14ac:dyDescent="0.25">
      <c r="A52" s="21">
        <v>45</v>
      </c>
      <c r="B52" s="21"/>
      <c r="C52" s="55" t="s">
        <v>124</v>
      </c>
      <c r="E52" s="152">
        <f t="shared" ref="E52:H52" si="56">E51/E50*100</f>
        <v>7.7624018630003011</v>
      </c>
      <c r="F52" s="152">
        <f t="shared" si="56"/>
        <v>7.7144007442409217</v>
      </c>
      <c r="G52" s="152">
        <f t="shared" si="56"/>
        <v>7.7482372337957548</v>
      </c>
      <c r="H52" s="152">
        <f t="shared" si="56"/>
        <v>8.5663739024917156</v>
      </c>
      <c r="I52" s="152"/>
      <c r="J52" s="152">
        <f t="shared" ref="J52" si="57">J51/J50*100</f>
        <v>9.3794118721101434</v>
      </c>
      <c r="K52" s="152" t="e">
        <f t="shared" ref="K52" si="58">K51/K50*100</f>
        <v>#DIV/0!</v>
      </c>
      <c r="L52" s="152">
        <f t="shared" ref="L52" si="59">L51/L50*100</f>
        <v>9.376032784914889</v>
      </c>
      <c r="M52" s="152" t="e">
        <f t="shared" ref="M52" si="60">M51/M50*100</f>
        <v>#DIV/0!</v>
      </c>
      <c r="N52" s="152"/>
      <c r="Q52" s="79"/>
    </row>
    <row r="53" spans="1:17" x14ac:dyDescent="0.25">
      <c r="A53" s="21"/>
      <c r="B53" s="21"/>
      <c r="C53" s="21"/>
      <c r="E53" s="20"/>
      <c r="F53" s="20"/>
      <c r="G53" s="20"/>
      <c r="H53" s="20"/>
      <c r="I53" s="152"/>
      <c r="J53" s="20"/>
      <c r="K53" s="20" t="str">
        <f t="shared" si="17"/>
        <v/>
      </c>
      <c r="L53" s="152"/>
      <c r="M53" s="20" t="str">
        <f t="shared" si="18"/>
        <v/>
      </c>
      <c r="N53" s="152"/>
    </row>
    <row r="54" spans="1:17" x14ac:dyDescent="0.25">
      <c r="A54" s="21">
        <v>46</v>
      </c>
      <c r="B54" s="21"/>
      <c r="C54" s="140" t="s">
        <v>154</v>
      </c>
      <c r="E54" s="20">
        <f>5839-1321</f>
        <v>4518</v>
      </c>
      <c r="F54" s="20">
        <v>4493</v>
      </c>
      <c r="G54" s="20">
        <v>4944</v>
      </c>
      <c r="H54" s="20">
        <v>2466.1999999999998</v>
      </c>
      <c r="I54" s="20"/>
      <c r="J54" s="20"/>
      <c r="K54" s="20" t="str">
        <f t="shared" si="17"/>
        <v/>
      </c>
      <c r="L54" s="20"/>
      <c r="M54" s="20" t="str">
        <f t="shared" si="18"/>
        <v/>
      </c>
      <c r="N54" s="20"/>
    </row>
    <row r="55" spans="1:17" x14ac:dyDescent="0.25">
      <c r="A55" s="21">
        <f>A54+1</f>
        <v>47</v>
      </c>
      <c r="B55" s="21"/>
      <c r="C55" s="140" t="s">
        <v>228</v>
      </c>
      <c r="E55" s="20">
        <v>355</v>
      </c>
      <c r="F55" s="20">
        <v>355</v>
      </c>
      <c r="G55" s="20"/>
      <c r="H55" s="20"/>
      <c r="I55" s="20"/>
      <c r="J55" s="20"/>
      <c r="K55" s="20"/>
      <c r="L55" s="20"/>
      <c r="M55" s="155"/>
      <c r="N55" s="20"/>
    </row>
    <row r="56" spans="1:17" x14ac:dyDescent="0.25">
      <c r="A56" s="21">
        <f>A55+1</f>
        <v>48</v>
      </c>
      <c r="B56" s="21"/>
      <c r="C56" s="175" t="s">
        <v>246</v>
      </c>
      <c r="E56" s="20"/>
      <c r="F56" s="20"/>
      <c r="G56" s="20"/>
      <c r="H56" s="20"/>
      <c r="I56" s="20"/>
      <c r="J56" s="20">
        <v>3672</v>
      </c>
      <c r="K56" s="20"/>
      <c r="L56" s="20">
        <v>6163</v>
      </c>
      <c r="M56" s="155"/>
      <c r="N56" s="20"/>
    </row>
    <row r="57" spans="1:17" x14ac:dyDescent="0.25">
      <c r="E57" s="20"/>
      <c r="F57" s="20"/>
      <c r="G57" s="20"/>
      <c r="H57" s="20"/>
      <c r="I57" s="20"/>
      <c r="J57" s="20"/>
      <c r="K57" s="20"/>
      <c r="L57" s="20"/>
      <c r="M57" s="155"/>
      <c r="N57" s="20"/>
    </row>
    <row r="58" spans="1:17" ht="13.8" thickBot="1" x14ac:dyDescent="0.3">
      <c r="A58" s="21">
        <f>A56+1</f>
        <v>49</v>
      </c>
      <c r="B58" s="21"/>
      <c r="C58" s="140" t="s">
        <v>155</v>
      </c>
      <c r="E58" s="156">
        <f>E54+E51+E55</f>
        <v>30906</v>
      </c>
      <c r="F58" s="156">
        <f>F54+F51+F55</f>
        <v>31527.403210008641</v>
      </c>
      <c r="G58" s="156">
        <f t="shared" ref="G58:H58" si="61">G54+G51</f>
        <v>32178.420999999998</v>
      </c>
      <c r="H58" s="156">
        <f t="shared" si="61"/>
        <v>34047.381999999998</v>
      </c>
      <c r="I58" s="156"/>
      <c r="J58" s="156">
        <f>J56+J51</f>
        <v>38666.040391859111</v>
      </c>
      <c r="K58" s="156" t="e">
        <f>K54+K51+K55+K57</f>
        <v>#VALUE!</v>
      </c>
      <c r="L58" s="156">
        <f>L56+L51</f>
        <v>42078.889974871898</v>
      </c>
      <c r="M58" s="156" t="e">
        <f>M54+M51+M55+M57</f>
        <v>#VALUE!</v>
      </c>
      <c r="N58" s="156"/>
    </row>
    <row r="59" spans="1:17" x14ac:dyDescent="0.25">
      <c r="A59" s="21"/>
      <c r="B59" s="21"/>
      <c r="C59" s="140"/>
      <c r="E59" s="20"/>
      <c r="F59" s="20"/>
      <c r="G59" s="20"/>
      <c r="H59" s="20"/>
      <c r="I59" s="20"/>
      <c r="J59" s="20"/>
      <c r="K59" s="20" t="str">
        <f t="shared" si="17"/>
        <v/>
      </c>
      <c r="L59" s="20"/>
      <c r="M59" s="20" t="str">
        <f t="shared" si="18"/>
        <v/>
      </c>
      <c r="N59" s="20"/>
    </row>
    <row r="60" spans="1:17" x14ac:dyDescent="0.25">
      <c r="A60" s="21">
        <f>A58+1</f>
        <v>50</v>
      </c>
      <c r="B60" s="21"/>
      <c r="C60" s="140" t="s">
        <v>156</v>
      </c>
      <c r="E60" s="20">
        <v>125</v>
      </c>
      <c r="F60" s="20">
        <v>181</v>
      </c>
      <c r="G60" s="20">
        <v>198</v>
      </c>
      <c r="H60" s="20">
        <v>246.60000000000002</v>
      </c>
      <c r="I60" s="20"/>
      <c r="J60" s="20">
        <v>184</v>
      </c>
      <c r="K60" s="20">
        <f t="shared" si="17"/>
        <v>184</v>
      </c>
      <c r="L60" s="20">
        <v>184</v>
      </c>
      <c r="M60" s="20">
        <f t="shared" si="18"/>
        <v>184</v>
      </c>
      <c r="N60" s="20"/>
    </row>
    <row r="61" spans="1:17" x14ac:dyDescent="0.25">
      <c r="A61" s="21"/>
      <c r="B61" s="21"/>
      <c r="C61" s="14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7" x14ac:dyDescent="0.25">
      <c r="A62" s="21">
        <f>A60+1</f>
        <v>51</v>
      </c>
      <c r="B62" s="21"/>
      <c r="C62" s="189" t="s">
        <v>262</v>
      </c>
      <c r="E62" s="20">
        <f t="shared" ref="E62" si="62">E58+E60</f>
        <v>31031</v>
      </c>
      <c r="F62" s="20">
        <f t="shared" ref="F62:H62" si="63">F58+F60</f>
        <v>31708.403210008641</v>
      </c>
      <c r="G62" s="20">
        <f t="shared" si="63"/>
        <v>32376.420999999998</v>
      </c>
      <c r="H62" s="20">
        <f t="shared" si="63"/>
        <v>34293.981999999996</v>
      </c>
      <c r="I62" s="20"/>
      <c r="J62" s="20">
        <f t="shared" ref="J62:L62" si="64">J58+J60</f>
        <v>38850.040391859111</v>
      </c>
      <c r="K62" s="20" t="e">
        <f>K58+K60-1</f>
        <v>#VALUE!</v>
      </c>
      <c r="L62" s="20">
        <f t="shared" si="64"/>
        <v>42262.889974871898</v>
      </c>
      <c r="M62" s="20" t="e">
        <f>M58+M60</f>
        <v>#VALUE!</v>
      </c>
      <c r="N62" s="20"/>
      <c r="P62" s="31"/>
    </row>
    <row r="63" spans="1:17" x14ac:dyDescent="0.25">
      <c r="A63" s="21"/>
      <c r="B63" s="21"/>
      <c r="C63" s="140"/>
      <c r="E63" s="20"/>
      <c r="F63" s="20"/>
      <c r="G63" s="20"/>
      <c r="H63" s="20"/>
      <c r="I63" s="29"/>
      <c r="J63" s="20"/>
      <c r="K63" s="20"/>
      <c r="L63" s="20"/>
      <c r="M63" s="20"/>
      <c r="N63" s="20"/>
    </row>
    <row r="64" spans="1:17" x14ac:dyDescent="0.25">
      <c r="A64" s="21"/>
      <c r="B64" s="21"/>
      <c r="C64" s="175"/>
      <c r="E64" s="20"/>
      <c r="F64" s="20"/>
      <c r="G64" s="20"/>
      <c r="H64" s="20"/>
      <c r="I64" s="29"/>
      <c r="J64" s="20"/>
      <c r="K64" s="20"/>
      <c r="L64" s="20"/>
      <c r="M64" s="20"/>
      <c r="N64" s="20"/>
    </row>
    <row r="65" spans="1:14" x14ac:dyDescent="0.25">
      <c r="A65" s="21"/>
      <c r="B65" s="21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"/>
    </row>
    <row r="66" spans="1:14" x14ac:dyDescent="0.25">
      <c r="A66" s="21"/>
      <c r="B66" s="21"/>
      <c r="C66" s="140"/>
      <c r="E66" s="20"/>
      <c r="F66" s="20"/>
      <c r="G66" s="20"/>
      <c r="H66" s="20"/>
      <c r="I66" s="29"/>
      <c r="J66" s="20"/>
      <c r="K66" s="20"/>
      <c r="L66" s="20"/>
      <c r="M66" s="20"/>
      <c r="N66" s="20"/>
    </row>
    <row r="67" spans="1:14" x14ac:dyDescent="0.25">
      <c r="A67" s="21"/>
      <c r="B67" s="21"/>
      <c r="C67" s="140"/>
      <c r="E67" s="20"/>
      <c r="F67" s="20"/>
      <c r="G67" s="20"/>
      <c r="H67" s="20"/>
      <c r="I67" s="29"/>
      <c r="J67" s="20"/>
      <c r="K67" s="20"/>
      <c r="L67" s="20"/>
      <c r="M67" s="20"/>
      <c r="N67" s="20"/>
    </row>
    <row r="68" spans="1:14" x14ac:dyDescent="0.25">
      <c r="A68" s="21"/>
      <c r="B68" s="21"/>
      <c r="C68" s="14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 x14ac:dyDescent="0.25">
      <c r="A69" s="21"/>
      <c r="B69" s="21"/>
      <c r="C69" s="14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x14ac:dyDescent="0.25">
      <c r="A70" s="21"/>
      <c r="B70" s="21"/>
      <c r="C70" s="140"/>
      <c r="E70" s="20"/>
      <c r="F70" s="20"/>
      <c r="G70" s="20"/>
      <c r="H70" s="20"/>
      <c r="I70" s="29"/>
      <c r="J70" s="20"/>
      <c r="K70" s="20"/>
      <c r="L70" s="20"/>
      <c r="M70" s="20"/>
      <c r="N70" s="20"/>
    </row>
    <row r="71" spans="1:14" x14ac:dyDescent="0.25">
      <c r="A71" s="21"/>
      <c r="B71" s="21"/>
      <c r="C71" s="14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x14ac:dyDescent="0.25">
      <c r="A72" s="21"/>
      <c r="B72" s="21"/>
      <c r="C72" s="140"/>
      <c r="E72" s="118"/>
      <c r="F72" s="118"/>
      <c r="G72" s="118"/>
      <c r="H72" s="118"/>
      <c r="I72" s="157"/>
      <c r="J72" s="118"/>
      <c r="K72" s="118"/>
      <c r="L72" s="118"/>
      <c r="M72" s="118"/>
      <c r="N72" s="118"/>
    </row>
    <row r="73" spans="1:14" x14ac:dyDescent="0.25">
      <c r="A73" s="21"/>
      <c r="B73" s="21"/>
      <c r="C73" s="140"/>
      <c r="E73" s="118"/>
      <c r="F73" s="118"/>
      <c r="G73" s="118"/>
      <c r="H73" s="118"/>
      <c r="I73" s="157"/>
      <c r="J73" s="118"/>
      <c r="K73" s="118"/>
      <c r="L73" s="118"/>
      <c r="M73" s="118"/>
      <c r="N73" s="118"/>
    </row>
    <row r="74" spans="1:14" x14ac:dyDescent="0.25">
      <c r="A74" s="21"/>
      <c r="B74" s="21"/>
      <c r="C74" s="140"/>
      <c r="E74" s="118"/>
      <c r="F74" s="118"/>
      <c r="G74" s="118"/>
      <c r="H74" s="118"/>
      <c r="I74" s="157"/>
      <c r="J74" s="118"/>
      <c r="K74" s="118"/>
      <c r="L74" s="118"/>
      <c r="M74" s="118"/>
      <c r="N74" s="118"/>
    </row>
    <row r="75" spans="1:14" x14ac:dyDescent="0.25">
      <c r="A75" s="21"/>
      <c r="B75" s="21"/>
      <c r="C75" s="140"/>
      <c r="E75" s="118"/>
      <c r="F75" s="118"/>
      <c r="G75" s="118"/>
      <c r="H75" s="118"/>
      <c r="I75" s="157"/>
      <c r="J75" s="118"/>
      <c r="K75" s="118"/>
      <c r="L75" s="118"/>
      <c r="M75" s="118"/>
      <c r="N75" s="118"/>
    </row>
    <row r="76" spans="1:14" x14ac:dyDescent="0.25">
      <c r="A76" s="21"/>
      <c r="B76" s="21"/>
      <c r="C76" s="140"/>
      <c r="E76" s="118"/>
      <c r="F76" s="118"/>
      <c r="G76" s="118"/>
      <c r="H76" s="118"/>
      <c r="I76" s="157"/>
      <c r="J76" s="118"/>
      <c r="K76" s="118"/>
      <c r="L76" s="118"/>
      <c r="M76" s="118"/>
      <c r="N76" s="118"/>
    </row>
    <row r="77" spans="1:14" x14ac:dyDescent="0.25">
      <c r="A77" s="21"/>
      <c r="B77" s="21"/>
      <c r="C77" s="140"/>
      <c r="E77" s="118"/>
      <c r="F77" s="118"/>
      <c r="G77" s="118"/>
      <c r="H77" s="118"/>
      <c r="I77" s="157"/>
      <c r="J77" s="118"/>
      <c r="K77" s="118"/>
      <c r="L77" s="118"/>
      <c r="M77" s="118"/>
      <c r="N77" s="118"/>
    </row>
    <row r="78" spans="1:14" x14ac:dyDescent="0.25">
      <c r="A78" s="21"/>
      <c r="B78" s="21"/>
      <c r="C78" s="140"/>
      <c r="E78" s="118"/>
      <c r="F78" s="118"/>
      <c r="G78" s="118"/>
      <c r="H78" s="118"/>
      <c r="I78" s="157"/>
      <c r="J78" s="118"/>
      <c r="K78" s="118"/>
      <c r="L78" s="118"/>
      <c r="M78" s="118"/>
      <c r="N78" s="118"/>
    </row>
    <row r="79" spans="1:14" x14ac:dyDescent="0.25">
      <c r="C79" s="158"/>
      <c r="E79" s="118"/>
      <c r="F79" s="118"/>
      <c r="G79" s="118"/>
      <c r="H79" s="118"/>
      <c r="I79" s="157"/>
      <c r="J79" s="118"/>
      <c r="K79" s="118"/>
      <c r="L79" s="118"/>
      <c r="M79" s="118"/>
      <c r="N79" s="118"/>
    </row>
    <row r="80" spans="1:14" x14ac:dyDescent="0.25">
      <c r="C80" s="158"/>
      <c r="E80" s="118"/>
      <c r="F80" s="118"/>
      <c r="G80" s="118"/>
      <c r="H80" s="118"/>
      <c r="I80" s="157"/>
      <c r="J80" s="118"/>
      <c r="K80" s="118"/>
      <c r="L80" s="118"/>
      <c r="M80" s="118"/>
      <c r="N80" s="118"/>
    </row>
    <row r="81" spans="2:19" x14ac:dyDescent="0.25">
      <c r="C81" s="158"/>
      <c r="E81" s="118"/>
      <c r="F81" s="118"/>
      <c r="G81" s="118"/>
      <c r="H81" s="118"/>
      <c r="I81" s="157"/>
      <c r="J81" s="118"/>
      <c r="K81" s="118"/>
      <c r="L81" s="118"/>
      <c r="M81" s="118"/>
      <c r="N81" s="118"/>
    </row>
    <row r="82" spans="2:19" x14ac:dyDescent="0.25">
      <c r="C82" s="158"/>
      <c r="E82" s="118"/>
      <c r="F82" s="118"/>
      <c r="G82" s="118"/>
      <c r="H82" s="118"/>
      <c r="I82" s="157"/>
      <c r="J82" s="118"/>
      <c r="K82" s="118"/>
      <c r="L82" s="118"/>
      <c r="M82" s="118"/>
      <c r="N82" s="118"/>
    </row>
    <row r="83" spans="2:19" x14ac:dyDescent="0.25">
      <c r="C83" s="158"/>
      <c r="E83" s="118"/>
      <c r="F83" s="118"/>
      <c r="G83" s="118"/>
      <c r="H83" s="118"/>
      <c r="I83" s="157"/>
      <c r="J83" s="118"/>
      <c r="K83" s="118"/>
      <c r="L83" s="118"/>
      <c r="M83" s="118"/>
      <c r="N83" s="118"/>
    </row>
    <row r="84" spans="2:19" x14ac:dyDescent="0.25">
      <c r="C84" s="158"/>
      <c r="E84" s="118"/>
      <c r="F84" s="118"/>
      <c r="G84" s="118"/>
      <c r="H84" s="118"/>
      <c r="I84" s="157"/>
      <c r="J84" s="118"/>
      <c r="K84" s="118"/>
      <c r="L84" s="118"/>
      <c r="M84" s="118"/>
      <c r="N84" s="118"/>
    </row>
    <row r="85" spans="2:19" x14ac:dyDescent="0.25">
      <c r="C85" s="158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2"/>
      <c r="P85" s="12"/>
      <c r="Q85" s="12"/>
      <c r="R85" s="12"/>
      <c r="S85" s="12"/>
    </row>
    <row r="86" spans="2:19" x14ac:dyDescent="0.25">
      <c r="C86" s="158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2"/>
      <c r="P86" s="12"/>
      <c r="Q86" s="12"/>
      <c r="R86" s="12"/>
      <c r="S86" s="12"/>
    </row>
    <row r="87" spans="2:19" x14ac:dyDescent="0.25">
      <c r="B87" s="17"/>
      <c r="C87" s="159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2"/>
      <c r="P87" s="12"/>
      <c r="Q87" s="12"/>
      <c r="R87" s="12"/>
      <c r="S87" s="12"/>
    </row>
    <row r="88" spans="2:19" x14ac:dyDescent="0.25">
      <c r="C88" s="158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"/>
      <c r="P88" s="12"/>
      <c r="Q88" s="12"/>
      <c r="R88" s="12"/>
      <c r="S88" s="12"/>
    </row>
    <row r="89" spans="2:19" x14ac:dyDescent="0.25"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"/>
      <c r="P89" s="12"/>
      <c r="Q89" s="12"/>
      <c r="R89" s="12"/>
      <c r="S89" s="12"/>
    </row>
    <row r="90" spans="2:19" x14ac:dyDescent="0.25">
      <c r="C90" s="158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"/>
      <c r="P90" s="12"/>
      <c r="Q90" s="12"/>
      <c r="R90" s="12"/>
      <c r="S90" s="12"/>
    </row>
    <row r="91" spans="2:19" x14ac:dyDescent="0.25">
      <c r="C91" s="158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"/>
      <c r="P91" s="12"/>
      <c r="Q91" s="12"/>
      <c r="R91" s="12"/>
      <c r="S91" s="12"/>
    </row>
    <row r="92" spans="2:19" x14ac:dyDescent="0.25">
      <c r="E92" s="12"/>
      <c r="F92" s="12"/>
      <c r="G92" s="12"/>
      <c r="H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</sheetData>
  <mergeCells count="3">
    <mergeCell ref="J6:K6"/>
    <mergeCell ref="L6:M6"/>
    <mergeCell ref="C65:M65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1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tabColor theme="9" tint="0.39997558519241921"/>
    <pageSetUpPr fitToPage="1"/>
  </sheetPr>
  <dimension ref="A1:O57"/>
  <sheetViews>
    <sheetView view="pageBreakPreview" zoomScaleSheetLayoutView="100" workbookViewId="0">
      <pane xSplit="3" topLeftCell="D1" activePane="topRight" state="frozen"/>
      <selection activeCell="F1" sqref="F1"/>
      <selection pane="topRight" activeCell="F1" sqref="F1"/>
    </sheetView>
  </sheetViews>
  <sheetFormatPr defaultColWidth="9.109375" defaultRowHeight="13.2" x14ac:dyDescent="0.25"/>
  <cols>
    <col min="1" max="1" width="5.33203125" style="8" customWidth="1"/>
    <col min="2" max="2" width="1.88671875" style="8" customWidth="1"/>
    <col min="3" max="3" width="27.44140625" style="8" customWidth="1"/>
    <col min="4" max="4" width="1.88671875" style="8" customWidth="1"/>
    <col min="5" max="5" width="9.109375" style="18"/>
    <col min="6" max="6" width="1.88671875" style="8" customWidth="1"/>
    <col min="7" max="10" width="9.44140625" style="8" customWidth="1"/>
    <col min="11" max="11" width="1.6640625" style="12" customWidth="1"/>
    <col min="12" max="12" width="10" style="8" customWidth="1"/>
    <col min="13" max="13" width="1.6640625" style="12" customWidth="1"/>
    <col min="14" max="14" width="10" style="8" customWidth="1"/>
    <col min="15" max="16384" width="9.109375" style="8"/>
  </cols>
  <sheetData>
    <row r="1" spans="1:15" ht="15.6" x14ac:dyDescent="0.3">
      <c r="G1" s="22"/>
      <c r="H1" s="22" t="s">
        <v>4</v>
      </c>
      <c r="I1" s="22"/>
      <c r="J1" s="22"/>
      <c r="K1" s="45"/>
      <c r="L1" s="12"/>
      <c r="N1" s="9" t="s">
        <v>249</v>
      </c>
    </row>
    <row r="2" spans="1:15" x14ac:dyDescent="0.25">
      <c r="G2" s="23"/>
      <c r="H2" s="23" t="s">
        <v>24</v>
      </c>
      <c r="I2" s="23"/>
      <c r="J2" s="23"/>
      <c r="K2" s="77"/>
      <c r="L2" s="12"/>
      <c r="N2" s="46" t="str">
        <f>'Schedule 1'!$N$2</f>
        <v>June 20, 2013 Refiling</v>
      </c>
    </row>
    <row r="3" spans="1:15" x14ac:dyDescent="0.25">
      <c r="G3" s="23"/>
      <c r="H3" s="23" t="s">
        <v>6</v>
      </c>
      <c r="I3" s="23"/>
      <c r="J3" s="23"/>
      <c r="K3" s="77"/>
      <c r="L3" s="12"/>
    </row>
    <row r="6" spans="1:15" s="18" customFormat="1" ht="13.5" customHeight="1" x14ac:dyDescent="0.25">
      <c r="G6" s="77"/>
      <c r="H6" s="77"/>
      <c r="I6" s="77"/>
      <c r="J6" s="77"/>
      <c r="K6" s="77"/>
      <c r="L6" s="192"/>
      <c r="M6" s="77"/>
      <c r="N6" s="192"/>
    </row>
    <row r="7" spans="1:15" s="16" customFormat="1" ht="39.6" x14ac:dyDescent="0.25">
      <c r="A7" s="15" t="s">
        <v>0</v>
      </c>
      <c r="C7" s="15" t="s">
        <v>1</v>
      </c>
      <c r="E7" s="15" t="s">
        <v>2</v>
      </c>
      <c r="G7" s="15" t="s">
        <v>221</v>
      </c>
      <c r="H7" s="15" t="s">
        <v>216</v>
      </c>
      <c r="I7" s="15" t="s">
        <v>217</v>
      </c>
      <c r="J7" s="15" t="s">
        <v>260</v>
      </c>
      <c r="K7" s="27"/>
      <c r="L7" s="15" t="str">
        <f>'Schedule 1'!$L$7</f>
        <v>Proposed 2012</v>
      </c>
      <c r="M7" s="27"/>
      <c r="N7" s="15" t="str">
        <f>'Schedule 1'!$N$7</f>
        <v>Proposed 2013</v>
      </c>
    </row>
    <row r="9" spans="1:15" x14ac:dyDescent="0.25">
      <c r="A9" s="8">
        <v>1</v>
      </c>
      <c r="C9" s="17" t="s">
        <v>140</v>
      </c>
    </row>
    <row r="10" spans="1:15" x14ac:dyDescent="0.25">
      <c r="A10" s="8">
        <v>2</v>
      </c>
      <c r="C10" s="161" t="s">
        <v>130</v>
      </c>
      <c r="G10" s="20">
        <v>2977</v>
      </c>
      <c r="H10" s="20">
        <v>3759.1877199999999</v>
      </c>
      <c r="I10" s="20">
        <v>4179.3658399999995</v>
      </c>
      <c r="J10" s="20">
        <v>4472.1799999999985</v>
      </c>
      <c r="K10" s="20"/>
      <c r="L10" s="20">
        <v>4452.4438683658582</v>
      </c>
      <c r="M10" s="20"/>
      <c r="N10" s="20">
        <v>4493.8101194040901</v>
      </c>
    </row>
    <row r="11" spans="1:15" x14ac:dyDescent="0.25">
      <c r="A11" s="8">
        <v>3</v>
      </c>
      <c r="C11" s="161" t="s">
        <v>131</v>
      </c>
      <c r="G11" s="20">
        <v>1793</v>
      </c>
      <c r="H11" s="20">
        <v>1868.4021600000001</v>
      </c>
      <c r="I11" s="20">
        <v>1383.1360300000001</v>
      </c>
      <c r="J11" s="20">
        <v>1766.9899999999998</v>
      </c>
      <c r="K11" s="20"/>
      <c r="L11" s="20">
        <v>1970.3089856852339</v>
      </c>
      <c r="M11" s="20"/>
      <c r="N11" s="20">
        <v>2111.6255378631517</v>
      </c>
    </row>
    <row r="12" spans="1:15" x14ac:dyDescent="0.25">
      <c r="A12" s="8">
        <v>4</v>
      </c>
      <c r="C12" s="161" t="s">
        <v>132</v>
      </c>
      <c r="G12" s="20">
        <v>952</v>
      </c>
      <c r="H12" s="20">
        <v>1144.5374100000001</v>
      </c>
      <c r="I12" s="20">
        <v>1194.4706899999999</v>
      </c>
      <c r="J12" s="20">
        <v>1336.4340000000002</v>
      </c>
      <c r="K12" s="20"/>
      <c r="L12" s="20">
        <v>1338.7800479567293</v>
      </c>
      <c r="M12" s="20"/>
      <c r="N12" s="20">
        <v>1404.5387641206576</v>
      </c>
    </row>
    <row r="13" spans="1:15" x14ac:dyDescent="0.25">
      <c r="A13" s="8">
        <v>5</v>
      </c>
      <c r="C13" s="161" t="s">
        <v>230</v>
      </c>
      <c r="G13" s="20">
        <v>6148</v>
      </c>
      <c r="H13" s="20">
        <v>6453.0807999999997</v>
      </c>
      <c r="I13" s="20">
        <v>6418.2772799999993</v>
      </c>
      <c r="J13" s="20">
        <v>7196.9079999999994</v>
      </c>
      <c r="K13" s="20"/>
      <c r="L13" s="20">
        <v>8076.293993648891</v>
      </c>
      <c r="M13" s="20"/>
      <c r="N13" s="20">
        <v>8653.6196122476576</v>
      </c>
    </row>
    <row r="14" spans="1:15" x14ac:dyDescent="0.25">
      <c r="A14" s="8">
        <v>6</v>
      </c>
      <c r="C14" s="162" t="s">
        <v>229</v>
      </c>
      <c r="G14" s="20">
        <v>952</v>
      </c>
      <c r="H14" s="20">
        <v>787</v>
      </c>
      <c r="I14" s="20">
        <v>787</v>
      </c>
      <c r="J14" s="20">
        <v>774.08100000000002</v>
      </c>
      <c r="K14" s="20"/>
      <c r="L14" s="20">
        <v>835</v>
      </c>
      <c r="M14" s="20"/>
      <c r="N14" s="20">
        <v>895</v>
      </c>
    </row>
    <row r="15" spans="1:15" x14ac:dyDescent="0.25">
      <c r="A15" s="8">
        <v>7</v>
      </c>
      <c r="C15" s="161" t="s">
        <v>133</v>
      </c>
      <c r="G15" s="132">
        <f t="shared" ref="G15:J15" si="0">SUM(G10:G14)</f>
        <v>12822</v>
      </c>
      <c r="H15" s="132">
        <f t="shared" si="0"/>
        <v>14012.20809</v>
      </c>
      <c r="I15" s="132">
        <f t="shared" si="0"/>
        <v>13962.24984</v>
      </c>
      <c r="J15" s="132">
        <f t="shared" si="0"/>
        <v>15546.592999999999</v>
      </c>
      <c r="K15" s="20"/>
      <c r="L15" s="132">
        <f>SUM(L10:L14)</f>
        <v>16672.826895656712</v>
      </c>
      <c r="M15" s="20"/>
      <c r="N15" s="132">
        <f>SUM(N10:N14)</f>
        <v>17558.594033635556</v>
      </c>
      <c r="O15" s="29"/>
    </row>
    <row r="16" spans="1:15" x14ac:dyDescent="0.25">
      <c r="C16" s="161"/>
      <c r="G16" s="12"/>
      <c r="H16" s="12"/>
      <c r="I16" s="12"/>
      <c r="J16" s="12"/>
      <c r="L16" s="12"/>
      <c r="N16" s="12"/>
    </row>
    <row r="17" spans="1:14" x14ac:dyDescent="0.25">
      <c r="A17" s="8">
        <v>8</v>
      </c>
      <c r="C17" s="162" t="s">
        <v>117</v>
      </c>
      <c r="G17" s="72">
        <v>85</v>
      </c>
      <c r="H17" s="72">
        <v>94</v>
      </c>
      <c r="I17" s="72">
        <v>75</v>
      </c>
      <c r="J17" s="72">
        <v>85</v>
      </c>
      <c r="K17" s="163"/>
      <c r="L17" s="72">
        <v>85</v>
      </c>
      <c r="M17" s="163"/>
      <c r="N17" s="163">
        <v>85</v>
      </c>
    </row>
    <row r="18" spans="1:14" x14ac:dyDescent="0.25">
      <c r="C18" s="162"/>
      <c r="G18" s="12"/>
      <c r="H18" s="12"/>
      <c r="I18" s="12"/>
      <c r="J18" s="12"/>
      <c r="L18" s="12"/>
      <c r="N18" s="12"/>
    </row>
    <row r="19" spans="1:14" x14ac:dyDescent="0.25">
      <c r="A19" s="8">
        <v>9</v>
      </c>
      <c r="C19" s="161" t="s">
        <v>133</v>
      </c>
      <c r="G19" s="132">
        <f t="shared" ref="G19" si="1">SUM(G17:G17)</f>
        <v>85</v>
      </c>
      <c r="H19" s="132">
        <f t="shared" ref="H19:J19" si="2">SUM(H17:H17)</f>
        <v>94</v>
      </c>
      <c r="I19" s="132">
        <f t="shared" si="2"/>
        <v>75</v>
      </c>
      <c r="J19" s="132">
        <f t="shared" si="2"/>
        <v>85</v>
      </c>
      <c r="K19" s="29"/>
      <c r="L19" s="132">
        <f t="shared" ref="L19" si="3">SUM(L17:L17)</f>
        <v>85</v>
      </c>
      <c r="M19" s="29"/>
      <c r="N19" s="132">
        <f t="shared" ref="N19" si="4">SUM(N17:N17)</f>
        <v>85</v>
      </c>
    </row>
    <row r="20" spans="1:14" x14ac:dyDescent="0.25">
      <c r="C20" s="161"/>
      <c r="G20" s="12"/>
      <c r="H20" s="12"/>
      <c r="I20" s="12"/>
      <c r="J20" s="12"/>
      <c r="L20" s="12"/>
      <c r="N20" s="12"/>
    </row>
    <row r="21" spans="1:14" x14ac:dyDescent="0.25">
      <c r="A21" s="8">
        <v>10</v>
      </c>
      <c r="C21" s="161" t="s">
        <v>134</v>
      </c>
      <c r="G21" s="12"/>
      <c r="H21" s="12"/>
      <c r="I21" s="12"/>
      <c r="J21" s="12"/>
      <c r="L21" s="12"/>
      <c r="N21" s="12"/>
    </row>
    <row r="22" spans="1:14" ht="13.8" thickBot="1" x14ac:dyDescent="0.3">
      <c r="A22" s="8">
        <v>11</v>
      </c>
      <c r="C22" s="161" t="s">
        <v>135</v>
      </c>
      <c r="G22" s="164">
        <f t="shared" ref="G22" si="5">SUM(G15+G19)</f>
        <v>12907</v>
      </c>
      <c r="H22" s="164">
        <f t="shared" ref="H22:J22" si="6">SUM(H15+H19)</f>
        <v>14106.20809</v>
      </c>
      <c r="I22" s="164">
        <f t="shared" si="6"/>
        <v>14037.24984</v>
      </c>
      <c r="J22" s="164">
        <f t="shared" si="6"/>
        <v>15631.592999999999</v>
      </c>
      <c r="K22" s="29"/>
      <c r="L22" s="164">
        <f t="shared" ref="L22" si="7">SUM(L15+L19)</f>
        <v>16757.826895656712</v>
      </c>
      <c r="M22" s="29"/>
      <c r="N22" s="164">
        <f t="shared" ref="N22" si="8">SUM(N15+N19)</f>
        <v>17643.594033635556</v>
      </c>
    </row>
    <row r="23" spans="1:14" x14ac:dyDescent="0.25">
      <c r="G23" s="12"/>
      <c r="H23" s="12"/>
      <c r="I23" s="12"/>
      <c r="J23" s="12"/>
      <c r="L23" s="12"/>
      <c r="N23" s="12"/>
    </row>
    <row r="24" spans="1:14" x14ac:dyDescent="0.25">
      <c r="A24" s="8">
        <v>12</v>
      </c>
      <c r="C24" s="8" t="s">
        <v>136</v>
      </c>
      <c r="G24" s="163">
        <v>443</v>
      </c>
      <c r="H24" s="163">
        <v>622.21</v>
      </c>
      <c r="I24" s="163">
        <v>1145</v>
      </c>
      <c r="J24" s="163">
        <v>2708.2429999999999</v>
      </c>
      <c r="K24" s="163"/>
      <c r="L24" s="163">
        <v>2275.8361738677304</v>
      </c>
      <c r="M24" s="163"/>
      <c r="N24" s="163">
        <v>3160.2135919238253</v>
      </c>
    </row>
    <row r="25" spans="1:14" x14ac:dyDescent="0.25">
      <c r="A25" s="8">
        <v>13</v>
      </c>
      <c r="C25" s="8" t="s">
        <v>139</v>
      </c>
      <c r="G25" s="163">
        <v>54</v>
      </c>
      <c r="H25" s="163">
        <v>36</v>
      </c>
      <c r="I25" s="163">
        <v>38</v>
      </c>
      <c r="J25" s="163">
        <v>37.612940000000002</v>
      </c>
      <c r="K25" s="163"/>
      <c r="L25" s="163">
        <v>40</v>
      </c>
      <c r="M25" s="163"/>
      <c r="N25" s="163">
        <v>40</v>
      </c>
    </row>
    <row r="26" spans="1:14" x14ac:dyDescent="0.25">
      <c r="A26" s="8">
        <v>14</v>
      </c>
      <c r="C26" s="8" t="s">
        <v>133</v>
      </c>
      <c r="G26" s="132">
        <f t="shared" ref="G26:J26" si="9">SUM(G24:G25)</f>
        <v>497</v>
      </c>
      <c r="H26" s="132">
        <f t="shared" si="9"/>
        <v>658.21</v>
      </c>
      <c r="I26" s="132">
        <f t="shared" si="9"/>
        <v>1183</v>
      </c>
      <c r="J26" s="132">
        <f t="shared" si="9"/>
        <v>2745.8559399999999</v>
      </c>
      <c r="K26" s="29"/>
      <c r="L26" s="132">
        <f t="shared" ref="L26" si="10">SUM(L24:L25)</f>
        <v>2315.8361738677304</v>
      </c>
      <c r="M26" s="29"/>
      <c r="N26" s="132">
        <f t="shared" ref="N26" si="11">SUM(N24:N25)</f>
        <v>3200.2135919238253</v>
      </c>
    </row>
    <row r="27" spans="1:14" x14ac:dyDescent="0.25">
      <c r="G27" s="12"/>
      <c r="H27" s="12"/>
      <c r="I27" s="12"/>
      <c r="J27" s="12"/>
      <c r="L27" s="12"/>
      <c r="N27" s="12"/>
    </row>
    <row r="28" spans="1:14" ht="13.8" thickBot="1" x14ac:dyDescent="0.3">
      <c r="A28" s="8">
        <v>15</v>
      </c>
      <c r="C28" s="8" t="s">
        <v>137</v>
      </c>
      <c r="E28" s="18" t="s">
        <v>141</v>
      </c>
      <c r="G28" s="164">
        <f>SUM(G15+G19+G26)-1</f>
        <v>13403</v>
      </c>
      <c r="H28" s="164">
        <f t="shared" ref="H28:J28" si="12">SUM(H15+H19+H26)</f>
        <v>14764.418089999999</v>
      </c>
      <c r="I28" s="164">
        <f>SUM(I15+I19+I26)</f>
        <v>15220.24984</v>
      </c>
      <c r="J28" s="164">
        <f t="shared" si="12"/>
        <v>18377.448939999998</v>
      </c>
      <c r="K28" s="29"/>
      <c r="L28" s="164">
        <f t="shared" ref="L28:N28" si="13">SUM(L15+L19+L26)</f>
        <v>19073.663069524442</v>
      </c>
      <c r="M28" s="29"/>
      <c r="N28" s="164">
        <f t="shared" si="13"/>
        <v>20843.807625559381</v>
      </c>
    </row>
    <row r="29" spans="1:14" x14ac:dyDescent="0.25">
      <c r="G29" s="29"/>
      <c r="H29" s="29"/>
      <c r="I29" s="29"/>
      <c r="J29" s="29"/>
      <c r="K29" s="29"/>
      <c r="L29" s="29"/>
      <c r="M29" s="29"/>
      <c r="N29" s="29"/>
    </row>
    <row r="30" spans="1:14" s="14" customFormat="1" x14ac:dyDescent="0.25">
      <c r="C30" s="131" t="s">
        <v>204</v>
      </c>
      <c r="E30" s="25"/>
      <c r="G30" s="165"/>
      <c r="H30" s="165"/>
      <c r="I30" s="165"/>
      <c r="J30" s="165"/>
      <c r="K30" s="165"/>
      <c r="L30" s="165"/>
      <c r="M30" s="165"/>
      <c r="N30" s="165"/>
    </row>
    <row r="31" spans="1:14" s="14" customFormat="1" x14ac:dyDescent="0.25">
      <c r="A31" s="14">
        <v>16</v>
      </c>
      <c r="C31" s="14" t="s">
        <v>162</v>
      </c>
      <c r="E31" s="25"/>
      <c r="G31" s="165">
        <f>'Schedule 6'!G15</f>
        <v>100</v>
      </c>
      <c r="H31" s="165">
        <f>'Schedule 6'!H15</f>
        <v>100</v>
      </c>
      <c r="I31" s="165">
        <f>'Schedule 6'!I15</f>
        <v>100</v>
      </c>
      <c r="J31" s="165">
        <f>'Schedule 6'!J15</f>
        <v>100</v>
      </c>
      <c r="K31" s="165"/>
      <c r="L31" s="165">
        <f>'Schedule 6'!L15</f>
        <v>226.09889199999998</v>
      </c>
      <c r="M31" s="165"/>
      <c r="N31" s="165">
        <f>'Schedule 6'!N15</f>
        <v>226.09889199999998</v>
      </c>
    </row>
    <row r="32" spans="1:14" s="14" customFormat="1" x14ac:dyDescent="0.25">
      <c r="A32" s="14">
        <v>17</v>
      </c>
      <c r="C32" s="14" t="s">
        <v>202</v>
      </c>
      <c r="E32" s="25"/>
      <c r="G32" s="166">
        <f>'Schedule 6'!G13</f>
        <v>256.39999999999998</v>
      </c>
      <c r="H32" s="166">
        <f>'Schedule 6'!H13</f>
        <v>288</v>
      </c>
      <c r="I32" s="166">
        <f>'Schedule 6'!I13</f>
        <v>291</v>
      </c>
      <c r="J32" s="166">
        <f>'Schedule 6'!J13</f>
        <v>296.72899999999998</v>
      </c>
      <c r="K32" s="40"/>
      <c r="L32" s="166">
        <f>'Schedule 6'!L13</f>
        <v>311.56565512000003</v>
      </c>
      <c r="M32" s="166"/>
      <c r="N32" s="166">
        <f>'Schedule 6'!N13</f>
        <v>326.40211583999996</v>
      </c>
    </row>
    <row r="33" spans="1:14" s="14" customFormat="1" x14ac:dyDescent="0.25">
      <c r="A33" s="14">
        <v>18</v>
      </c>
      <c r="C33" s="14" t="s">
        <v>203</v>
      </c>
      <c r="E33" s="25"/>
      <c r="G33" s="167">
        <f t="shared" ref="G33" si="14">-G17</f>
        <v>-85</v>
      </c>
      <c r="H33" s="167">
        <f t="shared" ref="H33:J33" si="15">-H17</f>
        <v>-94</v>
      </c>
      <c r="I33" s="167">
        <f t="shared" si="15"/>
        <v>-75</v>
      </c>
      <c r="J33" s="167">
        <f t="shared" si="15"/>
        <v>-85</v>
      </c>
      <c r="K33" s="168"/>
      <c r="L33" s="167">
        <f t="shared" ref="L33:N33" si="16">-L17</f>
        <v>-85</v>
      </c>
      <c r="M33" s="168"/>
      <c r="N33" s="167">
        <f t="shared" si="16"/>
        <v>-85</v>
      </c>
    </row>
    <row r="34" spans="1:14" s="14" customFormat="1" x14ac:dyDescent="0.25">
      <c r="E34" s="25"/>
      <c r="G34" s="165"/>
      <c r="H34" s="165"/>
      <c r="I34" s="165"/>
      <c r="J34" s="165"/>
      <c r="K34" s="165"/>
      <c r="L34" s="165"/>
      <c r="M34" s="165"/>
      <c r="N34" s="165"/>
    </row>
    <row r="35" spans="1:14" s="14" customFormat="1" x14ac:dyDescent="0.25">
      <c r="A35" s="14">
        <v>19</v>
      </c>
      <c r="C35" s="14" t="s">
        <v>258</v>
      </c>
      <c r="E35" s="25"/>
      <c r="G35" s="165">
        <f t="shared" ref="G35" si="17">G22+G33+G32+G31</f>
        <v>13178.4</v>
      </c>
      <c r="H35" s="165">
        <f>H22+H33+H32+H31+0.3</f>
        <v>14400.508089999999</v>
      </c>
      <c r="I35" s="165">
        <f t="shared" ref="I35:J35" si="18">I22+I33+I32+I31</f>
        <v>14353.24984</v>
      </c>
      <c r="J35" s="165">
        <f t="shared" si="18"/>
        <v>15943.321999999998</v>
      </c>
      <c r="K35" s="165"/>
      <c r="L35" s="165">
        <f t="shared" ref="L35:N35" si="19">L22+L33+L32+L31</f>
        <v>17210.491442776714</v>
      </c>
      <c r="M35" s="165"/>
      <c r="N35" s="165">
        <f t="shared" si="19"/>
        <v>18111.095041475557</v>
      </c>
    </row>
    <row r="36" spans="1:14" x14ac:dyDescent="0.25">
      <c r="G36" s="29"/>
      <c r="H36" s="29"/>
      <c r="I36" s="29"/>
      <c r="J36" s="29"/>
      <c r="K36" s="29"/>
      <c r="L36" s="29"/>
      <c r="M36" s="29"/>
      <c r="N36" s="29"/>
    </row>
    <row r="37" spans="1:14" x14ac:dyDescent="0.25">
      <c r="G37" s="29"/>
      <c r="H37" s="29"/>
      <c r="I37" s="29"/>
      <c r="J37" s="29"/>
      <c r="K37" s="29"/>
      <c r="L37" s="29"/>
      <c r="M37" s="29"/>
      <c r="N37" s="29"/>
    </row>
    <row r="38" spans="1:14" x14ac:dyDescent="0.25">
      <c r="A38" s="30" t="s">
        <v>231</v>
      </c>
      <c r="C38" s="206" t="s">
        <v>257</v>
      </c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</row>
    <row r="39" spans="1:14" ht="18.75" customHeight="1" x14ac:dyDescent="0.25">
      <c r="A39" s="30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</row>
    <row r="40" spans="1:14" ht="18.75" customHeight="1" x14ac:dyDescent="0.25">
      <c r="A40" s="30"/>
      <c r="C40" s="169"/>
      <c r="D40" s="169"/>
      <c r="E40" s="169"/>
      <c r="F40" s="169"/>
      <c r="G40" s="165"/>
      <c r="H40" s="165"/>
      <c r="I40" s="165"/>
      <c r="J40" s="165"/>
      <c r="K40" s="169"/>
      <c r="L40" s="165"/>
      <c r="M40" s="169"/>
      <c r="N40" s="165"/>
    </row>
    <row r="41" spans="1:14" ht="18.75" customHeight="1" x14ac:dyDescent="0.25">
      <c r="A41" s="30"/>
      <c r="C41" s="169"/>
      <c r="D41" s="169"/>
      <c r="E41" s="169"/>
      <c r="F41" s="169"/>
      <c r="G41" s="179"/>
      <c r="H41" s="179"/>
      <c r="I41" s="179"/>
      <c r="J41" s="179"/>
      <c r="K41" s="179"/>
      <c r="L41" s="179"/>
      <c r="M41" s="180"/>
      <c r="N41" s="179"/>
    </row>
    <row r="42" spans="1:14" ht="18.75" customHeight="1" x14ac:dyDescent="0.25">
      <c r="A42" s="30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</row>
    <row r="43" spans="1:14" ht="18.75" customHeight="1" x14ac:dyDescent="0.25">
      <c r="A43" s="30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</row>
    <row r="44" spans="1:14" ht="18.75" customHeight="1" x14ac:dyDescent="0.25">
      <c r="A44" s="30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</row>
    <row r="45" spans="1:14" ht="18.75" customHeight="1" x14ac:dyDescent="0.25">
      <c r="A45" s="30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</row>
    <row r="46" spans="1:14" ht="18.75" customHeight="1" x14ac:dyDescent="0.25">
      <c r="A46" s="30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</row>
    <row r="47" spans="1:14" ht="18.75" customHeight="1" x14ac:dyDescent="0.25">
      <c r="A47" s="30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</row>
    <row r="48" spans="1:14" x14ac:dyDescent="0.25">
      <c r="G48" s="170"/>
      <c r="H48" s="170"/>
      <c r="I48" s="170"/>
      <c r="J48" s="170"/>
      <c r="K48" s="170"/>
      <c r="L48" s="170"/>
      <c r="M48" s="170"/>
      <c r="N48" s="170"/>
    </row>
    <row r="51" spans="7:15" x14ac:dyDescent="0.25">
      <c r="G51" s="171"/>
      <c r="H51" s="171"/>
      <c r="I51" s="171"/>
      <c r="J51" s="171"/>
      <c r="K51" s="171"/>
      <c r="L51" s="171"/>
      <c r="M51" s="171"/>
      <c r="N51" s="171"/>
    </row>
    <row r="53" spans="7:15" x14ac:dyDescent="0.25">
      <c r="G53" s="172"/>
      <c r="H53" s="172"/>
      <c r="I53" s="172"/>
      <c r="J53" s="172"/>
      <c r="K53" s="172"/>
      <c r="L53" s="172"/>
      <c r="M53" s="172"/>
      <c r="N53" s="172"/>
      <c r="O53" s="172"/>
    </row>
    <row r="55" spans="7:15" x14ac:dyDescent="0.25">
      <c r="G55" s="173"/>
      <c r="H55" s="173"/>
      <c r="I55" s="173"/>
      <c r="J55" s="173"/>
      <c r="K55" s="173"/>
      <c r="L55" s="173"/>
      <c r="M55" s="173"/>
      <c r="N55" s="173"/>
    </row>
    <row r="57" spans="7:15" x14ac:dyDescent="0.25">
      <c r="G57" s="172"/>
      <c r="H57" s="172"/>
      <c r="I57" s="172"/>
      <c r="J57" s="172"/>
      <c r="K57" s="172"/>
      <c r="L57" s="172"/>
      <c r="M57" s="172"/>
      <c r="N57" s="172"/>
    </row>
  </sheetData>
  <mergeCells count="1">
    <mergeCell ref="C38:N38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4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9" tint="0.39997558519241921"/>
    <pageSetUpPr fitToPage="1"/>
  </sheetPr>
  <dimension ref="A1:Q80"/>
  <sheetViews>
    <sheetView view="pageBreakPreview" zoomScaleSheetLayoutView="100" workbookViewId="0">
      <selection activeCell="F1" sqref="F1"/>
    </sheetView>
  </sheetViews>
  <sheetFormatPr defaultColWidth="9.109375" defaultRowHeight="13.2" x14ac:dyDescent="0.25"/>
  <cols>
    <col min="1" max="1" width="5.33203125" style="21" customWidth="1"/>
    <col min="2" max="2" width="1.88671875" style="13" customWidth="1"/>
    <col min="3" max="3" width="27.44140625" style="13" customWidth="1"/>
    <col min="4" max="4" width="1.88671875" style="13" customWidth="1"/>
    <col min="5" max="5" width="9.109375" style="50" customWidth="1"/>
    <col min="6" max="6" width="1.88671875" style="13" customWidth="1"/>
    <col min="7" max="10" width="10.44140625" style="13" customWidth="1"/>
    <col min="11" max="11" width="2" style="13" customWidth="1"/>
    <col min="12" max="12" width="11.33203125" style="13" customWidth="1"/>
    <col min="13" max="13" width="2" style="13" customWidth="1"/>
    <col min="14" max="15" width="11.33203125" style="13" customWidth="1"/>
    <col min="16" max="16384" width="9.109375" style="13"/>
  </cols>
  <sheetData>
    <row r="1" spans="1:15" ht="15.6" x14ac:dyDescent="0.3">
      <c r="H1" s="7" t="s">
        <v>4</v>
      </c>
      <c r="N1" s="52" t="s">
        <v>22</v>
      </c>
    </row>
    <row r="2" spans="1:15" x14ac:dyDescent="0.25">
      <c r="H2" s="6" t="s">
        <v>177</v>
      </c>
      <c r="N2" s="53" t="str">
        <f>'Schedule 1'!$N$2</f>
        <v>June 20, 2013 Refiling</v>
      </c>
    </row>
    <row r="3" spans="1:15" x14ac:dyDescent="0.25">
      <c r="H3" s="6" t="s">
        <v>6</v>
      </c>
    </row>
    <row r="4" spans="1:15" x14ac:dyDescent="0.25">
      <c r="O4" s="51"/>
    </row>
    <row r="5" spans="1:15" x14ac:dyDescent="0.25">
      <c r="O5" s="51"/>
    </row>
    <row r="6" spans="1:15" s="49" customFormat="1" x14ac:dyDescent="0.25">
      <c r="A6" s="50"/>
      <c r="E6" s="50"/>
      <c r="G6" s="10"/>
      <c r="H6" s="10"/>
      <c r="I6" s="10"/>
      <c r="J6" s="10"/>
      <c r="K6" s="10"/>
      <c r="L6" s="192"/>
      <c r="M6" s="77"/>
      <c r="N6" s="192"/>
    </row>
    <row r="7" spans="1:15" s="2" customFormat="1" ht="39.6" x14ac:dyDescent="0.25">
      <c r="A7" s="15" t="s">
        <v>0</v>
      </c>
      <c r="C7" s="1" t="s">
        <v>1</v>
      </c>
      <c r="E7" s="15" t="s">
        <v>2</v>
      </c>
      <c r="G7" s="15" t="s">
        <v>221</v>
      </c>
      <c r="H7" s="15" t="s">
        <v>216</v>
      </c>
      <c r="I7" s="15" t="s">
        <v>217</v>
      </c>
      <c r="J7" s="15" t="s">
        <v>260</v>
      </c>
      <c r="K7" s="15"/>
      <c r="L7" s="1" t="str">
        <f>'Schedule 1'!$L$7</f>
        <v>Proposed 2012</v>
      </c>
      <c r="M7" s="11"/>
      <c r="N7" s="1" t="str">
        <f>'Schedule 1'!$N$7</f>
        <v>Proposed 2013</v>
      </c>
    </row>
    <row r="8" spans="1:15" ht="12.75" customHeight="1" x14ac:dyDescent="0.25">
      <c r="O8" s="51"/>
    </row>
    <row r="9" spans="1:15" ht="12.75" customHeight="1" x14ac:dyDescent="0.25">
      <c r="C9" s="17" t="s">
        <v>173</v>
      </c>
      <c r="D9" s="21"/>
      <c r="F9" s="21"/>
      <c r="G9" s="21"/>
      <c r="H9" s="21"/>
      <c r="I9" s="21"/>
      <c r="J9" s="21"/>
      <c r="K9" s="21"/>
      <c r="L9" s="21"/>
      <c r="M9" s="21"/>
      <c r="N9" s="21"/>
      <c r="O9" s="51"/>
    </row>
    <row r="10" spans="1:15" ht="12.75" customHeight="1" x14ac:dyDescent="0.25">
      <c r="B10" s="21"/>
      <c r="C10" s="55"/>
      <c r="D10" s="21"/>
      <c r="F10" s="21"/>
      <c r="G10" s="20"/>
      <c r="H10" s="20"/>
      <c r="I10" s="20"/>
      <c r="J10" s="20"/>
      <c r="K10" s="20"/>
      <c r="L10" s="20"/>
      <c r="M10" s="20"/>
      <c r="N10" s="20"/>
    </row>
    <row r="11" spans="1:15" ht="12.75" customHeight="1" x14ac:dyDescent="0.25">
      <c r="A11" s="21">
        <v>1</v>
      </c>
      <c r="B11" s="21"/>
      <c r="C11" s="56" t="s">
        <v>226</v>
      </c>
      <c r="D11" s="21"/>
      <c r="F11" s="21"/>
      <c r="G11" s="20">
        <v>25126</v>
      </c>
      <c r="H11" s="20">
        <v>25111.054099999998</v>
      </c>
      <c r="I11" s="20">
        <v>24111.054099999998</v>
      </c>
      <c r="J11" s="20"/>
      <c r="K11" s="20"/>
      <c r="L11" s="20"/>
      <c r="M11" s="20"/>
      <c r="N11" s="20"/>
    </row>
    <row r="12" spans="1:15" ht="12.75" customHeight="1" x14ac:dyDescent="0.25">
      <c r="A12" s="21">
        <f>A11+1</f>
        <v>2</v>
      </c>
      <c r="B12" s="21"/>
      <c r="C12" s="56" t="s">
        <v>272</v>
      </c>
      <c r="D12" s="21"/>
      <c r="F12" s="21"/>
      <c r="G12" s="20">
        <v>6471</v>
      </c>
      <c r="H12" s="20">
        <v>6471.1450520428607</v>
      </c>
      <c r="I12" s="20">
        <v>5723.5843671593066</v>
      </c>
      <c r="J12" s="20">
        <v>4891.2957923511676</v>
      </c>
      <c r="K12" s="20"/>
      <c r="L12" s="20">
        <v>3938.1198136703565</v>
      </c>
      <c r="M12" s="20"/>
      <c r="N12" s="20">
        <v>2945.3639718602763</v>
      </c>
    </row>
    <row r="13" spans="1:15" ht="12.75" customHeight="1" x14ac:dyDescent="0.25">
      <c r="A13" s="21">
        <f t="shared" ref="A13:A25" si="0">A12+1</f>
        <v>3</v>
      </c>
      <c r="B13" s="21"/>
      <c r="C13" s="56" t="s">
        <v>273</v>
      </c>
      <c r="D13" s="21"/>
      <c r="F13" s="21"/>
      <c r="G13" s="20"/>
      <c r="H13" s="20"/>
      <c r="I13" s="20"/>
      <c r="J13" s="20">
        <v>78890.87328</v>
      </c>
      <c r="K13" s="20"/>
      <c r="L13" s="20">
        <v>75890.87328</v>
      </c>
      <c r="M13" s="20"/>
      <c r="N13" s="20">
        <v>72890.87328</v>
      </c>
    </row>
    <row r="14" spans="1:15" ht="12.75" customHeight="1" x14ac:dyDescent="0.25">
      <c r="A14" s="21">
        <f t="shared" si="0"/>
        <v>4</v>
      </c>
      <c r="B14" s="21"/>
      <c r="C14" s="56" t="s">
        <v>227</v>
      </c>
      <c r="D14" s="21"/>
      <c r="F14" s="21"/>
      <c r="G14" s="20"/>
      <c r="H14" s="20"/>
      <c r="I14" s="20"/>
      <c r="J14" s="20">
        <v>21900</v>
      </c>
      <c r="K14" s="20"/>
      <c r="L14" s="20">
        <v>21563.076923076926</v>
      </c>
      <c r="M14" s="20"/>
      <c r="N14" s="20">
        <v>21226.153846153848</v>
      </c>
    </row>
    <row r="15" spans="1:15" ht="12.75" customHeight="1" x14ac:dyDescent="0.25">
      <c r="A15" s="21">
        <f t="shared" si="0"/>
        <v>5</v>
      </c>
      <c r="B15" s="21"/>
      <c r="C15" s="56" t="s">
        <v>275</v>
      </c>
      <c r="D15" s="193">
        <v>1</v>
      </c>
      <c r="F15" s="21"/>
      <c r="G15" s="20"/>
      <c r="H15" s="20"/>
      <c r="I15" s="20"/>
      <c r="J15" s="20">
        <v>19148</v>
      </c>
      <c r="K15" s="20"/>
      <c r="L15" s="20">
        <v>18464.199999999997</v>
      </c>
      <c r="M15" s="20"/>
      <c r="N15" s="20">
        <v>17780.399999999998</v>
      </c>
    </row>
    <row r="16" spans="1:15" ht="12.75" customHeight="1" x14ac:dyDescent="0.25">
      <c r="A16" s="21">
        <f t="shared" si="0"/>
        <v>6</v>
      </c>
      <c r="B16" s="21"/>
      <c r="C16" s="56" t="s">
        <v>274</v>
      </c>
      <c r="D16" s="21"/>
      <c r="F16" s="21"/>
      <c r="G16" s="20"/>
      <c r="H16" s="20"/>
      <c r="I16" s="20"/>
      <c r="J16" s="20"/>
      <c r="K16" s="20"/>
      <c r="L16" s="20">
        <v>16448</v>
      </c>
      <c r="M16" s="20"/>
      <c r="N16" s="20">
        <v>15899.733333333332</v>
      </c>
    </row>
    <row r="17" spans="1:14" ht="12.75" customHeight="1" x14ac:dyDescent="0.25">
      <c r="A17" s="21">
        <f t="shared" si="0"/>
        <v>7</v>
      </c>
      <c r="B17" s="21"/>
      <c r="C17" s="56" t="s">
        <v>276</v>
      </c>
      <c r="D17" s="21"/>
      <c r="F17" s="21"/>
      <c r="G17" s="20"/>
      <c r="H17" s="20"/>
      <c r="I17" s="20"/>
      <c r="J17" s="20"/>
      <c r="K17" s="20"/>
      <c r="L17" s="20"/>
      <c r="M17" s="20"/>
      <c r="N17" s="20">
        <v>7773.8270000000002</v>
      </c>
    </row>
    <row r="18" spans="1:14" ht="12.75" customHeight="1" x14ac:dyDescent="0.25">
      <c r="A18" s="21">
        <f t="shared" si="0"/>
        <v>8</v>
      </c>
      <c r="B18" s="21"/>
      <c r="C18" s="56" t="s">
        <v>170</v>
      </c>
      <c r="D18" s="21"/>
      <c r="F18" s="21"/>
      <c r="G18" s="83">
        <v>22493</v>
      </c>
      <c r="H18" s="83">
        <v>22493</v>
      </c>
      <c r="I18" s="83">
        <v>20886.759999999998</v>
      </c>
      <c r="J18" s="20"/>
      <c r="K18" s="20"/>
      <c r="L18" s="20"/>
      <c r="M18" s="20"/>
      <c r="N18" s="20"/>
    </row>
    <row r="19" spans="1:14" ht="12.75" customHeight="1" x14ac:dyDescent="0.25">
      <c r="A19" s="21">
        <f t="shared" si="0"/>
        <v>9</v>
      </c>
      <c r="B19" s="21"/>
      <c r="C19" s="56" t="s">
        <v>181</v>
      </c>
      <c r="D19" s="21"/>
      <c r="F19" s="21"/>
      <c r="G19" s="83">
        <v>3649</v>
      </c>
      <c r="H19" s="83">
        <v>3649</v>
      </c>
      <c r="I19" s="83">
        <v>3649</v>
      </c>
      <c r="J19" s="20"/>
      <c r="K19" s="20"/>
      <c r="L19" s="20"/>
      <c r="M19" s="20"/>
      <c r="N19" s="20"/>
    </row>
    <row r="20" spans="1:14" ht="12.75" customHeight="1" x14ac:dyDescent="0.25">
      <c r="A20" s="21">
        <f t="shared" si="0"/>
        <v>10</v>
      </c>
      <c r="B20" s="21"/>
      <c r="C20" s="56" t="s">
        <v>183</v>
      </c>
      <c r="D20" s="21"/>
      <c r="F20" s="21"/>
      <c r="G20" s="83">
        <v>2841</v>
      </c>
      <c r="H20" s="83">
        <v>2839</v>
      </c>
      <c r="I20" s="83">
        <v>2839</v>
      </c>
      <c r="J20" s="20"/>
      <c r="K20" s="20"/>
      <c r="L20" s="20"/>
      <c r="M20" s="20"/>
      <c r="N20" s="20"/>
    </row>
    <row r="21" spans="1:14" ht="12.75" customHeight="1" x14ac:dyDescent="0.25">
      <c r="A21" s="21">
        <f t="shared" si="0"/>
        <v>11</v>
      </c>
      <c r="B21" s="21"/>
      <c r="C21" s="21" t="s">
        <v>171</v>
      </c>
      <c r="D21" s="21"/>
      <c r="F21" s="21"/>
      <c r="G21" s="83">
        <v>15157</v>
      </c>
      <c r="H21" s="83">
        <v>15157</v>
      </c>
      <c r="I21" s="83">
        <v>14706.5</v>
      </c>
      <c r="J21" s="20"/>
      <c r="K21" s="20"/>
      <c r="L21" s="20"/>
      <c r="M21" s="20"/>
      <c r="N21" s="20"/>
    </row>
    <row r="22" spans="1:14" ht="12.75" customHeight="1" x14ac:dyDescent="0.25">
      <c r="A22" s="21">
        <f t="shared" si="0"/>
        <v>12</v>
      </c>
      <c r="B22" s="21"/>
      <c r="C22" s="56" t="s">
        <v>198</v>
      </c>
      <c r="D22" s="21"/>
      <c r="F22" s="21"/>
      <c r="G22" s="83">
        <v>3585</v>
      </c>
      <c r="H22" s="83">
        <v>3583</v>
      </c>
      <c r="I22" s="83">
        <v>3583</v>
      </c>
      <c r="J22" s="20"/>
      <c r="K22" s="20"/>
      <c r="L22" s="20"/>
      <c r="M22" s="20"/>
      <c r="N22" s="20"/>
    </row>
    <row r="23" spans="1:14" ht="12.75" customHeight="1" x14ac:dyDescent="0.25">
      <c r="A23" s="21">
        <f t="shared" si="0"/>
        <v>13</v>
      </c>
      <c r="B23" s="21"/>
      <c r="C23" s="56" t="s">
        <v>199</v>
      </c>
      <c r="D23" s="21"/>
      <c r="F23" s="21"/>
      <c r="G23" s="83">
        <v>4251</v>
      </c>
      <c r="H23" s="83">
        <v>4251</v>
      </c>
      <c r="I23" s="83">
        <v>4251</v>
      </c>
      <c r="J23" s="20"/>
      <c r="K23" s="20"/>
      <c r="L23" s="20"/>
      <c r="M23" s="20"/>
      <c r="N23" s="20"/>
    </row>
    <row r="24" spans="1:14" ht="12.75" customHeight="1" x14ac:dyDescent="0.25">
      <c r="A24" s="21">
        <f t="shared" si="0"/>
        <v>14</v>
      </c>
      <c r="B24" s="21"/>
      <c r="C24" s="56" t="s">
        <v>200</v>
      </c>
      <c r="D24" s="193">
        <v>2</v>
      </c>
      <c r="F24" s="21"/>
      <c r="G24" s="83">
        <v>4304</v>
      </c>
      <c r="H24" s="83">
        <v>3901</v>
      </c>
      <c r="I24" s="83">
        <v>3901</v>
      </c>
      <c r="J24" s="20"/>
      <c r="K24" s="20"/>
      <c r="L24" s="176"/>
      <c r="M24" s="176"/>
      <c r="N24" s="176"/>
    </row>
    <row r="25" spans="1:14" ht="12.75" customHeight="1" x14ac:dyDescent="0.25">
      <c r="A25" s="21">
        <f t="shared" si="0"/>
        <v>15</v>
      </c>
      <c r="B25" s="21"/>
      <c r="C25" s="56" t="s">
        <v>201</v>
      </c>
      <c r="D25" s="21"/>
      <c r="F25" s="21"/>
      <c r="G25" s="83">
        <v>4704</v>
      </c>
      <c r="H25" s="83">
        <v>3963</v>
      </c>
      <c r="I25" s="83">
        <v>3963</v>
      </c>
      <c r="J25" s="20"/>
      <c r="K25" s="20"/>
      <c r="L25" s="176"/>
      <c r="M25" s="176"/>
      <c r="N25" s="176"/>
    </row>
    <row r="26" spans="1:14" x14ac:dyDescent="0.25">
      <c r="B26" s="21"/>
      <c r="C26" s="56"/>
      <c r="D26" s="21"/>
      <c r="F26" s="21"/>
      <c r="G26" s="20"/>
      <c r="H26" s="20"/>
      <c r="I26" s="20"/>
      <c r="J26" s="20"/>
      <c r="K26" s="20"/>
      <c r="L26" s="41"/>
      <c r="M26" s="41"/>
      <c r="N26" s="41"/>
    </row>
    <row r="27" spans="1:14" ht="19.5" customHeight="1" x14ac:dyDescent="0.3">
      <c r="C27" s="35"/>
      <c r="D27" s="21"/>
      <c r="F27" s="21"/>
      <c r="G27" s="20"/>
      <c r="H27" s="20"/>
      <c r="I27" s="20"/>
      <c r="J27" s="20"/>
      <c r="K27" s="20"/>
      <c r="L27" s="20"/>
      <c r="M27" s="20"/>
      <c r="N27" s="20"/>
    </row>
    <row r="28" spans="1:14" ht="12.75" customHeight="1" x14ac:dyDescent="0.25">
      <c r="A28" s="21">
        <f>A25+1</f>
        <v>16</v>
      </c>
      <c r="C28" s="13" t="s">
        <v>50</v>
      </c>
      <c r="D28" s="21"/>
      <c r="F28" s="21"/>
      <c r="G28" s="29">
        <f t="shared" ref="G28" si="1">SUM(G11:G26)</f>
        <v>92581</v>
      </c>
      <c r="H28" s="29">
        <f t="shared" ref="H28:J28" si="2">SUM(H11:H26)</f>
        <v>91418.199152042856</v>
      </c>
      <c r="I28" s="29">
        <f t="shared" si="2"/>
        <v>87613.898467159306</v>
      </c>
      <c r="J28" s="29">
        <f t="shared" si="2"/>
        <v>124830.16907235117</v>
      </c>
      <c r="K28" s="29"/>
      <c r="L28" s="29">
        <f>SUM(L11:L26)</f>
        <v>136304.27001674729</v>
      </c>
      <c r="M28" s="29"/>
      <c r="N28" s="29">
        <f>SUM(N11:N26)</f>
        <v>138516.35143134746</v>
      </c>
    </row>
    <row r="29" spans="1:14" ht="12.75" customHeight="1" x14ac:dyDescent="0.25">
      <c r="A29" s="21">
        <f>A28+1</f>
        <v>17</v>
      </c>
      <c r="C29" s="13" t="s">
        <v>51</v>
      </c>
      <c r="D29" s="21"/>
      <c r="F29" s="21"/>
      <c r="G29" s="57">
        <v>91602</v>
      </c>
      <c r="H29" s="57">
        <v>91158.5</v>
      </c>
      <c r="I29" s="57">
        <f t="shared" ref="I29:J29" si="3">H28</f>
        <v>91418.199152042856</v>
      </c>
      <c r="J29" s="57">
        <f t="shared" si="3"/>
        <v>87613.898467159306</v>
      </c>
      <c r="K29" s="57"/>
      <c r="L29" s="57">
        <f>J28</f>
        <v>124830.16907235117</v>
      </c>
      <c r="M29" s="57"/>
      <c r="N29" s="57">
        <f>L28</f>
        <v>136304.27001674729</v>
      </c>
    </row>
    <row r="30" spans="1:14" x14ac:dyDescent="0.25">
      <c r="A30" s="21">
        <f>A29+1</f>
        <v>18</v>
      </c>
      <c r="C30" s="21" t="s">
        <v>172</v>
      </c>
      <c r="D30" s="21"/>
      <c r="F30" s="21"/>
      <c r="G30" s="29">
        <f t="shared" ref="G30" si="4">(G29+G28)/2</f>
        <v>92091.5</v>
      </c>
      <c r="H30" s="29">
        <f t="shared" ref="H30:J30" si="5">(H29+H28)/2</f>
        <v>91288.349576021428</v>
      </c>
      <c r="I30" s="29">
        <f t="shared" si="5"/>
        <v>89516.048809601081</v>
      </c>
      <c r="J30" s="29">
        <f t="shared" si="5"/>
        <v>106222.03376975525</v>
      </c>
      <c r="K30" s="29"/>
      <c r="L30" s="29">
        <f t="shared" ref="L30" si="6">(L29+L28)/2</f>
        <v>130567.21954454924</v>
      </c>
      <c r="M30" s="29"/>
      <c r="N30" s="29">
        <f t="shared" ref="N30" si="7">(N29+N28)/2</f>
        <v>137410.31072404736</v>
      </c>
    </row>
    <row r="31" spans="1:14" x14ac:dyDescent="0.25">
      <c r="C31" s="21"/>
      <c r="D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x14ac:dyDescent="0.25">
      <c r="C32" s="37"/>
      <c r="D32" s="37"/>
      <c r="E32" s="38"/>
      <c r="F32" s="37"/>
      <c r="G32" s="39"/>
      <c r="H32" s="39"/>
      <c r="I32" s="39"/>
      <c r="J32" s="39"/>
      <c r="K32" s="39"/>
      <c r="L32" s="39"/>
      <c r="M32" s="39"/>
      <c r="N32" s="39"/>
    </row>
    <row r="33" spans="1:17" s="21" customFormat="1" x14ac:dyDescent="0.25">
      <c r="C33" s="17" t="s">
        <v>169</v>
      </c>
    </row>
    <row r="36" spans="1:17" x14ac:dyDescent="0.25">
      <c r="A36" s="21">
        <f>A30+1</f>
        <v>19</v>
      </c>
      <c r="C36" s="56" t="s">
        <v>226</v>
      </c>
      <c r="G36" s="29">
        <v>1726</v>
      </c>
      <c r="H36" s="29">
        <v>1742.0722690477685</v>
      </c>
      <c r="I36" s="29">
        <v>1757.7737870000001</v>
      </c>
      <c r="J36" s="29"/>
      <c r="K36" s="29"/>
      <c r="L36" s="29"/>
      <c r="M36" s="29"/>
      <c r="N36" s="29"/>
    </row>
    <row r="37" spans="1:17" x14ac:dyDescent="0.25">
      <c r="A37" s="21">
        <f>A36+1</f>
        <v>20</v>
      </c>
      <c r="C37" s="56" t="s">
        <v>272</v>
      </c>
      <c r="G37" s="29">
        <v>535</v>
      </c>
      <c r="H37" s="29">
        <v>535.00666990128855</v>
      </c>
      <c r="I37" s="29">
        <v>478.90299777372906</v>
      </c>
      <c r="J37" s="29">
        <v>371.28459499205138</v>
      </c>
      <c r="K37" s="29"/>
      <c r="L37" s="29">
        <v>179.63430051995326</v>
      </c>
      <c r="M37" s="29"/>
      <c r="N37" s="29">
        <v>140.05443739068545</v>
      </c>
    </row>
    <row r="38" spans="1:17" x14ac:dyDescent="0.25">
      <c r="A38" s="21">
        <f>A37+1</f>
        <v>21</v>
      </c>
      <c r="B38" s="21"/>
      <c r="C38" s="56" t="s">
        <v>273</v>
      </c>
      <c r="D38" s="21"/>
      <c r="F38" s="21"/>
      <c r="G38" s="29"/>
      <c r="H38" s="29"/>
      <c r="I38" s="29"/>
      <c r="J38" s="29">
        <v>3461.2916370608218</v>
      </c>
      <c r="K38" s="29"/>
      <c r="L38" s="29">
        <v>3371.2339616021927</v>
      </c>
      <c r="M38" s="29"/>
      <c r="N38" s="29">
        <v>3225.3621144000008</v>
      </c>
    </row>
    <row r="39" spans="1:17" x14ac:dyDescent="0.25">
      <c r="A39" s="21">
        <f>A38+1</f>
        <v>22</v>
      </c>
      <c r="B39" s="21"/>
      <c r="C39" s="56" t="s">
        <v>227</v>
      </c>
      <c r="D39" s="21"/>
      <c r="F39" s="21"/>
      <c r="G39" s="29"/>
      <c r="H39" s="29"/>
      <c r="I39" s="29"/>
      <c r="J39" s="29"/>
      <c r="K39" s="29"/>
      <c r="L39" s="29">
        <v>10.865769230769232</v>
      </c>
      <c r="M39" s="29"/>
      <c r="N39" s="29">
        <v>211.80669230769229</v>
      </c>
    </row>
    <row r="40" spans="1:17" x14ac:dyDescent="0.25">
      <c r="A40" s="21">
        <f t="shared" ref="A40:A51" si="8">A39+1</f>
        <v>23</v>
      </c>
      <c r="B40" s="21"/>
      <c r="C40" s="56" t="s">
        <v>275</v>
      </c>
      <c r="D40" s="21"/>
      <c r="F40" s="21"/>
      <c r="G40" s="29"/>
      <c r="H40" s="29"/>
      <c r="I40" s="29"/>
      <c r="J40" s="29"/>
      <c r="K40" s="29"/>
      <c r="L40" s="29">
        <v>714.26113315068494</v>
      </c>
      <c r="M40" s="29"/>
      <c r="N40" s="29">
        <v>687.07738000000006</v>
      </c>
    </row>
    <row r="41" spans="1:17" x14ac:dyDescent="0.25">
      <c r="A41" s="21">
        <f t="shared" si="8"/>
        <v>24</v>
      </c>
      <c r="B41" s="21"/>
      <c r="C41" s="56" t="s">
        <v>274</v>
      </c>
      <c r="D41" s="21"/>
      <c r="F41" s="21"/>
      <c r="G41" s="29"/>
      <c r="H41" s="29"/>
      <c r="I41" s="29"/>
      <c r="J41" s="29"/>
      <c r="K41" s="29"/>
      <c r="L41" s="29"/>
      <c r="M41" s="29"/>
      <c r="N41" s="29">
        <v>652.98559999999998</v>
      </c>
    </row>
    <row r="42" spans="1:17" x14ac:dyDescent="0.25">
      <c r="A42" s="21">
        <f t="shared" si="8"/>
        <v>25</v>
      </c>
      <c r="B42" s="21"/>
      <c r="C42" s="56" t="s">
        <v>276</v>
      </c>
      <c r="D42" s="21"/>
      <c r="F42" s="21"/>
      <c r="G42" s="29"/>
      <c r="H42" s="29"/>
      <c r="I42" s="29"/>
      <c r="J42" s="29"/>
      <c r="K42" s="29"/>
      <c r="L42" s="29"/>
      <c r="M42" s="29"/>
      <c r="N42" s="29"/>
    </row>
    <row r="43" spans="1:17" x14ac:dyDescent="0.25">
      <c r="A43" s="21">
        <f>A42+1</f>
        <v>26</v>
      </c>
      <c r="B43" s="21"/>
      <c r="C43" s="56" t="s">
        <v>170</v>
      </c>
      <c r="D43" s="21"/>
      <c r="F43" s="21"/>
      <c r="G43" s="29">
        <v>1393</v>
      </c>
      <c r="H43" s="191">
        <v>1382</v>
      </c>
      <c r="I43" s="191">
        <v>1277.4000000000001</v>
      </c>
      <c r="J43" s="29"/>
      <c r="K43" s="29"/>
      <c r="L43" s="29"/>
      <c r="M43" s="29"/>
      <c r="N43" s="29"/>
    </row>
    <row r="44" spans="1:17" x14ac:dyDescent="0.25">
      <c r="A44" s="21">
        <f t="shared" si="8"/>
        <v>27</v>
      </c>
      <c r="B44" s="21"/>
      <c r="C44" s="56" t="s">
        <v>181</v>
      </c>
      <c r="D44" s="21"/>
      <c r="F44" s="21"/>
      <c r="G44" s="29">
        <v>220</v>
      </c>
      <c r="H44" s="191">
        <v>220</v>
      </c>
      <c r="I44" s="191">
        <v>220</v>
      </c>
      <c r="J44" s="29"/>
      <c r="K44" s="29"/>
      <c r="L44" s="29"/>
      <c r="M44" s="29"/>
      <c r="N44" s="29"/>
    </row>
    <row r="45" spans="1:17" x14ac:dyDescent="0.25">
      <c r="A45" s="21">
        <f t="shared" si="8"/>
        <v>28</v>
      </c>
      <c r="B45" s="21"/>
      <c r="C45" s="56" t="s">
        <v>183</v>
      </c>
      <c r="D45" s="21"/>
      <c r="F45" s="21"/>
      <c r="G45" s="29">
        <v>153</v>
      </c>
      <c r="H45" s="191">
        <v>153</v>
      </c>
      <c r="I45" s="191">
        <v>153</v>
      </c>
      <c r="J45" s="29"/>
      <c r="K45" s="29"/>
      <c r="L45" s="29"/>
      <c r="M45" s="29"/>
      <c r="N45" s="29"/>
    </row>
    <row r="46" spans="1:17" s="21" customFormat="1" x14ac:dyDescent="0.25">
      <c r="A46" s="21">
        <f t="shared" si="8"/>
        <v>29</v>
      </c>
      <c r="C46" s="21" t="s">
        <v>171</v>
      </c>
      <c r="E46" s="50"/>
      <c r="G46" s="29">
        <v>1022</v>
      </c>
      <c r="H46" s="191">
        <v>1022</v>
      </c>
      <c r="I46" s="191">
        <v>993</v>
      </c>
      <c r="J46" s="29"/>
      <c r="K46" s="29"/>
      <c r="L46" s="29"/>
      <c r="M46" s="29"/>
      <c r="N46" s="29"/>
    </row>
    <row r="47" spans="1:17" s="21" customFormat="1" x14ac:dyDescent="0.25">
      <c r="A47" s="21">
        <f t="shared" si="8"/>
        <v>30</v>
      </c>
      <c r="C47" s="56" t="s">
        <v>198</v>
      </c>
      <c r="E47" s="50"/>
      <c r="G47" s="29">
        <v>191.2</v>
      </c>
      <c r="H47" s="191">
        <v>191</v>
      </c>
      <c r="I47" s="191">
        <v>191</v>
      </c>
      <c r="J47" s="29"/>
      <c r="K47" s="29"/>
      <c r="L47" s="29"/>
      <c r="M47" s="29"/>
      <c r="N47" s="29"/>
      <c r="P47" s="20"/>
      <c r="Q47" s="20"/>
    </row>
    <row r="48" spans="1:17" s="21" customFormat="1" x14ac:dyDescent="0.25">
      <c r="A48" s="21">
        <f t="shared" si="8"/>
        <v>31</v>
      </c>
      <c r="C48" s="56" t="s">
        <v>199</v>
      </c>
      <c r="E48" s="50"/>
      <c r="G48" s="29">
        <v>224.2</v>
      </c>
      <c r="H48" s="191">
        <v>224</v>
      </c>
      <c r="I48" s="191">
        <v>224</v>
      </c>
      <c r="J48" s="29"/>
      <c r="K48" s="29"/>
      <c r="L48" s="29"/>
      <c r="M48" s="29"/>
      <c r="N48" s="29"/>
    </row>
    <row r="49" spans="1:17" s="21" customFormat="1" x14ac:dyDescent="0.25">
      <c r="A49" s="21">
        <f t="shared" si="8"/>
        <v>32</v>
      </c>
      <c r="C49" s="56" t="s">
        <v>200</v>
      </c>
      <c r="E49" s="50"/>
      <c r="G49" s="29">
        <v>200.2</v>
      </c>
      <c r="H49" s="191">
        <v>206</v>
      </c>
      <c r="I49" s="191">
        <v>206</v>
      </c>
      <c r="J49" s="29"/>
      <c r="K49" s="29"/>
      <c r="L49" s="29"/>
      <c r="M49" s="29"/>
      <c r="N49" s="29"/>
    </row>
    <row r="50" spans="1:17" s="21" customFormat="1" x14ac:dyDescent="0.25">
      <c r="A50" s="21">
        <f t="shared" si="8"/>
        <v>33</v>
      </c>
      <c r="C50" s="56" t="s">
        <v>201</v>
      </c>
      <c r="E50" s="50"/>
      <c r="G50" s="29"/>
      <c r="H50" s="191"/>
      <c r="I50" s="191">
        <v>209</v>
      </c>
      <c r="J50" s="29"/>
      <c r="K50" s="29"/>
      <c r="L50" s="29"/>
      <c r="M50" s="29"/>
      <c r="N50" s="29"/>
    </row>
    <row r="51" spans="1:17" x14ac:dyDescent="0.25">
      <c r="A51" s="21">
        <f t="shared" si="8"/>
        <v>34</v>
      </c>
      <c r="B51" s="21"/>
      <c r="C51" s="56" t="s">
        <v>236</v>
      </c>
      <c r="D51" s="21"/>
      <c r="F51" s="21"/>
      <c r="G51" s="29">
        <v>155</v>
      </c>
      <c r="H51" s="29"/>
      <c r="I51" s="29"/>
      <c r="J51" s="29"/>
      <c r="K51" s="29"/>
      <c r="L51" s="29"/>
      <c r="M51" s="29"/>
      <c r="N51" s="29"/>
    </row>
    <row r="52" spans="1:17" x14ac:dyDescent="0.25">
      <c r="B52" s="21"/>
      <c r="C52" s="36"/>
      <c r="D52" s="21"/>
      <c r="F52" s="21"/>
      <c r="G52" s="29"/>
      <c r="H52" s="29"/>
      <c r="I52" s="29"/>
      <c r="J52" s="29"/>
      <c r="K52" s="29"/>
      <c r="L52" s="29"/>
      <c r="M52" s="29"/>
      <c r="N52" s="29"/>
    </row>
    <row r="53" spans="1:17" x14ac:dyDescent="0.25">
      <c r="A53" s="21">
        <f>A51+1</f>
        <v>35</v>
      </c>
      <c r="C53" s="3" t="s">
        <v>174</v>
      </c>
      <c r="G53" s="29">
        <f>SUM(G36:G51)</f>
        <v>5819.5999999999995</v>
      </c>
      <c r="H53" s="29">
        <f t="shared" ref="H53:J53" si="9">SUM(H36:H51)</f>
        <v>5675.0789389490565</v>
      </c>
      <c r="I53" s="29">
        <f t="shared" si="9"/>
        <v>5710.0767847737297</v>
      </c>
      <c r="J53" s="29">
        <f t="shared" si="9"/>
        <v>3832.5762320528734</v>
      </c>
      <c r="K53" s="29"/>
      <c r="L53" s="29">
        <f t="shared" ref="L53:N53" si="10">SUM(L36:L51)</f>
        <v>4275.9951645035999</v>
      </c>
      <c r="M53" s="29"/>
      <c r="N53" s="29">
        <f t="shared" si="10"/>
        <v>4917.2862240983786</v>
      </c>
    </row>
    <row r="55" spans="1:17" x14ac:dyDescent="0.25">
      <c r="A55" s="21">
        <f>A53+1</f>
        <v>36</v>
      </c>
      <c r="C55" s="13" t="s">
        <v>175</v>
      </c>
      <c r="G55" s="59">
        <v>6.1499999999999999E-2</v>
      </c>
      <c r="H55" s="59">
        <f>H53/H30</f>
        <v>6.2166519225140215E-2</v>
      </c>
      <c r="I55" s="59">
        <f>I53/I30</f>
        <v>6.3788302329104735E-2</v>
      </c>
      <c r="J55" s="59">
        <f>J53/J30</f>
        <v>3.6080802598454184E-2</v>
      </c>
      <c r="K55" s="59"/>
      <c r="L55" s="59">
        <f>L53/L30</f>
        <v>3.2749377519252755E-2</v>
      </c>
      <c r="M55" s="59"/>
      <c r="N55" s="59">
        <f>N53/N30</f>
        <v>3.5785423948086842E-2</v>
      </c>
    </row>
    <row r="56" spans="1:17" x14ac:dyDescent="0.25">
      <c r="G56" s="59"/>
      <c r="H56" s="59"/>
      <c r="I56" s="59"/>
      <c r="J56" s="59"/>
      <c r="K56" s="59"/>
      <c r="L56" s="59"/>
      <c r="M56" s="59"/>
      <c r="N56" s="59"/>
    </row>
    <row r="57" spans="1:17" x14ac:dyDescent="0.25">
      <c r="C57" s="190" t="s">
        <v>231</v>
      </c>
      <c r="G57" s="59"/>
      <c r="H57" s="59"/>
      <c r="I57" s="59"/>
      <c r="J57" s="59"/>
      <c r="K57" s="59"/>
      <c r="L57" s="59"/>
      <c r="M57" s="59"/>
      <c r="N57" s="59"/>
    </row>
    <row r="58" spans="1:17" ht="25.5" customHeight="1" x14ac:dyDescent="0.25">
      <c r="C58" s="207" t="s">
        <v>278</v>
      </c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</row>
    <row r="59" spans="1:17" x14ac:dyDescent="0.25">
      <c r="C59" s="190" t="s">
        <v>277</v>
      </c>
    </row>
    <row r="62" spans="1:17" s="60" customFormat="1" x14ac:dyDescent="0.25">
      <c r="A62" s="61"/>
      <c r="B62" s="61"/>
      <c r="C62" s="61"/>
      <c r="D62" s="61"/>
      <c r="E62" s="197"/>
      <c r="F62" s="61"/>
      <c r="G62" s="198"/>
      <c r="H62" s="198"/>
      <c r="I62" s="198"/>
      <c r="J62" s="198"/>
      <c r="K62" s="198"/>
      <c r="L62" s="198"/>
      <c r="M62" s="198"/>
      <c r="N62" s="198"/>
      <c r="O62" s="61"/>
      <c r="P62" s="61"/>
      <c r="Q62" s="61"/>
    </row>
    <row r="63" spans="1:17" x14ac:dyDescent="0.25">
      <c r="A63" s="54"/>
      <c r="B63" s="51"/>
      <c r="C63" s="51"/>
      <c r="D63" s="51"/>
      <c r="E63" s="86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1:17" x14ac:dyDescent="0.25">
      <c r="A64" s="54"/>
      <c r="B64" s="51"/>
      <c r="C64" s="51"/>
      <c r="D64" s="51"/>
      <c r="E64" s="86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1:17" x14ac:dyDescent="0.25">
      <c r="A65" s="61"/>
      <c r="B65" s="61"/>
      <c r="C65" s="61"/>
      <c r="D65" s="61"/>
      <c r="E65" s="197"/>
      <c r="F65" s="61"/>
      <c r="G65" s="63"/>
      <c r="H65" s="63"/>
      <c r="I65" s="63"/>
      <c r="J65" s="63"/>
      <c r="K65" s="63"/>
      <c r="L65" s="63"/>
      <c r="M65" s="63"/>
      <c r="N65" s="63"/>
      <c r="O65" s="51"/>
      <c r="P65" s="51"/>
      <c r="Q65" s="51"/>
    </row>
    <row r="66" spans="1:17" x14ac:dyDescent="0.25">
      <c r="A66" s="54"/>
      <c r="B66" s="51"/>
      <c r="C66" s="51"/>
      <c r="D66" s="51"/>
      <c r="E66" s="86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1:17" x14ac:dyDescent="0.25">
      <c r="A67" s="54"/>
      <c r="B67" s="51"/>
      <c r="C67" s="51"/>
      <c r="D67" s="51"/>
      <c r="E67" s="86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1:17" x14ac:dyDescent="0.25">
      <c r="A68" s="54"/>
      <c r="B68" s="51"/>
      <c r="C68" s="51"/>
      <c r="D68" s="51"/>
      <c r="E68" s="86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1:17" x14ac:dyDescent="0.25">
      <c r="A69" s="54"/>
      <c r="B69" s="51"/>
      <c r="C69" s="199"/>
      <c r="D69" s="54"/>
      <c r="E69" s="86"/>
      <c r="F69" s="54"/>
      <c r="G69" s="54"/>
      <c r="H69" s="54"/>
      <c r="I69" s="54"/>
      <c r="J69" s="54"/>
      <c r="K69" s="54"/>
      <c r="L69" s="54"/>
      <c r="M69" s="54"/>
      <c r="N69" s="54"/>
      <c r="O69" s="51"/>
      <c r="P69" s="51"/>
      <c r="Q69" s="51"/>
    </row>
    <row r="70" spans="1:17" x14ac:dyDescent="0.25">
      <c r="A70" s="54"/>
      <c r="B70" s="51"/>
      <c r="C70" s="51"/>
      <c r="D70" s="54"/>
      <c r="E70" s="86"/>
      <c r="F70" s="54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1:17" x14ac:dyDescent="0.25">
      <c r="A71" s="54"/>
      <c r="B71" s="51"/>
      <c r="C71" s="51"/>
      <c r="D71" s="54"/>
      <c r="E71" s="86"/>
      <c r="F71" s="54"/>
      <c r="G71" s="29"/>
      <c r="H71" s="29"/>
      <c r="I71" s="200"/>
      <c r="J71" s="29"/>
      <c r="K71" s="29"/>
      <c r="L71" s="29"/>
      <c r="M71" s="29"/>
      <c r="N71" s="29"/>
      <c r="O71" s="51"/>
      <c r="P71" s="51"/>
      <c r="Q71" s="51"/>
    </row>
    <row r="72" spans="1:17" x14ac:dyDescent="0.25">
      <c r="A72" s="54"/>
      <c r="B72" s="51"/>
      <c r="C72" s="51"/>
      <c r="D72" s="54"/>
      <c r="E72" s="86"/>
      <c r="F72" s="54"/>
      <c r="G72" s="29"/>
      <c r="H72" s="29"/>
      <c r="I72" s="29"/>
      <c r="J72" s="29"/>
      <c r="K72" s="29"/>
      <c r="L72" s="29"/>
      <c r="M72" s="29"/>
      <c r="N72" s="29"/>
      <c r="O72" s="51"/>
      <c r="P72" s="51"/>
      <c r="Q72" s="51"/>
    </row>
    <row r="73" spans="1:17" x14ac:dyDescent="0.25">
      <c r="A73" s="54"/>
      <c r="B73" s="51"/>
      <c r="C73" s="54"/>
      <c r="D73" s="54"/>
      <c r="E73" s="86"/>
      <c r="F73" s="54"/>
      <c r="G73" s="29"/>
      <c r="H73" s="29"/>
      <c r="I73" s="29"/>
      <c r="J73" s="29"/>
      <c r="K73" s="29"/>
      <c r="L73" s="29"/>
      <c r="M73" s="29"/>
      <c r="N73" s="29"/>
      <c r="O73" s="51"/>
      <c r="P73" s="51"/>
      <c r="Q73" s="51"/>
    </row>
    <row r="74" spans="1:17" x14ac:dyDescent="0.25">
      <c r="A74" s="54"/>
      <c r="B74" s="51"/>
      <c r="C74" s="51"/>
      <c r="D74" s="51"/>
      <c r="E74" s="86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1:17" x14ac:dyDescent="0.25">
      <c r="A75" s="54"/>
      <c r="B75" s="51"/>
      <c r="C75" s="51"/>
      <c r="D75" s="51"/>
      <c r="E75" s="86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1:17" x14ac:dyDescent="0.25">
      <c r="A76" s="54"/>
      <c r="B76" s="51"/>
      <c r="C76" s="51"/>
      <c r="D76" s="51"/>
      <c r="E76" s="86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1:17" x14ac:dyDescent="0.25">
      <c r="A77" s="54"/>
      <c r="B77" s="51"/>
      <c r="C77" s="51"/>
      <c r="D77" s="51"/>
      <c r="E77" s="86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1:17" x14ac:dyDescent="0.25">
      <c r="A78" s="54"/>
      <c r="B78" s="51"/>
      <c r="C78" s="51"/>
      <c r="D78" s="51"/>
      <c r="E78" s="86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1:17" x14ac:dyDescent="0.25">
      <c r="A79" s="54"/>
      <c r="B79" s="51"/>
      <c r="C79" s="51"/>
      <c r="D79" s="51"/>
      <c r="E79" s="86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1:17" x14ac:dyDescent="0.25">
      <c r="A80" s="54"/>
      <c r="B80" s="51"/>
      <c r="C80" s="51"/>
      <c r="D80" s="51"/>
      <c r="E80" s="86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</sheetData>
  <mergeCells count="1">
    <mergeCell ref="C58:N58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9" tint="0.39997558519241921"/>
  </sheetPr>
  <dimension ref="A1:AI71"/>
  <sheetViews>
    <sheetView view="pageBreakPreview" zoomScaleSheetLayoutView="100" workbookViewId="0">
      <selection activeCell="F1" sqref="F1"/>
    </sheetView>
  </sheetViews>
  <sheetFormatPr defaultColWidth="9.109375" defaultRowHeight="13.2" x14ac:dyDescent="0.25"/>
  <cols>
    <col min="1" max="1" width="5.33203125" style="21" customWidth="1"/>
    <col min="2" max="2" width="1.88671875" style="21" customWidth="1"/>
    <col min="3" max="3" width="30.33203125" style="21" customWidth="1"/>
    <col min="4" max="4" width="1.88671875" style="21" customWidth="1"/>
    <col min="5" max="5" width="9.109375" style="50" customWidth="1"/>
    <col min="6" max="6" width="1.88671875" style="21" customWidth="1"/>
    <col min="7" max="9" width="9.44140625" style="21" customWidth="1"/>
    <col min="10" max="10" width="9.6640625" style="21" customWidth="1"/>
    <col min="11" max="11" width="1.6640625" style="54" customWidth="1"/>
    <col min="12" max="12" width="10.44140625" style="21" customWidth="1"/>
    <col min="13" max="13" width="1.6640625" style="54" customWidth="1"/>
    <col min="14" max="14" width="11.6640625" style="21" customWidth="1"/>
    <col min="15" max="15" width="2.109375" style="21" customWidth="1"/>
    <col min="16" max="20" width="9.109375" style="21"/>
    <col min="21" max="21" width="11.33203125" style="21" bestFit="1" customWidth="1"/>
    <col min="22" max="22" width="10.109375" style="21" bestFit="1" customWidth="1"/>
    <col min="23" max="24" width="9.109375" style="21"/>
    <col min="25" max="25" width="10.33203125" style="21" bestFit="1" customWidth="1"/>
    <col min="26" max="16384" width="9.109375" style="21"/>
  </cols>
  <sheetData>
    <row r="1" spans="1:20" ht="15.6" x14ac:dyDescent="0.3">
      <c r="H1" s="22" t="s">
        <v>4</v>
      </c>
      <c r="N1" s="85" t="s">
        <v>3</v>
      </c>
    </row>
    <row r="2" spans="1:20" x14ac:dyDescent="0.25">
      <c r="H2" s="23" t="s">
        <v>5</v>
      </c>
      <c r="N2" s="75" t="s">
        <v>279</v>
      </c>
    </row>
    <row r="3" spans="1:20" x14ac:dyDescent="0.25">
      <c r="H3" s="23" t="s">
        <v>6</v>
      </c>
    </row>
    <row r="6" spans="1:20" s="50" customFormat="1" x14ac:dyDescent="0.25">
      <c r="G6" s="77"/>
      <c r="H6" s="77"/>
      <c r="I6" s="77"/>
      <c r="J6" s="77"/>
      <c r="K6" s="77"/>
      <c r="L6" s="192"/>
      <c r="M6" s="77"/>
      <c r="N6" s="192"/>
    </row>
    <row r="7" spans="1:20" s="16" customFormat="1" ht="39.6" x14ac:dyDescent="0.25">
      <c r="A7" s="15" t="s">
        <v>0</v>
      </c>
      <c r="C7" s="15" t="s">
        <v>1</v>
      </c>
      <c r="E7" s="15" t="s">
        <v>2</v>
      </c>
      <c r="G7" s="15" t="s">
        <v>221</v>
      </c>
      <c r="H7" s="15" t="s">
        <v>216</v>
      </c>
      <c r="I7" s="15" t="s">
        <v>217</v>
      </c>
      <c r="J7" s="15" t="s">
        <v>260</v>
      </c>
      <c r="K7" s="27"/>
      <c r="L7" s="15" t="s">
        <v>218</v>
      </c>
      <c r="M7" s="27"/>
      <c r="N7" s="15" t="s">
        <v>219</v>
      </c>
    </row>
    <row r="9" spans="1:20" x14ac:dyDescent="0.25">
      <c r="A9" s="21">
        <v>1</v>
      </c>
      <c r="C9" s="17" t="s">
        <v>42</v>
      </c>
    </row>
    <row r="10" spans="1:20" x14ac:dyDescent="0.25">
      <c r="A10" s="21">
        <v>2</v>
      </c>
      <c r="C10" s="21" t="s">
        <v>43</v>
      </c>
      <c r="E10" s="50" t="s">
        <v>84</v>
      </c>
      <c r="G10" s="58">
        <f>'Schedule 3'!G15</f>
        <v>286660</v>
      </c>
      <c r="H10" s="58">
        <f>'Schedule 3'!H15</f>
        <v>297261.63472000003</v>
      </c>
      <c r="I10" s="58">
        <f>'Schedule 3'!I15</f>
        <v>378170.53253000003</v>
      </c>
      <c r="J10" s="58">
        <f>'Schedule 3'!J15</f>
        <v>473016.90018000006</v>
      </c>
      <c r="K10" s="28"/>
      <c r="L10" s="58">
        <f>'Schedule 3'!L15</f>
        <v>496937.72556000005</v>
      </c>
      <c r="M10" s="28"/>
      <c r="N10" s="58">
        <f>'Schedule 3'!N15</f>
        <v>520650.63056000008</v>
      </c>
      <c r="Q10" s="69"/>
      <c r="R10" s="177"/>
      <c r="T10" s="69"/>
    </row>
    <row r="11" spans="1:20" x14ac:dyDescent="0.25">
      <c r="E11" s="50" t="s">
        <v>143</v>
      </c>
      <c r="G11" s="58"/>
      <c r="H11" s="58"/>
      <c r="I11" s="58"/>
      <c r="J11" s="58"/>
      <c r="K11" s="28"/>
      <c r="L11" s="58"/>
      <c r="M11" s="28"/>
      <c r="N11" s="58"/>
    </row>
    <row r="12" spans="1:20" x14ac:dyDescent="0.25">
      <c r="C12" s="21" t="s">
        <v>44</v>
      </c>
      <c r="G12" s="58"/>
      <c r="H12" s="58"/>
      <c r="I12" s="58"/>
      <c r="J12" s="58"/>
      <c r="K12" s="28"/>
      <c r="L12" s="58"/>
      <c r="M12" s="28"/>
      <c r="N12" s="58"/>
    </row>
    <row r="13" spans="1:20" x14ac:dyDescent="0.25">
      <c r="A13" s="21">
        <v>3</v>
      </c>
      <c r="C13" s="21" t="s">
        <v>186</v>
      </c>
      <c r="E13" s="50" t="s">
        <v>80</v>
      </c>
      <c r="G13" s="58">
        <f>'Schedule 3'!G23</f>
        <v>89221</v>
      </c>
      <c r="H13" s="58">
        <f>'Schedule 3'!H23</f>
        <v>89352.53181</v>
      </c>
      <c r="I13" s="58">
        <f>'Schedule 3'!I23</f>
        <v>95584.200620000003</v>
      </c>
      <c r="J13" s="58">
        <f>'Schedule 3'!J23</f>
        <v>103287.63062000001</v>
      </c>
      <c r="K13" s="28"/>
      <c r="L13" s="58">
        <f>'Schedule 3'!L23</f>
        <v>111705.74409225679</v>
      </c>
      <c r="M13" s="28"/>
      <c r="N13" s="58">
        <f>'Schedule 3'!N23</f>
        <v>120694.2892643963</v>
      </c>
    </row>
    <row r="14" spans="1:20" x14ac:dyDescent="0.25">
      <c r="G14" s="58"/>
      <c r="H14" s="58"/>
      <c r="I14" s="58"/>
      <c r="J14" s="58"/>
      <c r="K14" s="28"/>
      <c r="L14" s="58"/>
      <c r="M14" s="28"/>
      <c r="N14" s="58"/>
    </row>
    <row r="15" spans="1:20" x14ac:dyDescent="0.25">
      <c r="A15" s="21">
        <v>4</v>
      </c>
      <c r="C15" s="21" t="s">
        <v>58</v>
      </c>
      <c r="E15" s="50" t="s">
        <v>188</v>
      </c>
      <c r="G15" s="58">
        <v>8686</v>
      </c>
      <c r="H15" s="58">
        <v>20898</v>
      </c>
      <c r="I15" s="58">
        <v>91851</v>
      </c>
      <c r="J15" s="58">
        <v>7891.6264299999475</v>
      </c>
      <c r="K15" s="28"/>
      <c r="L15" s="58">
        <v>6199.1091699999488</v>
      </c>
      <c r="M15" s="28"/>
      <c r="N15" s="58">
        <v>19798.032009999948</v>
      </c>
      <c r="P15" s="69"/>
      <c r="Q15" s="69"/>
      <c r="R15" s="69"/>
      <c r="S15" s="69"/>
      <c r="T15" s="69"/>
    </row>
    <row r="16" spans="1:20" x14ac:dyDescent="0.25">
      <c r="A16" s="21">
        <v>5</v>
      </c>
      <c r="C16" s="21" t="s">
        <v>78</v>
      </c>
      <c r="E16" s="50" t="s">
        <v>90</v>
      </c>
      <c r="G16" s="58">
        <v>200</v>
      </c>
      <c r="H16" s="58">
        <v>200</v>
      </c>
      <c r="I16" s="58">
        <v>200</v>
      </c>
      <c r="J16" s="58">
        <v>691.1425999999999</v>
      </c>
      <c r="K16" s="28"/>
      <c r="L16" s="58">
        <v>691.1425999999999</v>
      </c>
      <c r="M16" s="28"/>
      <c r="N16" s="58">
        <v>691.1425999999999</v>
      </c>
    </row>
    <row r="17" spans="1:35" x14ac:dyDescent="0.25">
      <c r="A17" s="21">
        <v>6</v>
      </c>
      <c r="C17" s="21" t="s">
        <v>142</v>
      </c>
      <c r="E17" s="50" t="s">
        <v>91</v>
      </c>
      <c r="G17" s="48">
        <v>7814</v>
      </c>
      <c r="H17" s="48">
        <v>7372.5816800176808</v>
      </c>
      <c r="I17" s="48">
        <v>6781.6266800176809</v>
      </c>
      <c r="J17" s="48">
        <v>6365.8716800176808</v>
      </c>
      <c r="K17" s="28"/>
      <c r="L17" s="48">
        <v>6134.6425720176812</v>
      </c>
      <c r="M17" s="87"/>
      <c r="N17" s="48">
        <v>5903.6934640176814</v>
      </c>
    </row>
    <row r="18" spans="1:35" x14ac:dyDescent="0.25">
      <c r="A18" s="21">
        <v>7</v>
      </c>
      <c r="C18" s="21" t="s">
        <v>45</v>
      </c>
      <c r="G18" s="58">
        <f t="shared" ref="G18" si="0">SUM(G13:G17)</f>
        <v>105921</v>
      </c>
      <c r="H18" s="58">
        <f t="shared" ref="H18:J18" si="1">SUM(H13:H17)</f>
        <v>117823.11349001768</v>
      </c>
      <c r="I18" s="58">
        <f t="shared" si="1"/>
        <v>194416.8273000177</v>
      </c>
      <c r="J18" s="58">
        <f t="shared" si="1"/>
        <v>118236.27133001764</v>
      </c>
      <c r="K18" s="28"/>
      <c r="L18" s="58">
        <f>SUM(L13:L17)</f>
        <v>124730.63843427443</v>
      </c>
      <c r="M18" s="28"/>
      <c r="N18" s="58">
        <f>SUM(N13:N17)</f>
        <v>147087.1573384139</v>
      </c>
      <c r="Q18" s="69"/>
    </row>
    <row r="19" spans="1:35" x14ac:dyDescent="0.25">
      <c r="G19" s="58"/>
      <c r="H19" s="58"/>
      <c r="I19" s="58"/>
      <c r="J19" s="58"/>
      <c r="K19" s="28"/>
      <c r="L19" s="58"/>
      <c r="M19" s="28"/>
      <c r="N19" s="58"/>
      <c r="Q19" s="69"/>
    </row>
    <row r="20" spans="1:35" x14ac:dyDescent="0.25">
      <c r="C20" s="21" t="s">
        <v>46</v>
      </c>
      <c r="G20" s="58"/>
      <c r="H20" s="58"/>
      <c r="I20" s="58"/>
      <c r="J20" s="58"/>
      <c r="K20" s="28"/>
      <c r="L20" s="58"/>
      <c r="M20" s="28"/>
      <c r="N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G20" s="58"/>
      <c r="AH20" s="58"/>
      <c r="AI20" s="58"/>
    </row>
    <row r="21" spans="1:35" x14ac:dyDescent="0.25">
      <c r="A21" s="21">
        <v>8</v>
      </c>
      <c r="C21" s="21" t="s">
        <v>178</v>
      </c>
      <c r="E21" s="50" t="s">
        <v>189</v>
      </c>
      <c r="G21" s="28">
        <v>22451</v>
      </c>
      <c r="H21" s="28">
        <v>12373.817799999999</v>
      </c>
      <c r="I21" s="28">
        <v>17327.817799999997</v>
      </c>
      <c r="J21" s="28">
        <v>22574.544569000002</v>
      </c>
      <c r="K21" s="28"/>
      <c r="L21" s="28">
        <v>27147.884460999998</v>
      </c>
      <c r="M21" s="28"/>
      <c r="N21" s="28">
        <v>27890.809482999994</v>
      </c>
      <c r="O21" s="54"/>
      <c r="U21" s="58"/>
      <c r="V21" s="58"/>
      <c r="W21" s="58"/>
      <c r="X21" s="58"/>
      <c r="Y21" s="58"/>
      <c r="Z21" s="58"/>
      <c r="AA21" s="58"/>
      <c r="AC21" s="58"/>
      <c r="AD21" s="58"/>
      <c r="AE21" s="58"/>
      <c r="AG21" s="58"/>
      <c r="AH21" s="58"/>
      <c r="AI21" s="58"/>
    </row>
    <row r="22" spans="1:35" x14ac:dyDescent="0.25">
      <c r="A22" s="21">
        <v>9</v>
      </c>
      <c r="C22" s="21" t="s">
        <v>184</v>
      </c>
      <c r="E22" s="50" t="s">
        <v>190</v>
      </c>
      <c r="G22" s="28">
        <v>-14526</v>
      </c>
      <c r="H22" s="28">
        <v>-4584</v>
      </c>
      <c r="I22" s="28">
        <v>-10543</v>
      </c>
      <c r="J22" s="28">
        <v>-9275.6018600000007</v>
      </c>
      <c r="K22" s="28"/>
      <c r="L22" s="28">
        <v>-12406.163200000006</v>
      </c>
      <c r="M22" s="28"/>
      <c r="N22" s="28">
        <v>-14742.2582</v>
      </c>
      <c r="O22" s="54"/>
      <c r="U22" s="58"/>
      <c r="V22" s="58"/>
      <c r="W22" s="58"/>
      <c r="X22" s="58"/>
      <c r="Y22" s="58"/>
      <c r="Z22" s="58"/>
      <c r="AA22" s="58"/>
      <c r="AC22" s="58"/>
      <c r="AD22" s="58"/>
      <c r="AE22" s="58"/>
      <c r="AG22" s="58"/>
      <c r="AH22" s="58"/>
      <c r="AI22" s="58"/>
    </row>
    <row r="23" spans="1:35" x14ac:dyDescent="0.25">
      <c r="A23" s="21">
        <v>10</v>
      </c>
      <c r="C23" s="21" t="s">
        <v>185</v>
      </c>
      <c r="E23" s="50" t="s">
        <v>157</v>
      </c>
      <c r="G23" s="28">
        <v>121</v>
      </c>
      <c r="H23" s="28">
        <v>0</v>
      </c>
      <c r="I23" s="28">
        <v>0</v>
      </c>
      <c r="J23" s="28">
        <v>0</v>
      </c>
      <c r="K23" s="28"/>
      <c r="L23" s="28">
        <v>0</v>
      </c>
      <c r="M23" s="28"/>
      <c r="N23" s="28">
        <v>0</v>
      </c>
      <c r="O23" s="54"/>
      <c r="U23" s="58"/>
      <c r="V23" s="58"/>
      <c r="W23" s="58"/>
      <c r="X23" s="58"/>
      <c r="Y23" s="58"/>
      <c r="Z23" s="58"/>
      <c r="AA23" s="58"/>
      <c r="AC23" s="58"/>
      <c r="AD23" s="58"/>
      <c r="AE23" s="58"/>
      <c r="AG23" s="58"/>
      <c r="AH23" s="58"/>
      <c r="AI23" s="58"/>
    </row>
    <row r="24" spans="1:35" x14ac:dyDescent="0.25">
      <c r="A24" s="21">
        <v>11</v>
      </c>
      <c r="C24" s="21" t="s">
        <v>47</v>
      </c>
      <c r="E24" s="50" t="s">
        <v>92</v>
      </c>
      <c r="G24" s="28">
        <v>78</v>
      </c>
      <c r="H24" s="28">
        <v>78</v>
      </c>
      <c r="I24" s="28">
        <v>82</v>
      </c>
      <c r="J24" s="28">
        <v>86</v>
      </c>
      <c r="K24" s="28"/>
      <c r="L24" s="28">
        <v>102.278565</v>
      </c>
      <c r="M24" s="28"/>
      <c r="N24" s="28">
        <v>118.55713</v>
      </c>
      <c r="U24" s="58"/>
      <c r="V24" s="58"/>
      <c r="W24" s="58"/>
      <c r="X24" s="58"/>
      <c r="Y24" s="58"/>
      <c r="Z24" s="58"/>
      <c r="AA24" s="58"/>
      <c r="AC24" s="58"/>
      <c r="AD24" s="58"/>
      <c r="AE24" s="58"/>
      <c r="AG24" s="58"/>
      <c r="AH24" s="58"/>
      <c r="AI24" s="58"/>
    </row>
    <row r="25" spans="1:35" x14ac:dyDescent="0.25">
      <c r="A25" s="21">
        <v>12</v>
      </c>
      <c r="C25" s="21" t="s">
        <v>48</v>
      </c>
      <c r="G25" s="88">
        <f t="shared" ref="G25" si="2">SUM(G21:G24)</f>
        <v>8124</v>
      </c>
      <c r="H25" s="88">
        <f t="shared" ref="H25:J25" si="3">SUM(H21:H24)</f>
        <v>7867.8177999999989</v>
      </c>
      <c r="I25" s="88">
        <f t="shared" si="3"/>
        <v>6866.8177999999971</v>
      </c>
      <c r="J25" s="88">
        <f t="shared" si="3"/>
        <v>13384.942709000001</v>
      </c>
      <c r="K25" s="28"/>
      <c r="L25" s="88">
        <f>SUM(L21:L24)</f>
        <v>14843.999825999992</v>
      </c>
      <c r="M25" s="28"/>
      <c r="N25" s="88">
        <f>SUM(N21:N24)</f>
        <v>13267.108412999993</v>
      </c>
      <c r="U25" s="69"/>
      <c r="V25" s="69"/>
      <c r="W25" s="69"/>
      <c r="Y25" s="69"/>
      <c r="Z25" s="69"/>
      <c r="AA25" s="69"/>
      <c r="AC25" s="69"/>
      <c r="AD25" s="69"/>
      <c r="AE25" s="69"/>
      <c r="AG25" s="69"/>
      <c r="AH25" s="69"/>
      <c r="AI25" s="69"/>
    </row>
    <row r="26" spans="1:35" x14ac:dyDescent="0.25">
      <c r="G26" s="58"/>
      <c r="H26" s="58"/>
      <c r="I26" s="58"/>
      <c r="J26" s="58"/>
      <c r="K26" s="28"/>
      <c r="L26" s="58"/>
      <c r="M26" s="28"/>
      <c r="N26" s="58"/>
      <c r="AC26" s="69"/>
      <c r="AD26" s="69"/>
      <c r="AE26" s="69"/>
      <c r="AH26" s="69"/>
      <c r="AI26" s="69"/>
    </row>
    <row r="27" spans="1:35" x14ac:dyDescent="0.25">
      <c r="C27" s="17" t="s">
        <v>49</v>
      </c>
      <c r="G27" s="58"/>
      <c r="H27" s="58"/>
      <c r="I27" s="58"/>
      <c r="J27" s="58"/>
      <c r="K27" s="28"/>
      <c r="L27" s="58"/>
      <c r="M27" s="28"/>
      <c r="N27" s="58"/>
      <c r="AC27" s="69"/>
      <c r="AD27" s="69"/>
      <c r="AE27" s="69"/>
      <c r="AH27" s="69"/>
      <c r="AI27" s="69"/>
    </row>
    <row r="28" spans="1:35" x14ac:dyDescent="0.25">
      <c r="A28" s="21">
        <v>13</v>
      </c>
      <c r="C28" s="21" t="s">
        <v>50</v>
      </c>
      <c r="E28" s="50" t="s">
        <v>191</v>
      </c>
      <c r="G28" s="58">
        <f t="shared" ref="G28:J28" si="4">G10-G18+G25</f>
        <v>188863</v>
      </c>
      <c r="H28" s="58">
        <f t="shared" si="4"/>
        <v>187306.33902998234</v>
      </c>
      <c r="I28" s="58">
        <f t="shared" si="4"/>
        <v>190620.52302998232</v>
      </c>
      <c r="J28" s="58">
        <f t="shared" si="4"/>
        <v>368165.57155898242</v>
      </c>
      <c r="K28" s="28"/>
      <c r="L28" s="58">
        <f>L10-L18+L25</f>
        <v>387051.08695172565</v>
      </c>
      <c r="M28" s="28"/>
      <c r="N28" s="58">
        <f>N10-N18+N25</f>
        <v>386830.58163458621</v>
      </c>
      <c r="Q28" s="69"/>
      <c r="R28" s="177"/>
      <c r="AC28" s="69"/>
      <c r="AD28" s="69"/>
      <c r="AE28" s="69"/>
      <c r="AF28" s="69"/>
      <c r="AG28" s="69"/>
      <c r="AH28" s="58"/>
      <c r="AI28" s="58"/>
    </row>
    <row r="29" spans="1:35" x14ac:dyDescent="0.25">
      <c r="A29" s="21">
        <v>14</v>
      </c>
      <c r="C29" s="21" t="s">
        <v>51</v>
      </c>
      <c r="G29" s="48">
        <v>191305</v>
      </c>
      <c r="H29" s="48">
        <v>186709.55902998199</v>
      </c>
      <c r="I29" s="48">
        <f t="shared" ref="I29:J29" si="5">H28</f>
        <v>187306.33902998234</v>
      </c>
      <c r="J29" s="48">
        <f t="shared" si="5"/>
        <v>190620.52302998232</v>
      </c>
      <c r="K29" s="28"/>
      <c r="L29" s="48">
        <f>J28</f>
        <v>368165.57155898242</v>
      </c>
      <c r="M29" s="28"/>
      <c r="N29" s="48">
        <f>L28</f>
        <v>387051.08695172565</v>
      </c>
      <c r="Q29" s="69"/>
      <c r="AC29" s="69"/>
      <c r="AD29" s="69"/>
      <c r="AE29" s="69"/>
    </row>
    <row r="30" spans="1:35" x14ac:dyDescent="0.25">
      <c r="A30" s="21">
        <v>15</v>
      </c>
      <c r="C30" s="21" t="s">
        <v>35</v>
      </c>
      <c r="G30" s="58">
        <f t="shared" ref="G30" si="6">G29+G28</f>
        <v>380168</v>
      </c>
      <c r="H30" s="58">
        <f t="shared" ref="H30:J30" si="7">H29+H28</f>
        <v>374015.8980599643</v>
      </c>
      <c r="I30" s="58">
        <f t="shared" si="7"/>
        <v>377926.86205996468</v>
      </c>
      <c r="J30" s="58">
        <f t="shared" si="7"/>
        <v>558786.09458896471</v>
      </c>
      <c r="K30" s="28"/>
      <c r="L30" s="58">
        <f>L29+L28</f>
        <v>755216.65851070802</v>
      </c>
      <c r="M30" s="28"/>
      <c r="N30" s="58">
        <f>N29+N28</f>
        <v>773881.66858631186</v>
      </c>
      <c r="Q30" s="69"/>
    </row>
    <row r="31" spans="1:35" x14ac:dyDescent="0.25">
      <c r="G31" s="58"/>
      <c r="H31" s="58"/>
      <c r="I31" s="58"/>
      <c r="J31" s="58"/>
      <c r="K31" s="28"/>
      <c r="L31" s="58"/>
      <c r="M31" s="28"/>
      <c r="N31" s="58"/>
      <c r="Q31" s="69"/>
    </row>
    <row r="32" spans="1:35" x14ac:dyDescent="0.25">
      <c r="A32" s="21">
        <v>16</v>
      </c>
      <c r="C32" s="21" t="s">
        <v>52</v>
      </c>
      <c r="G32" s="58">
        <f t="shared" ref="G32" si="8">(G29+G28)/2</f>
        <v>190084</v>
      </c>
      <c r="H32" s="58">
        <f t="shared" ref="H32:J32" si="9">(H29+H28)/2</f>
        <v>187007.94902998215</v>
      </c>
      <c r="I32" s="58">
        <f t="shared" si="9"/>
        <v>188963.43102998234</v>
      </c>
      <c r="J32" s="58">
        <f t="shared" si="9"/>
        <v>279393.04729448236</v>
      </c>
      <c r="K32" s="28"/>
      <c r="L32" s="58">
        <f>(L29+L28)/2</f>
        <v>377608.32925535401</v>
      </c>
      <c r="M32" s="28"/>
      <c r="N32" s="58">
        <f>(N29+N28)/2</f>
        <v>386940.83429315593</v>
      </c>
      <c r="P32" s="69"/>
      <c r="Q32" s="69"/>
      <c r="R32" s="177"/>
    </row>
    <row r="33" spans="1:31" x14ac:dyDescent="0.25">
      <c r="G33" s="58"/>
      <c r="H33" s="58"/>
      <c r="I33" s="58"/>
      <c r="J33" s="58"/>
      <c r="K33" s="28"/>
      <c r="L33" s="58"/>
      <c r="M33" s="28"/>
      <c r="N33" s="58"/>
      <c r="Q33" s="69"/>
    </row>
    <row r="34" spans="1:31" x14ac:dyDescent="0.25">
      <c r="A34" s="21">
        <v>18</v>
      </c>
      <c r="C34" s="21" t="s">
        <v>53</v>
      </c>
      <c r="G34" s="58">
        <v>1026</v>
      </c>
      <c r="H34" s="58">
        <v>965.5</v>
      </c>
      <c r="I34" s="58">
        <v>915</v>
      </c>
      <c r="J34" s="58">
        <v>1393.2979600000001</v>
      </c>
      <c r="K34" s="28"/>
      <c r="L34" s="58">
        <v>2004.8750700000001</v>
      </c>
      <c r="M34" s="87"/>
      <c r="N34" s="58">
        <v>1485.8750700000005</v>
      </c>
      <c r="P34" s="69"/>
      <c r="Q34" s="69"/>
      <c r="R34" s="69"/>
    </row>
    <row r="35" spans="1:31" x14ac:dyDescent="0.25">
      <c r="A35" s="21">
        <v>19</v>
      </c>
      <c r="C35" s="21" t="s">
        <v>54</v>
      </c>
      <c r="E35" s="50" t="s">
        <v>248</v>
      </c>
      <c r="G35" s="48">
        <f>'Schedule 2'!G21</f>
        <v>3193.1632876712329</v>
      </c>
      <c r="H35" s="48">
        <f>'Schedule 2'!H21</f>
        <v>3594.2815564840184</v>
      </c>
      <c r="I35" s="48">
        <f>'Schedule 2'!I21</f>
        <v>3822.0947756621008</v>
      </c>
      <c r="J35" s="48">
        <f>'Schedule 2'!J21</f>
        <v>4151.0117940547934</v>
      </c>
      <c r="K35" s="28"/>
      <c r="L35" s="48">
        <f>'Schedule 2'!L21</f>
        <v>4107.306215567306</v>
      </c>
      <c r="M35" s="28"/>
      <c r="N35" s="48">
        <f>'Schedule 2'!N21</f>
        <v>4280.0125738843381</v>
      </c>
      <c r="O35" s="48">
        <f>'Schedule 2'!O21</f>
        <v>0</v>
      </c>
      <c r="P35" s="69"/>
      <c r="Q35" s="69"/>
    </row>
    <row r="36" spans="1:31" x14ac:dyDescent="0.25">
      <c r="G36" s="58"/>
      <c r="H36" s="58"/>
      <c r="I36" s="58"/>
      <c r="J36" s="58"/>
      <c r="K36" s="28"/>
      <c r="L36" s="58"/>
      <c r="M36" s="28"/>
      <c r="N36" s="58"/>
      <c r="Q36" s="69"/>
    </row>
    <row r="37" spans="1:31" x14ac:dyDescent="0.25">
      <c r="G37" s="58"/>
      <c r="H37" s="58"/>
      <c r="I37" s="58"/>
      <c r="J37" s="58"/>
      <c r="K37" s="28"/>
      <c r="L37" s="58"/>
      <c r="M37" s="28"/>
      <c r="N37" s="58"/>
      <c r="Q37" s="69"/>
    </row>
    <row r="38" spans="1:31" x14ac:dyDescent="0.25">
      <c r="A38" s="21">
        <v>20</v>
      </c>
      <c r="C38" s="17" t="s">
        <v>55</v>
      </c>
      <c r="G38" s="58">
        <f t="shared" ref="G38" si="10">G35+G34+G32</f>
        <v>194303.16328767122</v>
      </c>
      <c r="H38" s="58">
        <f t="shared" ref="H38" si="11">H35+H34+H32</f>
        <v>191567.73058646618</v>
      </c>
      <c r="I38" s="58">
        <f>I35+I34+I32-0.5</f>
        <v>193700.02580564443</v>
      </c>
      <c r="J38" s="58">
        <f>J32+J34+J35+J37</f>
        <v>284937.35704853712</v>
      </c>
      <c r="K38" s="28"/>
      <c r="L38" s="58">
        <f>L32+L34+L35+L37</f>
        <v>383720.5105409213</v>
      </c>
      <c r="M38" s="28"/>
      <c r="N38" s="58">
        <f>N35+N34+N32</f>
        <v>392706.72193704027</v>
      </c>
      <c r="P38" s="69"/>
      <c r="Q38" s="69"/>
    </row>
    <row r="39" spans="1:31" x14ac:dyDescent="0.25">
      <c r="G39" s="58"/>
      <c r="H39" s="58"/>
      <c r="I39" s="58"/>
      <c r="J39" s="58"/>
      <c r="K39" s="28"/>
      <c r="L39" s="58"/>
      <c r="M39" s="28"/>
      <c r="N39" s="58"/>
      <c r="Q39" s="69"/>
    </row>
    <row r="40" spans="1:31" x14ac:dyDescent="0.25">
      <c r="C40" s="21" t="s">
        <v>44</v>
      </c>
      <c r="G40" s="58"/>
      <c r="H40" s="58"/>
      <c r="I40" s="58"/>
      <c r="J40" s="58"/>
      <c r="K40" s="28"/>
      <c r="L40" s="58"/>
      <c r="M40" s="28"/>
      <c r="N40" s="58"/>
      <c r="Q40" s="69"/>
      <c r="U40" s="69"/>
      <c r="V40" s="69"/>
      <c r="W40" s="69"/>
      <c r="Y40" s="69"/>
      <c r="Z40" s="69"/>
      <c r="AA40" s="69"/>
      <c r="AC40" s="69"/>
      <c r="AD40" s="69"/>
      <c r="AE40" s="69"/>
    </row>
    <row r="41" spans="1:31" x14ac:dyDescent="0.25">
      <c r="C41" s="17" t="s">
        <v>56</v>
      </c>
      <c r="G41" s="58"/>
      <c r="H41" s="58"/>
      <c r="I41" s="58"/>
      <c r="J41" s="58"/>
      <c r="K41" s="28"/>
      <c r="L41" s="58"/>
      <c r="M41" s="28"/>
      <c r="N41" s="58"/>
      <c r="Q41" s="69"/>
      <c r="U41" s="69"/>
      <c r="V41" s="20"/>
      <c r="W41" s="69"/>
      <c r="Y41" s="20"/>
      <c r="Z41" s="20"/>
      <c r="AC41" s="69"/>
      <c r="AD41" s="69"/>
      <c r="AE41" s="69"/>
    </row>
    <row r="42" spans="1:31" x14ac:dyDescent="0.25">
      <c r="A42" s="21">
        <v>21</v>
      </c>
      <c r="C42" s="21" t="s">
        <v>50</v>
      </c>
      <c r="G42" s="58">
        <v>55366</v>
      </c>
      <c r="H42" s="58">
        <v>57407.691999999995</v>
      </c>
      <c r="I42" s="58">
        <v>140895.69199999998</v>
      </c>
      <c r="J42" s="58">
        <v>176219.88175999999</v>
      </c>
      <c r="K42" s="28"/>
      <c r="L42" s="58">
        <v>182343.22876</v>
      </c>
      <c r="M42" s="28"/>
      <c r="N42" s="58">
        <v>191243.22876</v>
      </c>
      <c r="O42" s="58" t="e">
        <f>#REF!</f>
        <v>#REF!</v>
      </c>
      <c r="Q42" s="69"/>
      <c r="T42" s="69"/>
      <c r="U42" s="69"/>
      <c r="V42" s="69"/>
      <c r="W42" s="69"/>
      <c r="Y42" s="69"/>
      <c r="Z42" s="69"/>
      <c r="AA42" s="69"/>
      <c r="AC42" s="69"/>
      <c r="AD42" s="69"/>
      <c r="AE42" s="69"/>
    </row>
    <row r="43" spans="1:31" x14ac:dyDescent="0.25">
      <c r="A43" s="21">
        <f>A42+1</f>
        <v>22</v>
      </c>
      <c r="C43" s="21" t="s">
        <v>146</v>
      </c>
      <c r="G43" s="48">
        <v>5000</v>
      </c>
      <c r="H43" s="48">
        <v>6932</v>
      </c>
      <c r="I43" s="48">
        <v>90238</v>
      </c>
      <c r="J43" s="48">
        <v>120.13671000000001</v>
      </c>
      <c r="K43" s="28"/>
      <c r="L43" s="48">
        <v>2000</v>
      </c>
      <c r="M43" s="28"/>
      <c r="N43" s="48">
        <v>10500</v>
      </c>
      <c r="O43" s="28" t="e">
        <f>#REF!</f>
        <v>#REF!</v>
      </c>
      <c r="Q43" s="69"/>
      <c r="T43" s="69"/>
    </row>
    <row r="44" spans="1:31" x14ac:dyDescent="0.25">
      <c r="A44" s="21">
        <f t="shared" ref="A44:A46" si="12">A43+1</f>
        <v>23</v>
      </c>
      <c r="C44" s="21" t="s">
        <v>147</v>
      </c>
      <c r="G44" s="58">
        <f t="shared" ref="G44" si="13">G42-G43</f>
        <v>50366</v>
      </c>
      <c r="H44" s="58">
        <f t="shared" ref="H44:J44" si="14">H42-H43</f>
        <v>50475.691999999995</v>
      </c>
      <c r="I44" s="58">
        <f t="shared" si="14"/>
        <v>50657.691999999981</v>
      </c>
      <c r="J44" s="58">
        <f t="shared" si="14"/>
        <v>176099.74505</v>
      </c>
      <c r="K44" s="28"/>
      <c r="L44" s="58">
        <f>L42-L43</f>
        <v>180343.22876</v>
      </c>
      <c r="M44" s="28"/>
      <c r="N44" s="58">
        <f>N42-N43</f>
        <v>180743.22876</v>
      </c>
      <c r="O44" s="58" t="e">
        <f t="shared" ref="O44" si="15">O42-O43</f>
        <v>#REF!</v>
      </c>
      <c r="Q44" s="69"/>
      <c r="T44" s="69"/>
    </row>
    <row r="45" spans="1:31" x14ac:dyDescent="0.25">
      <c r="A45" s="21">
        <f t="shared" si="12"/>
        <v>24</v>
      </c>
      <c r="C45" s="21" t="s">
        <v>148</v>
      </c>
      <c r="G45" s="48">
        <v>4376</v>
      </c>
      <c r="H45" s="48">
        <v>5178.69848</v>
      </c>
      <c r="I45" s="48">
        <v>7024.69848</v>
      </c>
      <c r="J45" s="48">
        <v>9199.5704800000003</v>
      </c>
      <c r="K45" s="28"/>
      <c r="L45" s="48">
        <v>12736.036314633</v>
      </c>
      <c r="M45" s="28"/>
      <c r="N45" s="48">
        <v>16304.854601341</v>
      </c>
      <c r="O45" s="58"/>
      <c r="Q45" s="69"/>
      <c r="T45" s="69"/>
      <c r="U45" s="20"/>
      <c r="V45" s="20"/>
      <c r="W45" s="20"/>
    </row>
    <row r="46" spans="1:31" x14ac:dyDescent="0.25">
      <c r="A46" s="21">
        <f t="shared" si="12"/>
        <v>25</v>
      </c>
      <c r="C46" s="21" t="s">
        <v>149</v>
      </c>
      <c r="G46" s="58">
        <f t="shared" ref="G46" si="16">G44-G45</f>
        <v>45990</v>
      </c>
      <c r="H46" s="58">
        <f t="shared" ref="H46:J46" si="17">H44-H45</f>
        <v>45296.993519999996</v>
      </c>
      <c r="I46" s="58">
        <f t="shared" si="17"/>
        <v>43632.993519999982</v>
      </c>
      <c r="J46" s="58">
        <f t="shared" si="17"/>
        <v>166900.17457</v>
      </c>
      <c r="K46" s="28"/>
      <c r="L46" s="58">
        <f>L44-L45</f>
        <v>167607.19244536699</v>
      </c>
      <c r="M46" s="28"/>
      <c r="N46" s="58">
        <f t="shared" ref="N46" si="18">N44-N45</f>
        <v>164438.37415865899</v>
      </c>
      <c r="O46" s="58"/>
      <c r="Q46" s="69"/>
      <c r="U46" s="69"/>
      <c r="V46" s="69"/>
      <c r="W46" s="69"/>
      <c r="AD46" s="69"/>
      <c r="AE46" s="69"/>
    </row>
    <row r="47" spans="1:31" x14ac:dyDescent="0.25">
      <c r="G47" s="58"/>
      <c r="H47" s="58"/>
      <c r="I47" s="58"/>
      <c r="J47" s="58"/>
      <c r="K47" s="28"/>
      <c r="L47" s="58"/>
      <c r="M47" s="28"/>
      <c r="N47" s="58"/>
      <c r="O47" s="58"/>
      <c r="Q47" s="69"/>
      <c r="U47" s="113"/>
      <c r="V47" s="113"/>
      <c r="W47" s="113"/>
      <c r="AD47" s="70"/>
      <c r="AE47" s="70"/>
    </row>
    <row r="48" spans="1:31" x14ac:dyDescent="0.25">
      <c r="A48" s="21">
        <f>A46+1</f>
        <v>26</v>
      </c>
      <c r="C48" s="21" t="s">
        <v>51</v>
      </c>
      <c r="G48" s="48">
        <v>46680</v>
      </c>
      <c r="H48" s="48">
        <v>45076.993520000004</v>
      </c>
      <c r="I48" s="48">
        <f t="shared" ref="I48:J48" si="19">H46</f>
        <v>45296.993519999996</v>
      </c>
      <c r="J48" s="48">
        <f t="shared" si="19"/>
        <v>43632.993519999982</v>
      </c>
      <c r="K48" s="28"/>
      <c r="L48" s="48">
        <f>J46</f>
        <v>166900.17457</v>
      </c>
      <c r="M48" s="28"/>
      <c r="N48" s="48">
        <f>L46</f>
        <v>167607.19244536699</v>
      </c>
      <c r="O48" s="48"/>
      <c r="Q48" s="69"/>
      <c r="U48" s="113"/>
      <c r="V48" s="113"/>
      <c r="W48" s="113"/>
    </row>
    <row r="49" spans="1:31" x14ac:dyDescent="0.25">
      <c r="A49" s="21">
        <f>A48+1</f>
        <v>27</v>
      </c>
      <c r="C49" s="21" t="s">
        <v>35</v>
      </c>
      <c r="G49" s="58">
        <f t="shared" ref="G49" si="20">(G48+G46)</f>
        <v>92670</v>
      </c>
      <c r="H49" s="58">
        <f t="shared" ref="H49:J49" si="21">(H48+H46)</f>
        <v>90373.987040000007</v>
      </c>
      <c r="I49" s="58">
        <f t="shared" si="21"/>
        <v>88929.987039999978</v>
      </c>
      <c r="J49" s="58">
        <f t="shared" si="21"/>
        <v>210533.16808999999</v>
      </c>
      <c r="K49" s="28"/>
      <c r="L49" s="58">
        <f>(L48+L46)</f>
        <v>334507.36701536702</v>
      </c>
      <c r="M49" s="28"/>
      <c r="N49" s="58">
        <f>(N48+N46)</f>
        <v>332045.56660402601</v>
      </c>
      <c r="O49" s="58"/>
      <c r="Q49" s="69"/>
      <c r="U49" s="113"/>
      <c r="V49" s="113"/>
      <c r="W49" s="113"/>
      <c r="AD49" s="69"/>
      <c r="AE49" s="69"/>
    </row>
    <row r="50" spans="1:31" x14ac:dyDescent="0.25">
      <c r="G50" s="58"/>
      <c r="H50" s="58"/>
      <c r="I50" s="58"/>
      <c r="J50" s="58"/>
      <c r="K50" s="28"/>
      <c r="L50" s="58"/>
      <c r="M50" s="28"/>
      <c r="N50" s="58"/>
      <c r="O50" s="58"/>
      <c r="Q50" s="69"/>
    </row>
    <row r="51" spans="1:31" x14ac:dyDescent="0.25">
      <c r="A51" s="21">
        <f>A49+1</f>
        <v>28</v>
      </c>
      <c r="C51" s="21" t="s">
        <v>52</v>
      </c>
      <c r="G51" s="48">
        <f t="shared" ref="G51" si="22">G49/2</f>
        <v>46335</v>
      </c>
      <c r="H51" s="48">
        <f t="shared" ref="H51:J51" si="23">H49/2</f>
        <v>45186.993520000004</v>
      </c>
      <c r="I51" s="48">
        <f t="shared" si="23"/>
        <v>44464.993519999989</v>
      </c>
      <c r="J51" s="48">
        <f t="shared" si="23"/>
        <v>105266.584045</v>
      </c>
      <c r="K51" s="28"/>
      <c r="L51" s="48">
        <f>L49/2</f>
        <v>167253.68350768351</v>
      </c>
      <c r="M51" s="28"/>
      <c r="N51" s="48">
        <f>N49/2</f>
        <v>166022.78330201301</v>
      </c>
      <c r="O51" s="48"/>
      <c r="P51" s="69"/>
      <c r="Q51" s="69"/>
      <c r="R51" s="177"/>
      <c r="AD51" s="69"/>
      <c r="AE51" s="69"/>
    </row>
    <row r="52" spans="1:31" x14ac:dyDescent="0.25">
      <c r="G52" s="58"/>
      <c r="H52" s="58"/>
      <c r="I52" s="58"/>
      <c r="J52" s="58"/>
      <c r="K52" s="28"/>
      <c r="L52" s="58"/>
      <c r="M52" s="28"/>
      <c r="N52" s="58"/>
      <c r="Q52" s="69"/>
    </row>
    <row r="53" spans="1:31" ht="13.8" thickBot="1" x14ac:dyDescent="0.3">
      <c r="A53" s="21">
        <f>A51+1</f>
        <v>29</v>
      </c>
      <c r="C53" s="17" t="s">
        <v>57</v>
      </c>
      <c r="E53" s="50" t="s">
        <v>93</v>
      </c>
      <c r="G53" s="89">
        <f t="shared" ref="G53" si="24">G38-G51</f>
        <v>147968.16328767122</v>
      </c>
      <c r="H53" s="89">
        <f t="shared" ref="H53:J53" si="25">H38-H51</f>
        <v>146380.73706646619</v>
      </c>
      <c r="I53" s="89">
        <f t="shared" si="25"/>
        <v>149235.03228564444</v>
      </c>
      <c r="J53" s="89">
        <f t="shared" si="25"/>
        <v>179670.77300353712</v>
      </c>
      <c r="K53" s="28"/>
      <c r="L53" s="89">
        <f>L38-L51</f>
        <v>216466.82703323779</v>
      </c>
      <c r="M53" s="28"/>
      <c r="N53" s="89">
        <f>N38-N51</f>
        <v>226683.93863502727</v>
      </c>
      <c r="P53" s="69"/>
      <c r="Q53" s="69"/>
      <c r="R53" s="69"/>
      <c r="S53" s="69"/>
      <c r="T53" s="69"/>
    </row>
    <row r="54" spans="1:31" x14ac:dyDescent="0.25">
      <c r="G54" s="58"/>
      <c r="H54" s="58"/>
      <c r="I54" s="58"/>
      <c r="J54" s="58"/>
      <c r="K54" s="28"/>
      <c r="L54" s="58"/>
      <c r="M54" s="28"/>
      <c r="N54" s="58"/>
    </row>
    <row r="55" spans="1:31" x14ac:dyDescent="0.25">
      <c r="C55" s="21" t="s">
        <v>269</v>
      </c>
      <c r="G55" s="58"/>
      <c r="H55" s="58"/>
      <c r="I55" s="58"/>
      <c r="J55" s="58"/>
      <c r="K55" s="28"/>
      <c r="L55" s="58"/>
      <c r="M55" s="28"/>
      <c r="N55" s="58"/>
    </row>
    <row r="56" spans="1:31" x14ac:dyDescent="0.25">
      <c r="C56" s="21" t="s">
        <v>263</v>
      </c>
    </row>
    <row r="57" spans="1:31" x14ac:dyDescent="0.25">
      <c r="C57" s="201"/>
      <c r="D57" s="201"/>
      <c r="E57" s="201"/>
      <c r="F57" s="201"/>
      <c r="G57" s="84"/>
      <c r="H57" s="84"/>
      <c r="I57" s="84"/>
      <c r="J57" s="84"/>
      <c r="K57" s="90"/>
      <c r="L57" s="84"/>
      <c r="M57" s="90"/>
      <c r="N57" s="84"/>
    </row>
    <row r="58" spans="1:31" ht="25.5" customHeight="1" x14ac:dyDescent="0.25"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</row>
    <row r="59" spans="1:31" x14ac:dyDescent="0.25">
      <c r="G59" s="69"/>
      <c r="H59" s="69"/>
      <c r="I59" s="69"/>
      <c r="J59" s="69"/>
      <c r="K59" s="69"/>
      <c r="L59" s="69"/>
      <c r="M59" s="71"/>
      <c r="N59" s="69"/>
      <c r="O59" s="69"/>
    </row>
    <row r="60" spans="1:31" x14ac:dyDescent="0.25">
      <c r="G60" s="69"/>
      <c r="H60" s="69"/>
      <c r="I60" s="69"/>
      <c r="J60" s="69"/>
      <c r="L60" s="69"/>
      <c r="N60" s="69"/>
    </row>
    <row r="61" spans="1:31" x14ac:dyDescent="0.25">
      <c r="G61" s="69"/>
      <c r="H61" s="69"/>
      <c r="I61" s="69"/>
      <c r="J61" s="69"/>
      <c r="L61" s="69"/>
      <c r="N61" s="69"/>
    </row>
    <row r="64" spans="1:31" x14ac:dyDescent="0.25">
      <c r="N64" s="69"/>
    </row>
    <row r="65" spans="8:15" x14ac:dyDescent="0.25">
      <c r="H65" s="69"/>
      <c r="I65" s="69"/>
      <c r="J65" s="69"/>
      <c r="K65" s="69"/>
      <c r="L65" s="69"/>
      <c r="M65" s="69"/>
      <c r="N65" s="69"/>
    </row>
    <row r="66" spans="8:15" x14ac:dyDescent="0.25">
      <c r="H66" s="69"/>
      <c r="I66" s="69"/>
      <c r="J66" s="69"/>
      <c r="K66" s="69"/>
      <c r="L66" s="69"/>
      <c r="M66" s="69"/>
      <c r="N66" s="69"/>
      <c r="O66" s="69"/>
    </row>
    <row r="70" spans="8:15" x14ac:dyDescent="0.25">
      <c r="L70" s="69"/>
      <c r="N70" s="69"/>
    </row>
    <row r="71" spans="8:15" x14ac:dyDescent="0.25">
      <c r="L71" s="69"/>
      <c r="N71" s="69"/>
    </row>
  </sheetData>
  <mergeCells count="2">
    <mergeCell ref="C57:F57"/>
    <mergeCell ref="C58:N58"/>
  </mergeCells>
  <phoneticPr fontId="0" type="noConversion"/>
  <printOptions horizontalCentered="1"/>
  <pageMargins left="0.55118110236220474" right="0.31496062992125984" top="0.5" bottom="0.5" header="0.51181102362204722" footer="0.51181102362204722"/>
  <pageSetup scale="7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9" tint="0.39997558519241921"/>
    <pageSetUpPr fitToPage="1"/>
  </sheetPr>
  <dimension ref="A1:O25"/>
  <sheetViews>
    <sheetView view="pageBreakPreview" zoomScaleSheetLayoutView="100" workbookViewId="0">
      <selection activeCell="F1" sqref="F1"/>
    </sheetView>
  </sheetViews>
  <sheetFormatPr defaultColWidth="9.109375" defaultRowHeight="13.2" x14ac:dyDescent="0.25"/>
  <cols>
    <col min="1" max="1" width="5.33203125" style="21" customWidth="1"/>
    <col min="2" max="2" width="1.88671875" style="21" customWidth="1"/>
    <col min="3" max="3" width="27.5546875" style="21" customWidth="1"/>
    <col min="4" max="4" width="1.88671875" style="21" customWidth="1"/>
    <col min="5" max="5" width="9.109375" style="50"/>
    <col min="6" max="6" width="1.88671875" style="21" customWidth="1"/>
    <col min="7" max="10" width="9.44140625" style="21" customWidth="1"/>
    <col min="11" max="11" width="1.44140625" style="54" customWidth="1"/>
    <col min="12" max="12" width="10.33203125" style="21" customWidth="1"/>
    <col min="13" max="13" width="1.44140625" style="54" customWidth="1"/>
    <col min="14" max="14" width="10.33203125" style="21" customWidth="1"/>
    <col min="15" max="15" width="1.88671875" style="21" customWidth="1"/>
    <col min="16" max="16384" width="9.109375" style="21"/>
  </cols>
  <sheetData>
    <row r="1" spans="1:15" ht="15.6" x14ac:dyDescent="0.3">
      <c r="H1" s="22" t="s">
        <v>4</v>
      </c>
      <c r="L1" s="54"/>
      <c r="N1" s="85" t="s">
        <v>7</v>
      </c>
    </row>
    <row r="2" spans="1:15" ht="13.8" x14ac:dyDescent="0.25">
      <c r="E2" s="33"/>
      <c r="F2" s="91"/>
      <c r="H2" s="92" t="s">
        <v>8</v>
      </c>
      <c r="L2" s="54"/>
      <c r="N2" s="53" t="str">
        <f>'Schedule 1'!$N$2</f>
        <v>June 20, 2013 Refiling</v>
      </c>
    </row>
    <row r="3" spans="1:15" x14ac:dyDescent="0.25">
      <c r="H3" s="23" t="s">
        <v>6</v>
      </c>
      <c r="L3" s="54"/>
    </row>
    <row r="6" spans="1:15" s="50" customFormat="1" x14ac:dyDescent="0.25">
      <c r="G6" s="77"/>
      <c r="H6" s="77"/>
      <c r="I6" s="77"/>
      <c r="J6" s="77"/>
      <c r="K6" s="77"/>
      <c r="L6" s="192"/>
      <c r="M6" s="77"/>
      <c r="N6" s="192"/>
    </row>
    <row r="7" spans="1:15" s="16" customFormat="1" ht="39.6" x14ac:dyDescent="0.25">
      <c r="A7" s="15" t="s">
        <v>0</v>
      </c>
      <c r="C7" s="15" t="s">
        <v>1</v>
      </c>
      <c r="E7" s="15" t="s">
        <v>2</v>
      </c>
      <c r="G7" s="15" t="s">
        <v>221</v>
      </c>
      <c r="H7" s="15" t="s">
        <v>216</v>
      </c>
      <c r="I7" s="15" t="s">
        <v>217</v>
      </c>
      <c r="J7" s="15" t="s">
        <v>260</v>
      </c>
      <c r="K7" s="27"/>
      <c r="L7" s="15" t="str">
        <f>'Schedule 1'!$L$7</f>
        <v>Proposed 2012</v>
      </c>
      <c r="M7" s="27"/>
      <c r="N7" s="15" t="str">
        <f>'Schedule 1'!$N$7</f>
        <v>Proposed 2013</v>
      </c>
    </row>
    <row r="9" spans="1:15" x14ac:dyDescent="0.25">
      <c r="A9" s="21">
        <v>1</v>
      </c>
      <c r="C9" s="21" t="s">
        <v>59</v>
      </c>
      <c r="E9" s="50" t="s">
        <v>88</v>
      </c>
      <c r="G9" s="58">
        <f>'Schedule 5'!G16</f>
        <v>13403.4</v>
      </c>
      <c r="H9" s="58">
        <f>'Schedule 5'!H16</f>
        <v>14764.71</v>
      </c>
      <c r="I9" s="58">
        <f>'Schedule 5'!I16</f>
        <v>15219</v>
      </c>
      <c r="J9" s="58">
        <f>'Schedule 5'!J16</f>
        <v>18377.448939999995</v>
      </c>
      <c r="K9" s="28"/>
      <c r="L9" s="58">
        <f>'Schedule 5'!L16</f>
        <v>19073.663069524442</v>
      </c>
      <c r="M9" s="58"/>
      <c r="N9" s="58">
        <f>'Schedule 5'!N16</f>
        <v>20843.807625559384</v>
      </c>
      <c r="O9" s="58"/>
    </row>
    <row r="10" spans="1:15" x14ac:dyDescent="0.25">
      <c r="A10" s="21">
        <v>2</v>
      </c>
      <c r="C10" s="21" t="s">
        <v>60</v>
      </c>
      <c r="E10" s="50" t="s">
        <v>89</v>
      </c>
      <c r="G10" s="58">
        <f>'Schedule 5'!G17</f>
        <v>256.39999999999998</v>
      </c>
      <c r="H10" s="58">
        <f>'Schedule 5'!H17</f>
        <v>288</v>
      </c>
      <c r="I10" s="58">
        <f>'Schedule 5'!I17</f>
        <v>291</v>
      </c>
      <c r="J10" s="58">
        <f>'Schedule 5'!J17</f>
        <v>296.72899999999998</v>
      </c>
      <c r="K10" s="28"/>
      <c r="L10" s="58">
        <f>'Schedule 5'!L17</f>
        <v>311.56565512000003</v>
      </c>
      <c r="M10" s="28"/>
      <c r="N10" s="58">
        <f>'Schedule 5'!N17</f>
        <v>326.40211583999996</v>
      </c>
      <c r="O10" s="58"/>
    </row>
    <row r="11" spans="1:15" x14ac:dyDescent="0.25">
      <c r="A11" s="21">
        <v>3</v>
      </c>
      <c r="C11" s="21" t="s">
        <v>61</v>
      </c>
      <c r="G11" s="58">
        <v>-85</v>
      </c>
      <c r="H11" s="58">
        <v>-159</v>
      </c>
      <c r="I11" s="58">
        <v>-133</v>
      </c>
      <c r="J11" s="58">
        <v>-333.238</v>
      </c>
      <c r="K11" s="28"/>
      <c r="L11" s="58">
        <v>-85</v>
      </c>
      <c r="M11" s="28"/>
      <c r="N11" s="58">
        <v>-85</v>
      </c>
      <c r="O11" s="58"/>
    </row>
    <row r="12" spans="1:15" x14ac:dyDescent="0.25">
      <c r="G12" s="58"/>
      <c r="H12" s="58"/>
      <c r="I12" s="58"/>
      <c r="J12" s="58"/>
      <c r="K12" s="28"/>
      <c r="L12" s="58"/>
      <c r="M12" s="28"/>
      <c r="N12" s="58"/>
      <c r="O12" s="58"/>
    </row>
    <row r="13" spans="1:15" x14ac:dyDescent="0.25">
      <c r="A13" s="21">
        <v>4</v>
      </c>
      <c r="C13" s="21" t="s">
        <v>63</v>
      </c>
      <c r="G13" s="58">
        <f t="shared" ref="G13" si="0">SUM(G9:G11)</f>
        <v>13574.8</v>
      </c>
      <c r="H13" s="58">
        <f t="shared" ref="H13:J13" si="1">SUM(H9:H11)</f>
        <v>14893.71</v>
      </c>
      <c r="I13" s="58">
        <f t="shared" si="1"/>
        <v>15377</v>
      </c>
      <c r="J13" s="58">
        <f t="shared" si="1"/>
        <v>18340.939939999993</v>
      </c>
      <c r="K13" s="28"/>
      <c r="L13" s="58">
        <f>SUM(L9:L11)</f>
        <v>19300.228724644443</v>
      </c>
      <c r="M13" s="28"/>
      <c r="N13" s="58">
        <f>SUM(N9:N11)</f>
        <v>21085.209741399383</v>
      </c>
    </row>
    <row r="14" spans="1:15" x14ac:dyDescent="0.25">
      <c r="G14" s="93"/>
      <c r="H14" s="93"/>
      <c r="I14" s="93"/>
      <c r="J14" s="93"/>
      <c r="K14" s="94"/>
      <c r="L14" s="93"/>
      <c r="M14" s="94"/>
      <c r="N14" s="93"/>
    </row>
    <row r="15" spans="1:15" x14ac:dyDescent="0.25">
      <c r="A15" s="21">
        <v>5</v>
      </c>
      <c r="C15" s="21" t="s">
        <v>225</v>
      </c>
      <c r="G15" s="93">
        <f t="shared" ref="G15" si="2">G13*27/365</f>
        <v>1004.1632876712329</v>
      </c>
      <c r="H15" s="93">
        <f t="shared" ref="H15:J15" si="3">H13*27/365</f>
        <v>1101.726493150685</v>
      </c>
      <c r="I15" s="93">
        <f t="shared" si="3"/>
        <v>1137.4767123287672</v>
      </c>
      <c r="J15" s="93">
        <f t="shared" si="3"/>
        <v>1356.727064054794</v>
      </c>
      <c r="K15" s="94"/>
      <c r="L15" s="93">
        <f>L13*27/365</f>
        <v>1427.6881522339725</v>
      </c>
      <c r="M15" s="94"/>
      <c r="N15" s="93">
        <f>N13*27/365</f>
        <v>1559.7278438843377</v>
      </c>
    </row>
    <row r="16" spans="1:15" x14ac:dyDescent="0.25">
      <c r="G16" s="58"/>
      <c r="H16" s="58"/>
      <c r="I16" s="58"/>
      <c r="J16" s="58"/>
      <c r="K16" s="28"/>
      <c r="L16" s="58"/>
      <c r="M16" s="28"/>
      <c r="N16" s="58"/>
      <c r="O16" s="58"/>
    </row>
    <row r="17" spans="1:15" x14ac:dyDescent="0.25">
      <c r="A17" s="21">
        <v>6</v>
      </c>
      <c r="C17" s="21" t="s">
        <v>253</v>
      </c>
      <c r="G17" s="58">
        <v>2279</v>
      </c>
      <c r="H17" s="58">
        <v>2573.5550633333337</v>
      </c>
      <c r="I17" s="58">
        <v>2643.6180633333338</v>
      </c>
      <c r="J17" s="58">
        <v>2731.2847299999999</v>
      </c>
      <c r="K17" s="28"/>
      <c r="L17" s="58">
        <v>2769.6180633333333</v>
      </c>
      <c r="M17" s="28"/>
      <c r="N17" s="58">
        <v>2830.2847299999999</v>
      </c>
      <c r="O17" s="58"/>
    </row>
    <row r="18" spans="1:15" x14ac:dyDescent="0.25">
      <c r="G18" s="58"/>
      <c r="H18" s="58"/>
      <c r="I18" s="58"/>
      <c r="J18" s="58"/>
      <c r="K18" s="28"/>
      <c r="L18" s="58"/>
      <c r="M18" s="28"/>
      <c r="N18" s="58"/>
      <c r="O18" s="58"/>
    </row>
    <row r="19" spans="1:15" x14ac:dyDescent="0.25">
      <c r="A19" s="21">
        <v>7</v>
      </c>
      <c r="C19" s="21" t="s">
        <v>62</v>
      </c>
      <c r="E19" s="50" t="s">
        <v>64</v>
      </c>
      <c r="G19" s="48">
        <f>'Schedule 2A'!G30</f>
        <v>-90</v>
      </c>
      <c r="H19" s="48">
        <f>'Schedule 2A'!H30</f>
        <v>-81</v>
      </c>
      <c r="I19" s="48">
        <f>'Schedule 2A'!I30</f>
        <v>41</v>
      </c>
      <c r="J19" s="48">
        <f>'Schedule 2A'!J30</f>
        <v>63</v>
      </c>
      <c r="K19" s="28"/>
      <c r="L19" s="48">
        <f>'Schedule 2A'!L30</f>
        <v>-90</v>
      </c>
      <c r="M19" s="28"/>
      <c r="N19" s="48">
        <f>'Schedule 2A'!N30</f>
        <v>-110</v>
      </c>
      <c r="O19" s="48">
        <f>'Schedule 2A'!O30</f>
        <v>0</v>
      </c>
    </row>
    <row r="20" spans="1:15" x14ac:dyDescent="0.25">
      <c r="G20" s="58"/>
      <c r="H20" s="58"/>
      <c r="I20" s="58"/>
      <c r="J20" s="58"/>
      <c r="K20" s="28"/>
      <c r="L20" s="58"/>
      <c r="M20" s="28"/>
      <c r="N20" s="58"/>
      <c r="O20" s="58"/>
    </row>
    <row r="21" spans="1:15" ht="13.8" thickBot="1" x14ac:dyDescent="0.3">
      <c r="A21" s="21">
        <v>8</v>
      </c>
      <c r="C21" s="21" t="s">
        <v>54</v>
      </c>
      <c r="E21" s="50" t="s">
        <v>214</v>
      </c>
      <c r="G21" s="96">
        <f t="shared" ref="G21" si="4">G15+G17+G19</f>
        <v>3193.1632876712329</v>
      </c>
      <c r="H21" s="96">
        <f t="shared" ref="H21:J21" si="5">H15+H17+H19</f>
        <v>3594.2815564840184</v>
      </c>
      <c r="I21" s="96">
        <f t="shared" si="5"/>
        <v>3822.0947756621008</v>
      </c>
      <c r="J21" s="96">
        <f t="shared" si="5"/>
        <v>4151.0117940547934</v>
      </c>
      <c r="K21" s="94"/>
      <c r="L21" s="96">
        <f>L15+L17+L19</f>
        <v>4107.306215567306</v>
      </c>
      <c r="M21" s="94"/>
      <c r="N21" s="96">
        <f>N15+N17+N19</f>
        <v>4280.0125738843381</v>
      </c>
    </row>
    <row r="22" spans="1:15" x14ac:dyDescent="0.25">
      <c r="G22" s="58"/>
      <c r="H22" s="58"/>
      <c r="I22" s="58"/>
      <c r="J22" s="58"/>
      <c r="K22" s="28"/>
      <c r="L22" s="58"/>
      <c r="M22" s="28"/>
      <c r="N22" s="58"/>
      <c r="O22" s="58"/>
    </row>
    <row r="23" spans="1:15" x14ac:dyDescent="0.25">
      <c r="C23" s="95" t="s">
        <v>143</v>
      </c>
      <c r="G23" s="58"/>
      <c r="H23" s="58"/>
      <c r="I23" s="58"/>
      <c r="J23" s="58"/>
      <c r="K23" s="28"/>
      <c r="L23" s="58"/>
      <c r="M23" s="28"/>
      <c r="N23" s="58"/>
      <c r="O23" s="58"/>
    </row>
    <row r="25" spans="1:15" x14ac:dyDescent="0.25">
      <c r="E25" s="23"/>
      <c r="F25" s="17"/>
      <c r="G25" s="97"/>
      <c r="H25" s="97"/>
      <c r="I25" s="97"/>
      <c r="J25" s="97"/>
      <c r="K25" s="98"/>
      <c r="L25" s="97"/>
      <c r="M25" s="98"/>
      <c r="N25" s="97"/>
      <c r="O25" s="97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9" tint="0.39997558519241921"/>
    <pageSetUpPr fitToPage="1"/>
  </sheetPr>
  <dimension ref="A1:O30"/>
  <sheetViews>
    <sheetView view="pageBreakPreview" zoomScaleSheetLayoutView="100" workbookViewId="0">
      <selection activeCell="F1" sqref="F1"/>
    </sheetView>
  </sheetViews>
  <sheetFormatPr defaultColWidth="9.109375" defaultRowHeight="13.2" x14ac:dyDescent="0.25"/>
  <cols>
    <col min="1" max="1" width="5.33203125" style="8" customWidth="1"/>
    <col min="2" max="2" width="1.88671875" style="8" customWidth="1"/>
    <col min="3" max="3" width="35.33203125" style="8" customWidth="1"/>
    <col min="4" max="4" width="1.88671875" style="8" customWidth="1"/>
    <col min="5" max="5" width="9.109375" style="8"/>
    <col min="6" max="6" width="1.88671875" style="8" customWidth="1"/>
    <col min="7" max="10" width="9.44140625" style="8" customWidth="1"/>
    <col min="11" max="11" width="1.44140625" style="12" customWidth="1"/>
    <col min="12" max="12" width="10" style="8" customWidth="1"/>
    <col min="13" max="13" width="1.5546875" style="8" customWidth="1"/>
    <col min="14" max="14" width="10" style="8" customWidth="1"/>
    <col min="15" max="15" width="1.88671875" style="8" customWidth="1"/>
    <col min="16" max="16384" width="9.109375" style="8"/>
  </cols>
  <sheetData>
    <row r="1" spans="1:15" ht="15.6" x14ac:dyDescent="0.3">
      <c r="H1" s="22" t="s">
        <v>4</v>
      </c>
      <c r="N1" s="9" t="s">
        <v>10</v>
      </c>
    </row>
    <row r="2" spans="1:15" x14ac:dyDescent="0.25">
      <c r="H2" s="23" t="s">
        <v>9</v>
      </c>
      <c r="N2" s="46" t="str">
        <f>'Schedule 1'!$N$2</f>
        <v>June 20, 2013 Refiling</v>
      </c>
    </row>
    <row r="3" spans="1:15" x14ac:dyDescent="0.25">
      <c r="H3" s="23" t="s">
        <v>6</v>
      </c>
    </row>
    <row r="6" spans="1:15" s="18" customFormat="1" x14ac:dyDescent="0.25">
      <c r="G6" s="77"/>
      <c r="H6" s="77"/>
      <c r="I6" s="77"/>
      <c r="J6" s="77"/>
      <c r="K6" s="77"/>
      <c r="L6" s="192"/>
      <c r="M6" s="77"/>
      <c r="N6" s="192"/>
    </row>
    <row r="7" spans="1:15" s="16" customFormat="1" ht="39.6" x14ac:dyDescent="0.25">
      <c r="A7" s="15" t="s">
        <v>0</v>
      </c>
      <c r="C7" s="15" t="s">
        <v>1</v>
      </c>
      <c r="E7" s="15" t="s">
        <v>2</v>
      </c>
      <c r="G7" s="15" t="s">
        <v>221</v>
      </c>
      <c r="H7" s="15" t="s">
        <v>216</v>
      </c>
      <c r="I7" s="15" t="s">
        <v>217</v>
      </c>
      <c r="J7" s="15" t="s">
        <v>260</v>
      </c>
      <c r="K7" s="27"/>
      <c r="L7" s="15" t="str">
        <f>'Schedule 1'!$L$7</f>
        <v>Proposed 2012</v>
      </c>
      <c r="M7" s="27"/>
      <c r="N7" s="15" t="str">
        <f>'Schedule 1'!$N$7</f>
        <v>Proposed 2013</v>
      </c>
    </row>
    <row r="9" spans="1:15" x14ac:dyDescent="0.25">
      <c r="A9" s="8">
        <v>1</v>
      </c>
      <c r="C9" s="8" t="s">
        <v>65</v>
      </c>
      <c r="G9" s="100">
        <v>25921</v>
      </c>
      <c r="H9" s="100">
        <v>30133.535000000003</v>
      </c>
      <c r="I9" s="100">
        <v>95658</v>
      </c>
      <c r="J9" s="100">
        <v>111746.42010000002</v>
      </c>
      <c r="K9" s="101"/>
      <c r="L9" s="100">
        <v>42481.6967505344</v>
      </c>
      <c r="N9" s="100">
        <v>39395.104328842048</v>
      </c>
      <c r="O9" s="100"/>
    </row>
    <row r="11" spans="1:15" x14ac:dyDescent="0.25">
      <c r="A11" s="8">
        <v>2</v>
      </c>
      <c r="C11" s="8" t="s">
        <v>66</v>
      </c>
      <c r="G11" s="102">
        <v>0.05</v>
      </c>
      <c r="H11" s="102">
        <v>0.05</v>
      </c>
      <c r="I11" s="102">
        <v>0.05</v>
      </c>
      <c r="J11" s="102">
        <v>0.05</v>
      </c>
      <c r="K11" s="103"/>
      <c r="L11" s="102">
        <v>0.05</v>
      </c>
      <c r="N11" s="102">
        <v>0.05</v>
      </c>
    </row>
    <row r="13" spans="1:15" x14ac:dyDescent="0.25">
      <c r="A13" s="8">
        <v>3</v>
      </c>
      <c r="C13" s="8" t="s">
        <v>67</v>
      </c>
      <c r="G13" s="99">
        <f t="shared" ref="G13" si="0">G11*G9</f>
        <v>1296.0500000000002</v>
      </c>
      <c r="H13" s="99">
        <f t="shared" ref="H13:J13" si="1">H11*H9</f>
        <v>1506.6767500000003</v>
      </c>
      <c r="I13" s="99">
        <f t="shared" si="1"/>
        <v>4782.9000000000005</v>
      </c>
      <c r="J13" s="99">
        <f t="shared" si="1"/>
        <v>5587.3210050000016</v>
      </c>
      <c r="K13" s="104"/>
      <c r="L13" s="99">
        <f>L11*L9</f>
        <v>2124.0848375267201</v>
      </c>
      <c r="N13" s="99">
        <f>N11*N9</f>
        <v>1969.7552164421024</v>
      </c>
      <c r="O13" s="99">
        <f t="shared" ref="O13" si="2">O11*O9</f>
        <v>0</v>
      </c>
    </row>
    <row r="15" spans="1:15" x14ac:dyDescent="0.25">
      <c r="A15" s="8">
        <v>4</v>
      </c>
      <c r="C15" s="8" t="s">
        <v>68</v>
      </c>
      <c r="G15" s="105">
        <v>14</v>
      </c>
      <c r="H15" s="105">
        <v>14</v>
      </c>
      <c r="I15" s="105">
        <v>14</v>
      </c>
      <c r="J15" s="105">
        <v>14</v>
      </c>
      <c r="K15" s="104"/>
      <c r="L15" s="105">
        <v>14</v>
      </c>
      <c r="N15" s="105">
        <v>14</v>
      </c>
    </row>
    <row r="17" spans="1:15" x14ac:dyDescent="0.25">
      <c r="A17" s="8">
        <v>5</v>
      </c>
      <c r="C17" s="8" t="s">
        <v>69</v>
      </c>
      <c r="G17" s="105">
        <f t="shared" ref="G17" si="3">ROUND(G13*G15/365,0)</f>
        <v>50</v>
      </c>
      <c r="H17" s="105">
        <f t="shared" ref="H17:J17" si="4">ROUND(H13*H15/365,0)</f>
        <v>58</v>
      </c>
      <c r="I17" s="105">
        <f t="shared" si="4"/>
        <v>183</v>
      </c>
      <c r="J17" s="105">
        <f t="shared" si="4"/>
        <v>214</v>
      </c>
      <c r="K17" s="104"/>
      <c r="L17" s="105">
        <f>ROUND(L13*L15/365,0)</f>
        <v>81</v>
      </c>
      <c r="N17" s="105">
        <f>ROUND(N13*N15/365,0)</f>
        <v>76</v>
      </c>
    </row>
    <row r="20" spans="1:15" x14ac:dyDescent="0.25">
      <c r="A20" s="8">
        <v>6</v>
      </c>
      <c r="C20" s="8" t="s">
        <v>70</v>
      </c>
      <c r="G20" s="99">
        <v>31997</v>
      </c>
      <c r="H20" s="99">
        <v>31708.469880000001</v>
      </c>
      <c r="I20" s="99">
        <v>32376</v>
      </c>
      <c r="J20" s="99">
        <v>34293.981999999996</v>
      </c>
      <c r="K20" s="104"/>
      <c r="L20" s="99">
        <v>38850.040391859111</v>
      </c>
      <c r="N20" s="99">
        <v>42262.889974871898</v>
      </c>
      <c r="O20" s="99"/>
    </row>
    <row r="21" spans="1:15" x14ac:dyDescent="0.25">
      <c r="G21" s="12"/>
      <c r="H21" s="12"/>
      <c r="I21" s="12"/>
      <c r="J21" s="12"/>
      <c r="L21" s="12"/>
      <c r="N21" s="12"/>
      <c r="O21" s="12"/>
    </row>
    <row r="22" spans="1:15" x14ac:dyDescent="0.25">
      <c r="A22" s="8">
        <v>7</v>
      </c>
      <c r="C22" s="8" t="s">
        <v>247</v>
      </c>
      <c r="G22" s="102">
        <v>4.5785714285714298E-2</v>
      </c>
      <c r="H22" s="102">
        <f>G22</f>
        <v>4.5785714285714298E-2</v>
      </c>
      <c r="I22" s="102">
        <f>H22</f>
        <v>4.5785714285714298E-2</v>
      </c>
      <c r="J22" s="102">
        <f>I22</f>
        <v>4.5785714285714298E-2</v>
      </c>
      <c r="K22" s="103"/>
      <c r="L22" s="102">
        <f>J22</f>
        <v>4.5785714285714298E-2</v>
      </c>
      <c r="N22" s="102">
        <f>L22</f>
        <v>4.5785714285714298E-2</v>
      </c>
      <c r="O22" s="102"/>
    </row>
    <row r="24" spans="1:15" x14ac:dyDescent="0.25">
      <c r="A24" s="8">
        <v>8</v>
      </c>
      <c r="C24" s="8" t="s">
        <v>71</v>
      </c>
      <c r="G24" s="99">
        <f t="shared" ref="G24" si="5">G22*G20</f>
        <v>1465.0055000000004</v>
      </c>
      <c r="H24" s="99">
        <f t="shared" ref="H24:J24" si="6">H22*H20</f>
        <v>1451.7949423628575</v>
      </c>
      <c r="I24" s="99">
        <f t="shared" si="6"/>
        <v>1482.358285714286</v>
      </c>
      <c r="J24" s="99">
        <f t="shared" si="6"/>
        <v>1570.1744615714288</v>
      </c>
      <c r="K24" s="104"/>
      <c r="L24" s="99">
        <f>L22*L20</f>
        <v>1778.7768493701212</v>
      </c>
      <c r="N24" s="99">
        <f>N22*N20</f>
        <v>1935.0366052780639</v>
      </c>
      <c r="O24" s="99">
        <f t="shared" ref="O24" si="7">O22*O20</f>
        <v>0</v>
      </c>
    </row>
    <row r="26" spans="1:15" x14ac:dyDescent="0.25">
      <c r="A26" s="8">
        <v>9</v>
      </c>
      <c r="C26" s="8" t="s">
        <v>72</v>
      </c>
      <c r="F26" s="8" t="s">
        <v>143</v>
      </c>
      <c r="G26" s="105">
        <v>35</v>
      </c>
      <c r="H26" s="105">
        <v>35</v>
      </c>
      <c r="I26" s="105">
        <v>35</v>
      </c>
      <c r="J26" s="105">
        <v>35</v>
      </c>
      <c r="K26" s="104"/>
      <c r="L26" s="105">
        <v>35</v>
      </c>
      <c r="N26" s="105">
        <v>35</v>
      </c>
    </row>
    <row r="28" spans="1:15" x14ac:dyDescent="0.25">
      <c r="A28" s="8">
        <v>10</v>
      </c>
      <c r="C28" s="8" t="s">
        <v>73</v>
      </c>
      <c r="G28" s="105">
        <f t="shared" ref="G28" si="8">ROUND(G24*G26/365,0)</f>
        <v>140</v>
      </c>
      <c r="H28" s="105">
        <f t="shared" ref="H28:J28" si="9">ROUND(H24*H26/365,0)</f>
        <v>139</v>
      </c>
      <c r="I28" s="105">
        <f t="shared" si="9"/>
        <v>142</v>
      </c>
      <c r="J28" s="105">
        <f t="shared" si="9"/>
        <v>151</v>
      </c>
      <c r="K28" s="104"/>
      <c r="L28" s="105">
        <f>ROUND(L24*L26/365,0)</f>
        <v>171</v>
      </c>
      <c r="N28" s="105">
        <f>ROUND(N24*N26/365,0)</f>
        <v>186</v>
      </c>
    </row>
    <row r="30" spans="1:15" ht="13.8" thickBot="1" x14ac:dyDescent="0.3">
      <c r="A30" s="8">
        <v>11</v>
      </c>
      <c r="C30" s="8" t="s">
        <v>74</v>
      </c>
      <c r="E30" s="8" t="s">
        <v>215</v>
      </c>
      <c r="G30" s="106">
        <f t="shared" ref="G30" si="10">G17-G28</f>
        <v>-90</v>
      </c>
      <c r="H30" s="106">
        <f t="shared" ref="H30:J30" si="11">H17-H28</f>
        <v>-81</v>
      </c>
      <c r="I30" s="106">
        <f t="shared" si="11"/>
        <v>41</v>
      </c>
      <c r="J30" s="106">
        <f t="shared" si="11"/>
        <v>63</v>
      </c>
      <c r="K30" s="101"/>
      <c r="L30" s="106">
        <f>L17-L28</f>
        <v>-90</v>
      </c>
      <c r="N30" s="106">
        <f>N17-N28</f>
        <v>-110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9" tint="0.39997558519241921"/>
    <pageSetUpPr fitToPage="1"/>
  </sheetPr>
  <dimension ref="A1:O57"/>
  <sheetViews>
    <sheetView view="pageBreakPreview" zoomScaleSheetLayoutView="100" workbookViewId="0">
      <selection activeCell="F1" sqref="F1"/>
    </sheetView>
  </sheetViews>
  <sheetFormatPr defaultColWidth="9.109375" defaultRowHeight="13.2" x14ac:dyDescent="0.25"/>
  <cols>
    <col min="1" max="1" width="5.33203125" style="21" customWidth="1"/>
    <col min="2" max="2" width="1.88671875" style="21" customWidth="1"/>
    <col min="3" max="3" width="43.88671875" style="21" customWidth="1"/>
    <col min="4" max="4" width="1.88671875" style="21" customWidth="1"/>
    <col min="5" max="5" width="9.109375" style="50" customWidth="1"/>
    <col min="6" max="6" width="1.88671875" style="21" customWidth="1"/>
    <col min="7" max="10" width="9.44140625" style="21" customWidth="1"/>
    <col min="11" max="11" width="1.44140625" style="54" customWidth="1"/>
    <col min="12" max="12" width="10.109375" style="21" customWidth="1"/>
    <col min="13" max="13" width="1.44140625" style="54" customWidth="1"/>
    <col min="14" max="14" width="10.109375" style="21" customWidth="1"/>
    <col min="15" max="15" width="1.88671875" style="21" customWidth="1"/>
    <col min="16" max="16384" width="9.109375" style="21"/>
  </cols>
  <sheetData>
    <row r="1" spans="1:15" ht="15.6" x14ac:dyDescent="0.3">
      <c r="H1" s="22" t="s">
        <v>4</v>
      </c>
      <c r="L1" s="54"/>
      <c r="N1" s="85" t="s">
        <v>11</v>
      </c>
    </row>
    <row r="2" spans="1:15" x14ac:dyDescent="0.25">
      <c r="H2" s="23" t="s">
        <v>12</v>
      </c>
      <c r="L2" s="54"/>
      <c r="N2" s="53" t="str">
        <f>'Schedule 1'!$N$2</f>
        <v>June 20, 2013 Refiling</v>
      </c>
    </row>
    <row r="3" spans="1:15" x14ac:dyDescent="0.25">
      <c r="H3" s="23" t="s">
        <v>6</v>
      </c>
      <c r="L3" s="54"/>
    </row>
    <row r="6" spans="1:15" s="50" customFormat="1" x14ac:dyDescent="0.25">
      <c r="E6" s="50" t="s">
        <v>143</v>
      </c>
      <c r="G6" s="77"/>
      <c r="H6" s="77"/>
      <c r="I6" s="77"/>
      <c r="J6" s="77"/>
      <c r="K6" s="77"/>
      <c r="L6" s="192"/>
      <c r="M6" s="77"/>
      <c r="N6" s="192"/>
    </row>
    <row r="7" spans="1:15" s="16" customFormat="1" ht="39.6" x14ac:dyDescent="0.25">
      <c r="A7" s="15" t="s">
        <v>0</v>
      </c>
      <c r="C7" s="15" t="s">
        <v>1</v>
      </c>
      <c r="E7" s="15" t="s">
        <v>2</v>
      </c>
      <c r="G7" s="15" t="s">
        <v>221</v>
      </c>
      <c r="H7" s="15" t="s">
        <v>216</v>
      </c>
      <c r="I7" s="15" t="s">
        <v>217</v>
      </c>
      <c r="J7" s="15" t="s">
        <v>260</v>
      </c>
      <c r="K7" s="27"/>
      <c r="L7" s="15" t="str">
        <f>'Schedule 1'!$L$7</f>
        <v>Proposed 2012</v>
      </c>
      <c r="M7" s="27"/>
      <c r="N7" s="15" t="str">
        <f>'Schedule 1'!$N$7</f>
        <v>Proposed 2013</v>
      </c>
    </row>
    <row r="9" spans="1:15" x14ac:dyDescent="0.25">
      <c r="A9" s="21">
        <v>1</v>
      </c>
      <c r="C9" s="17" t="s">
        <v>42</v>
      </c>
    </row>
    <row r="11" spans="1:15" x14ac:dyDescent="0.25">
      <c r="A11" s="21">
        <v>2</v>
      </c>
      <c r="C11" s="21" t="s">
        <v>75</v>
      </c>
      <c r="F11" s="14"/>
      <c r="G11" s="58">
        <v>277842</v>
      </c>
      <c r="H11" s="58">
        <v>275268.13672000001</v>
      </c>
      <c r="I11" s="58">
        <f t="shared" ref="I11:J11" si="0">H15</f>
        <v>297261.63472000003</v>
      </c>
      <c r="J11" s="58">
        <f t="shared" si="0"/>
        <v>378170.53253000003</v>
      </c>
      <c r="K11" s="28"/>
      <c r="L11" s="58">
        <f>J15</f>
        <v>473016.90018000006</v>
      </c>
      <c r="M11" s="28"/>
      <c r="N11" s="58">
        <f>L15</f>
        <v>496937.72556000005</v>
      </c>
      <c r="O11" s="41"/>
    </row>
    <row r="12" spans="1:15" x14ac:dyDescent="0.25">
      <c r="A12" s="21">
        <v>3</v>
      </c>
      <c r="C12" s="21" t="s">
        <v>252</v>
      </c>
      <c r="F12" s="14"/>
      <c r="G12" s="58">
        <v>9078</v>
      </c>
      <c r="H12" s="58">
        <v>22824.325000000001</v>
      </c>
      <c r="I12" s="58">
        <v>81827</v>
      </c>
      <c r="J12" s="58">
        <v>94999.537650000013</v>
      </c>
      <c r="K12" s="28"/>
      <c r="L12" s="58">
        <v>23920.825380000009</v>
      </c>
      <c r="M12" s="28"/>
      <c r="N12" s="58">
        <v>23712.904999999999</v>
      </c>
      <c r="O12" s="41"/>
    </row>
    <row r="13" spans="1:15" x14ac:dyDescent="0.25">
      <c r="A13" s="21">
        <v>4</v>
      </c>
      <c r="C13" s="21" t="s">
        <v>176</v>
      </c>
      <c r="F13" s="14"/>
      <c r="G13" s="48">
        <v>-260</v>
      </c>
      <c r="H13" s="48">
        <v>-830.827</v>
      </c>
      <c r="I13" s="48">
        <v>-918.10218999999995</v>
      </c>
      <c r="J13" s="48">
        <v>-153.16999999999999</v>
      </c>
      <c r="K13" s="28"/>
      <c r="L13" s="67">
        <v>0</v>
      </c>
      <c r="M13" s="68"/>
      <c r="N13" s="67">
        <v>0</v>
      </c>
      <c r="O13" s="41"/>
    </row>
    <row r="14" spans="1:15" x14ac:dyDescent="0.25">
      <c r="F14" s="14"/>
      <c r="G14" s="58"/>
      <c r="H14" s="58"/>
      <c r="I14" s="58"/>
      <c r="J14" s="58"/>
      <c r="K14" s="28"/>
      <c r="L14" s="58"/>
      <c r="M14" s="28"/>
      <c r="N14" s="58"/>
    </row>
    <row r="15" spans="1:15" x14ac:dyDescent="0.25">
      <c r="A15" s="21">
        <v>5</v>
      </c>
      <c r="C15" s="21" t="s">
        <v>76</v>
      </c>
      <c r="E15" s="50" t="s">
        <v>85</v>
      </c>
      <c r="F15" s="14"/>
      <c r="G15" s="58">
        <f t="shared" ref="G15" si="1">G11+G12+G13</f>
        <v>286660</v>
      </c>
      <c r="H15" s="58">
        <f t="shared" ref="H15:J15" si="2">H11+H12+H13</f>
        <v>297261.63472000003</v>
      </c>
      <c r="I15" s="58">
        <f t="shared" si="2"/>
        <v>378170.53253000003</v>
      </c>
      <c r="J15" s="58">
        <f t="shared" si="2"/>
        <v>473016.90018000006</v>
      </c>
      <c r="K15" s="28"/>
      <c r="L15" s="58">
        <f>L11+L12+L13</f>
        <v>496937.72556000005</v>
      </c>
      <c r="M15" s="28"/>
      <c r="N15" s="58">
        <f>N11+N12+N13</f>
        <v>520650.63056000008</v>
      </c>
      <c r="O15" s="41"/>
    </row>
    <row r="16" spans="1:15" x14ac:dyDescent="0.25">
      <c r="F16" s="14"/>
    </row>
    <row r="17" spans="1:14" x14ac:dyDescent="0.25">
      <c r="A17" s="21">
        <v>6</v>
      </c>
      <c r="C17" s="17" t="s">
        <v>208</v>
      </c>
    </row>
    <row r="19" spans="1:14" x14ac:dyDescent="0.25">
      <c r="A19" s="21">
        <v>7</v>
      </c>
      <c r="C19" s="21" t="s">
        <v>75</v>
      </c>
      <c r="G19" s="58">
        <v>82955</v>
      </c>
      <c r="H19" s="58">
        <v>83107.358810000005</v>
      </c>
      <c r="I19" s="58">
        <v>89352.53181</v>
      </c>
      <c r="J19" s="58">
        <v>95584.200620000003</v>
      </c>
      <c r="K19" s="28"/>
      <c r="L19" s="58">
        <v>103287.63062</v>
      </c>
      <c r="M19" s="28"/>
      <c r="N19" s="58">
        <v>111705.74409225699</v>
      </c>
    </row>
    <row r="20" spans="1:14" x14ac:dyDescent="0.25">
      <c r="A20" s="21">
        <v>8</v>
      </c>
      <c r="C20" s="21" t="s">
        <v>77</v>
      </c>
      <c r="E20" s="50" t="s">
        <v>95</v>
      </c>
      <c r="G20" s="58">
        <v>6526</v>
      </c>
      <c r="H20" s="58">
        <v>7214</v>
      </c>
      <c r="I20" s="58">
        <v>7369</v>
      </c>
      <c r="J20" s="58">
        <v>7902.0119999999997</v>
      </c>
      <c r="K20" s="28"/>
      <c r="L20" s="58">
        <v>8418.1134722568004</v>
      </c>
      <c r="M20" s="28"/>
      <c r="N20" s="58">
        <v>8988.5451721393001</v>
      </c>
    </row>
    <row r="21" spans="1:14" x14ac:dyDescent="0.25">
      <c r="A21" s="21">
        <v>9</v>
      </c>
      <c r="C21" s="21" t="s">
        <v>176</v>
      </c>
      <c r="G21" s="48">
        <v>-260</v>
      </c>
      <c r="H21" s="48">
        <v>-968.827</v>
      </c>
      <c r="I21" s="48">
        <v>-1137.3311900000001</v>
      </c>
      <c r="J21" s="48">
        <v>-198.58199999999999</v>
      </c>
      <c r="K21" s="28"/>
      <c r="L21" s="48">
        <v>0</v>
      </c>
      <c r="M21" s="28"/>
      <c r="N21" s="48">
        <v>0</v>
      </c>
    </row>
    <row r="22" spans="1:14" x14ac:dyDescent="0.25">
      <c r="G22" s="58"/>
      <c r="H22" s="58"/>
      <c r="I22" s="58"/>
      <c r="J22" s="58"/>
      <c r="K22" s="28"/>
      <c r="L22" s="58"/>
      <c r="M22" s="28"/>
      <c r="N22" s="58"/>
    </row>
    <row r="23" spans="1:14" x14ac:dyDescent="0.25">
      <c r="A23" s="21">
        <v>10</v>
      </c>
      <c r="C23" s="21" t="s">
        <v>76</v>
      </c>
      <c r="G23" s="69">
        <f>SUM(G19:G21)</f>
        <v>89221</v>
      </c>
      <c r="H23" s="69">
        <f>SUM(H19:H21)</f>
        <v>89352.53181</v>
      </c>
      <c r="I23" s="69">
        <f>SUM(I19:I21)</f>
        <v>95584.200620000003</v>
      </c>
      <c r="J23" s="69">
        <f>SUM(J19:J21)</f>
        <v>103287.63062000001</v>
      </c>
      <c r="K23" s="71"/>
      <c r="L23" s="69">
        <f>SUM(L19:L21)</f>
        <v>111705.74409225679</v>
      </c>
      <c r="M23" s="71"/>
      <c r="N23" s="69">
        <f>SUM(N19:N21)</f>
        <v>120694.2892643963</v>
      </c>
    </row>
    <row r="24" spans="1:14" x14ac:dyDescent="0.25">
      <c r="G24" s="69"/>
      <c r="H24" s="69"/>
      <c r="I24" s="69"/>
      <c r="J24" s="69"/>
      <c r="K24" s="71"/>
      <c r="L24" s="69"/>
      <c r="M24" s="71"/>
      <c r="N24" s="69"/>
    </row>
    <row r="25" spans="1:14" x14ac:dyDescent="0.25">
      <c r="C25" s="21" t="s">
        <v>44</v>
      </c>
    </row>
    <row r="26" spans="1:14" x14ac:dyDescent="0.25">
      <c r="A26" s="21">
        <v>11</v>
      </c>
      <c r="C26" s="21" t="s">
        <v>58</v>
      </c>
      <c r="E26" s="50" t="s">
        <v>86</v>
      </c>
      <c r="G26" s="58">
        <f>'Schedule 1'!G15</f>
        <v>8686</v>
      </c>
      <c r="H26" s="58">
        <f>'Schedule 1'!H15</f>
        <v>20898</v>
      </c>
      <c r="I26" s="58">
        <f>'Schedule 1'!I15</f>
        <v>91851</v>
      </c>
      <c r="J26" s="58">
        <f>'Schedule 1'!J15</f>
        <v>7891.6264299999475</v>
      </c>
      <c r="K26" s="28"/>
      <c r="L26" s="58">
        <f>'Schedule 1'!L15</f>
        <v>6199.1091699999488</v>
      </c>
      <c r="M26" s="28"/>
      <c r="N26" s="58">
        <f>'Schedule 1'!N15</f>
        <v>19798.032009999948</v>
      </c>
    </row>
    <row r="27" spans="1:14" x14ac:dyDescent="0.25">
      <c r="A27" s="21">
        <v>12</v>
      </c>
      <c r="C27" s="21" t="s">
        <v>78</v>
      </c>
      <c r="E27" s="50" t="s">
        <v>82</v>
      </c>
      <c r="G27" s="58">
        <f>'Schedule 1'!G16</f>
        <v>200</v>
      </c>
      <c r="H27" s="58">
        <f>'Schedule 1'!H16</f>
        <v>200</v>
      </c>
      <c r="I27" s="58">
        <f>'Schedule 1'!I16</f>
        <v>200</v>
      </c>
      <c r="J27" s="58">
        <f>'Schedule 1'!J16</f>
        <v>691.1425999999999</v>
      </c>
      <c r="K27" s="28"/>
      <c r="L27" s="58">
        <f>'Schedule 1'!L16</f>
        <v>691.1425999999999</v>
      </c>
      <c r="M27" s="28"/>
      <c r="N27" s="58">
        <f>'Schedule 1'!N16</f>
        <v>691.1425999999999</v>
      </c>
    </row>
    <row r="28" spans="1:14" x14ac:dyDescent="0.25">
      <c r="A28" s="21">
        <v>13</v>
      </c>
      <c r="C28" s="21" t="s">
        <v>211</v>
      </c>
      <c r="E28" s="50" t="s">
        <v>87</v>
      </c>
      <c r="G28" s="48">
        <f>'Schedule 1'!G17</f>
        <v>7814</v>
      </c>
      <c r="H28" s="48">
        <f>'Schedule 1'!H17</f>
        <v>7372.5816800176808</v>
      </c>
      <c r="I28" s="48">
        <f>'Schedule 1'!I17</f>
        <v>6781.6266800176809</v>
      </c>
      <c r="J28" s="48">
        <f>'Schedule 1'!J17</f>
        <v>6365.8716800176808</v>
      </c>
      <c r="K28" s="28"/>
      <c r="L28" s="67">
        <f>'Schedule 1'!L17</f>
        <v>6134.6425720176812</v>
      </c>
      <c r="M28" s="68"/>
      <c r="N28" s="67">
        <f>'Schedule 1'!N17</f>
        <v>5903.6934640176814</v>
      </c>
    </row>
    <row r="29" spans="1:14" x14ac:dyDescent="0.25">
      <c r="A29" s="21">
        <v>14</v>
      </c>
      <c r="C29" s="21" t="s">
        <v>35</v>
      </c>
      <c r="G29" s="58">
        <f t="shared" ref="G29" si="3">G28+G27+G26</f>
        <v>16700</v>
      </c>
      <c r="H29" s="58">
        <f t="shared" ref="H29:J29" si="4">H28+H27+H26</f>
        <v>28470.58168001768</v>
      </c>
      <c r="I29" s="58">
        <f t="shared" si="4"/>
        <v>98832.626680017682</v>
      </c>
      <c r="J29" s="58">
        <f t="shared" si="4"/>
        <v>14948.640710017629</v>
      </c>
      <c r="K29" s="28"/>
      <c r="L29" s="58">
        <f>L28+L27+L26</f>
        <v>13024.894342017629</v>
      </c>
      <c r="M29" s="28"/>
      <c r="N29" s="58">
        <f>N28+N27+N26</f>
        <v>26392.868074017628</v>
      </c>
    </row>
    <row r="31" spans="1:14" x14ac:dyDescent="0.25">
      <c r="C31" s="21" t="s">
        <v>46</v>
      </c>
    </row>
    <row r="32" spans="1:14" x14ac:dyDescent="0.25">
      <c r="A32" s="21">
        <v>15</v>
      </c>
      <c r="C32" s="21" t="s">
        <v>210</v>
      </c>
      <c r="E32" s="50" t="s">
        <v>192</v>
      </c>
      <c r="G32" s="58">
        <f>'Schedule 1'!G21</f>
        <v>22451</v>
      </c>
      <c r="H32" s="58">
        <f>'Schedule 1'!H21</f>
        <v>12373.817799999999</v>
      </c>
      <c r="I32" s="58">
        <f>'Schedule 1'!I21</f>
        <v>17327.817799999997</v>
      </c>
      <c r="J32" s="58">
        <f>'Schedule 1'!J21</f>
        <v>22574.544569000002</v>
      </c>
      <c r="K32" s="58">
        <f>'Schedule 1'!K21</f>
        <v>0</v>
      </c>
      <c r="L32" s="58">
        <f>'Schedule 1'!L21</f>
        <v>27147.884460999998</v>
      </c>
      <c r="M32" s="58">
        <f>'Schedule 1'!M21</f>
        <v>0</v>
      </c>
      <c r="N32" s="58">
        <f>'Schedule 1'!N21</f>
        <v>27890.809482999994</v>
      </c>
    </row>
    <row r="33" spans="1:14" x14ac:dyDescent="0.25">
      <c r="A33" s="21">
        <v>16</v>
      </c>
      <c r="C33" s="21" t="s">
        <v>184</v>
      </c>
      <c r="E33" s="50" t="s">
        <v>193</v>
      </c>
      <c r="G33" s="58">
        <f>'Schedule 1'!G22</f>
        <v>-14526</v>
      </c>
      <c r="H33" s="58">
        <f>'Schedule 1'!H22</f>
        <v>-4584</v>
      </c>
      <c r="I33" s="58">
        <f>'Schedule 1'!I22</f>
        <v>-10543</v>
      </c>
      <c r="J33" s="58">
        <f>'Schedule 1'!J22</f>
        <v>-9275.6018600000007</v>
      </c>
      <c r="K33" s="58">
        <f>'Schedule 1'!K22</f>
        <v>0</v>
      </c>
      <c r="L33" s="58">
        <f>'Schedule 1'!L22</f>
        <v>-12406.163200000006</v>
      </c>
      <c r="M33" s="58">
        <f>'Schedule 1'!M22</f>
        <v>0</v>
      </c>
      <c r="N33" s="58">
        <f>'Schedule 1'!N22</f>
        <v>-14742.2582</v>
      </c>
    </row>
    <row r="34" spans="1:14" x14ac:dyDescent="0.25">
      <c r="A34" s="21">
        <v>17</v>
      </c>
      <c r="C34" s="21" t="s">
        <v>185</v>
      </c>
      <c r="E34" s="50" t="s">
        <v>158</v>
      </c>
      <c r="G34" s="58">
        <f>'Schedule 1'!G23</f>
        <v>121</v>
      </c>
      <c r="H34" s="58">
        <f>'Schedule 1'!H23</f>
        <v>0</v>
      </c>
      <c r="I34" s="58">
        <f>'Schedule 1'!I23</f>
        <v>0</v>
      </c>
      <c r="J34" s="58">
        <f>'Schedule 1'!J23</f>
        <v>0</v>
      </c>
      <c r="K34" s="28"/>
      <c r="L34" s="58">
        <f>'Schedule 1'!L23</f>
        <v>0</v>
      </c>
      <c r="M34" s="28"/>
      <c r="N34" s="58">
        <f>'Schedule 1'!N23</f>
        <v>0</v>
      </c>
    </row>
    <row r="35" spans="1:14" x14ac:dyDescent="0.25">
      <c r="A35" s="21">
        <v>18</v>
      </c>
      <c r="C35" s="21" t="s">
        <v>47</v>
      </c>
      <c r="E35" s="50" t="s">
        <v>83</v>
      </c>
      <c r="G35" s="48">
        <f>'Schedule 1'!G24</f>
        <v>78</v>
      </c>
      <c r="H35" s="48">
        <f>'Schedule 1'!H24</f>
        <v>78</v>
      </c>
      <c r="I35" s="48">
        <f>'Schedule 1'!I24</f>
        <v>82</v>
      </c>
      <c r="J35" s="48">
        <f>'Schedule 1'!J24</f>
        <v>86</v>
      </c>
      <c r="K35" s="28"/>
      <c r="L35" s="48">
        <f>'Schedule 1'!L24</f>
        <v>102.278565</v>
      </c>
      <c r="M35" s="28"/>
      <c r="N35" s="48">
        <f>'Schedule 1'!N24</f>
        <v>118.55713</v>
      </c>
    </row>
    <row r="36" spans="1:14" x14ac:dyDescent="0.25">
      <c r="A36" s="21">
        <v>19</v>
      </c>
      <c r="C36" s="21" t="s">
        <v>35</v>
      </c>
      <c r="G36" s="48">
        <f t="shared" ref="G36" si="5">SUM(G32:G35)</f>
        <v>8124</v>
      </c>
      <c r="H36" s="48">
        <f t="shared" ref="H36:J36" si="6">SUM(H32:H35)</f>
        <v>7867.8177999999989</v>
      </c>
      <c r="I36" s="48">
        <f t="shared" si="6"/>
        <v>6866.8177999999971</v>
      </c>
      <c r="J36" s="48">
        <f t="shared" si="6"/>
        <v>13384.942709000001</v>
      </c>
      <c r="K36" s="48">
        <f t="shared" ref="K36:N36" si="7">SUM(K32:K35)</f>
        <v>0</v>
      </c>
      <c r="L36" s="48">
        <f t="shared" si="7"/>
        <v>14843.999825999992</v>
      </c>
      <c r="M36" s="48">
        <f t="shared" si="7"/>
        <v>0</v>
      </c>
      <c r="N36" s="48">
        <f t="shared" si="7"/>
        <v>13267.108412999993</v>
      </c>
    </row>
    <row r="38" spans="1:14" ht="13.8" thickBot="1" x14ac:dyDescent="0.3">
      <c r="A38" s="21">
        <v>20</v>
      </c>
      <c r="C38" s="21" t="s">
        <v>79</v>
      </c>
      <c r="E38" s="50" t="s">
        <v>194</v>
      </c>
      <c r="G38" s="74">
        <f>G15-G23-G29+G36</f>
        <v>188863</v>
      </c>
      <c r="H38" s="74">
        <f>H15-H23-H29+H36</f>
        <v>187306.33902998234</v>
      </c>
      <c r="I38" s="74">
        <f>I15-I23-I29+I36</f>
        <v>190620.52302998232</v>
      </c>
      <c r="J38" s="74">
        <f>J15-J23-J29+J36</f>
        <v>368165.57155898242</v>
      </c>
      <c r="K38" s="71"/>
      <c r="L38" s="74">
        <f>L15-L23-L29+L36</f>
        <v>387051.08695172565</v>
      </c>
      <c r="M38" s="71"/>
      <c r="N38" s="74">
        <f>N15-N23-N29+N36</f>
        <v>386830.58163458615</v>
      </c>
    </row>
    <row r="40" spans="1:14" x14ac:dyDescent="0.25">
      <c r="C40" s="21" t="s">
        <v>270</v>
      </c>
    </row>
    <row r="41" spans="1:14" x14ac:dyDescent="0.25">
      <c r="C41" s="201" t="s">
        <v>271</v>
      </c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</row>
    <row r="42" spans="1:14" ht="12.75" customHeight="1" x14ac:dyDescent="0.25">
      <c r="C42" s="203" t="s">
        <v>264</v>
      </c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ht="12.75" customHeight="1" x14ac:dyDescent="0.25">
      <c r="E43" s="21"/>
      <c r="K43" s="21"/>
      <c r="M43" s="21"/>
    </row>
    <row r="44" spans="1:14" ht="12.75" customHeight="1" x14ac:dyDescent="0.25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</row>
    <row r="45" spans="1:14" ht="12.75" customHeight="1" x14ac:dyDescent="0.25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</row>
    <row r="46" spans="1:14" x14ac:dyDescent="0.25">
      <c r="G46" s="69"/>
      <c r="H46" s="69"/>
      <c r="I46" s="69"/>
      <c r="J46" s="69"/>
      <c r="K46" s="69"/>
      <c r="L46" s="69"/>
      <c r="M46" s="69"/>
      <c r="N46" s="69"/>
    </row>
    <row r="47" spans="1:14" x14ac:dyDescent="0.25">
      <c r="E47" s="69"/>
      <c r="F47" s="69"/>
      <c r="G47" s="69"/>
      <c r="H47" s="69"/>
      <c r="I47" s="69"/>
      <c r="J47" s="69"/>
      <c r="K47" s="69"/>
      <c r="L47" s="69"/>
      <c r="M47" s="69"/>
      <c r="N47" s="69"/>
    </row>
    <row r="48" spans="1:14" x14ac:dyDescent="0.25">
      <c r="E48" s="21"/>
      <c r="K48" s="21"/>
      <c r="M48" s="21"/>
    </row>
    <row r="49" spans="5:14" x14ac:dyDescent="0.25">
      <c r="E49" s="69"/>
      <c r="F49" s="69"/>
      <c r="G49" s="69"/>
      <c r="H49" s="69"/>
      <c r="I49" s="69"/>
      <c r="J49" s="69"/>
      <c r="K49" s="69"/>
      <c r="L49" s="69"/>
      <c r="M49" s="69"/>
      <c r="N49" s="69"/>
    </row>
    <row r="51" spans="5:14" x14ac:dyDescent="0.25">
      <c r="G51" s="69"/>
      <c r="H51" s="69"/>
      <c r="I51" s="69"/>
      <c r="J51" s="69"/>
      <c r="K51" s="69"/>
      <c r="L51" s="69"/>
      <c r="M51" s="69"/>
      <c r="N51" s="69"/>
    </row>
    <row r="56" spans="5:14" x14ac:dyDescent="0.25">
      <c r="G56" s="69"/>
      <c r="H56" s="69"/>
      <c r="I56" s="69"/>
      <c r="J56" s="69"/>
      <c r="K56" s="69"/>
      <c r="L56" s="69"/>
      <c r="M56" s="69"/>
      <c r="N56" s="69"/>
    </row>
    <row r="57" spans="5:14" x14ac:dyDescent="0.25">
      <c r="G57" s="69"/>
      <c r="H57" s="69"/>
      <c r="I57" s="69"/>
      <c r="J57" s="69"/>
      <c r="K57" s="69"/>
      <c r="L57" s="69"/>
      <c r="M57" s="69"/>
      <c r="N57" s="69"/>
    </row>
  </sheetData>
  <mergeCells count="2">
    <mergeCell ref="C41:N41"/>
    <mergeCell ref="C42:N42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8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theme="9" tint="0.39997558519241921"/>
    <pageSetUpPr fitToPage="1"/>
  </sheetPr>
  <dimension ref="A1:AN93"/>
  <sheetViews>
    <sheetView view="pageBreakPreview" zoomScale="85" zoomScaleSheetLayoutView="85" workbookViewId="0">
      <selection activeCell="F1" sqref="F1"/>
    </sheetView>
  </sheetViews>
  <sheetFormatPr defaultColWidth="9.109375" defaultRowHeight="13.2" x14ac:dyDescent="0.25"/>
  <cols>
    <col min="1" max="1" width="5.33203125" style="8" customWidth="1"/>
    <col min="2" max="2" width="1.88671875" style="8" customWidth="1"/>
    <col min="3" max="3" width="35.6640625" style="8" customWidth="1"/>
    <col min="4" max="4" width="1.88671875" style="8" customWidth="1"/>
    <col min="5" max="5" width="11.33203125" style="24" customWidth="1"/>
    <col min="6" max="6" width="1.88671875" style="8" customWidth="1"/>
    <col min="7" max="7" width="15.5546875" style="31" customWidth="1"/>
    <col min="8" max="8" width="1.88671875" style="8" customWidth="1"/>
    <col min="9" max="9" width="15.5546875" style="8" customWidth="1"/>
    <col min="10" max="10" width="1.88671875" style="8" customWidth="1"/>
    <col min="11" max="11" width="15.5546875" style="31" customWidth="1"/>
    <col min="12" max="12" width="1.88671875" style="8" customWidth="1"/>
    <col min="13" max="13" width="15.5546875" style="8" customWidth="1"/>
    <col min="14" max="14" width="1.88671875" style="8" customWidth="1"/>
    <col min="15" max="15" width="15.5546875" style="31" customWidth="1"/>
    <col min="16" max="17" width="1.88671875" style="8" customWidth="1"/>
    <col min="18" max="18" width="11.33203125" style="8" customWidth="1"/>
    <col min="19" max="19" width="1.88671875" style="8" customWidth="1"/>
    <col min="20" max="20" width="11.33203125" style="8" customWidth="1"/>
    <col min="21" max="21" width="1.88671875" style="8" customWidth="1"/>
    <col min="22" max="22" width="11.33203125" style="8" customWidth="1"/>
    <col min="23" max="23" width="1.88671875" style="8" customWidth="1"/>
    <col min="24" max="24" width="11.33203125" style="8" customWidth="1"/>
    <col min="25" max="25" width="1.88671875" style="8" customWidth="1"/>
    <col min="26" max="26" width="11.33203125" style="8" customWidth="1"/>
    <col min="27" max="29" width="9.109375" style="8"/>
    <col min="30" max="30" width="9.44140625" style="8" bestFit="1" customWidth="1"/>
    <col min="31" max="16384" width="9.109375" style="8"/>
  </cols>
  <sheetData>
    <row r="1" spans="1:16" x14ac:dyDescent="0.25">
      <c r="G1" s="124"/>
      <c r="I1" s="103"/>
      <c r="K1" s="124"/>
      <c r="M1" s="125"/>
      <c r="N1" s="19"/>
      <c r="O1" s="124"/>
    </row>
    <row r="2" spans="1:16" x14ac:dyDescent="0.25">
      <c r="G2" s="124"/>
      <c r="I2" s="103"/>
      <c r="K2" s="124"/>
      <c r="M2" s="125"/>
      <c r="N2" s="19"/>
      <c r="O2" s="124"/>
    </row>
    <row r="3" spans="1:16" ht="15.6" x14ac:dyDescent="0.3">
      <c r="G3" s="42" t="s">
        <v>4</v>
      </c>
      <c r="O3" s="43" t="s">
        <v>31</v>
      </c>
    </row>
    <row r="4" spans="1:16" x14ac:dyDescent="0.25">
      <c r="G4" s="44" t="s">
        <v>25</v>
      </c>
      <c r="O4" s="46" t="str">
        <f>'Schedule 1'!$N$2</f>
        <v>June 20, 2013 Refiling</v>
      </c>
      <c r="P4" s="47"/>
    </row>
    <row r="5" spans="1:16" x14ac:dyDescent="0.25">
      <c r="G5" s="44" t="s">
        <v>220</v>
      </c>
    </row>
    <row r="6" spans="1:16" x14ac:dyDescent="0.25">
      <c r="G6" s="44" t="s">
        <v>6</v>
      </c>
    </row>
    <row r="9" spans="1:16" x14ac:dyDescent="0.25">
      <c r="A9" s="18"/>
      <c r="B9" s="18"/>
      <c r="C9" s="18"/>
      <c r="D9" s="18"/>
      <c r="F9" s="18"/>
      <c r="G9" s="115"/>
      <c r="H9" s="18"/>
      <c r="I9" s="18"/>
      <c r="J9" s="18"/>
      <c r="K9" s="115"/>
      <c r="L9" s="18"/>
      <c r="M9" s="18"/>
      <c r="N9" s="18"/>
      <c r="O9" s="115"/>
    </row>
    <row r="10" spans="1:16" ht="26.4" x14ac:dyDescent="0.25">
      <c r="A10" s="15" t="s">
        <v>0</v>
      </c>
      <c r="B10" s="16"/>
      <c r="C10" s="15" t="s">
        <v>1</v>
      </c>
      <c r="D10" s="16"/>
      <c r="E10" s="15" t="s">
        <v>2</v>
      </c>
      <c r="F10" s="16"/>
      <c r="G10" s="116" t="s">
        <v>26</v>
      </c>
      <c r="H10" s="16"/>
      <c r="I10" s="15" t="s">
        <v>27</v>
      </c>
      <c r="J10" s="16"/>
      <c r="K10" s="116" t="s">
        <v>28</v>
      </c>
      <c r="L10" s="16"/>
      <c r="M10" s="15" t="s">
        <v>29</v>
      </c>
      <c r="N10" s="16"/>
      <c r="O10" s="116" t="s">
        <v>30</v>
      </c>
    </row>
    <row r="12" spans="1:16" x14ac:dyDescent="0.25">
      <c r="C12" s="17" t="s">
        <v>221</v>
      </c>
    </row>
    <row r="14" spans="1:16" x14ac:dyDescent="0.25">
      <c r="A14" s="8">
        <v>1</v>
      </c>
      <c r="C14" s="8" t="s">
        <v>33</v>
      </c>
      <c r="E14" s="24" t="s">
        <v>240</v>
      </c>
      <c r="G14" s="121">
        <f>'Schedule 11'!G30</f>
        <v>92091.5</v>
      </c>
      <c r="I14" s="66">
        <f>SUM(G14)/(G14+G16)</f>
        <v>0.60003648767075091</v>
      </c>
      <c r="K14" s="121">
        <v>88781</v>
      </c>
      <c r="M14" s="107">
        <v>6.1499999999999999E-2</v>
      </c>
      <c r="N14" s="19"/>
      <c r="O14" s="121">
        <v>5463</v>
      </c>
    </row>
    <row r="15" spans="1:16" x14ac:dyDescent="0.25">
      <c r="G15" s="31" t="s">
        <v>143</v>
      </c>
      <c r="I15" s="66"/>
      <c r="M15" s="19"/>
      <c r="N15" s="19" t="s">
        <v>143</v>
      </c>
      <c r="O15" s="31" t="s">
        <v>143</v>
      </c>
    </row>
    <row r="16" spans="1:16" x14ac:dyDescent="0.25">
      <c r="A16" s="8">
        <v>2</v>
      </c>
      <c r="C16" s="8" t="s">
        <v>34</v>
      </c>
      <c r="E16" s="24" t="s">
        <v>235</v>
      </c>
      <c r="G16" s="122">
        <v>61385</v>
      </c>
      <c r="I16" s="126">
        <f>SUM(G16)/(G14+G16)</f>
        <v>0.39996351232924909</v>
      </c>
      <c r="K16" s="122">
        <v>59188</v>
      </c>
      <c r="M16" s="102">
        <v>8.4900000000000003E-2</v>
      </c>
      <c r="N16" s="19"/>
      <c r="O16" s="122">
        <v>5025</v>
      </c>
    </row>
    <row r="17" spans="1:18" x14ac:dyDescent="0.25">
      <c r="I17" s="66"/>
      <c r="M17" s="19"/>
      <c r="N17" s="19"/>
      <c r="O17" s="31" t="s">
        <v>143</v>
      </c>
    </row>
    <row r="18" spans="1:18" ht="13.8" thickBot="1" x14ac:dyDescent="0.3">
      <c r="A18" s="8">
        <v>3</v>
      </c>
      <c r="C18" s="8" t="s">
        <v>35</v>
      </c>
      <c r="E18" s="24" t="s">
        <v>36</v>
      </c>
      <c r="G18" s="123">
        <f>SUM(G14+G16)</f>
        <v>153476.5</v>
      </c>
      <c r="I18" s="127">
        <f>SUM(I14+I16)</f>
        <v>1</v>
      </c>
      <c r="K18" s="123">
        <v>147969</v>
      </c>
      <c r="M18" s="120">
        <f>SUM(I14)*(M14)+SUM(I16)*(M16)</f>
        <v>7.0859146188504432E-2</v>
      </c>
      <c r="N18" s="19"/>
      <c r="O18" s="123">
        <f>O16+O14</f>
        <v>10488</v>
      </c>
    </row>
    <row r="19" spans="1:18" x14ac:dyDescent="0.25">
      <c r="R19" s="128"/>
    </row>
    <row r="21" spans="1:18" x14ac:dyDescent="0.25">
      <c r="C21" s="17" t="s">
        <v>232</v>
      </c>
    </row>
    <row r="23" spans="1:18" x14ac:dyDescent="0.25">
      <c r="A23" s="8">
        <v>4</v>
      </c>
      <c r="C23" s="8" t="s">
        <v>33</v>
      </c>
      <c r="E23" s="24" t="s">
        <v>240</v>
      </c>
      <c r="G23" s="31">
        <f>'Schedule 11'!$H$30</f>
        <v>91288.349576021428</v>
      </c>
      <c r="I23" s="66">
        <f>SUM(G23)/(G23+G25)</f>
        <v>0.60046925346889268</v>
      </c>
      <c r="K23" s="31">
        <f>SUM(K27)*(I23)</f>
        <v>87897.131908527226</v>
      </c>
      <c r="M23" s="107">
        <v>6.2162391777202702E-2</v>
      </c>
      <c r="N23" s="19"/>
      <c r="O23" s="31">
        <f>SUM(K23)*(M23)</f>
        <v>5463.8959497903343</v>
      </c>
    </row>
    <row r="24" spans="1:18" x14ac:dyDescent="0.25">
      <c r="G24" s="31" t="s">
        <v>143</v>
      </c>
      <c r="I24" s="66"/>
      <c r="M24" s="19"/>
      <c r="N24" s="19" t="s">
        <v>143</v>
      </c>
      <c r="O24" s="31" t="s">
        <v>143</v>
      </c>
    </row>
    <row r="25" spans="1:18" x14ac:dyDescent="0.25">
      <c r="A25" s="8">
        <v>5</v>
      </c>
      <c r="C25" s="8" t="s">
        <v>34</v>
      </c>
      <c r="E25" s="24" t="s">
        <v>235</v>
      </c>
      <c r="G25" s="117">
        <v>60740</v>
      </c>
      <c r="I25" s="126">
        <f>SUM(G25)/(G23+G25)</f>
        <v>0.39953074653110737</v>
      </c>
      <c r="K25" s="117">
        <f>SUM(K27)*(I25)</f>
        <v>58483.605157938975</v>
      </c>
      <c r="M25" s="102">
        <v>7.9181179057481274E-2</v>
      </c>
      <c r="N25" s="19"/>
      <c r="O25" s="117">
        <f>K25*M25</f>
        <v>4630.800811937801</v>
      </c>
    </row>
    <row r="26" spans="1:18" x14ac:dyDescent="0.25">
      <c r="I26" s="66"/>
      <c r="M26" s="19"/>
      <c r="N26" s="19"/>
      <c r="O26" s="31" t="s">
        <v>143</v>
      </c>
    </row>
    <row r="27" spans="1:18" ht="13.8" thickBot="1" x14ac:dyDescent="0.3">
      <c r="A27" s="8">
        <v>6</v>
      </c>
      <c r="C27" s="8" t="s">
        <v>35</v>
      </c>
      <c r="E27" s="24" t="s">
        <v>36</v>
      </c>
      <c r="G27" s="119">
        <f>SUM(G23+G25)</f>
        <v>152028.34957602143</v>
      </c>
      <c r="I27" s="127">
        <f>SUM(I23+I25)</f>
        <v>1</v>
      </c>
      <c r="K27" s="119">
        <f>'Schedule 1'!H53</f>
        <v>146380.73706646619</v>
      </c>
      <c r="M27" s="120">
        <f>SUM(I23)*(M23)+SUM(I25)*(M25)</f>
        <v>6.8961920564346524E-2</v>
      </c>
      <c r="N27" s="19"/>
      <c r="O27" s="119">
        <f>O23+O25</f>
        <v>10094.696761728135</v>
      </c>
    </row>
    <row r="28" spans="1:18" x14ac:dyDescent="0.25">
      <c r="I28" s="66"/>
      <c r="R28" s="128"/>
    </row>
    <row r="29" spans="1:18" x14ac:dyDescent="0.25">
      <c r="I29" s="66"/>
    </row>
    <row r="30" spans="1:18" x14ac:dyDescent="0.25">
      <c r="C30" s="17" t="s">
        <v>233</v>
      </c>
      <c r="I30" s="66"/>
    </row>
    <row r="31" spans="1:18" x14ac:dyDescent="0.25">
      <c r="I31" s="66"/>
    </row>
    <row r="32" spans="1:18" x14ac:dyDescent="0.25">
      <c r="A32" s="8">
        <v>7</v>
      </c>
      <c r="C32" s="8" t="s">
        <v>33</v>
      </c>
      <c r="E32" s="24" t="s">
        <v>240</v>
      </c>
      <c r="G32" s="31">
        <f>'Schedule 11'!$I$30</f>
        <v>89516.048809601081</v>
      </c>
      <c r="I32" s="66">
        <f>SUM(G32)/(G32+G34)</f>
        <v>0.58565584147230132</v>
      </c>
      <c r="K32" s="31">
        <f>SUM(K36)*(I32)</f>
        <v>87400.368410395153</v>
      </c>
      <c r="M32" s="107">
        <v>6.3788728593477464E-2</v>
      </c>
      <c r="N32" s="19"/>
      <c r="O32" s="31">
        <f>SUM(K32)*(M32)</f>
        <v>5575.1583795006381</v>
      </c>
    </row>
    <row r="33" spans="1:40" x14ac:dyDescent="0.25">
      <c r="G33" s="31" t="s">
        <v>143</v>
      </c>
      <c r="I33" s="66"/>
      <c r="M33" s="19"/>
      <c r="N33" s="19" t="s">
        <v>143</v>
      </c>
      <c r="O33" s="31" t="s">
        <v>143</v>
      </c>
    </row>
    <row r="34" spans="1:40" x14ac:dyDescent="0.25">
      <c r="A34" s="8">
        <v>8</v>
      </c>
      <c r="C34" s="8" t="s">
        <v>34</v>
      </c>
      <c r="E34" s="24" t="s">
        <v>235</v>
      </c>
      <c r="G34" s="117">
        <f>SUM('Schedule 7'!$I$24,'Schedule 7'!$H$24)/2</f>
        <v>63331.481208307494</v>
      </c>
      <c r="I34" s="126">
        <f>SUM(G34)/(G32+G34)</f>
        <v>0.41434415852769868</v>
      </c>
      <c r="K34" s="117">
        <f>SUM(K36)*(I34)</f>
        <v>61834.663875249287</v>
      </c>
      <c r="M34" s="102">
        <v>7.4549653976886718E-2</v>
      </c>
      <c r="N34" s="19"/>
      <c r="O34" s="117">
        <f>K34*M34</f>
        <v>4609.7527956769318</v>
      </c>
    </row>
    <row r="35" spans="1:40" x14ac:dyDescent="0.25">
      <c r="I35" s="66"/>
      <c r="M35" s="19"/>
      <c r="N35" s="19"/>
      <c r="O35" s="31" t="s">
        <v>143</v>
      </c>
    </row>
    <row r="36" spans="1:40" ht="13.8" thickBot="1" x14ac:dyDescent="0.3">
      <c r="A36" s="8">
        <v>9</v>
      </c>
      <c r="C36" s="8" t="s">
        <v>35</v>
      </c>
      <c r="E36" s="24" t="s">
        <v>36</v>
      </c>
      <c r="G36" s="119">
        <f>SUM(G32+G34)</f>
        <v>152847.53001790858</v>
      </c>
      <c r="I36" s="127">
        <f>SUM(I32+I34)</f>
        <v>1</v>
      </c>
      <c r="K36" s="119">
        <f>'Schedule 1'!I53</f>
        <v>149235.03228564444</v>
      </c>
      <c r="M36" s="120">
        <f>SUM(I32)*(M32)+SUM(I34)*(M34)</f>
        <v>6.8247455166445523E-2</v>
      </c>
      <c r="N36" s="19"/>
      <c r="O36" s="119">
        <f>O32+O34</f>
        <v>10184.911175177571</v>
      </c>
    </row>
    <row r="37" spans="1:40" x14ac:dyDescent="0.25">
      <c r="I37" s="66"/>
    </row>
    <row r="38" spans="1:40" ht="15.6" x14ac:dyDescent="0.3">
      <c r="G38" s="42" t="s">
        <v>4</v>
      </c>
      <c r="I38" s="66"/>
      <c r="O38" s="43" t="s">
        <v>32</v>
      </c>
    </row>
    <row r="39" spans="1:40" x14ac:dyDescent="0.25">
      <c r="G39" s="44" t="s">
        <v>25</v>
      </c>
      <c r="I39" s="66"/>
      <c r="O39" s="46" t="str">
        <f>'Schedule 1'!$N$2</f>
        <v>June 20, 2013 Refiling</v>
      </c>
    </row>
    <row r="40" spans="1:40" x14ac:dyDescent="0.25">
      <c r="G40" s="44" t="s">
        <v>224</v>
      </c>
      <c r="I40" s="66"/>
    </row>
    <row r="41" spans="1:40" x14ac:dyDescent="0.25">
      <c r="G41" s="44" t="s">
        <v>6</v>
      </c>
      <c r="I41" s="66"/>
    </row>
    <row r="42" spans="1:40" x14ac:dyDescent="0.25">
      <c r="I42" s="66"/>
    </row>
    <row r="43" spans="1:40" x14ac:dyDescent="0.25">
      <c r="I43" s="66"/>
    </row>
    <row r="44" spans="1:40" x14ac:dyDescent="0.25">
      <c r="A44" s="18"/>
      <c r="B44" s="18"/>
      <c r="C44" s="18"/>
      <c r="D44" s="18"/>
      <c r="F44" s="18"/>
      <c r="G44" s="115"/>
      <c r="H44" s="18"/>
      <c r="I44" s="129"/>
      <c r="J44" s="18"/>
      <c r="K44" s="115"/>
      <c r="L44" s="18"/>
      <c r="M44" s="18"/>
      <c r="N44" s="18"/>
      <c r="O44" s="115"/>
    </row>
    <row r="45" spans="1:40" ht="26.4" x14ac:dyDescent="0.25">
      <c r="A45" s="15" t="s">
        <v>0</v>
      </c>
      <c r="B45" s="16"/>
      <c r="C45" s="15" t="s">
        <v>1</v>
      </c>
      <c r="D45" s="16"/>
      <c r="E45" s="15" t="s">
        <v>2</v>
      </c>
      <c r="F45" s="16"/>
      <c r="G45" s="116" t="s">
        <v>26</v>
      </c>
      <c r="H45" s="16"/>
      <c r="I45" s="130" t="s">
        <v>27</v>
      </c>
      <c r="J45" s="16"/>
      <c r="K45" s="116" t="s">
        <v>28</v>
      </c>
      <c r="L45" s="16"/>
      <c r="M45" s="15" t="s">
        <v>29</v>
      </c>
      <c r="N45" s="16"/>
      <c r="O45" s="116" t="s">
        <v>30</v>
      </c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40" x14ac:dyDescent="0.25">
      <c r="I46" s="66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x14ac:dyDescent="0.25">
      <c r="C47" s="17" t="s">
        <v>234</v>
      </c>
      <c r="I47" s="66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0" x14ac:dyDescent="0.25">
      <c r="I48" s="66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40" x14ac:dyDescent="0.25">
      <c r="A49" s="8">
        <v>1</v>
      </c>
      <c r="C49" s="8" t="s">
        <v>33</v>
      </c>
      <c r="E49" s="24" t="s">
        <v>240</v>
      </c>
      <c r="G49" s="31">
        <f>'Schedule 11'!$J$30</f>
        <v>106222.03376975525</v>
      </c>
      <c r="I49" s="66">
        <f>SUM(G49)/(G49+G51)</f>
        <v>0.58786127830156554</v>
      </c>
      <c r="K49" s="31">
        <f>SUM(K53)*(I49)</f>
        <v>105621.49029128974</v>
      </c>
      <c r="M49" s="107">
        <v>3.6080814069146441E-2</v>
      </c>
      <c r="N49" s="19"/>
      <c r="O49" s="31">
        <f>SUM(K49)*(M49)</f>
        <v>3810.9093529061811</v>
      </c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pans="1:40" x14ac:dyDescent="0.25">
      <c r="G50" s="31" t="s">
        <v>143</v>
      </c>
      <c r="I50" s="66"/>
      <c r="M50" s="19"/>
      <c r="N50" s="19" t="s">
        <v>143</v>
      </c>
      <c r="O50" s="31" t="s">
        <v>143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1:40" x14ac:dyDescent="0.25">
      <c r="A51" s="8">
        <v>2</v>
      </c>
      <c r="C51" s="8" t="s">
        <v>34</v>
      </c>
      <c r="E51" s="24" t="s">
        <v>235</v>
      </c>
      <c r="G51" s="117">
        <f>SUM('Schedule 7'!$I$24,'Schedule 7'!$J$24)/2</f>
        <v>74470.312691044717</v>
      </c>
      <c r="I51" s="126">
        <f>SUM(G51)/(G49+G51)</f>
        <v>0.41213872169843435</v>
      </c>
      <c r="K51" s="117">
        <f>SUM(K53)*(I51)</f>
        <v>74049.282712247354</v>
      </c>
      <c r="M51" s="102">
        <v>6.6081110547391977E-2</v>
      </c>
      <c r="N51" s="19"/>
      <c r="O51" s="117">
        <f>K51*M51</f>
        <v>4893.2588368630986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 x14ac:dyDescent="0.25">
      <c r="I52" s="66"/>
      <c r="M52" s="19"/>
      <c r="N52" s="19"/>
      <c r="O52" s="31" t="s">
        <v>143</v>
      </c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ht="13.8" thickBot="1" x14ac:dyDescent="0.3">
      <c r="A53" s="8">
        <v>3</v>
      </c>
      <c r="C53" s="8" t="s">
        <v>35</v>
      </c>
      <c r="E53" s="24" t="s">
        <v>36</v>
      </c>
      <c r="G53" s="119">
        <f>SUM(G49+G51)</f>
        <v>180692.34646079998</v>
      </c>
      <c r="I53" s="127">
        <f>SUM(I49+I51)</f>
        <v>0.99999999999999989</v>
      </c>
      <c r="K53" s="119">
        <f>'Schedule 1'!J53</f>
        <v>179670.77300353712</v>
      </c>
      <c r="M53" s="120">
        <f>SUM(I49)*(M49)+SUM(I51)*(M51)</f>
        <v>4.8445097910264592E-2</v>
      </c>
      <c r="N53" s="19"/>
      <c r="O53" s="119">
        <f>O49+O51</f>
        <v>8704.1681897692797</v>
      </c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 x14ac:dyDescent="0.25">
      <c r="I54" s="66"/>
      <c r="R54" s="194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40" x14ac:dyDescent="0.25">
      <c r="I55" s="66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x14ac:dyDescent="0.25">
      <c r="C56" s="17" t="s">
        <v>222</v>
      </c>
      <c r="I56" s="66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1:40" x14ac:dyDescent="0.25">
      <c r="I57" s="66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40" x14ac:dyDescent="0.25">
      <c r="A58" s="8">
        <v>7</v>
      </c>
      <c r="C58" s="8" t="s">
        <v>33</v>
      </c>
      <c r="E58" s="24" t="s">
        <v>240</v>
      </c>
      <c r="G58" s="31">
        <f>'Schedule 11'!$L$30</f>
        <v>130567.21954454924</v>
      </c>
      <c r="I58" s="66">
        <f>SUM(G58)/(G58+G60)</f>
        <v>0.59999965271937983</v>
      </c>
      <c r="K58" s="121">
        <f>SUM(K62)*(I58)</f>
        <v>129880.02104520873</v>
      </c>
      <c r="M58" s="107">
        <f>'Schedule 11'!$L$55</f>
        <v>3.2749377519252755E-2</v>
      </c>
      <c r="N58" s="19"/>
      <c r="O58" s="121">
        <f>SUM(K58)*(M58)</f>
        <v>4253.4898414180334</v>
      </c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4"/>
      <c r="AC58" s="12"/>
      <c r="AD58" s="195"/>
      <c r="AE58" s="12"/>
      <c r="AF58" s="196"/>
      <c r="AG58" s="12"/>
      <c r="AH58" s="103"/>
      <c r="AI58" s="125"/>
      <c r="AJ58" s="196"/>
      <c r="AK58" s="12"/>
      <c r="AL58" s="12"/>
      <c r="AM58" s="12"/>
      <c r="AN58" s="12"/>
    </row>
    <row r="59" spans="1:40" x14ac:dyDescent="0.25">
      <c r="G59" s="31" t="s">
        <v>143</v>
      </c>
      <c r="I59" s="66"/>
      <c r="M59" s="19"/>
      <c r="N59" s="19" t="s">
        <v>143</v>
      </c>
      <c r="O59" s="31" t="s">
        <v>143</v>
      </c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4"/>
      <c r="AC59" s="12"/>
      <c r="AD59" s="195"/>
      <c r="AE59" s="12"/>
      <c r="AF59" s="124"/>
      <c r="AG59" s="12"/>
      <c r="AH59" s="125"/>
      <c r="AI59" s="125"/>
      <c r="AJ59" s="124"/>
      <c r="AK59" s="12"/>
      <c r="AL59" s="12"/>
      <c r="AM59" s="12"/>
      <c r="AN59" s="12"/>
    </row>
    <row r="60" spans="1:40" x14ac:dyDescent="0.25">
      <c r="A60" s="8">
        <v>8</v>
      </c>
      <c r="C60" s="8" t="s">
        <v>34</v>
      </c>
      <c r="E60" s="24" t="s">
        <v>235</v>
      </c>
      <c r="G60" s="117">
        <f>SUM('Schedule 7'!$L$24,'Schedule 7'!$J$24)/2</f>
        <v>87044.93898384177</v>
      </c>
      <c r="I60" s="126">
        <f>SUM(G60)/(G58+G60)</f>
        <v>0.40000034728062017</v>
      </c>
      <c r="K60" s="122">
        <f>SUM(K62)*(I60)</f>
        <v>86586.805988029053</v>
      </c>
      <c r="M60" s="102">
        <v>8.2494549590132957E-2</v>
      </c>
      <c r="N60" s="19"/>
      <c r="O60" s="122">
        <f>SUM(K60)*(M60)</f>
        <v>7142.9395604306837</v>
      </c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4"/>
      <c r="AC60" s="12"/>
      <c r="AD60" s="195"/>
      <c r="AE60" s="12"/>
      <c r="AF60" s="196"/>
      <c r="AG60" s="12"/>
      <c r="AH60" s="103"/>
      <c r="AI60" s="125"/>
      <c r="AJ60" s="196"/>
      <c r="AK60" s="12"/>
      <c r="AL60" s="12"/>
      <c r="AM60" s="12"/>
      <c r="AN60" s="12"/>
    </row>
    <row r="61" spans="1:40" x14ac:dyDescent="0.25">
      <c r="I61" s="66"/>
      <c r="M61" s="19"/>
      <c r="N61" s="19"/>
      <c r="O61" s="31" t="s">
        <v>143</v>
      </c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4"/>
      <c r="AC61" s="12"/>
      <c r="AD61" s="195"/>
      <c r="AE61" s="12"/>
      <c r="AF61" s="124"/>
      <c r="AG61" s="12"/>
      <c r="AH61" s="125"/>
      <c r="AI61" s="125"/>
      <c r="AJ61" s="124"/>
      <c r="AK61" s="12"/>
      <c r="AL61" s="12"/>
      <c r="AM61" s="12"/>
      <c r="AN61" s="12"/>
    </row>
    <row r="62" spans="1:40" ht="13.8" thickBot="1" x14ac:dyDescent="0.3">
      <c r="A62" s="8">
        <v>9</v>
      </c>
      <c r="C62" s="8" t="s">
        <v>35</v>
      </c>
      <c r="E62" s="24" t="s">
        <v>36</v>
      </c>
      <c r="G62" s="123">
        <f>SUM(G58+G60)</f>
        <v>217612.15852839101</v>
      </c>
      <c r="I62" s="127">
        <f>SUM(I58+I60)</f>
        <v>1</v>
      </c>
      <c r="K62" s="123">
        <f>'Schedule 1'!L53</f>
        <v>216466.82703323779</v>
      </c>
      <c r="M62" s="120">
        <f>SUM(I58)*(M58)+SUM(I60)*(M60)</f>
        <v>5.2647463623139046E-2</v>
      </c>
      <c r="N62" s="19"/>
      <c r="O62" s="123">
        <f>O58+O60</f>
        <v>11396.429401848716</v>
      </c>
      <c r="R62" s="12"/>
      <c r="S62" s="12"/>
      <c r="T62" s="12"/>
      <c r="U62" s="12"/>
      <c r="V62" s="124"/>
      <c r="W62" s="12"/>
      <c r="X62" s="12"/>
      <c r="Y62" s="12"/>
      <c r="Z62" s="12"/>
      <c r="AA62" s="12"/>
      <c r="AB62" s="196"/>
      <c r="AC62" s="12"/>
      <c r="AD62" s="195"/>
      <c r="AE62" s="12"/>
      <c r="AF62" s="124"/>
      <c r="AG62" s="12"/>
      <c r="AH62" s="103"/>
      <c r="AI62" s="125"/>
      <c r="AJ62" s="196"/>
      <c r="AK62" s="12"/>
      <c r="AL62" s="12"/>
      <c r="AM62" s="12"/>
      <c r="AN62" s="12"/>
    </row>
    <row r="63" spans="1:40" x14ac:dyDescent="0.25">
      <c r="I63" s="66"/>
      <c r="R63" s="194"/>
      <c r="S63" s="12"/>
      <c r="T63" s="12"/>
      <c r="U63" s="12"/>
      <c r="V63" s="12"/>
      <c r="W63" s="12"/>
      <c r="X63" s="12"/>
      <c r="Y63" s="12"/>
      <c r="Z63" s="12"/>
      <c r="AA63" s="12"/>
      <c r="AB63" s="124"/>
      <c r="AC63" s="12"/>
      <c r="AD63" s="195"/>
      <c r="AE63" s="12"/>
      <c r="AF63" s="124"/>
      <c r="AG63" s="12"/>
      <c r="AH63" s="12"/>
      <c r="AI63" s="12"/>
      <c r="AJ63" s="124"/>
      <c r="AK63" s="12"/>
      <c r="AL63" s="12"/>
      <c r="AM63" s="12"/>
      <c r="AN63" s="12"/>
    </row>
    <row r="64" spans="1:40" x14ac:dyDescent="0.25">
      <c r="I64" s="66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4"/>
      <c r="AC64" s="12"/>
      <c r="AD64" s="195"/>
      <c r="AE64" s="12"/>
      <c r="AF64" s="124"/>
      <c r="AG64" s="12"/>
      <c r="AH64" s="12"/>
      <c r="AI64" s="12"/>
      <c r="AJ64" s="124"/>
      <c r="AK64" s="12"/>
      <c r="AL64" s="12"/>
      <c r="AM64" s="12"/>
      <c r="AN64" s="12"/>
    </row>
    <row r="65" spans="1:40" x14ac:dyDescent="0.25">
      <c r="C65" s="17" t="s">
        <v>223</v>
      </c>
      <c r="I65" s="66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4"/>
      <c r="AC65" s="12"/>
      <c r="AD65" s="195"/>
      <c r="AE65" s="12"/>
      <c r="AF65" s="124"/>
      <c r="AG65" s="12"/>
      <c r="AH65" s="12"/>
      <c r="AI65" s="12"/>
      <c r="AJ65" s="124"/>
      <c r="AK65" s="12"/>
      <c r="AL65" s="12"/>
      <c r="AM65" s="12"/>
      <c r="AN65" s="12"/>
    </row>
    <row r="66" spans="1:40" x14ac:dyDescent="0.25">
      <c r="I66" s="66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4"/>
      <c r="AC66" s="12"/>
      <c r="AD66" s="195"/>
      <c r="AE66" s="12"/>
      <c r="AF66" s="124"/>
      <c r="AG66" s="12"/>
      <c r="AH66" s="12"/>
      <c r="AI66" s="12"/>
      <c r="AJ66" s="124"/>
      <c r="AK66" s="12"/>
      <c r="AL66" s="12"/>
      <c r="AM66" s="12"/>
      <c r="AN66" s="12"/>
    </row>
    <row r="67" spans="1:40" x14ac:dyDescent="0.25">
      <c r="A67" s="8">
        <v>4</v>
      </c>
      <c r="C67" s="8" t="s">
        <v>33</v>
      </c>
      <c r="E67" s="24" t="s">
        <v>240</v>
      </c>
      <c r="G67" s="31">
        <f>'Schedule 11'!$N$30</f>
        <v>137410.31072404736</v>
      </c>
      <c r="I67" s="66">
        <f>SUM(G67)/(G67+G69)</f>
        <v>0.60000028131557437</v>
      </c>
      <c r="K67" s="121">
        <f>SUM(K71)*(I67)</f>
        <v>136010.42695073877</v>
      </c>
      <c r="M67" s="107">
        <f>'Schedule 11'!$N$55</f>
        <v>3.5785423948086842E-2</v>
      </c>
      <c r="N67" s="19"/>
      <c r="O67" s="121">
        <f>SUM(K67)*(M67)</f>
        <v>4867.190789792483</v>
      </c>
      <c r="R67" s="12"/>
      <c r="S67" s="12"/>
      <c r="T67" s="124"/>
      <c r="U67" s="12"/>
      <c r="V67" s="12"/>
      <c r="W67" s="12"/>
      <c r="X67" s="12"/>
      <c r="Y67" s="12"/>
      <c r="Z67" s="12"/>
      <c r="AA67" s="12"/>
      <c r="AB67" s="124"/>
      <c r="AC67" s="12"/>
      <c r="AD67" s="195"/>
      <c r="AE67" s="12"/>
      <c r="AF67" s="196"/>
      <c r="AG67" s="12"/>
      <c r="AH67" s="103"/>
      <c r="AI67" s="125"/>
      <c r="AJ67" s="196"/>
      <c r="AK67" s="12"/>
      <c r="AL67" s="12"/>
      <c r="AM67" s="12"/>
      <c r="AN67" s="12"/>
    </row>
    <row r="68" spans="1:40" x14ac:dyDescent="0.25">
      <c r="G68" s="31" t="s">
        <v>143</v>
      </c>
      <c r="I68" s="66"/>
      <c r="M68" s="19"/>
      <c r="N68" s="19" t="s">
        <v>143</v>
      </c>
      <c r="O68" s="31" t="s">
        <v>143</v>
      </c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4"/>
      <c r="AC68" s="12"/>
      <c r="AD68" s="195"/>
      <c r="AE68" s="12"/>
      <c r="AF68" s="124"/>
      <c r="AG68" s="12"/>
      <c r="AH68" s="125"/>
      <c r="AI68" s="125"/>
      <c r="AJ68" s="124"/>
      <c r="AK68" s="12"/>
      <c r="AL68" s="12"/>
      <c r="AM68" s="12"/>
      <c r="AN68" s="12"/>
    </row>
    <row r="69" spans="1:40" x14ac:dyDescent="0.25">
      <c r="A69" s="8">
        <v>5</v>
      </c>
      <c r="C69" s="8" t="s">
        <v>34</v>
      </c>
      <c r="E69" s="24" t="s">
        <v>235</v>
      </c>
      <c r="G69" s="117">
        <f>SUM('Schedule 7'!$L$24,'Schedule 7'!$N$24)/2</f>
        <v>91606.766439247236</v>
      </c>
      <c r="I69" s="126">
        <f>SUM(G69)/(G67+G69)</f>
        <v>0.39999971868442563</v>
      </c>
      <c r="K69" s="122">
        <f>SUM(K71)*(I69)</f>
        <v>90673.511684288504</v>
      </c>
      <c r="M69" s="102">
        <v>8.2501840170044638E-2</v>
      </c>
      <c r="N69" s="19"/>
      <c r="O69" s="122">
        <f>SUM(K69)*(M69)</f>
        <v>7480.7315686338452</v>
      </c>
      <c r="R69" s="12"/>
      <c r="S69" s="12"/>
      <c r="T69" s="124"/>
      <c r="U69" s="12"/>
      <c r="V69" s="12"/>
      <c r="W69" s="12"/>
      <c r="X69" s="12"/>
      <c r="Y69" s="12"/>
      <c r="Z69" s="12"/>
      <c r="AA69" s="12"/>
      <c r="AB69" s="124"/>
      <c r="AC69" s="12"/>
      <c r="AD69" s="195"/>
      <c r="AE69" s="12"/>
      <c r="AF69" s="196"/>
      <c r="AG69" s="12"/>
      <c r="AH69" s="103"/>
      <c r="AI69" s="125"/>
      <c r="AJ69" s="196"/>
      <c r="AK69" s="12"/>
      <c r="AL69" s="12"/>
      <c r="AM69" s="12"/>
      <c r="AN69" s="12"/>
    </row>
    <row r="70" spans="1:40" x14ac:dyDescent="0.25">
      <c r="I70" s="66"/>
      <c r="M70" s="19"/>
      <c r="N70" s="19"/>
      <c r="O70" s="31" t="s">
        <v>143</v>
      </c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4"/>
      <c r="AC70" s="12"/>
      <c r="AD70" s="195"/>
      <c r="AE70" s="12"/>
      <c r="AF70" s="124"/>
      <c r="AG70" s="12"/>
      <c r="AH70" s="125"/>
      <c r="AI70" s="125"/>
      <c r="AJ70" s="124"/>
      <c r="AK70" s="12"/>
      <c r="AL70" s="12"/>
      <c r="AM70" s="12"/>
      <c r="AN70" s="12"/>
    </row>
    <row r="71" spans="1:40" ht="13.8" thickBot="1" x14ac:dyDescent="0.3">
      <c r="A71" s="8">
        <v>6</v>
      </c>
      <c r="C71" s="8" t="s">
        <v>35</v>
      </c>
      <c r="E71" s="24" t="s">
        <v>36</v>
      </c>
      <c r="G71" s="123">
        <f>SUM(G67+G69)</f>
        <v>229017.0771632946</v>
      </c>
      <c r="I71" s="127">
        <f>SUM(I67+I69)</f>
        <v>1</v>
      </c>
      <c r="K71" s="123">
        <f>'Schedule 1'!N53</f>
        <v>226683.93863502727</v>
      </c>
      <c r="M71" s="120">
        <f>SUM(I67)*(M67)+SUM(I69)*(M69)</f>
        <v>5.4471977294814497E-2</v>
      </c>
      <c r="N71" s="19"/>
      <c r="O71" s="123">
        <f>O67+O69</f>
        <v>12347.922358426327</v>
      </c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96"/>
      <c r="AC71" s="12"/>
      <c r="AD71" s="195"/>
      <c r="AE71" s="12"/>
      <c r="AF71" s="124"/>
      <c r="AG71" s="12"/>
      <c r="AH71" s="103"/>
      <c r="AI71" s="125"/>
      <c r="AJ71" s="196"/>
      <c r="AK71" s="12"/>
      <c r="AL71" s="12"/>
      <c r="AM71" s="12"/>
      <c r="AN71" s="12"/>
    </row>
    <row r="72" spans="1:40" x14ac:dyDescent="0.25">
      <c r="R72" s="194"/>
      <c r="S72" s="12"/>
      <c r="T72" s="12"/>
      <c r="U72" s="12"/>
      <c r="V72" s="124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</row>
    <row r="73" spans="1:40" x14ac:dyDescent="0.25"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 spans="1:40" x14ac:dyDescent="0.25"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</row>
    <row r="75" spans="1:40" x14ac:dyDescent="0.25"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4"/>
      <c r="AC75" s="12"/>
      <c r="AD75" s="12"/>
      <c r="AE75" s="12"/>
      <c r="AF75" s="124"/>
      <c r="AG75" s="12"/>
      <c r="AH75" s="12"/>
      <c r="AI75" s="12"/>
      <c r="AJ75" s="124"/>
      <c r="AK75" s="12"/>
      <c r="AL75" s="12"/>
      <c r="AM75" s="12"/>
      <c r="AN75" s="12"/>
    </row>
    <row r="76" spans="1:40" x14ac:dyDescent="0.25"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</row>
    <row r="77" spans="1:40" x14ac:dyDescent="0.25"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4"/>
      <c r="AC77" s="12"/>
      <c r="AD77" s="12"/>
      <c r="AE77" s="12"/>
      <c r="AF77" s="124"/>
      <c r="AG77" s="12"/>
      <c r="AH77" s="12"/>
      <c r="AI77" s="12"/>
      <c r="AJ77" s="124"/>
      <c r="AK77" s="12"/>
      <c r="AL77" s="12"/>
      <c r="AM77" s="12"/>
      <c r="AN77" s="12"/>
    </row>
    <row r="78" spans="1:40" x14ac:dyDescent="0.25"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</row>
    <row r="79" spans="1:40" x14ac:dyDescent="0.25"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4"/>
      <c r="AC79" s="12"/>
      <c r="AD79" s="12"/>
      <c r="AE79" s="12"/>
      <c r="AF79" s="124"/>
      <c r="AG79" s="12"/>
      <c r="AH79" s="12"/>
      <c r="AI79" s="12"/>
      <c r="AJ79" s="124"/>
      <c r="AK79" s="12"/>
      <c r="AL79" s="12"/>
      <c r="AM79" s="12"/>
      <c r="AN79" s="12"/>
    </row>
    <row r="80" spans="1:40" x14ac:dyDescent="0.25"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</row>
    <row r="81" spans="18:40" x14ac:dyDescent="0.25"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</row>
    <row r="82" spans="18:40" x14ac:dyDescent="0.25"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4"/>
      <c r="AC82" s="12"/>
      <c r="AD82" s="12"/>
      <c r="AE82" s="12"/>
      <c r="AF82" s="124"/>
      <c r="AG82" s="12"/>
      <c r="AH82" s="12"/>
      <c r="AI82" s="12"/>
      <c r="AJ82" s="124"/>
      <c r="AK82" s="12"/>
      <c r="AL82" s="12"/>
      <c r="AM82" s="12"/>
      <c r="AN82" s="12"/>
    </row>
    <row r="83" spans="18:40" x14ac:dyDescent="0.25"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</row>
    <row r="84" spans="18:40" x14ac:dyDescent="0.25"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4"/>
      <c r="AC84" s="12"/>
      <c r="AD84" s="12"/>
      <c r="AE84" s="12"/>
      <c r="AF84" s="124"/>
      <c r="AG84" s="12"/>
      <c r="AH84" s="12"/>
      <c r="AI84" s="12"/>
      <c r="AJ84" s="124"/>
      <c r="AK84" s="12"/>
      <c r="AL84" s="12"/>
      <c r="AM84" s="12"/>
      <c r="AN84" s="12"/>
    </row>
    <row r="85" spans="18:40" x14ac:dyDescent="0.25"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  <row r="86" spans="18:40" x14ac:dyDescent="0.25"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4"/>
      <c r="AC86" s="12"/>
      <c r="AD86" s="12"/>
      <c r="AE86" s="12"/>
      <c r="AF86" s="124"/>
      <c r="AG86" s="12"/>
      <c r="AH86" s="12"/>
      <c r="AI86" s="12"/>
      <c r="AJ86" s="124"/>
      <c r="AK86" s="12"/>
      <c r="AL86" s="12"/>
      <c r="AM86" s="12"/>
      <c r="AN86" s="12"/>
    </row>
    <row r="87" spans="18:40" x14ac:dyDescent="0.25"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</row>
    <row r="88" spans="18:40" x14ac:dyDescent="0.25"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4"/>
      <c r="AC88" s="12"/>
      <c r="AD88" s="12"/>
      <c r="AE88" s="12"/>
      <c r="AF88" s="124"/>
      <c r="AG88" s="12"/>
      <c r="AH88" s="12"/>
      <c r="AI88" s="12"/>
      <c r="AJ88" s="124"/>
      <c r="AK88" s="12"/>
      <c r="AL88" s="12"/>
      <c r="AM88" s="12"/>
      <c r="AN88" s="12"/>
    </row>
    <row r="89" spans="18:40" x14ac:dyDescent="0.25"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</row>
    <row r="90" spans="18:40" x14ac:dyDescent="0.25"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</row>
    <row r="91" spans="18:40" x14ac:dyDescent="0.25"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</row>
    <row r="92" spans="18:40" x14ac:dyDescent="0.25"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</row>
    <row r="93" spans="18:40" x14ac:dyDescent="0.25"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</row>
  </sheetData>
  <phoneticPr fontId="0" type="noConversion"/>
  <conditionalFormatting sqref="R72 R63 R54 R28 R19">
    <cfRule type="cellIs" dxfId="0" priority="7" operator="equal">
      <formula>0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90" orientation="landscape" blackAndWhite="1" r:id="rId1"/>
  <headerFooter alignWithMargins="0"/>
  <rowBreaks count="1" manualBreakCount="1">
    <brk id="37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theme="9" tint="0.39997558519241921"/>
    <pageSetUpPr fitToPage="1"/>
  </sheetPr>
  <dimension ref="A1:Q38"/>
  <sheetViews>
    <sheetView view="pageBreakPreview" zoomScaleSheetLayoutView="100" workbookViewId="0">
      <selection activeCell="F1" sqref="F1"/>
    </sheetView>
  </sheetViews>
  <sheetFormatPr defaultColWidth="9.109375" defaultRowHeight="13.2" x14ac:dyDescent="0.25"/>
  <cols>
    <col min="1" max="1" width="7.44140625" style="21" customWidth="1"/>
    <col min="2" max="2" width="1.88671875" style="21" customWidth="1"/>
    <col min="3" max="3" width="28" style="21" customWidth="1"/>
    <col min="4" max="4" width="3.5546875" style="21" customWidth="1"/>
    <col min="5" max="5" width="9.109375" style="50"/>
    <col min="6" max="6" width="1.88671875" style="21" customWidth="1"/>
    <col min="7" max="7" width="10.6640625" style="21" customWidth="1"/>
    <col min="8" max="10" width="9.33203125" style="21" customWidth="1"/>
    <col min="11" max="11" width="1.44140625" style="54" customWidth="1"/>
    <col min="12" max="12" width="10.109375" style="21" customWidth="1"/>
    <col min="13" max="13" width="1.44140625" style="54" customWidth="1"/>
    <col min="14" max="14" width="10.109375" style="21" customWidth="1"/>
    <col min="15" max="15" width="1.88671875" style="21" customWidth="1"/>
    <col min="16" max="16384" width="9.109375" style="21"/>
  </cols>
  <sheetData>
    <row r="1" spans="1:15" ht="15.6" x14ac:dyDescent="0.3">
      <c r="H1" s="22" t="s">
        <v>4</v>
      </c>
      <c r="K1" s="21"/>
      <c r="M1" s="21"/>
      <c r="N1" s="85" t="s">
        <v>14</v>
      </c>
    </row>
    <row r="2" spans="1:15" x14ac:dyDescent="0.25">
      <c r="H2" s="23" t="s">
        <v>13</v>
      </c>
      <c r="K2" s="21"/>
      <c r="M2" s="21"/>
      <c r="N2" s="53" t="str">
        <f>'Schedule 1'!$N$2</f>
        <v>June 20, 2013 Refiling</v>
      </c>
    </row>
    <row r="3" spans="1:15" x14ac:dyDescent="0.25">
      <c r="H3" s="23" t="s">
        <v>6</v>
      </c>
      <c r="K3" s="21"/>
      <c r="M3" s="21"/>
    </row>
    <row r="4" spans="1:15" x14ac:dyDescent="0.25">
      <c r="O4" s="21" t="s">
        <v>143</v>
      </c>
    </row>
    <row r="6" spans="1:15" s="50" customFormat="1" x14ac:dyDescent="0.25">
      <c r="G6" s="77"/>
      <c r="H6" s="77"/>
      <c r="I6" s="77"/>
      <c r="J6" s="77"/>
      <c r="K6" s="77"/>
      <c r="L6" s="192"/>
      <c r="M6" s="77"/>
      <c r="N6" s="192"/>
    </row>
    <row r="7" spans="1:15" s="16" customFormat="1" ht="39.6" x14ac:dyDescent="0.25">
      <c r="A7" s="15" t="s">
        <v>0</v>
      </c>
      <c r="C7" s="15" t="s">
        <v>1</v>
      </c>
      <c r="E7" s="15" t="s">
        <v>2</v>
      </c>
      <c r="G7" s="15" t="s">
        <v>221</v>
      </c>
      <c r="H7" s="15" t="s">
        <v>216</v>
      </c>
      <c r="I7" s="15" t="s">
        <v>217</v>
      </c>
      <c r="J7" s="15" t="s">
        <v>260</v>
      </c>
      <c r="K7" s="27"/>
      <c r="L7" s="15" t="str">
        <f>'Schedule 1'!$L$7</f>
        <v>Proposed 2012</v>
      </c>
      <c r="M7" s="27"/>
      <c r="N7" s="15" t="str">
        <f>'Schedule 1'!$N$7</f>
        <v>Proposed 2013</v>
      </c>
    </row>
    <row r="9" spans="1:15" x14ac:dyDescent="0.25">
      <c r="A9" s="21">
        <v>1</v>
      </c>
      <c r="C9" s="21" t="s">
        <v>96</v>
      </c>
      <c r="E9" s="50" t="s">
        <v>195</v>
      </c>
      <c r="G9" s="58">
        <f>'Schedule 1'!G53</f>
        <v>147968.16328767122</v>
      </c>
      <c r="H9" s="58">
        <f>'Schedule 1'!H53</f>
        <v>146380.73706646619</v>
      </c>
      <c r="I9" s="58">
        <f>'Schedule 1'!I53</f>
        <v>149235.03228564444</v>
      </c>
      <c r="J9" s="58">
        <f>'Schedule 1'!J53</f>
        <v>179670.77300353712</v>
      </c>
      <c r="K9" s="28"/>
      <c r="L9" s="58">
        <f>'Schedule 1'!L53</f>
        <v>216466.82703323779</v>
      </c>
      <c r="M9" s="28"/>
      <c r="N9" s="58">
        <f>'Schedule 1'!N53</f>
        <v>226683.93863502727</v>
      </c>
      <c r="O9" s="41"/>
    </row>
    <row r="10" spans="1:15" x14ac:dyDescent="0.25">
      <c r="G10" s="21" t="s">
        <v>143</v>
      </c>
      <c r="H10" s="21" t="s">
        <v>143</v>
      </c>
      <c r="I10" s="21" t="s">
        <v>143</v>
      </c>
      <c r="J10" s="21" t="s">
        <v>143</v>
      </c>
      <c r="L10" s="21" t="s">
        <v>143</v>
      </c>
      <c r="N10" s="21" t="s">
        <v>143</v>
      </c>
    </row>
    <row r="11" spans="1:15" x14ac:dyDescent="0.25">
      <c r="A11" s="21">
        <v>2</v>
      </c>
      <c r="C11" s="21" t="s">
        <v>212</v>
      </c>
      <c r="G11" s="111">
        <f t="shared" ref="G11" si="0">SUM(G13)/(G9)</f>
        <v>7.0876732987560323E-2</v>
      </c>
      <c r="H11" s="111">
        <f>SUM(H13)/(H9)</f>
        <v>6.8961920564346524E-2</v>
      </c>
      <c r="I11" s="111">
        <f t="shared" ref="I11:J11" si="1">SUM(I13)/(I9)</f>
        <v>6.8247455166445536E-2</v>
      </c>
      <c r="J11" s="111">
        <f t="shared" si="1"/>
        <v>4.8445097910264592E-2</v>
      </c>
      <c r="K11" s="112"/>
      <c r="L11" s="111">
        <f>SUM(L13)/(L9)</f>
        <v>5.2647463623139039E-2</v>
      </c>
      <c r="M11" s="112"/>
      <c r="N11" s="111">
        <f>SUM(N13)/(N9)</f>
        <v>5.447197729481449E-2</v>
      </c>
      <c r="O11" s="111" t="s">
        <v>143</v>
      </c>
    </row>
    <row r="13" spans="1:15" x14ac:dyDescent="0.25">
      <c r="A13" s="21">
        <v>3</v>
      </c>
      <c r="C13" s="21" t="s">
        <v>97</v>
      </c>
      <c r="E13" s="50" t="s">
        <v>241</v>
      </c>
      <c r="G13" s="58">
        <v>10487.5</v>
      </c>
      <c r="H13" s="58">
        <f>'Schedule 4'!O27</f>
        <v>10094.696761728135</v>
      </c>
      <c r="I13" s="58">
        <f>'Schedule 4'!O36</f>
        <v>10184.911175177571</v>
      </c>
      <c r="J13" s="58">
        <f>'Schedule 4'!O53</f>
        <v>8704.1681897692797</v>
      </c>
      <c r="K13" s="28"/>
      <c r="L13" s="58">
        <f>'Schedule 4'!O62</f>
        <v>11396.429401848716</v>
      </c>
      <c r="M13" s="58"/>
      <c r="N13" s="58">
        <f>'Schedule 4'!O71</f>
        <v>12347.922358426327</v>
      </c>
    </row>
    <row r="14" spans="1:15" x14ac:dyDescent="0.25">
      <c r="L14" s="58"/>
      <c r="M14" s="58"/>
      <c r="N14" s="58"/>
    </row>
    <row r="15" spans="1:15" x14ac:dyDescent="0.25">
      <c r="A15" s="21">
        <v>4</v>
      </c>
      <c r="C15" s="21" t="s">
        <v>98</v>
      </c>
      <c r="L15" s="58"/>
      <c r="M15" s="58"/>
      <c r="N15" s="58"/>
    </row>
    <row r="16" spans="1:15" x14ac:dyDescent="0.25">
      <c r="A16" s="21">
        <v>5</v>
      </c>
      <c r="C16" s="21" t="s">
        <v>182</v>
      </c>
      <c r="E16" s="50" t="s">
        <v>141</v>
      </c>
      <c r="G16" s="58">
        <f>'Schedule 6'!G12</f>
        <v>13403.4</v>
      </c>
      <c r="H16" s="58">
        <f>'Schedule 6'!H12</f>
        <v>14764.71</v>
      </c>
      <c r="I16" s="58">
        <f>'Schedule 6'!I12</f>
        <v>15219</v>
      </c>
      <c r="J16" s="58">
        <f>'Schedule 6'!J12</f>
        <v>18377.448939999995</v>
      </c>
      <c r="K16" s="28"/>
      <c r="L16" s="58">
        <f>'Schedule 6'!L12</f>
        <v>19073.663069524442</v>
      </c>
      <c r="M16" s="58"/>
      <c r="N16" s="58">
        <f>'Schedule 6'!N12</f>
        <v>20843.807625559384</v>
      </c>
    </row>
    <row r="17" spans="1:17" x14ac:dyDescent="0.25">
      <c r="A17" s="21">
        <v>6</v>
      </c>
      <c r="C17" s="21" t="s">
        <v>60</v>
      </c>
      <c r="E17" s="50" t="s">
        <v>159</v>
      </c>
      <c r="G17" s="58">
        <f>'Schedule 6'!G13</f>
        <v>256.39999999999998</v>
      </c>
      <c r="H17" s="58">
        <f>'Schedule 6'!H13</f>
        <v>288</v>
      </c>
      <c r="I17" s="58">
        <f>'Schedule 6'!I13</f>
        <v>291</v>
      </c>
      <c r="J17" s="58">
        <f>'Schedule 6'!J13</f>
        <v>296.72899999999998</v>
      </c>
      <c r="K17" s="28"/>
      <c r="L17" s="58">
        <f>'Schedule 6'!L13</f>
        <v>311.56565512000003</v>
      </c>
      <c r="M17" s="58"/>
      <c r="N17" s="58">
        <f>'Schedule 6'!N13</f>
        <v>326.40211583999996</v>
      </c>
    </row>
    <row r="18" spans="1:17" x14ac:dyDescent="0.25">
      <c r="A18" s="21">
        <v>7</v>
      </c>
      <c r="C18" s="21" t="s">
        <v>99</v>
      </c>
      <c r="E18" s="50" t="s">
        <v>94</v>
      </c>
      <c r="G18" s="58">
        <f>'Schedule 6'!G14</f>
        <v>1707.4</v>
      </c>
      <c r="H18" s="58">
        <f>'Schedule 6'!H14</f>
        <v>1735</v>
      </c>
      <c r="I18" s="58">
        <f>'Schedule 6'!I14</f>
        <v>1407</v>
      </c>
      <c r="J18" s="58">
        <f>'Schedule 6'!J14</f>
        <v>1447.4274709999997</v>
      </c>
      <c r="K18" s="28"/>
      <c r="L18" s="58">
        <f>'Schedule 6'!L14</f>
        <v>3323.9019080000007</v>
      </c>
      <c r="M18" s="58"/>
      <c r="N18" s="58">
        <f>'Schedule 6'!N14</f>
        <v>3462.1635779999997</v>
      </c>
    </row>
    <row r="19" spans="1:17" x14ac:dyDescent="0.25">
      <c r="A19" s="21">
        <v>8</v>
      </c>
      <c r="C19" s="21" t="s">
        <v>162</v>
      </c>
      <c r="E19" s="50" t="s">
        <v>81</v>
      </c>
      <c r="G19" s="58">
        <f>'Schedule 6'!G15</f>
        <v>100</v>
      </c>
      <c r="H19" s="58">
        <f>'Schedule 6'!H15</f>
        <v>100</v>
      </c>
      <c r="I19" s="58">
        <f>'Schedule 6'!I15</f>
        <v>100</v>
      </c>
      <c r="J19" s="58">
        <f>'Schedule 6'!J15</f>
        <v>100</v>
      </c>
      <c r="K19" s="28"/>
      <c r="L19" s="58">
        <f>'Schedule 6'!L15</f>
        <v>226.09889199999998</v>
      </c>
      <c r="M19" s="58"/>
      <c r="N19" s="58">
        <f>'Schedule 6'!N15</f>
        <v>226.09889199999998</v>
      </c>
    </row>
    <row r="20" spans="1:17" x14ac:dyDescent="0.25">
      <c r="A20" s="21">
        <v>9</v>
      </c>
      <c r="C20" s="21" t="s">
        <v>100</v>
      </c>
      <c r="E20" s="50" t="s">
        <v>95</v>
      </c>
      <c r="G20" s="58">
        <f>'Schedule 6'!G16</f>
        <v>6526.4</v>
      </c>
      <c r="H20" s="58">
        <f>'Schedule 6'!H16</f>
        <v>7214</v>
      </c>
      <c r="I20" s="58">
        <f>'Schedule 6'!I16</f>
        <v>7369</v>
      </c>
      <c r="J20" s="58">
        <f>'Schedule 6'!J16</f>
        <v>7902.0119999999997</v>
      </c>
      <c r="K20" s="28"/>
      <c r="L20" s="58">
        <f>'Schedule 6'!L16</f>
        <v>8418.1134722568004</v>
      </c>
      <c r="M20" s="58"/>
      <c r="N20" s="58">
        <f>'Schedule 6'!N16</f>
        <v>8988.5451721392983</v>
      </c>
    </row>
    <row r="21" spans="1:17" ht="26.4" x14ac:dyDescent="0.25">
      <c r="A21" s="186">
        <v>10</v>
      </c>
      <c r="C21" s="185" t="s">
        <v>259</v>
      </c>
      <c r="E21" s="181" t="s">
        <v>166</v>
      </c>
      <c r="F21" s="186"/>
      <c r="G21" s="187">
        <f>'Schedule 6'!G17</f>
        <v>-1361</v>
      </c>
      <c r="H21" s="187">
        <f>'Schedule 6'!H17</f>
        <v>-2165.9549999999999</v>
      </c>
      <c r="I21" s="187">
        <f>'Schedule 6'!I17</f>
        <v>-2115.9549999999999</v>
      </c>
      <c r="J21" s="187">
        <f>'Schedule 6'!J17</f>
        <v>-2444.8269999999998</v>
      </c>
      <c r="K21" s="188"/>
      <c r="L21" s="187">
        <f>'Schedule 6'!L17</f>
        <v>-3798.4658346329998</v>
      </c>
      <c r="M21" s="187"/>
      <c r="N21" s="187">
        <f>'Schedule 6'!N17</f>
        <v>-3830.8182867079995</v>
      </c>
      <c r="O21" s="41"/>
    </row>
    <row r="22" spans="1:17" x14ac:dyDescent="0.25">
      <c r="A22" s="21">
        <v>11</v>
      </c>
      <c r="C22" s="21" t="s">
        <v>101</v>
      </c>
      <c r="G22" s="58">
        <v>-4</v>
      </c>
      <c r="H22" s="58">
        <v>-4</v>
      </c>
      <c r="I22" s="58">
        <v>-4</v>
      </c>
      <c r="J22" s="58">
        <v>-4</v>
      </c>
      <c r="K22" s="28"/>
      <c r="L22" s="58">
        <v>-16.278565</v>
      </c>
      <c r="M22" s="58"/>
      <c r="N22" s="58">
        <v>-16.278565</v>
      </c>
    </row>
    <row r="23" spans="1:17" x14ac:dyDescent="0.25">
      <c r="A23" s="21">
        <v>12</v>
      </c>
      <c r="C23" s="21" t="s">
        <v>117</v>
      </c>
      <c r="G23" s="58">
        <v>-85</v>
      </c>
      <c r="H23" s="58">
        <v>-94</v>
      </c>
      <c r="I23" s="58">
        <v>-75</v>
      </c>
      <c r="J23" s="58">
        <v>-85</v>
      </c>
      <c r="K23" s="28"/>
      <c r="L23" s="58">
        <v>-85</v>
      </c>
      <c r="M23" s="58"/>
      <c r="N23" s="58">
        <v>-85</v>
      </c>
    </row>
    <row r="24" spans="1:17" x14ac:dyDescent="0.25">
      <c r="A24" s="21">
        <v>13</v>
      </c>
      <c r="C24" s="21" t="s">
        <v>187</v>
      </c>
      <c r="G24" s="48"/>
      <c r="H24" s="48">
        <v>-224</v>
      </c>
      <c r="I24" s="48"/>
      <c r="J24" s="48"/>
      <c r="K24" s="28"/>
      <c r="L24" s="58"/>
      <c r="M24" s="58"/>
      <c r="N24" s="58"/>
    </row>
    <row r="25" spans="1:17" x14ac:dyDescent="0.25">
      <c r="A25" s="21">
        <v>14</v>
      </c>
      <c r="C25" s="21" t="s">
        <v>102</v>
      </c>
      <c r="G25" s="88">
        <f t="shared" ref="G25" si="2">SUM(G15:G24)</f>
        <v>20543.599999999999</v>
      </c>
      <c r="H25" s="88">
        <f t="shared" ref="H25:J25" si="3">SUM(H15:H24)</f>
        <v>21613.754999999997</v>
      </c>
      <c r="I25" s="88">
        <f t="shared" si="3"/>
        <v>22191.044999999998</v>
      </c>
      <c r="J25" s="88">
        <f t="shared" si="3"/>
        <v>25589.790410999991</v>
      </c>
      <c r="K25" s="28"/>
      <c r="L25" s="88">
        <f>SUM(L15:L24)</f>
        <v>27453.598597268243</v>
      </c>
      <c r="M25" s="28"/>
      <c r="N25" s="88">
        <f>SUM(N15:N24)</f>
        <v>29914.920531830681</v>
      </c>
    </row>
    <row r="26" spans="1:17" x14ac:dyDescent="0.25">
      <c r="G26" s="28"/>
      <c r="H26" s="28"/>
      <c r="I26" s="28"/>
      <c r="J26" s="28"/>
      <c r="K26" s="28"/>
      <c r="L26" s="28"/>
      <c r="M26" s="28"/>
      <c r="N26" s="28"/>
    </row>
    <row r="27" spans="1:17" ht="13.8" thickBot="1" x14ac:dyDescent="0.3">
      <c r="A27" s="21">
        <v>15</v>
      </c>
      <c r="C27" s="21" t="s">
        <v>179</v>
      </c>
      <c r="E27" s="50" t="s">
        <v>103</v>
      </c>
      <c r="G27" s="96">
        <f>G13+G25</f>
        <v>31031.1</v>
      </c>
      <c r="H27" s="96">
        <f>H13+H25</f>
        <v>31708.451761728131</v>
      </c>
      <c r="I27" s="96">
        <f>I13+I25</f>
        <v>32375.956175177569</v>
      </c>
      <c r="J27" s="96">
        <f>J13+J25</f>
        <v>34293.958600769271</v>
      </c>
      <c r="K27" s="94"/>
      <c r="L27" s="96">
        <f>L13+L25</f>
        <v>38850.027999116959</v>
      </c>
      <c r="M27" s="94"/>
      <c r="N27" s="96">
        <f>N13+N25</f>
        <v>42262.842890257009</v>
      </c>
    </row>
    <row r="28" spans="1:17" x14ac:dyDescent="0.25">
      <c r="H28" s="113"/>
    </row>
    <row r="29" spans="1:17" x14ac:dyDescent="0.25">
      <c r="C29" s="21" t="s">
        <v>209</v>
      </c>
    </row>
    <row r="30" spans="1:17" ht="12.75" customHeight="1" x14ac:dyDescent="0.25">
      <c r="A30" s="65"/>
      <c r="C30" s="204" t="s">
        <v>254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</row>
    <row r="31" spans="1:17" x14ac:dyDescent="0.25"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</row>
    <row r="32" spans="1:17" x14ac:dyDescent="0.25">
      <c r="B32" s="54"/>
      <c r="C32" s="54"/>
      <c r="D32" s="54"/>
      <c r="E32" s="86"/>
      <c r="F32" s="54"/>
      <c r="G32" s="136"/>
      <c r="H32" s="136"/>
      <c r="I32" s="136"/>
      <c r="J32" s="136"/>
      <c r="K32" s="136"/>
      <c r="L32" s="136"/>
      <c r="M32" s="136"/>
      <c r="N32" s="136"/>
      <c r="O32" s="54"/>
      <c r="P32" s="54"/>
      <c r="Q32" s="54"/>
    </row>
    <row r="33" spans="2:17" x14ac:dyDescent="0.25">
      <c r="B33" s="54"/>
      <c r="C33" s="54"/>
      <c r="D33" s="54"/>
      <c r="E33" s="86"/>
      <c r="F33" s="54"/>
      <c r="G33" s="136"/>
      <c r="H33" s="136"/>
      <c r="I33" s="136"/>
      <c r="J33" s="136"/>
      <c r="K33" s="136"/>
      <c r="L33" s="136"/>
      <c r="M33" s="136"/>
      <c r="N33" s="136"/>
      <c r="O33" s="54"/>
      <c r="P33" s="54"/>
      <c r="Q33" s="54"/>
    </row>
    <row r="34" spans="2:17" x14ac:dyDescent="0.25">
      <c r="B34" s="54"/>
      <c r="C34" s="54"/>
      <c r="D34" s="54"/>
      <c r="E34" s="86"/>
      <c r="F34" s="54"/>
      <c r="G34" s="108"/>
      <c r="H34" s="108"/>
      <c r="I34" s="108"/>
      <c r="J34" s="108"/>
      <c r="K34" s="108"/>
      <c r="L34" s="108"/>
      <c r="M34" s="108"/>
      <c r="N34" s="108"/>
      <c r="O34" s="54"/>
      <c r="P34" s="54"/>
      <c r="Q34" s="54"/>
    </row>
    <row r="35" spans="2:17" x14ac:dyDescent="0.25">
      <c r="B35" s="54"/>
      <c r="C35" s="54"/>
      <c r="D35" s="54"/>
      <c r="E35" s="86"/>
      <c r="F35" s="54"/>
      <c r="G35" s="108"/>
      <c r="H35" s="108"/>
      <c r="I35" s="108"/>
      <c r="J35" s="108"/>
      <c r="K35" s="108"/>
      <c r="L35" s="108"/>
      <c r="M35" s="108"/>
      <c r="N35" s="108"/>
      <c r="O35" s="54"/>
      <c r="P35" s="54"/>
      <c r="Q35" s="54"/>
    </row>
    <row r="36" spans="2:17" x14ac:dyDescent="0.25">
      <c r="B36" s="54"/>
      <c r="C36" s="54"/>
      <c r="D36" s="54"/>
      <c r="E36" s="86"/>
      <c r="F36" s="54"/>
      <c r="G36" s="94"/>
      <c r="H36" s="94"/>
      <c r="I36" s="94"/>
      <c r="J36" s="94"/>
      <c r="K36" s="94"/>
      <c r="L36" s="94"/>
      <c r="M36" s="94"/>
      <c r="N36" s="94"/>
      <c r="O36" s="54"/>
      <c r="P36" s="54"/>
      <c r="Q36" s="54"/>
    </row>
    <row r="37" spans="2:17" x14ac:dyDescent="0.25">
      <c r="B37" s="54"/>
      <c r="C37" s="54"/>
      <c r="D37" s="54"/>
      <c r="E37" s="86"/>
      <c r="F37" s="54"/>
      <c r="G37" s="108"/>
      <c r="H37" s="108"/>
      <c r="I37" s="108"/>
      <c r="J37" s="108"/>
      <c r="K37" s="108"/>
      <c r="L37" s="108"/>
      <c r="M37" s="108"/>
      <c r="N37" s="108"/>
      <c r="O37" s="54"/>
      <c r="P37" s="54"/>
      <c r="Q37" s="54"/>
    </row>
    <row r="38" spans="2:17" x14ac:dyDescent="0.25">
      <c r="L38" s="41"/>
    </row>
  </sheetData>
  <mergeCells count="1">
    <mergeCell ref="C30:N31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9" tint="0.39997558519241921"/>
    <pageSetUpPr fitToPage="1"/>
  </sheetPr>
  <dimension ref="A1:Q43"/>
  <sheetViews>
    <sheetView view="pageBreakPreview" zoomScaleSheetLayoutView="100" workbookViewId="0">
      <selection activeCell="F1" sqref="F1"/>
    </sheetView>
  </sheetViews>
  <sheetFormatPr defaultColWidth="9.109375" defaultRowHeight="13.2" x14ac:dyDescent="0.25"/>
  <cols>
    <col min="1" max="1" width="5.33203125" style="21" customWidth="1"/>
    <col min="2" max="2" width="1.88671875" style="21" customWidth="1"/>
    <col min="3" max="3" width="29" style="21" customWidth="1"/>
    <col min="4" max="4" width="1.88671875" style="21" customWidth="1"/>
    <col min="5" max="5" width="11" style="50" customWidth="1"/>
    <col min="6" max="6" width="1.88671875" style="21" customWidth="1"/>
    <col min="7" max="10" width="9.44140625" style="21" customWidth="1"/>
    <col min="11" max="11" width="1.44140625" style="54" customWidth="1"/>
    <col min="12" max="12" width="10.5546875" style="21" customWidth="1"/>
    <col min="13" max="13" width="1.44140625" style="54" customWidth="1"/>
    <col min="14" max="14" width="10.5546875" style="21" customWidth="1"/>
    <col min="15" max="16" width="1.88671875" style="21" customWidth="1"/>
    <col min="17" max="17" width="11.33203125" style="21" customWidth="1"/>
    <col min="18" max="16384" width="9.109375" style="21"/>
  </cols>
  <sheetData>
    <row r="1" spans="1:17" ht="15.6" x14ac:dyDescent="0.3">
      <c r="H1" s="22" t="s">
        <v>4</v>
      </c>
      <c r="N1" s="85" t="s">
        <v>15</v>
      </c>
    </row>
    <row r="2" spans="1:17" x14ac:dyDescent="0.25">
      <c r="H2" s="23" t="s">
        <v>16</v>
      </c>
      <c r="N2" s="53" t="str">
        <f>'Schedule 1'!$N$2</f>
        <v>June 20, 2013 Refiling</v>
      </c>
    </row>
    <row r="3" spans="1:17" x14ac:dyDescent="0.25">
      <c r="A3" s="26" t="s">
        <v>143</v>
      </c>
      <c r="H3" s="23" t="s">
        <v>6</v>
      </c>
    </row>
    <row r="4" spans="1:17" x14ac:dyDescent="0.25">
      <c r="C4" s="21" t="s">
        <v>143</v>
      </c>
    </row>
    <row r="5" spans="1:17" x14ac:dyDescent="0.25">
      <c r="C5" s="21" t="s">
        <v>143</v>
      </c>
      <c r="P5" s="54"/>
      <c r="Q5" s="54"/>
    </row>
    <row r="6" spans="1:17" s="50" customFormat="1" x14ac:dyDescent="0.25">
      <c r="G6" s="77"/>
      <c r="H6" s="77"/>
      <c r="I6" s="77"/>
      <c r="J6" s="77"/>
      <c r="K6" s="77"/>
      <c r="L6" s="192"/>
      <c r="M6" s="77"/>
      <c r="N6" s="192"/>
      <c r="P6" s="77"/>
      <c r="Q6" s="77"/>
    </row>
    <row r="7" spans="1:17" s="16" customFormat="1" ht="39.6" x14ac:dyDescent="0.25">
      <c r="A7" s="15" t="s">
        <v>0</v>
      </c>
      <c r="C7" s="15" t="s">
        <v>1</v>
      </c>
      <c r="E7" s="15" t="s">
        <v>2</v>
      </c>
      <c r="G7" s="15" t="s">
        <v>221</v>
      </c>
      <c r="H7" s="15" t="s">
        <v>216</v>
      </c>
      <c r="I7" s="15" t="s">
        <v>217</v>
      </c>
      <c r="J7" s="15" t="s">
        <v>260</v>
      </c>
      <c r="K7" s="27"/>
      <c r="L7" s="15" t="str">
        <f>'Schedule 1'!$L$7</f>
        <v>Proposed 2012</v>
      </c>
      <c r="M7" s="27"/>
      <c r="N7" s="15" t="str">
        <f>'Schedule 1'!$N$7</f>
        <v>Proposed 2013</v>
      </c>
      <c r="P7" s="27"/>
      <c r="Q7" s="27"/>
    </row>
    <row r="8" spans="1:17" x14ac:dyDescent="0.25">
      <c r="P8" s="54"/>
      <c r="Q8" s="54"/>
    </row>
    <row r="9" spans="1:17" x14ac:dyDescent="0.25">
      <c r="A9" s="21">
        <v>1</v>
      </c>
      <c r="C9" s="21" t="s">
        <v>197</v>
      </c>
      <c r="E9" s="50" t="s">
        <v>268</v>
      </c>
      <c r="G9" s="58">
        <v>31031</v>
      </c>
      <c r="H9" s="58">
        <v>31708.469880000001</v>
      </c>
      <c r="I9" s="58">
        <v>32376</v>
      </c>
      <c r="J9" s="58">
        <v>34293.981999999996</v>
      </c>
      <c r="K9" s="28"/>
      <c r="L9" s="58">
        <v>38850.040391859111</v>
      </c>
      <c r="M9" s="58"/>
      <c r="N9" s="58">
        <v>42262.889974871898</v>
      </c>
      <c r="P9" s="54"/>
      <c r="Q9" s="108"/>
    </row>
    <row r="10" spans="1:17" x14ac:dyDescent="0.25">
      <c r="M10" s="21"/>
      <c r="P10" s="54"/>
      <c r="Q10" s="54"/>
    </row>
    <row r="11" spans="1:17" x14ac:dyDescent="0.25">
      <c r="A11" s="21">
        <v>2</v>
      </c>
      <c r="C11" s="17" t="s">
        <v>104</v>
      </c>
      <c r="M11" s="21"/>
      <c r="P11" s="54"/>
      <c r="Q11" s="54"/>
    </row>
    <row r="12" spans="1:17" x14ac:dyDescent="0.25">
      <c r="A12" s="21">
        <v>3</v>
      </c>
      <c r="C12" s="21" t="s">
        <v>59</v>
      </c>
      <c r="E12" s="50" t="s">
        <v>242</v>
      </c>
      <c r="G12" s="58">
        <v>13403.4</v>
      </c>
      <c r="H12" s="58">
        <v>14764.71</v>
      </c>
      <c r="I12" s="58">
        <v>15219</v>
      </c>
      <c r="J12" s="58">
        <v>18377.448939999995</v>
      </c>
      <c r="K12" s="58">
        <v>0</v>
      </c>
      <c r="L12" s="58">
        <v>19073.663069524442</v>
      </c>
      <c r="M12" s="58">
        <v>0</v>
      </c>
      <c r="N12" s="58">
        <v>20843.807625559384</v>
      </c>
      <c r="P12" s="54"/>
      <c r="Q12" s="108"/>
    </row>
    <row r="13" spans="1:17" x14ac:dyDescent="0.25">
      <c r="A13" s="21">
        <v>4</v>
      </c>
      <c r="C13" s="21" t="s">
        <v>60</v>
      </c>
      <c r="E13" s="50" t="s">
        <v>89</v>
      </c>
      <c r="G13" s="58">
        <v>256.39999999999998</v>
      </c>
      <c r="H13" s="58">
        <v>288</v>
      </c>
      <c r="I13" s="58">
        <v>291</v>
      </c>
      <c r="J13" s="58">
        <v>296.72899999999998</v>
      </c>
      <c r="K13" s="28"/>
      <c r="L13" s="58">
        <v>311.56565512000003</v>
      </c>
      <c r="M13" s="58"/>
      <c r="N13" s="58">
        <v>326.40211583999996</v>
      </c>
      <c r="P13" s="54"/>
      <c r="Q13" s="108"/>
    </row>
    <row r="14" spans="1:17" x14ac:dyDescent="0.25">
      <c r="A14" s="21">
        <v>5</v>
      </c>
      <c r="C14" s="21" t="s">
        <v>138</v>
      </c>
      <c r="E14" s="50" t="s">
        <v>160</v>
      </c>
      <c r="G14" s="58">
        <v>1707.4</v>
      </c>
      <c r="H14" s="58">
        <v>1735</v>
      </c>
      <c r="I14" s="58">
        <v>1407</v>
      </c>
      <c r="J14" s="58">
        <v>1447.4274709999997</v>
      </c>
      <c r="K14" s="28"/>
      <c r="L14" s="58">
        <v>3323.9019080000007</v>
      </c>
      <c r="M14" s="58"/>
      <c r="N14" s="58">
        <v>3462.1635779999997</v>
      </c>
      <c r="O14" s="21" t="s">
        <v>143</v>
      </c>
      <c r="P14" s="54"/>
      <c r="Q14" s="108"/>
    </row>
    <row r="15" spans="1:17" x14ac:dyDescent="0.25">
      <c r="A15" s="21">
        <v>6</v>
      </c>
      <c r="C15" s="21" t="s">
        <v>162</v>
      </c>
      <c r="E15" s="50" t="s">
        <v>163</v>
      </c>
      <c r="G15" s="58">
        <v>100</v>
      </c>
      <c r="H15" s="58">
        <v>100</v>
      </c>
      <c r="I15" s="58">
        <v>100</v>
      </c>
      <c r="J15" s="58">
        <v>100</v>
      </c>
      <c r="K15" s="28"/>
      <c r="L15" s="58">
        <v>226.09889199999998</v>
      </c>
      <c r="M15" s="58"/>
      <c r="N15" s="58">
        <v>226.09889199999998</v>
      </c>
      <c r="P15" s="54"/>
      <c r="Q15" s="108"/>
    </row>
    <row r="16" spans="1:17" x14ac:dyDescent="0.25">
      <c r="A16" s="21">
        <v>7</v>
      </c>
      <c r="C16" s="21" t="s">
        <v>100</v>
      </c>
      <c r="E16" s="50" t="s">
        <v>111</v>
      </c>
      <c r="G16" s="58">
        <v>6526.4</v>
      </c>
      <c r="H16" s="58">
        <v>7214</v>
      </c>
      <c r="I16" s="58">
        <v>7369</v>
      </c>
      <c r="J16" s="58">
        <v>7902.0119999999997</v>
      </c>
      <c r="K16" s="28"/>
      <c r="L16" s="58">
        <v>8418.1134722568004</v>
      </c>
      <c r="M16" s="28"/>
      <c r="N16" s="58">
        <v>8988.5451721392983</v>
      </c>
      <c r="P16" s="54"/>
      <c r="Q16" s="108"/>
    </row>
    <row r="17" spans="1:17" ht="26.4" x14ac:dyDescent="0.25">
      <c r="A17" s="184">
        <v>8</v>
      </c>
      <c r="B17" s="181"/>
      <c r="C17" s="185" t="s">
        <v>259</v>
      </c>
      <c r="D17" s="181"/>
      <c r="E17" s="181" t="s">
        <v>164</v>
      </c>
      <c r="F17" s="181"/>
      <c r="G17" s="182">
        <v>-1361</v>
      </c>
      <c r="H17" s="182">
        <v>-2165.9549999999999</v>
      </c>
      <c r="I17" s="182">
        <v>-2115.9549999999999</v>
      </c>
      <c r="J17" s="182">
        <v>-2444.8269999999998</v>
      </c>
      <c r="K17" s="183"/>
      <c r="L17" s="182">
        <v>-3798.4658346329998</v>
      </c>
      <c r="M17" s="183"/>
      <c r="N17" s="182">
        <v>-3830.8182867079995</v>
      </c>
      <c r="P17" s="54"/>
      <c r="Q17" s="108"/>
    </row>
    <row r="18" spans="1:17" x14ac:dyDescent="0.25">
      <c r="G18" s="48"/>
      <c r="H18" s="48"/>
      <c r="I18" s="48"/>
      <c r="J18" s="48"/>
      <c r="K18" s="28"/>
      <c r="L18" s="48"/>
      <c r="M18" s="28"/>
      <c r="N18" s="48"/>
      <c r="P18" s="54"/>
      <c r="Q18" s="108"/>
    </row>
    <row r="19" spans="1:17" s="20" customFormat="1" x14ac:dyDescent="0.25">
      <c r="A19" s="20">
        <v>9</v>
      </c>
      <c r="C19" s="20" t="s">
        <v>35</v>
      </c>
      <c r="E19" s="64"/>
      <c r="G19" s="133">
        <f>SUM(G12:G14)+G16+G17+G15</f>
        <v>20632.599999999999</v>
      </c>
      <c r="H19" s="133">
        <f>SUM(H12:H14)+H16+H17+H15</f>
        <v>21935.754999999997</v>
      </c>
      <c r="I19" s="133">
        <f>SUM(I12:I14)+I16+I17+I15</f>
        <v>22270.044999999998</v>
      </c>
      <c r="J19" s="133">
        <f>SUM(J12:J14)+J16+J17+J15</f>
        <v>25678.790410999991</v>
      </c>
      <c r="K19" s="73"/>
      <c r="L19" s="133">
        <f>SUM(L12:L14)+L16+L17+L15</f>
        <v>27554.87716226824</v>
      </c>
      <c r="M19" s="73"/>
      <c r="N19" s="133">
        <f>SUM(N12:N14)+N16+N17+N15</f>
        <v>30016.199096830678</v>
      </c>
      <c r="P19" s="29"/>
      <c r="Q19" s="29"/>
    </row>
    <row r="20" spans="1:17" x14ac:dyDescent="0.25">
      <c r="C20" s="21" t="s">
        <v>143</v>
      </c>
      <c r="P20" s="54"/>
      <c r="Q20" s="54"/>
    </row>
    <row r="21" spans="1:17" x14ac:dyDescent="0.25">
      <c r="A21" s="20">
        <f>A19+1</f>
        <v>10</v>
      </c>
      <c r="C21" s="17" t="s">
        <v>105</v>
      </c>
      <c r="G21" s="134">
        <f>SUM(G9-G19)</f>
        <v>10398.400000000001</v>
      </c>
      <c r="H21" s="134">
        <f>SUM(H9-H19)</f>
        <v>9772.7148800000032</v>
      </c>
      <c r="I21" s="134">
        <f>SUM(I9-I19)</f>
        <v>10105.955000000002</v>
      </c>
      <c r="J21" s="134">
        <f>SUM(J9-J19)</f>
        <v>8615.1915890000055</v>
      </c>
      <c r="K21" s="135"/>
      <c r="L21" s="134">
        <f>SUM(L9-L19)</f>
        <v>11295.163229590871</v>
      </c>
      <c r="M21" s="135"/>
      <c r="N21" s="134">
        <f>SUM(N9-N19)</f>
        <v>12246.69087804122</v>
      </c>
      <c r="P21" s="54"/>
      <c r="Q21" s="54"/>
    </row>
    <row r="22" spans="1:17" x14ac:dyDescent="0.25">
      <c r="P22" s="54"/>
      <c r="Q22" s="54"/>
    </row>
    <row r="23" spans="1:17" x14ac:dyDescent="0.25">
      <c r="A23" s="20">
        <f>A21+1</f>
        <v>11</v>
      </c>
      <c r="C23" s="17" t="s">
        <v>106</v>
      </c>
      <c r="P23" s="54"/>
      <c r="Q23" s="54"/>
    </row>
    <row r="24" spans="1:17" x14ac:dyDescent="0.25">
      <c r="A24" s="20">
        <f>A23+1</f>
        <v>12</v>
      </c>
      <c r="C24" s="21" t="s">
        <v>107</v>
      </c>
      <c r="E24" s="50" t="s">
        <v>243</v>
      </c>
      <c r="G24" s="58">
        <v>798</v>
      </c>
      <c r="H24" s="58">
        <v>392</v>
      </c>
      <c r="I24" s="58">
        <v>514</v>
      </c>
      <c r="J24" s="58">
        <v>554.79899999999998</v>
      </c>
      <c r="K24" s="58"/>
      <c r="L24" s="58">
        <v>500</v>
      </c>
      <c r="M24" s="58"/>
      <c r="N24" s="58">
        <v>500</v>
      </c>
      <c r="P24" s="54"/>
      <c r="Q24" s="108"/>
    </row>
    <row r="25" spans="1:17" x14ac:dyDescent="0.25">
      <c r="A25" s="20">
        <f t="shared" ref="A25:A26" si="0">A24+1</f>
        <v>13</v>
      </c>
      <c r="C25" s="21" t="s">
        <v>205</v>
      </c>
      <c r="E25" s="50" t="s">
        <v>244</v>
      </c>
      <c r="G25" s="58">
        <v>-155</v>
      </c>
      <c r="H25" s="58">
        <v>1098.5</v>
      </c>
      <c r="I25" s="58">
        <v>1163</v>
      </c>
      <c r="J25" s="58">
        <v>61.166999999999973</v>
      </c>
      <c r="K25" s="58"/>
      <c r="L25" s="58">
        <v>-49.315068493150683</v>
      </c>
      <c r="M25" s="58"/>
      <c r="N25" s="58">
        <v>-22.602739726027398</v>
      </c>
      <c r="O25" s="41"/>
      <c r="P25" s="54"/>
      <c r="Q25" s="54"/>
    </row>
    <row r="26" spans="1:17" x14ac:dyDescent="0.25">
      <c r="A26" s="20">
        <f t="shared" si="0"/>
        <v>14</v>
      </c>
      <c r="C26" s="21" t="s">
        <v>35</v>
      </c>
      <c r="G26" s="88">
        <f t="shared" ref="G26:J26" si="1">SUM(G24+G25)</f>
        <v>643</v>
      </c>
      <c r="H26" s="88">
        <f t="shared" si="1"/>
        <v>1490.5</v>
      </c>
      <c r="I26" s="88">
        <f t="shared" si="1"/>
        <v>1677</v>
      </c>
      <c r="J26" s="88">
        <f t="shared" si="1"/>
        <v>615.96599999999989</v>
      </c>
      <c r="K26" s="28"/>
      <c r="L26" s="88">
        <f>SUM(L24+L25)</f>
        <v>450.6849315068493</v>
      </c>
      <c r="M26" s="28"/>
      <c r="N26" s="88">
        <f>SUM(N24+N25)</f>
        <v>477.39726027397262</v>
      </c>
      <c r="P26" s="54"/>
      <c r="Q26" s="108"/>
    </row>
    <row r="27" spans="1:17" x14ac:dyDescent="0.25">
      <c r="P27" s="54"/>
      <c r="Q27" s="54"/>
    </row>
    <row r="28" spans="1:17" x14ac:dyDescent="0.25">
      <c r="A28" s="20">
        <f>A26+1</f>
        <v>15</v>
      </c>
      <c r="C28" s="17" t="s">
        <v>108</v>
      </c>
      <c r="P28" s="54"/>
      <c r="Q28" s="54"/>
    </row>
    <row r="29" spans="1:17" x14ac:dyDescent="0.25">
      <c r="A29" s="20">
        <f>A28+1</f>
        <v>16</v>
      </c>
      <c r="C29" s="21" t="s">
        <v>109</v>
      </c>
      <c r="E29" s="50" t="s">
        <v>245</v>
      </c>
      <c r="G29" s="28">
        <v>5665</v>
      </c>
      <c r="H29" s="28">
        <v>6893.3653599297368</v>
      </c>
      <c r="I29" s="28">
        <v>7005.6916235255594</v>
      </c>
      <c r="J29" s="28">
        <v>4277.7579999999998</v>
      </c>
      <c r="K29" s="28"/>
      <c r="L29" s="48">
        <v>4275.9951645035999</v>
      </c>
      <c r="M29" s="28"/>
      <c r="N29" s="48">
        <v>4917.2862240983786</v>
      </c>
      <c r="P29" s="54"/>
      <c r="Q29" s="108"/>
    </row>
    <row r="30" spans="1:17" x14ac:dyDescent="0.25">
      <c r="A30" s="20">
        <f t="shared" ref="A30" si="2">A29+1</f>
        <v>17</v>
      </c>
      <c r="C30" s="21" t="s">
        <v>35</v>
      </c>
      <c r="G30" s="88">
        <f t="shared" ref="G30" si="3">SUM(G29:G29)</f>
        <v>5665</v>
      </c>
      <c r="H30" s="88">
        <f t="shared" ref="H30:J30" si="4">SUM(H29:H29)</f>
        <v>6893.3653599297368</v>
      </c>
      <c r="I30" s="88">
        <f t="shared" si="4"/>
        <v>7005.6916235255594</v>
      </c>
      <c r="J30" s="88">
        <f t="shared" si="4"/>
        <v>4277.7579999999998</v>
      </c>
      <c r="K30" s="28"/>
      <c r="L30" s="88">
        <f>SUM(L29:L29)</f>
        <v>4275.9951645035999</v>
      </c>
      <c r="M30" s="28"/>
      <c r="N30" s="88">
        <f>SUM(N29:N29)</f>
        <v>4917.2862240983786</v>
      </c>
      <c r="O30" s="109" t="s">
        <v>143</v>
      </c>
      <c r="P30" s="108"/>
      <c r="Q30" s="108"/>
    </row>
    <row r="31" spans="1:17" x14ac:dyDescent="0.25">
      <c r="E31" s="23"/>
      <c r="P31" s="54"/>
      <c r="Q31" s="54"/>
    </row>
    <row r="32" spans="1:17" ht="13.8" thickBot="1" x14ac:dyDescent="0.3">
      <c r="A32" s="20">
        <f>A30+1</f>
        <v>18</v>
      </c>
      <c r="C32" s="17" t="s">
        <v>110</v>
      </c>
      <c r="E32" s="50" t="s">
        <v>255</v>
      </c>
      <c r="G32" s="96">
        <f>SUM(G21+G26-G30)+1</f>
        <v>5377.4000000000015</v>
      </c>
      <c r="H32" s="96">
        <f t="shared" ref="H32:J32" si="5">SUM(H21+H26-H30)</f>
        <v>4369.8495200702664</v>
      </c>
      <c r="I32" s="96">
        <f t="shared" si="5"/>
        <v>4777.2633764744423</v>
      </c>
      <c r="J32" s="96">
        <f t="shared" si="5"/>
        <v>4953.399589000006</v>
      </c>
      <c r="K32" s="94"/>
      <c r="L32" s="96">
        <f>SUM(L21+L26-L30)</f>
        <v>7469.8529965941198</v>
      </c>
      <c r="M32" s="94"/>
      <c r="N32" s="96">
        <f>SUM(N21+N26-N30)</f>
        <v>7806.8019142168132</v>
      </c>
      <c r="P32" s="54"/>
      <c r="Q32" s="108"/>
    </row>
    <row r="33" spans="1:17" x14ac:dyDescent="0.25">
      <c r="A33" s="21" t="s">
        <v>143</v>
      </c>
      <c r="C33" s="21" t="s">
        <v>143</v>
      </c>
      <c r="G33" s="113"/>
      <c r="H33" s="113"/>
      <c r="I33" s="113"/>
      <c r="J33" s="113"/>
      <c r="K33" s="136"/>
      <c r="P33" s="54"/>
      <c r="Q33" s="54"/>
    </row>
    <row r="34" spans="1:17" ht="30" customHeight="1" x14ac:dyDescent="0.25">
      <c r="A34" s="65"/>
      <c r="C34" s="204" t="s">
        <v>251</v>
      </c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P34" s="54"/>
      <c r="Q34" s="54"/>
    </row>
    <row r="35" spans="1:17" x14ac:dyDescent="0.25">
      <c r="C35" s="201" t="s">
        <v>250</v>
      </c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</row>
    <row r="36" spans="1:17" x14ac:dyDescent="0.25">
      <c r="G36" s="137"/>
      <c r="H36" s="137"/>
      <c r="I36" s="137"/>
      <c r="J36" s="137"/>
      <c r="K36" s="138"/>
      <c r="L36" s="137"/>
      <c r="M36" s="138"/>
      <c r="N36" s="137"/>
    </row>
    <row r="37" spans="1:17" x14ac:dyDescent="0.25">
      <c r="G37" s="20"/>
      <c r="H37" s="20"/>
      <c r="I37" s="20"/>
      <c r="J37" s="20"/>
      <c r="L37" s="20"/>
      <c r="N37" s="20"/>
    </row>
    <row r="38" spans="1:17" x14ac:dyDescent="0.25">
      <c r="G38" s="113"/>
      <c r="H38" s="113"/>
      <c r="I38" s="113"/>
      <c r="J38" s="113"/>
      <c r="K38" s="113"/>
      <c r="L38" s="113"/>
      <c r="N38" s="113"/>
    </row>
    <row r="39" spans="1:17" x14ac:dyDescent="0.25">
      <c r="C39" s="14"/>
      <c r="G39" s="113"/>
      <c r="H39" s="113"/>
      <c r="I39" s="113"/>
      <c r="J39" s="113"/>
      <c r="K39" s="113"/>
      <c r="L39" s="113"/>
      <c r="M39" s="108"/>
      <c r="N39" s="113"/>
      <c r="Q39" s="41"/>
    </row>
    <row r="40" spans="1:17" x14ac:dyDescent="0.25">
      <c r="C40" s="14"/>
      <c r="G40" s="113"/>
      <c r="H40" s="113"/>
      <c r="I40" s="113"/>
      <c r="J40" s="113"/>
      <c r="K40" s="113"/>
      <c r="L40" s="113"/>
      <c r="M40" s="108"/>
      <c r="N40" s="113"/>
      <c r="Q40" s="41"/>
    </row>
    <row r="41" spans="1:17" x14ac:dyDescent="0.25">
      <c r="G41" s="113"/>
      <c r="H41" s="113"/>
      <c r="I41" s="113"/>
      <c r="J41" s="113"/>
      <c r="K41" s="113"/>
      <c r="L41" s="113"/>
      <c r="N41" s="113"/>
    </row>
    <row r="42" spans="1:17" x14ac:dyDescent="0.25">
      <c r="G42" s="113"/>
      <c r="H42" s="113"/>
      <c r="I42" s="113"/>
      <c r="J42" s="113"/>
      <c r="K42" s="113"/>
      <c r="L42" s="113"/>
      <c r="N42" s="113"/>
    </row>
    <row r="43" spans="1:17" x14ac:dyDescent="0.25">
      <c r="G43" s="113"/>
      <c r="H43" s="113"/>
      <c r="I43" s="113"/>
      <c r="J43" s="113"/>
      <c r="K43" s="113"/>
      <c r="L43" s="113"/>
      <c r="N43" s="113"/>
    </row>
  </sheetData>
  <mergeCells count="2">
    <mergeCell ref="C34:N34"/>
    <mergeCell ref="C35:N35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theme="9" tint="0.39997558519241921"/>
    <pageSetUpPr fitToPage="1"/>
  </sheetPr>
  <dimension ref="A1:Q28"/>
  <sheetViews>
    <sheetView view="pageBreakPreview" zoomScale="85" zoomScaleSheetLayoutView="85" workbookViewId="0">
      <selection activeCell="F1" sqref="F1"/>
    </sheetView>
  </sheetViews>
  <sheetFormatPr defaultColWidth="9.109375" defaultRowHeight="13.2" x14ac:dyDescent="0.25"/>
  <cols>
    <col min="1" max="1" width="5.33203125" style="21" customWidth="1"/>
    <col min="2" max="2" width="1.88671875" style="13" customWidth="1"/>
    <col min="3" max="3" width="31.88671875" style="13" customWidth="1"/>
    <col min="4" max="4" width="1.88671875" style="13" customWidth="1"/>
    <col min="5" max="5" width="9.109375" style="50"/>
    <col min="6" max="6" width="1.88671875" style="13" customWidth="1"/>
    <col min="7" max="7" width="11.33203125" style="13" customWidth="1"/>
    <col min="8" max="10" width="9.44140625" style="13" customWidth="1"/>
    <col min="11" max="11" width="1.44140625" style="51" customWidth="1"/>
    <col min="12" max="12" width="10.33203125" style="13" customWidth="1"/>
    <col min="13" max="13" width="1.44140625" style="51" customWidth="1"/>
    <col min="14" max="14" width="10.33203125" style="13" customWidth="1"/>
    <col min="15" max="16" width="1.88671875" style="13" customWidth="1"/>
    <col min="17" max="17" width="11.33203125" style="13" customWidth="1"/>
    <col min="18" max="16384" width="9.109375" style="13"/>
  </cols>
  <sheetData>
    <row r="1" spans="1:17" ht="15.6" x14ac:dyDescent="0.3">
      <c r="H1" s="7" t="s">
        <v>4</v>
      </c>
      <c r="N1" s="52" t="s">
        <v>17</v>
      </c>
    </row>
    <row r="2" spans="1:17" x14ac:dyDescent="0.25">
      <c r="H2" s="6" t="s">
        <v>18</v>
      </c>
      <c r="N2" s="53" t="str">
        <f>'Schedule 1'!$N$2</f>
        <v>June 20, 2013 Refiling</v>
      </c>
      <c r="P2" s="21"/>
    </row>
    <row r="3" spans="1:17" x14ac:dyDescent="0.25">
      <c r="H3" s="6" t="s">
        <v>6</v>
      </c>
    </row>
    <row r="4" spans="1:17" x14ac:dyDescent="0.25">
      <c r="P4" s="51"/>
      <c r="Q4" s="51"/>
    </row>
    <row r="5" spans="1:17" x14ac:dyDescent="0.25">
      <c r="P5" s="51"/>
      <c r="Q5" s="51"/>
    </row>
    <row r="6" spans="1:17" s="49" customFormat="1" x14ac:dyDescent="0.25">
      <c r="A6" s="50"/>
      <c r="E6" s="50"/>
      <c r="G6" s="77"/>
      <c r="H6" s="77"/>
      <c r="I6" s="77"/>
      <c r="J6" s="77"/>
      <c r="K6" s="77"/>
      <c r="L6" s="192"/>
      <c r="M6" s="77"/>
      <c r="N6" s="192"/>
      <c r="P6" s="10"/>
      <c r="Q6" s="10"/>
    </row>
    <row r="7" spans="1:17" s="2" customFormat="1" ht="39.6" x14ac:dyDescent="0.25">
      <c r="A7" s="15" t="s">
        <v>0</v>
      </c>
      <c r="C7" s="1" t="s">
        <v>1</v>
      </c>
      <c r="E7" s="15" t="s">
        <v>2</v>
      </c>
      <c r="G7" s="15" t="s">
        <v>221</v>
      </c>
      <c r="H7" s="15" t="s">
        <v>216</v>
      </c>
      <c r="I7" s="15" t="s">
        <v>217</v>
      </c>
      <c r="J7" s="15" t="s">
        <v>260</v>
      </c>
      <c r="K7" s="27"/>
      <c r="L7" s="15" t="str">
        <f>'Schedule 1'!$L$7</f>
        <v>Proposed 2012</v>
      </c>
      <c r="M7" s="27"/>
      <c r="N7" s="15" t="str">
        <f>'Schedule 1'!$N$7</f>
        <v>Proposed 2013</v>
      </c>
      <c r="P7" s="11"/>
      <c r="Q7" s="11"/>
    </row>
    <row r="8" spans="1:17" x14ac:dyDescent="0.25">
      <c r="G8" s="21"/>
      <c r="H8" s="21"/>
      <c r="I8" s="21"/>
      <c r="J8" s="21"/>
      <c r="K8" s="54"/>
      <c r="L8" s="21"/>
      <c r="M8" s="54"/>
      <c r="N8" s="21"/>
      <c r="P8" s="51"/>
      <c r="Q8" s="51"/>
    </row>
    <row r="9" spans="1:17" x14ac:dyDescent="0.25">
      <c r="A9" s="21">
        <v>1</v>
      </c>
      <c r="C9" s="13" t="s">
        <v>75</v>
      </c>
      <c r="G9" s="58">
        <v>22048</v>
      </c>
      <c r="H9" s="58">
        <v>21536</v>
      </c>
      <c r="I9" s="58">
        <f t="shared" ref="I9:J9" si="0">H18</f>
        <v>21942.849520070267</v>
      </c>
      <c r="J9" s="58">
        <f t="shared" si="0"/>
        <v>26720.11289654471</v>
      </c>
      <c r="K9" s="28"/>
      <c r="L9" s="58">
        <f>J18</f>
        <v>29620.512485544714</v>
      </c>
      <c r="M9" s="28"/>
      <c r="N9" s="58">
        <f>L18</f>
        <v>37269.365482138834</v>
      </c>
      <c r="P9" s="51"/>
      <c r="Q9" s="51"/>
    </row>
    <row r="10" spans="1:17" x14ac:dyDescent="0.25">
      <c r="G10" s="21"/>
      <c r="H10" s="21"/>
      <c r="I10" s="21"/>
      <c r="J10" s="21"/>
      <c r="K10" s="54"/>
      <c r="L10" s="21"/>
      <c r="M10" s="54"/>
      <c r="N10" s="21"/>
      <c r="P10" s="51"/>
      <c r="Q10" s="51"/>
    </row>
    <row r="11" spans="1:17" x14ac:dyDescent="0.25">
      <c r="C11" s="13" t="s">
        <v>46</v>
      </c>
      <c r="G11" s="21"/>
      <c r="H11" s="21"/>
      <c r="I11" s="21"/>
      <c r="J11" s="21"/>
      <c r="K11" s="54"/>
      <c r="L11" s="21"/>
      <c r="M11" s="54"/>
      <c r="N11" s="21"/>
      <c r="P11" s="51"/>
      <c r="Q11" s="51"/>
    </row>
    <row r="12" spans="1:17" x14ac:dyDescent="0.25">
      <c r="A12" s="21">
        <v>2</v>
      </c>
      <c r="C12" s="13" t="s">
        <v>110</v>
      </c>
      <c r="E12" s="50" t="s">
        <v>256</v>
      </c>
      <c r="G12" s="48">
        <f>'Schedule 6'!G32</f>
        <v>5377.4000000000015</v>
      </c>
      <c r="H12" s="48">
        <f>'Schedule 6'!H32</f>
        <v>4369.8495200702664</v>
      </c>
      <c r="I12" s="48">
        <f>'Schedule 6'!I32</f>
        <v>4777.2633764744423</v>
      </c>
      <c r="J12" s="48">
        <f>'Schedule 6'!J32</f>
        <v>4953.399589000006</v>
      </c>
      <c r="K12" s="28"/>
      <c r="L12" s="48">
        <f>'Schedule 6'!L32</f>
        <v>7469.8529965941198</v>
      </c>
      <c r="M12" s="48"/>
      <c r="N12" s="48">
        <f>'Schedule 6'!N32</f>
        <v>7806.8019142168132</v>
      </c>
      <c r="P12" s="51"/>
      <c r="Q12" s="62"/>
    </row>
    <row r="13" spans="1:17" x14ac:dyDescent="0.25">
      <c r="A13" s="21">
        <v>3</v>
      </c>
      <c r="G13" s="58">
        <f>G9+G12</f>
        <v>27425.4</v>
      </c>
      <c r="H13" s="58">
        <f>H9+H12</f>
        <v>25905.849520070267</v>
      </c>
      <c r="I13" s="58">
        <f>I9+I12</f>
        <v>26720.11289654471</v>
      </c>
      <c r="J13" s="58">
        <f>J9+J12</f>
        <v>31673.512485544714</v>
      </c>
      <c r="K13" s="28"/>
      <c r="L13" s="58">
        <f>L9+L12</f>
        <v>37090.365482138834</v>
      </c>
      <c r="M13" s="28"/>
      <c r="N13" s="58">
        <f>N9+N12</f>
        <v>45076.167396355646</v>
      </c>
      <c r="P13" s="51"/>
      <c r="Q13" s="51"/>
    </row>
    <row r="14" spans="1:17" x14ac:dyDescent="0.25">
      <c r="G14" s="21"/>
      <c r="H14" s="21"/>
      <c r="I14" s="21"/>
      <c r="J14" s="21"/>
      <c r="K14" s="54"/>
      <c r="L14" s="21"/>
      <c r="M14" s="54"/>
      <c r="N14" s="21"/>
      <c r="P14" s="51"/>
      <c r="Q14" s="51"/>
    </row>
    <row r="15" spans="1:17" x14ac:dyDescent="0.25">
      <c r="C15" s="13" t="s">
        <v>112</v>
      </c>
      <c r="G15" s="21"/>
      <c r="H15" s="21"/>
      <c r="I15" s="21"/>
      <c r="J15" s="21"/>
      <c r="K15" s="54"/>
      <c r="L15" s="21"/>
      <c r="M15" s="54"/>
      <c r="N15" s="21"/>
      <c r="P15" s="51"/>
      <c r="Q15" s="51"/>
    </row>
    <row r="16" spans="1:17" x14ac:dyDescent="0.25">
      <c r="A16" s="21">
        <v>4</v>
      </c>
      <c r="C16" s="21" t="s">
        <v>265</v>
      </c>
      <c r="G16" s="48">
        <v>4704</v>
      </c>
      <c r="H16" s="48">
        <v>3963</v>
      </c>
      <c r="I16" s="48">
        <v>0</v>
      </c>
      <c r="J16" s="48">
        <v>2053</v>
      </c>
      <c r="K16" s="28"/>
      <c r="L16" s="48">
        <v>-179</v>
      </c>
      <c r="M16" s="87"/>
      <c r="N16" s="48">
        <v>6332</v>
      </c>
      <c r="P16" s="51"/>
      <c r="Q16" s="51"/>
    </row>
    <row r="17" spans="1:17" x14ac:dyDescent="0.25">
      <c r="G17" s="21"/>
      <c r="H17" s="21"/>
      <c r="I17" s="21"/>
      <c r="J17" s="21"/>
      <c r="K17" s="54"/>
      <c r="L17" s="21"/>
      <c r="M17" s="54"/>
      <c r="N17" s="21"/>
      <c r="P17" s="51"/>
      <c r="Q17" s="51"/>
    </row>
    <row r="18" spans="1:17" ht="13.8" thickBot="1" x14ac:dyDescent="0.3">
      <c r="A18" s="21">
        <v>5</v>
      </c>
      <c r="C18" s="13" t="s">
        <v>76</v>
      </c>
      <c r="G18" s="96">
        <f t="shared" ref="G18:J18" si="1">SUM(G13-G16)</f>
        <v>22721.4</v>
      </c>
      <c r="H18" s="96">
        <f t="shared" si="1"/>
        <v>21942.849520070267</v>
      </c>
      <c r="I18" s="96">
        <f t="shared" si="1"/>
        <v>26720.11289654471</v>
      </c>
      <c r="J18" s="96">
        <f t="shared" si="1"/>
        <v>29620.512485544714</v>
      </c>
      <c r="K18" s="94"/>
      <c r="L18" s="96">
        <f>SUM(L13-L16)</f>
        <v>37269.365482138834</v>
      </c>
      <c r="M18" s="94"/>
      <c r="N18" s="96">
        <f>SUM(N13-N16)</f>
        <v>38744.167396355646</v>
      </c>
      <c r="P18" s="51"/>
      <c r="Q18" s="51"/>
    </row>
    <row r="19" spans="1:17" x14ac:dyDescent="0.25">
      <c r="P19" s="51"/>
      <c r="Q19" s="51"/>
    </row>
    <row r="20" spans="1:17" x14ac:dyDescent="0.25">
      <c r="P20" s="51"/>
      <c r="Q20" s="51"/>
    </row>
    <row r="21" spans="1:17" x14ac:dyDescent="0.25">
      <c r="B21" s="21"/>
      <c r="C21" s="17" t="s">
        <v>113</v>
      </c>
    </row>
    <row r="22" spans="1:17" x14ac:dyDescent="0.25">
      <c r="A22" s="21">
        <f>A18+1</f>
        <v>6</v>
      </c>
      <c r="B22" s="21"/>
      <c r="C22" s="21" t="s">
        <v>114</v>
      </c>
      <c r="G22" s="58">
        <v>39000</v>
      </c>
      <c r="H22" s="58">
        <v>39000</v>
      </c>
      <c r="I22" s="58">
        <v>39000</v>
      </c>
      <c r="J22" s="58">
        <v>53600</v>
      </c>
      <c r="K22" s="28"/>
      <c r="L22" s="58">
        <v>53600</v>
      </c>
      <c r="M22" s="28"/>
      <c r="N22" s="58">
        <v>53600</v>
      </c>
    </row>
    <row r="23" spans="1:17" x14ac:dyDescent="0.25">
      <c r="A23" s="21">
        <f>A22+1</f>
        <v>7</v>
      </c>
      <c r="B23" s="21"/>
      <c r="C23" s="21" t="s">
        <v>115</v>
      </c>
      <c r="G23" s="28">
        <f>G18</f>
        <v>22721.4</v>
      </c>
      <c r="H23" s="28">
        <f>H18</f>
        <v>21942.849520070267</v>
      </c>
      <c r="I23" s="28">
        <f>I18</f>
        <v>26720.11289654471</v>
      </c>
      <c r="J23" s="28">
        <f>J18</f>
        <v>29620.512485544714</v>
      </c>
      <c r="K23" s="28"/>
      <c r="L23" s="28">
        <f>L18</f>
        <v>37269.365482138834</v>
      </c>
      <c r="M23" s="68"/>
      <c r="N23" s="28">
        <f>N18</f>
        <v>38744.167396355646</v>
      </c>
    </row>
    <row r="24" spans="1:17" x14ac:dyDescent="0.25">
      <c r="A24" s="21">
        <f>A23+1</f>
        <v>8</v>
      </c>
      <c r="B24" s="21"/>
      <c r="C24" s="21" t="s">
        <v>35</v>
      </c>
      <c r="G24" s="88">
        <f t="shared" ref="G24:J24" si="2">SUM(G22:G23)</f>
        <v>61721.4</v>
      </c>
      <c r="H24" s="88">
        <f t="shared" si="2"/>
        <v>60942.849520070267</v>
      </c>
      <c r="I24" s="88">
        <f t="shared" si="2"/>
        <v>65720.112896544713</v>
      </c>
      <c r="J24" s="88">
        <f t="shared" si="2"/>
        <v>83220.512485544721</v>
      </c>
      <c r="K24" s="28"/>
      <c r="L24" s="88">
        <f>SUM(L22:L23)</f>
        <v>90869.365482138834</v>
      </c>
      <c r="M24" s="28"/>
      <c r="N24" s="88">
        <f>SUM(N22:N23)</f>
        <v>92344.167396355653</v>
      </c>
    </row>
    <row r="27" spans="1:17" x14ac:dyDescent="0.25">
      <c r="C27" s="13" t="s">
        <v>231</v>
      </c>
    </row>
    <row r="28" spans="1:17" x14ac:dyDescent="0.25">
      <c r="C28" s="13" t="s">
        <v>261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Index</vt:lpstr>
      <vt:lpstr>Schedule 1</vt:lpstr>
      <vt:lpstr>Schedule 2</vt:lpstr>
      <vt:lpstr>Schedule 2A</vt:lpstr>
      <vt:lpstr>Schedule 3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11</vt:lpstr>
      <vt:lpstr>Index!Print_Area</vt:lpstr>
      <vt:lpstr>'Schedule 1'!Print_Area</vt:lpstr>
      <vt:lpstr>'Schedule 10'!Print_Area</vt:lpstr>
      <vt:lpstr>'Schedule 11'!Print_Area</vt:lpstr>
      <vt:lpstr>'Schedule 2'!Print_Area</vt:lpstr>
      <vt:lpstr>'Schedule 2A'!Print_Area</vt:lpstr>
      <vt:lpstr>'Schedule 3'!Print_Area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2013-06-19T19:03:04Z</dcterms:created>
  <dcterms:modified xsi:type="dcterms:W3CDTF">2013-06-20T21:49:20Z</dcterms:modified>
</cp:coreProperties>
</file>