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sharepoint.yec.yk.ca/Departments/Finance/Gnwkp/Corporate Accounting/Rates and Riders/Rider F/Rider F - Quarterly Filings to YUB/"/>
    </mc:Choice>
  </mc:AlternateContent>
  <bookViews>
    <workbookView xWindow="0" yWindow="0" windowWidth="28800" windowHeight="10920"/>
  </bookViews>
  <sheets>
    <sheet name="DFPVA-Continuity Table" sheetId="2" r:id="rId1"/>
    <sheet name="DFPVA-Continuity Table-pre comp" sheetId="1" state="hidden" r:id="rId2"/>
  </sheets>
  <externalReferences>
    <externalReference r:id="rId3"/>
    <externalReference r:id="rId4"/>
  </externalReferences>
  <definedNames>
    <definedName name="\t" localSheetId="0">'[1]2008 DFPV using 2005 rates'!#REF!</definedName>
    <definedName name="\t" localSheetId="1">'[1]2008 DFPV using 2005 rates'!#REF!</definedName>
    <definedName name="\t">'[1]2008 DFPV using 2005 rates'!#REF!</definedName>
    <definedName name="A" localSheetId="0">'[1]2008 DFPV using 2005 rates'!#REF!</definedName>
    <definedName name="A" localSheetId="1">'[1]2008 DFPV using 2005 rates'!#REF!</definedName>
    <definedName name="A">'[1]2008 DFPV using 2005 rates'!#REF!</definedName>
    <definedName name="aaaa" localSheetId="0">#REF!</definedName>
    <definedName name="aaaa" localSheetId="1">#REF!</definedName>
    <definedName name="aaaa">#REF!</definedName>
    <definedName name="aaaaaa" localSheetId="0">#REF!</definedName>
    <definedName name="aaaaaa" localSheetId="1">#REF!</definedName>
    <definedName name="aaaaaa">#REF!</definedName>
    <definedName name="aprmax" localSheetId="0">#REF!</definedName>
    <definedName name="aprmax" localSheetId="1">#REF!</definedName>
    <definedName name="aprmax">#REF!</definedName>
    <definedName name="augmax" localSheetId="0">#REF!</definedName>
    <definedName name="augmax" localSheetId="1">#REF!</definedName>
    <definedName name="augmax">#REF!</definedName>
    <definedName name="BEAVER_" localSheetId="0">'[1]2008 DFPV using 2005 rates'!#REF!</definedName>
    <definedName name="BEAVER_" localSheetId="1">'[1]2008 DFPV using 2005 rates'!#REF!</definedName>
    <definedName name="BEAVER_">'[1]2008 DFPV using 2005 rates'!#REF!</definedName>
    <definedName name="BEAVERKWHR" localSheetId="0">'[1]2008 DFPV using 2005 rates'!#REF!</definedName>
    <definedName name="BEAVERKWHR" localSheetId="1">'[1]2008 DFPV using 2005 rates'!#REF!</definedName>
    <definedName name="BEAVERKWHR">'[1]2008 DFPV using 2005 rates'!#REF!</definedName>
    <definedName name="BEAVERLITRES" localSheetId="0">'[1]2008 DFPV using 2005 rates'!#REF!</definedName>
    <definedName name="BEAVERLITRES" localSheetId="1">'[1]2008 DFPV using 2005 rates'!#REF!</definedName>
    <definedName name="BEAVERLITRES">'[1]2008 DFPV using 2005 rates'!#REF!</definedName>
    <definedName name="C_" localSheetId="0">'[1]2008 DFPV using 2005 rates'!#REF!</definedName>
    <definedName name="C_" localSheetId="1">'[1]2008 DFPV using 2005 rates'!#REF!</definedName>
    <definedName name="C_">'[1]2008 DFPV using 2005 rates'!#REF!</definedName>
    <definedName name="CARMACKS_" localSheetId="0">'[1]2008 DFPV using 2005 rates'!#REF!</definedName>
    <definedName name="CARMACKS_" localSheetId="1">'[1]2008 DFPV using 2005 rates'!#REF!</definedName>
    <definedName name="CARMACKS_">'[1]2008 DFPV using 2005 rates'!#REF!</definedName>
    <definedName name="CARMACKSKWHR" localSheetId="0">'[1]2008 DFPV using 2005 rates'!#REF!</definedName>
    <definedName name="CARMACKSKWHR" localSheetId="1">'[1]2008 DFPV using 2005 rates'!#REF!</definedName>
    <definedName name="CARMACKSKWHR">'[1]2008 DFPV using 2005 rates'!#REF!</definedName>
    <definedName name="decmax" localSheetId="0">#REF!</definedName>
    <definedName name="decmax" localSheetId="1">#REF!</definedName>
    <definedName name="decmax">#REF!</definedName>
    <definedName name="DEST_" localSheetId="0">'[1]2008 DFPV using 2005 rates'!#REF!</definedName>
    <definedName name="DEST_" localSheetId="1">'[1]2008 DFPV using 2005 rates'!#REF!</definedName>
    <definedName name="DEST_">'[1]2008 DFPV using 2005 rates'!#REF!</definedName>
    <definedName name="DESTKWHR" localSheetId="0">'[1]2008 DFPV using 2005 rates'!#REF!</definedName>
    <definedName name="DESTKWHR" localSheetId="1">'[1]2008 DFPV using 2005 rates'!#REF!</definedName>
    <definedName name="DESTKWHR">'[1]2008 DFPV using 2005 rates'!#REF!</definedName>
    <definedName name="DESTLITRES" localSheetId="0">'[1]2008 DFPV using 2005 rates'!#REF!</definedName>
    <definedName name="DESTLITRES" localSheetId="1">'[1]2008 DFPV using 2005 rates'!#REF!</definedName>
    <definedName name="DESTLITRES">'[1]2008 DFPV using 2005 rates'!#REF!</definedName>
    <definedName name="febmax" localSheetId="0">#REF!</definedName>
    <definedName name="febmax" localSheetId="1">#REF!</definedName>
    <definedName name="febmax">#REF!</definedName>
    <definedName name="HAINES_" localSheetId="0">'[1]2008 DFPV using 2005 rates'!#REF!</definedName>
    <definedName name="HAINES_" localSheetId="1">'[1]2008 DFPV using 2005 rates'!#REF!</definedName>
    <definedName name="HAINES_">'[1]2008 DFPV using 2005 rates'!#REF!</definedName>
    <definedName name="HAINESKWHR" localSheetId="0">'[1]2008 DFPV using 2005 rates'!#REF!</definedName>
    <definedName name="HAINESKWHR" localSheetId="1">'[1]2008 DFPV using 2005 rates'!#REF!</definedName>
    <definedName name="HAINESKWHR">'[1]2008 DFPV using 2005 rates'!#REF!</definedName>
    <definedName name="janmax" localSheetId="0">#REF!</definedName>
    <definedName name="janmax" localSheetId="1">#REF!</definedName>
    <definedName name="janmax">#REF!</definedName>
    <definedName name="julmax" localSheetId="0">#REF!</definedName>
    <definedName name="julmax" localSheetId="1">#REF!</definedName>
    <definedName name="julmax">#REF!</definedName>
    <definedName name="junmax" localSheetId="0">#REF!</definedName>
    <definedName name="junmax" localSheetId="1">#REF!</definedName>
    <definedName name="junmax">#REF!</definedName>
    <definedName name="KENO_" localSheetId="0">'[1]2008 DFPV using 2005 rates'!#REF!</definedName>
    <definedName name="KENO_" localSheetId="1">'[1]2008 DFPV using 2005 rates'!#REF!</definedName>
    <definedName name="KENO_">'[1]2008 DFPV using 2005 rates'!#REF!</definedName>
    <definedName name="KENOKWHR" localSheetId="0">'[1]2008 DFPV using 2005 rates'!#REF!</definedName>
    <definedName name="KENOKWHR" localSheetId="1">'[1]2008 DFPV using 2005 rates'!#REF!</definedName>
    <definedName name="KENOKWHR">'[1]2008 DFPV using 2005 rates'!#REF!</definedName>
    <definedName name="marmax" localSheetId="0">#REF!</definedName>
    <definedName name="marmax" localSheetId="1">#REF!</definedName>
    <definedName name="marmax">#REF!</definedName>
    <definedName name="maxmar" localSheetId="0">#REF!</definedName>
    <definedName name="maxmar" localSheetId="1">#REF!</definedName>
    <definedName name="maxmar">#REF!</definedName>
    <definedName name="maymax" localSheetId="0">#REF!</definedName>
    <definedName name="maymax" localSheetId="1">#REF!</definedName>
    <definedName name="maymax">#REF!</definedName>
    <definedName name="none" localSheetId="0">#REF!</definedName>
    <definedName name="none" localSheetId="1">#REF!</definedName>
    <definedName name="none">#REF!</definedName>
    <definedName name="novmax" localSheetId="0">#REF!</definedName>
    <definedName name="novmax" localSheetId="1">#REF!</definedName>
    <definedName name="novmax">#REF!</definedName>
    <definedName name="octmax" localSheetId="0">#REF!</definedName>
    <definedName name="octmax" localSheetId="1">#REF!</definedName>
    <definedName name="octmax">#REF!</definedName>
    <definedName name="OLDCROW_" localSheetId="0">'[1]2008 DFPV using 2005 rates'!#REF!</definedName>
    <definedName name="OLDCROW_" localSheetId="1">'[1]2008 DFPV using 2005 rates'!#REF!</definedName>
    <definedName name="OLDCROW_">'[1]2008 DFPV using 2005 rates'!#REF!</definedName>
    <definedName name="OLDCROWKWHR" localSheetId="0">'[1]2008 DFPV using 2005 rates'!#REF!</definedName>
    <definedName name="OLDCROWKWHR" localSheetId="1">'[1]2008 DFPV using 2005 rates'!#REF!</definedName>
    <definedName name="OLDCROWKWHR">'[1]2008 DFPV using 2005 rates'!#REF!</definedName>
    <definedName name="OLDCROWKWR" localSheetId="0">'[1]2008 DFPV using 2005 rates'!#REF!</definedName>
    <definedName name="OLDCROWKWR" localSheetId="1">'[1]2008 DFPV using 2005 rates'!#REF!</definedName>
    <definedName name="OLDCROWKWR">'[1]2008 DFPV using 2005 rates'!#REF!</definedName>
    <definedName name="OLDCROWLITRES" localSheetId="0">'[1]2008 DFPV using 2005 rates'!#REF!</definedName>
    <definedName name="OLDCROWLITRES" localSheetId="1">'[1]2008 DFPV using 2005 rates'!#REF!</definedName>
    <definedName name="OLDCROWLITRES">'[1]2008 DFPV using 2005 rates'!#REF!</definedName>
    <definedName name="PELLY_" localSheetId="0">'[1]2008 DFPV using 2005 rates'!#REF!</definedName>
    <definedName name="PELLY_" localSheetId="1">'[1]2008 DFPV using 2005 rates'!#REF!</definedName>
    <definedName name="PELLY_">'[1]2008 DFPV using 2005 rates'!#REF!</definedName>
    <definedName name="PELLYKWHR" localSheetId="0">'[1]2008 DFPV using 2005 rates'!#REF!</definedName>
    <definedName name="PELLYKWHR" localSheetId="1">'[1]2008 DFPV using 2005 rates'!#REF!</definedName>
    <definedName name="PELLYKWHR">'[1]2008 DFPV using 2005 rates'!#REF!</definedName>
    <definedName name="PELLYLITRES" localSheetId="0">'[1]2008 DFPV using 2005 rates'!#REF!</definedName>
    <definedName name="PELLYLITRES" localSheetId="1">'[1]2008 DFPV using 2005 rates'!#REF!</definedName>
    <definedName name="PELLYLITRES">'[1]2008 DFPV using 2005 rates'!#REF!</definedName>
    <definedName name="_xlnm.Print_Area" localSheetId="0">'DFPVA-Continuity Table'!$A$1:$S$118</definedName>
    <definedName name="_xlnm.Print_Area" localSheetId="1">'DFPVA-Continuity Table-pre comp'!$A$1:$S$64</definedName>
    <definedName name="_xlnm.Print_Titles" localSheetId="0">'DFPVA-Continuity Table'!$1:$5</definedName>
    <definedName name="_xlnm.Print_Titles" localSheetId="1">'DFPVA-Continuity Table-pre comp'!$1:$5</definedName>
    <definedName name="RiderFDetail" localSheetId="0">'DFPVA-Continuity Table'!$A$6:$R$30</definedName>
    <definedName name="RiderFDetail" localSheetId="1">'DFPVA-Continuity Table-pre comp'!$A$6:$R$30</definedName>
    <definedName name="RiderFSummary" localSheetId="0">'DFPVA-Continuity Table'!#REF!</definedName>
    <definedName name="RiderFSummary" localSheetId="1">'DFPVA-Continuity Table-pre comp'!#REF!</definedName>
    <definedName name="ROSS_" localSheetId="0">'[1]2008 DFPV using 2005 rates'!#REF!</definedName>
    <definedName name="ROSS_" localSheetId="1">'[1]2008 DFPV using 2005 rates'!#REF!</definedName>
    <definedName name="ROSS_">'[1]2008 DFPV using 2005 rates'!#REF!</definedName>
    <definedName name="ROSSKWHR" localSheetId="0">'[1]2008 DFPV using 2005 rates'!#REF!</definedName>
    <definedName name="ROSSKWHR" localSheetId="1">'[1]2008 DFPV using 2005 rates'!#REF!</definedName>
    <definedName name="ROSSKWHR">'[1]2008 DFPV using 2005 rates'!#REF!</definedName>
    <definedName name="rp930je" localSheetId="0">#REF!</definedName>
    <definedName name="rp930je" localSheetId="1">#REF!</definedName>
    <definedName name="rp930je">#REF!</definedName>
    <definedName name="sepmax" localSheetId="0">#REF!</definedName>
    <definedName name="sepmax" localSheetId="1">#REF!</definedName>
    <definedName name="sepmax">#REF!</definedName>
    <definedName name="STEWART_" localSheetId="0">'[1]2008 DFPV using 2005 rates'!#REF!</definedName>
    <definedName name="STEWART_" localSheetId="1">'[1]2008 DFPV using 2005 rates'!#REF!</definedName>
    <definedName name="STEWART_">'[1]2008 DFPV using 2005 rates'!#REF!</definedName>
    <definedName name="STEWARTKWHR" localSheetId="0">'[1]2008 DFPV using 2005 rates'!#REF!</definedName>
    <definedName name="STEWARTKWHR" localSheetId="1">'[1]2008 DFPV using 2005 rates'!#REF!</definedName>
    <definedName name="STEWARTKWHR">'[1]2008 DFPV using 2005 rates'!#REF!</definedName>
    <definedName name="STEWARTLITRES" localSheetId="0">'[1]2008 DFPV using 2005 rates'!#REF!</definedName>
    <definedName name="STEWARTLITRES" localSheetId="1">'[1]2008 DFPV using 2005 rates'!#REF!</definedName>
    <definedName name="STEWARTLITRES">'[1]2008 DFPV using 2005 rates'!#REF!</definedName>
    <definedName name="SWIFT_" localSheetId="0">'[1]2008 DFPV using 2005 rates'!#REF!</definedName>
    <definedName name="SWIFT_" localSheetId="1">'[1]2008 DFPV using 2005 rates'!#REF!</definedName>
    <definedName name="SWIFT_">'[1]2008 DFPV using 2005 rates'!#REF!</definedName>
    <definedName name="SWIFTKWHR" localSheetId="0">'[1]2008 DFPV using 2005 rates'!#REF!</definedName>
    <definedName name="SWIFTKWHR" localSheetId="1">'[1]2008 DFPV using 2005 rates'!#REF!</definedName>
    <definedName name="SWIFTKWHR">'[1]2008 DFPV using 2005 rates'!#REF!</definedName>
    <definedName name="SWIFTLITRES" localSheetId="0">'[1]2008 DFPV using 2005 rates'!#REF!</definedName>
    <definedName name="SWIFTLITRES" localSheetId="1">'[1]2008 DFPV using 2005 rates'!#REF!</definedName>
    <definedName name="SWIFTLITRES">'[1]2008 DFPV using 2005 rates'!#REF!</definedName>
    <definedName name="TABLE" localSheetId="0">'[1]2008 DFPV using 2005 rates'!#REF!</definedName>
    <definedName name="TABLE" localSheetId="1">'[1]2008 DFPV using 2005 rates'!#REF!</definedName>
    <definedName name="TABLE">'[1]2008 DFPV using 2005 rates'!#REF!</definedName>
    <definedName name="TEST" localSheetId="0">'[1]2008 DFPV using 2005 rates'!#REF!</definedName>
    <definedName name="TEST" localSheetId="1">'[1]2008 DFPV using 2005 rates'!#REF!</definedName>
    <definedName name="TEST">'[1]2008 DFPV using 2005 rates'!#REF!</definedName>
    <definedName name="vvvv" localSheetId="0">#REF!</definedName>
    <definedName name="vvvv" localSheetId="1">#REF!</definedName>
    <definedName name="vvvv">#REF!</definedName>
    <definedName name="w3aje" localSheetId="0">#REF!</definedName>
    <definedName name="w3aje" localSheetId="1">#REF!</definedName>
    <definedName name="w3aje">#REF!</definedName>
    <definedName name="WATSON_" localSheetId="0">'[1]2008 DFPV using 2005 rates'!#REF!</definedName>
    <definedName name="WATSON_" localSheetId="1">'[1]2008 DFPV using 2005 rates'!#REF!</definedName>
    <definedName name="WATSON_">'[1]2008 DFPV using 2005 rates'!#REF!</definedName>
    <definedName name="WATSONKWHR" localSheetId="0">'[1]2008 DFPV using 2005 rates'!#REF!</definedName>
    <definedName name="WATSONKWHR" localSheetId="1">'[1]2008 DFPV using 2005 rates'!#REF!</definedName>
    <definedName name="WATSONKWHR">'[1]2008 DFPV using 2005 rates'!#REF!</definedName>
    <definedName name="WATSONLITRES" localSheetId="0">'[1]2008 DFPV using 2005 rates'!#REF!</definedName>
    <definedName name="WATSONLITRES" localSheetId="1">'[1]2008 DFPV using 2005 rates'!#REF!</definedName>
    <definedName name="WATSONLITRES">'[1]2008 DFPV using 2005 rates'!#REF!</definedName>
    <definedName name="WHSE_" localSheetId="0">'[1]2008 DFPV using 2005 rates'!#REF!</definedName>
    <definedName name="WHSE_" localSheetId="1">'[1]2008 DFPV using 2005 rates'!#REF!</definedName>
    <definedName name="WHSE_">'[1]2008 DFPV using 2005 rates'!#REF!</definedName>
    <definedName name="WHSEKWHR" localSheetId="0">'[1]2008 DFPV using 2005 rates'!#REF!</definedName>
    <definedName name="WHSEKWHR" localSheetId="1">'[1]2008 DFPV using 2005 rates'!#REF!</definedName>
    <definedName name="WHSEKWHR">'[1]2008 DFPV using 2005 rates'!#REF!</definedName>
    <definedName name="YUKONHYDRO" localSheetId="0">'[1]2008 DFPV using 2005 rates'!#REF!</definedName>
    <definedName name="YUKONHYDRO" localSheetId="1">'[1]2008 DFPV using 2005 rates'!#REF!</definedName>
    <definedName name="YUKONHYDRO">'[1]2008 DFPV using 2005 rates'!#REF!</definedName>
    <definedName name="Z_418DF6FE_13EF_11D2_8C37_00A0C92A9A63_.wvu.Rows" localSheetId="0" hidden="1">[2]WAF!$A$8:$IV$103,[2]WAF!$A$342:$IV$352,[2]WAF!$A$354:$IV$359,[2]WAF!$A$373:$IV$396,[2]WAF!#REF!,[2]WAF!#REF!,[2]WAF!#REF!</definedName>
    <definedName name="Z_418DF6FE_13EF_11D2_8C37_00A0C92A9A63_.wvu.Rows" localSheetId="1" hidden="1">[2]WAF!$A$8:$IV$103,[2]WAF!$A$342:$IV$352,[2]WAF!$A$354:$IV$359,[2]WAF!$A$373:$IV$396,[2]WAF!#REF!,[2]WAF!#REF!,[2]WAF!#REF!</definedName>
    <definedName name="Z_418DF6FE_13EF_11D2_8C37_00A0C92A9A63_.wvu.Rows" hidden="1">[2]WAF!$A$8:$IV$103,[2]WAF!$A$342:$IV$352,[2]WAF!$A$354:$IV$359,[2]WAF!$A$373:$IV$396,[2]WAF!#REF!,[2]WAF!#REF!,[2]WAF!#REF!</definedName>
  </definedNames>
  <calcPr calcId="152511"/>
</workbook>
</file>

<file path=xl/calcChain.xml><?xml version="1.0" encoding="utf-8"?>
<calcChain xmlns="http://schemas.openxmlformats.org/spreadsheetml/2006/main">
  <c r="Q118" i="2" l="1"/>
  <c r="S118" i="2" s="1"/>
  <c r="P118" i="2"/>
  <c r="O118" i="2"/>
  <c r="Q117" i="2"/>
  <c r="P117" i="2"/>
  <c r="B117" i="2"/>
  <c r="O117" i="2" s="1"/>
  <c r="S117" i="2" s="1"/>
  <c r="Q116" i="2"/>
  <c r="P116" i="2"/>
  <c r="O116" i="2"/>
  <c r="S116" i="2" l="1"/>
  <c r="Q115" i="2"/>
  <c r="P115" i="2"/>
  <c r="B115" i="2"/>
  <c r="O115" i="2" s="1"/>
  <c r="S115" i="2" s="1"/>
  <c r="Q114" i="2"/>
  <c r="P114" i="2"/>
  <c r="B114" i="2"/>
  <c r="O114" i="2" s="1"/>
  <c r="S114" i="2" s="1"/>
  <c r="Q113" i="2"/>
  <c r="P113" i="2"/>
  <c r="O113" i="2"/>
  <c r="S113" i="2" l="1"/>
  <c r="Q112" i="2"/>
  <c r="P112" i="2"/>
  <c r="O112" i="2"/>
  <c r="S112" i="2" s="1"/>
  <c r="Q111" i="2"/>
  <c r="P111" i="2"/>
  <c r="O111" i="2"/>
  <c r="Q110" i="2"/>
  <c r="P110" i="2"/>
  <c r="O110" i="2"/>
  <c r="S111" i="2" l="1"/>
  <c r="S110" i="2"/>
  <c r="Q109" i="2"/>
  <c r="P109" i="2"/>
  <c r="O109" i="2"/>
  <c r="S109" i="2" s="1"/>
  <c r="S108" i="2"/>
  <c r="Q108" i="2"/>
  <c r="P108" i="2"/>
  <c r="O108" i="2"/>
  <c r="Q107" i="2"/>
  <c r="P107" i="2"/>
  <c r="O107" i="2"/>
  <c r="S107" i="2" s="1"/>
  <c r="S106" i="2"/>
  <c r="Q106" i="2"/>
  <c r="P106" i="2"/>
  <c r="O106" i="2"/>
  <c r="F106" i="2"/>
  <c r="Q105" i="2"/>
  <c r="P105" i="2"/>
  <c r="O105" i="2"/>
  <c r="S105" i="2" s="1"/>
  <c r="F105" i="2"/>
  <c r="Q104" i="2"/>
  <c r="P104" i="2"/>
  <c r="O104" i="2"/>
  <c r="S104" i="2" s="1"/>
  <c r="F104" i="2"/>
  <c r="Q103" i="2"/>
  <c r="S103" i="2" s="1"/>
  <c r="P103" i="2"/>
  <c r="O103" i="2"/>
  <c r="F103" i="2"/>
  <c r="Q102" i="2"/>
  <c r="P102" i="2"/>
  <c r="O102" i="2"/>
  <c r="S102" i="2" s="1"/>
  <c r="F102" i="2"/>
  <c r="P101" i="2"/>
  <c r="O101" i="2"/>
  <c r="F101" i="2"/>
  <c r="E101" i="2"/>
  <c r="D101" i="2"/>
  <c r="Q100" i="2"/>
  <c r="P100" i="2"/>
  <c r="O100" i="2"/>
  <c r="S100" i="2" s="1"/>
  <c r="F100" i="2"/>
  <c r="Q99" i="2"/>
  <c r="P99" i="2"/>
  <c r="F99" i="2"/>
  <c r="B99" i="2"/>
  <c r="O99" i="2" s="1"/>
  <c r="S99" i="2" s="1"/>
  <c r="Q98" i="2"/>
  <c r="P98" i="2"/>
  <c r="O98" i="2"/>
  <c r="S98" i="2" s="1"/>
  <c r="F98" i="2"/>
  <c r="Q97" i="2"/>
  <c r="P97" i="2"/>
  <c r="O97" i="2"/>
  <c r="S97" i="2" s="1"/>
  <c r="F97" i="2"/>
  <c r="Q96" i="2"/>
  <c r="P96" i="2"/>
  <c r="O96" i="2"/>
  <c r="S96" i="2" s="1"/>
  <c r="F96" i="2"/>
  <c r="B96" i="2"/>
  <c r="P95" i="2"/>
  <c r="O95" i="2"/>
  <c r="F95" i="2"/>
  <c r="D95" i="2"/>
  <c r="Q95" i="2" s="1"/>
  <c r="Q94" i="2"/>
  <c r="P94" i="2"/>
  <c r="O94" i="2"/>
  <c r="F94" i="2"/>
  <c r="D94" i="2"/>
  <c r="Q93" i="2"/>
  <c r="P93" i="2"/>
  <c r="O93" i="2"/>
  <c r="S93" i="2" s="1"/>
  <c r="F93" i="2"/>
  <c r="Q92" i="2"/>
  <c r="P92" i="2"/>
  <c r="O92" i="2"/>
  <c r="F92" i="2"/>
  <c r="Q91" i="2"/>
  <c r="P91" i="2"/>
  <c r="O91" i="2"/>
  <c r="S91" i="2" s="1"/>
  <c r="F91" i="2"/>
  <c r="D91" i="2"/>
  <c r="Q90" i="2"/>
  <c r="P90" i="2"/>
  <c r="O90" i="2"/>
  <c r="F90" i="2"/>
  <c r="Q101" i="2" l="1"/>
  <c r="S101" i="2" s="1"/>
  <c r="S95" i="2"/>
  <c r="S90" i="2"/>
  <c r="S92" i="2"/>
  <c r="S94" i="2"/>
  <c r="Q89" i="2"/>
  <c r="P89" i="2"/>
  <c r="B89" i="2"/>
  <c r="O89" i="2" s="1"/>
  <c r="Q88" i="2"/>
  <c r="P88" i="2"/>
  <c r="O88" i="2"/>
  <c r="Q87" i="2"/>
  <c r="P87" i="2"/>
  <c r="O87" i="2"/>
  <c r="S89" i="2" l="1"/>
  <c r="S87" i="2"/>
  <c r="S88" i="2"/>
  <c r="Q86" i="2"/>
  <c r="P86" i="2"/>
  <c r="O86" i="2"/>
  <c r="S86" i="2" s="1"/>
  <c r="Q85" i="2"/>
  <c r="P85" i="2"/>
  <c r="O85" i="2"/>
  <c r="Q84" i="2"/>
  <c r="P84" i="2"/>
  <c r="O84" i="2"/>
  <c r="S85" i="2" l="1"/>
  <c r="S84" i="2"/>
  <c r="Q83" i="2"/>
  <c r="P83" i="2"/>
  <c r="O83" i="2"/>
  <c r="S83" i="2" s="1"/>
  <c r="Q82" i="2"/>
  <c r="P82" i="2"/>
  <c r="O82" i="2"/>
  <c r="Q81" i="2"/>
  <c r="P81" i="2"/>
  <c r="O81" i="2"/>
  <c r="S81" i="2" l="1"/>
  <c r="S82" i="2"/>
  <c r="Q80" i="2"/>
  <c r="P80" i="2"/>
  <c r="O80" i="2"/>
  <c r="Q79" i="2"/>
  <c r="P79" i="2"/>
  <c r="O79" i="2"/>
  <c r="Q78" i="2"/>
  <c r="P78" i="2"/>
  <c r="O78" i="2"/>
  <c r="S79" i="2" l="1"/>
  <c r="S78" i="2"/>
  <c r="S80" i="2"/>
  <c r="I73" i="2" l="1"/>
  <c r="Q77" i="2"/>
  <c r="P77" i="2"/>
  <c r="O77" i="2"/>
  <c r="Q76" i="2"/>
  <c r="P76" i="2"/>
  <c r="O76" i="2"/>
  <c r="Q75" i="2"/>
  <c r="P75" i="2"/>
  <c r="O75" i="2"/>
  <c r="S76" i="2" l="1"/>
  <c r="S75" i="2"/>
  <c r="S77" i="2"/>
  <c r="Q74" i="2"/>
  <c r="P74" i="2"/>
  <c r="O74" i="2"/>
  <c r="Q73" i="2"/>
  <c r="P73" i="2"/>
  <c r="O73" i="2"/>
  <c r="Q72" i="2"/>
  <c r="P72" i="2"/>
  <c r="O72" i="2"/>
  <c r="K72" i="2" l="1"/>
  <c r="F72" i="2" s="1"/>
  <c r="S74" i="2"/>
  <c r="S72" i="2"/>
  <c r="S73" i="2"/>
  <c r="S69" i="2"/>
  <c r="S70" i="2"/>
  <c r="S71" i="2" l="1"/>
  <c r="Q67" i="2"/>
  <c r="P67" i="2"/>
  <c r="O67" i="2"/>
  <c r="Q66" i="2"/>
  <c r="P66" i="2"/>
  <c r="B66" i="2"/>
  <c r="O66" i="2" s="1"/>
  <c r="Q65" i="2"/>
  <c r="P65" i="2"/>
  <c r="O65" i="2"/>
  <c r="Q64" i="2"/>
  <c r="P64" i="2"/>
  <c r="O64" i="2"/>
  <c r="Q63" i="2"/>
  <c r="P63" i="2"/>
  <c r="O63" i="2"/>
  <c r="Q62" i="2"/>
  <c r="P62" i="2"/>
  <c r="B62" i="2"/>
  <c r="O62" i="2" s="1"/>
  <c r="Q60" i="2"/>
  <c r="P60" i="2"/>
  <c r="O60" i="2"/>
  <c r="Q59" i="2"/>
  <c r="P59" i="2"/>
  <c r="O59" i="2"/>
  <c r="Q58" i="2"/>
  <c r="P58" i="2"/>
  <c r="O58" i="2"/>
  <c r="Q57" i="2"/>
  <c r="P57" i="2"/>
  <c r="O57" i="2"/>
  <c r="P56" i="2"/>
  <c r="O56" i="2"/>
  <c r="D56" i="2"/>
  <c r="Q56" i="2" s="1"/>
  <c r="P55" i="2"/>
  <c r="O55" i="2"/>
  <c r="D55" i="2"/>
  <c r="Q55" i="2" s="1"/>
  <c r="P54" i="2"/>
  <c r="O54" i="2"/>
  <c r="D54" i="2"/>
  <c r="Q54" i="2" s="1"/>
  <c r="P53" i="2"/>
  <c r="O53" i="2"/>
  <c r="D53" i="2"/>
  <c r="Q53" i="2" s="1"/>
  <c r="P52" i="2"/>
  <c r="O52" i="2"/>
  <c r="D52" i="2"/>
  <c r="Q51" i="2"/>
  <c r="P51" i="2"/>
  <c r="O51" i="2"/>
  <c r="Q50" i="2"/>
  <c r="P50" i="2"/>
  <c r="O50" i="2"/>
  <c r="P49" i="2"/>
  <c r="O49" i="2"/>
  <c r="J49" i="2"/>
  <c r="F49" i="2"/>
  <c r="D49" i="2"/>
  <c r="P48" i="2"/>
  <c r="O48" i="2"/>
  <c r="F48" i="2"/>
  <c r="D48" i="2"/>
  <c r="Q48" i="2" s="1"/>
  <c r="P47" i="2"/>
  <c r="O47" i="2"/>
  <c r="F47" i="2"/>
  <c r="D47" i="2"/>
  <c r="Q47" i="2" s="1"/>
  <c r="Q46" i="2"/>
  <c r="P46" i="2"/>
  <c r="O46" i="2"/>
  <c r="Q45" i="2"/>
  <c r="P45" i="2"/>
  <c r="O45" i="2"/>
  <c r="Q44" i="2"/>
  <c r="P44" i="2"/>
  <c r="O44" i="2"/>
  <c r="Q43" i="2"/>
  <c r="P43" i="2"/>
  <c r="O43" i="2"/>
  <c r="P42" i="2"/>
  <c r="O42" i="2"/>
  <c r="F42" i="2"/>
  <c r="D42" i="2"/>
  <c r="Q42" i="2" s="1"/>
  <c r="P41" i="2"/>
  <c r="O41" i="2"/>
  <c r="J41" i="2"/>
  <c r="F41" i="2"/>
  <c r="D41" i="2"/>
  <c r="P40" i="2"/>
  <c r="O40" i="2"/>
  <c r="F40" i="2"/>
  <c r="D40" i="2"/>
  <c r="Q40" i="2" s="1"/>
  <c r="P39" i="2"/>
  <c r="O39" i="2"/>
  <c r="F39" i="2"/>
  <c r="D39" i="2"/>
  <c r="Q39" i="2" s="1"/>
  <c r="P38" i="2"/>
  <c r="O38" i="2"/>
  <c r="F38" i="2"/>
  <c r="D38" i="2"/>
  <c r="Q38" i="2" s="1"/>
  <c r="P37" i="2"/>
  <c r="O37" i="2"/>
  <c r="F37" i="2"/>
  <c r="D37" i="2"/>
  <c r="Q37" i="2" s="1"/>
  <c r="P36" i="2"/>
  <c r="O36" i="2"/>
  <c r="F36" i="2"/>
  <c r="D36" i="2"/>
  <c r="Q36" i="2" s="1"/>
  <c r="P35" i="2"/>
  <c r="O35" i="2"/>
  <c r="F35" i="2"/>
  <c r="D35" i="2"/>
  <c r="Q35" i="2" s="1"/>
  <c r="P34" i="2"/>
  <c r="O34" i="2"/>
  <c r="F34" i="2"/>
  <c r="D34" i="2"/>
  <c r="Q34" i="2" s="1"/>
  <c r="P33" i="2"/>
  <c r="O33" i="2"/>
  <c r="F33" i="2"/>
  <c r="D33" i="2"/>
  <c r="Q33" i="2" s="1"/>
  <c r="P32" i="2"/>
  <c r="O32" i="2"/>
  <c r="F32" i="2"/>
  <c r="D32" i="2"/>
  <c r="Q32" i="2" s="1"/>
  <c r="P31" i="2"/>
  <c r="O31" i="2"/>
  <c r="F31" i="2"/>
  <c r="D31" i="2"/>
  <c r="Q31" i="2" s="1"/>
  <c r="P30" i="2"/>
  <c r="D30" i="2"/>
  <c r="Q30" i="2" s="1"/>
  <c r="B30" i="2"/>
  <c r="O30" i="2" s="1"/>
  <c r="P29" i="2"/>
  <c r="O29" i="2"/>
  <c r="D29" i="2"/>
  <c r="Q29" i="2" s="1"/>
  <c r="P28" i="2"/>
  <c r="D28" i="2"/>
  <c r="Q28" i="2" s="1"/>
  <c r="B28" i="2"/>
  <c r="O28" i="2" s="1"/>
  <c r="P27" i="2"/>
  <c r="O27" i="2"/>
  <c r="D27" i="2"/>
  <c r="Q27" i="2" s="1"/>
  <c r="P26" i="2"/>
  <c r="O26" i="2"/>
  <c r="D26" i="2"/>
  <c r="Q26" i="2" s="1"/>
  <c r="P25" i="2"/>
  <c r="O25" i="2"/>
  <c r="D25" i="2"/>
  <c r="Q25" i="2" s="1"/>
  <c r="P24" i="2"/>
  <c r="O24" i="2"/>
  <c r="D24" i="2"/>
  <c r="Q24" i="2" s="1"/>
  <c r="P23" i="2"/>
  <c r="O23" i="2"/>
  <c r="D23" i="2"/>
  <c r="Q23" i="2" s="1"/>
  <c r="P22" i="2"/>
  <c r="O22" i="2"/>
  <c r="D22" i="2"/>
  <c r="Q22" i="2" s="1"/>
  <c r="P21" i="2"/>
  <c r="O21" i="2"/>
  <c r="D21" i="2"/>
  <c r="Q21" i="2" s="1"/>
  <c r="P20" i="2"/>
  <c r="O20" i="2"/>
  <c r="F20" i="2"/>
  <c r="D20" i="2"/>
  <c r="Q20" i="2" s="1"/>
  <c r="P19" i="2"/>
  <c r="O19" i="2"/>
  <c r="F19" i="2"/>
  <c r="D19" i="2"/>
  <c r="Q19" i="2" s="1"/>
  <c r="P18" i="2"/>
  <c r="F18" i="2"/>
  <c r="D18" i="2"/>
  <c r="Q18" i="2" s="1"/>
  <c r="B18" i="2"/>
  <c r="O18" i="2" s="1"/>
  <c r="P17" i="2"/>
  <c r="O17" i="2"/>
  <c r="F17" i="2"/>
  <c r="D17" i="2"/>
  <c r="Q17" i="2" s="1"/>
  <c r="Q16" i="2"/>
  <c r="P16" i="2"/>
  <c r="O16" i="2"/>
  <c r="F16" i="2"/>
  <c r="Q15" i="2"/>
  <c r="P15" i="2"/>
  <c r="O15" i="2"/>
  <c r="F15" i="2"/>
  <c r="Q14" i="2"/>
  <c r="P14" i="2"/>
  <c r="O14" i="2"/>
  <c r="Q13" i="2"/>
  <c r="P13" i="2"/>
  <c r="O13" i="2"/>
  <c r="Q12" i="2"/>
  <c r="P12" i="2"/>
  <c r="O12" i="2"/>
  <c r="Q11" i="2"/>
  <c r="P11" i="2"/>
  <c r="O11" i="2"/>
  <c r="Q10" i="2"/>
  <c r="P10" i="2"/>
  <c r="O10" i="2"/>
  <c r="Q9" i="2"/>
  <c r="P9" i="2"/>
  <c r="O9" i="2"/>
  <c r="Q8" i="2"/>
  <c r="P8" i="2"/>
  <c r="O8" i="2"/>
  <c r="Q7" i="2"/>
  <c r="P7" i="2"/>
  <c r="O7" i="2"/>
  <c r="M7" i="2"/>
  <c r="M8" i="2" s="1"/>
  <c r="M9" i="2" s="1"/>
  <c r="M10" i="2" s="1"/>
  <c r="M11" i="2" s="1"/>
  <c r="M12" i="2" s="1"/>
  <c r="M13" i="2" s="1"/>
  <c r="M14" i="2" s="1"/>
  <c r="M15" i="2" s="1"/>
  <c r="M16" i="2" s="1"/>
  <c r="M17" i="2" s="1"/>
  <c r="M18" i="2" s="1"/>
  <c r="M19" i="2" s="1"/>
  <c r="M20" i="2" s="1"/>
  <c r="G7" i="2"/>
  <c r="G8" i="2" s="1"/>
  <c r="G9" i="2" s="1"/>
  <c r="G10" i="2" s="1"/>
  <c r="G11" i="2" s="1"/>
  <c r="G12" i="2" s="1"/>
  <c r="G13" i="2" s="1"/>
  <c r="G14" i="2" s="1"/>
  <c r="S62" i="2" l="1"/>
  <c r="S11" i="2"/>
  <c r="S43" i="2"/>
  <c r="S60" i="2"/>
  <c r="S66" i="2"/>
  <c r="Q41" i="2"/>
  <c r="S41" i="2" s="1"/>
  <c r="S27" i="2"/>
  <c r="S29" i="2"/>
  <c r="S40" i="2"/>
  <c r="S55" i="2"/>
  <c r="S13" i="2"/>
  <c r="S17" i="2"/>
  <c r="S20" i="2"/>
  <c r="S24" i="2"/>
  <c r="S16" i="2"/>
  <c r="S67" i="2"/>
  <c r="S25" i="2"/>
  <c r="S26" i="2"/>
  <c r="G47" i="2"/>
  <c r="G48" i="2" s="1"/>
  <c r="G49" i="2" s="1"/>
  <c r="G15" i="2"/>
  <c r="G16" i="2" s="1"/>
  <c r="G17" i="2" s="1"/>
  <c r="G18" i="2" s="1"/>
  <c r="G19" i="2" s="1"/>
  <c r="G20" i="2" s="1"/>
  <c r="S10" i="2"/>
  <c r="S15" i="2"/>
  <c r="S46" i="2"/>
  <c r="S65" i="2"/>
  <c r="S8" i="2"/>
  <c r="S12" i="2"/>
  <c r="S14" i="2"/>
  <c r="S35" i="2"/>
  <c r="S36" i="2"/>
  <c r="S64" i="2"/>
  <c r="S57" i="2"/>
  <c r="S63" i="2"/>
  <c r="S22" i="2"/>
  <c r="S9" i="2"/>
  <c r="S19" i="2"/>
  <c r="S30" i="2"/>
  <c r="S31" i="2"/>
  <c r="S39" i="2"/>
  <c r="S42" i="2"/>
  <c r="S53" i="2"/>
  <c r="S59" i="2"/>
  <c r="S18" i="2"/>
  <c r="S32" i="2"/>
  <c r="S33" i="2"/>
  <c r="S38" i="2"/>
  <c r="S58" i="2"/>
  <c r="S21" i="2"/>
  <c r="S37" i="2"/>
  <c r="S44" i="2"/>
  <c r="S48" i="2"/>
  <c r="S54" i="2"/>
  <c r="S56" i="2"/>
  <c r="S23" i="2"/>
  <c r="S34" i="2"/>
  <c r="S47" i="2"/>
  <c r="Q49" i="2"/>
  <c r="S49" i="2" s="1"/>
  <c r="S28" i="2"/>
  <c r="R7" i="2"/>
  <c r="R8" i="2" s="1"/>
  <c r="R9" i="2" s="1"/>
  <c r="R10" i="2" s="1"/>
  <c r="R11" i="2" s="1"/>
  <c r="R12" i="2" s="1"/>
  <c r="R13" i="2" s="1"/>
  <c r="R14" i="2" s="1"/>
  <c r="R15" i="2" s="1"/>
  <c r="R16" i="2" s="1"/>
  <c r="R17" i="2" s="1"/>
  <c r="R18" i="2" s="1"/>
  <c r="R19" i="2" s="1"/>
  <c r="R20" i="2" s="1"/>
  <c r="R21" i="2" s="1"/>
  <c r="R22" i="2" s="1"/>
  <c r="R23" i="2" s="1"/>
  <c r="R24" i="2" s="1"/>
  <c r="R25" i="2" s="1"/>
  <c r="R26" i="2" s="1"/>
  <c r="R27" i="2" s="1"/>
  <c r="R28" i="2" s="1"/>
  <c r="R29" i="2" s="1"/>
  <c r="R30" i="2" s="1"/>
  <c r="R31" i="2" s="1"/>
  <c r="R32" i="2" s="1"/>
  <c r="R33" i="2" s="1"/>
  <c r="R34" i="2" s="1"/>
  <c r="R35" i="2" s="1"/>
  <c r="R36" i="2" s="1"/>
  <c r="R37" i="2" s="1"/>
  <c r="R38" i="2" s="1"/>
  <c r="R39" i="2" s="1"/>
  <c r="R40" i="2" s="1"/>
  <c r="S7" i="2"/>
  <c r="Q52" i="2"/>
  <c r="S52" i="2" s="1"/>
  <c r="Q66" i="1"/>
  <c r="P66" i="1"/>
  <c r="O66" i="1"/>
  <c r="S66" i="1" s="1"/>
  <c r="Q65" i="1"/>
  <c r="P65" i="1"/>
  <c r="C65" i="1"/>
  <c r="O65" i="1" s="1"/>
  <c r="S65" i="1" s="1"/>
  <c r="Q64" i="1"/>
  <c r="P64" i="1"/>
  <c r="O64" i="1"/>
  <c r="R41" i="2" l="1"/>
  <c r="R42" i="2" s="1"/>
  <c r="R43" i="2" s="1"/>
  <c r="R44" i="2" s="1"/>
  <c r="R45" i="2" s="1"/>
  <c r="R46" i="2" s="1"/>
  <c r="K21" i="2"/>
  <c r="S64" i="1"/>
  <c r="R47" i="2" l="1"/>
  <c r="R48" i="2" s="1"/>
  <c r="R49" i="2" s="1"/>
  <c r="F21" i="2"/>
  <c r="G21" i="2" s="1"/>
  <c r="M21" i="2"/>
  <c r="K22" i="2" l="1"/>
  <c r="F22" i="2" s="1"/>
  <c r="G22" i="2" s="1"/>
  <c r="M22" i="2" l="1"/>
  <c r="K23" i="2" l="1"/>
  <c r="F23" i="2" s="1"/>
  <c r="G23" i="2" s="1"/>
  <c r="Q63" i="1"/>
  <c r="P63" i="1"/>
  <c r="O63" i="1"/>
  <c r="S63" i="1" s="1"/>
  <c r="Q62" i="1"/>
  <c r="P62" i="1"/>
  <c r="O62" i="1"/>
  <c r="Q61" i="1"/>
  <c r="P61" i="1"/>
  <c r="C61" i="1"/>
  <c r="O61" i="1" s="1"/>
  <c r="S62" i="1" l="1"/>
  <c r="M23" i="2"/>
  <c r="S61" i="1"/>
  <c r="K24" i="2" l="1"/>
  <c r="F24" i="2" s="1"/>
  <c r="G24" i="2" s="1"/>
  <c r="M24" i="2" l="1"/>
  <c r="K25" i="2" l="1"/>
  <c r="F25" i="2" s="1"/>
  <c r="G25" i="2" s="1"/>
  <c r="M25" i="2" l="1"/>
  <c r="K26" i="2" l="1"/>
  <c r="F26" i="2" s="1"/>
  <c r="G26" i="2" s="1"/>
  <c r="M26" i="2" l="1"/>
  <c r="K27" i="2" s="1"/>
  <c r="F27" i="2" s="1"/>
  <c r="G27" i="2" s="1"/>
  <c r="Q60" i="1"/>
  <c r="P60" i="1"/>
  <c r="O60" i="1"/>
  <c r="S60" i="1" s="1"/>
  <c r="Q59" i="1"/>
  <c r="P59" i="1"/>
  <c r="O59" i="1"/>
  <c r="S59" i="1" s="1"/>
  <c r="Q58" i="1"/>
  <c r="P58" i="1"/>
  <c r="O58" i="1"/>
  <c r="Q57" i="1"/>
  <c r="P57" i="1"/>
  <c r="O57" i="1"/>
  <c r="P56" i="1"/>
  <c r="J56" i="1"/>
  <c r="O56" i="1" s="1"/>
  <c r="E56" i="1"/>
  <c r="Q56" i="1" s="1"/>
  <c r="P55" i="1"/>
  <c r="O55" i="1"/>
  <c r="E55" i="1"/>
  <c r="Q55" i="1" s="1"/>
  <c r="P54" i="1"/>
  <c r="O54" i="1"/>
  <c r="E54" i="1"/>
  <c r="Q54" i="1" s="1"/>
  <c r="P53" i="1"/>
  <c r="O53" i="1"/>
  <c r="E53" i="1"/>
  <c r="Q53" i="1" s="1"/>
  <c r="Q52" i="1"/>
  <c r="P52" i="1"/>
  <c r="O52" i="1"/>
  <c r="E52" i="1"/>
  <c r="Q51" i="1"/>
  <c r="P51" i="1"/>
  <c r="O51" i="1"/>
  <c r="Q50" i="1"/>
  <c r="P50" i="1"/>
  <c r="O50" i="1"/>
  <c r="P49" i="1"/>
  <c r="O49" i="1"/>
  <c r="K49" i="1"/>
  <c r="G49" i="1"/>
  <c r="E49" i="1"/>
  <c r="Q48" i="1"/>
  <c r="P48" i="1"/>
  <c r="O48" i="1"/>
  <c r="S48" i="1" s="1"/>
  <c r="G48" i="1"/>
  <c r="E48" i="1"/>
  <c r="P47" i="1"/>
  <c r="O47" i="1"/>
  <c r="G47" i="1"/>
  <c r="E47" i="1"/>
  <c r="H47" i="1" s="1"/>
  <c r="Q46" i="1"/>
  <c r="P46" i="1"/>
  <c r="O46" i="1"/>
  <c r="Q45" i="1"/>
  <c r="P45" i="1"/>
  <c r="O45" i="1"/>
  <c r="Q44" i="1"/>
  <c r="P44" i="1"/>
  <c r="O44" i="1"/>
  <c r="Q43" i="1"/>
  <c r="P43" i="1"/>
  <c r="O43" i="1"/>
  <c r="P42" i="1"/>
  <c r="O42" i="1"/>
  <c r="G42" i="1"/>
  <c r="E42" i="1"/>
  <c r="Q42" i="1" s="1"/>
  <c r="P41" i="1"/>
  <c r="O41" i="1"/>
  <c r="K41" i="1"/>
  <c r="Q41" i="1" s="1"/>
  <c r="G41" i="1"/>
  <c r="E41" i="1"/>
  <c r="P40" i="1"/>
  <c r="O40" i="1"/>
  <c r="G40" i="1"/>
  <c r="E40" i="1"/>
  <c r="Q40" i="1" s="1"/>
  <c r="Q39" i="1"/>
  <c r="P39" i="1"/>
  <c r="O39" i="1"/>
  <c r="G39" i="1"/>
  <c r="E39" i="1"/>
  <c r="Q38" i="1"/>
  <c r="P38" i="1"/>
  <c r="O38" i="1"/>
  <c r="G38" i="1"/>
  <c r="E38" i="1"/>
  <c r="P37" i="1"/>
  <c r="O37" i="1"/>
  <c r="G37" i="1"/>
  <c r="E37" i="1"/>
  <c r="Q37" i="1" s="1"/>
  <c r="Q36" i="1"/>
  <c r="P36" i="1"/>
  <c r="O36" i="1"/>
  <c r="G36" i="1"/>
  <c r="E36" i="1"/>
  <c r="P35" i="1"/>
  <c r="O35" i="1"/>
  <c r="G35" i="1"/>
  <c r="E35" i="1"/>
  <c r="Q35" i="1" s="1"/>
  <c r="P34" i="1"/>
  <c r="O34" i="1"/>
  <c r="G34" i="1"/>
  <c r="E34" i="1"/>
  <c r="Q34" i="1" s="1"/>
  <c r="P33" i="1"/>
  <c r="O33" i="1"/>
  <c r="G33" i="1"/>
  <c r="E33" i="1"/>
  <c r="Q33" i="1" s="1"/>
  <c r="P32" i="1"/>
  <c r="O32" i="1"/>
  <c r="G32" i="1"/>
  <c r="E32" i="1"/>
  <c r="Q32" i="1" s="1"/>
  <c r="P31" i="1"/>
  <c r="O31" i="1"/>
  <c r="G31" i="1"/>
  <c r="E31" i="1"/>
  <c r="Q31" i="1" s="1"/>
  <c r="P30" i="1"/>
  <c r="O30" i="1"/>
  <c r="E30" i="1"/>
  <c r="Q30" i="1" s="1"/>
  <c r="C30" i="1"/>
  <c r="P29" i="1"/>
  <c r="O29" i="1"/>
  <c r="E29" i="1"/>
  <c r="Q29" i="1" s="1"/>
  <c r="S29" i="1" s="1"/>
  <c r="P28" i="1"/>
  <c r="E28" i="1"/>
  <c r="Q28" i="1" s="1"/>
  <c r="C28" i="1"/>
  <c r="O28" i="1" s="1"/>
  <c r="P27" i="1"/>
  <c r="O27" i="1"/>
  <c r="E27" i="1"/>
  <c r="Q27" i="1" s="1"/>
  <c r="P26" i="1"/>
  <c r="O26" i="1"/>
  <c r="E26" i="1"/>
  <c r="Q26" i="1" s="1"/>
  <c r="P25" i="1"/>
  <c r="O25" i="1"/>
  <c r="E25" i="1"/>
  <c r="Q25" i="1" s="1"/>
  <c r="P24" i="1"/>
  <c r="O24" i="1"/>
  <c r="E24" i="1"/>
  <c r="Q24" i="1" s="1"/>
  <c r="P23" i="1"/>
  <c r="O23" i="1"/>
  <c r="E23" i="1"/>
  <c r="Q23" i="1" s="1"/>
  <c r="Q22" i="1"/>
  <c r="P22" i="1"/>
  <c r="O22" i="1"/>
  <c r="E22" i="1"/>
  <c r="P21" i="1"/>
  <c r="O21" i="1"/>
  <c r="E21" i="1"/>
  <c r="Q21" i="1" s="1"/>
  <c r="P20" i="1"/>
  <c r="O20" i="1"/>
  <c r="G20" i="1"/>
  <c r="E20" i="1"/>
  <c r="Q20" i="1" s="1"/>
  <c r="P19" i="1"/>
  <c r="O19" i="1"/>
  <c r="G19" i="1"/>
  <c r="E19" i="1"/>
  <c r="Q19" i="1" s="1"/>
  <c r="Q18" i="1"/>
  <c r="P18" i="1"/>
  <c r="G18" i="1"/>
  <c r="E18" i="1"/>
  <c r="C18" i="1"/>
  <c r="O18" i="1" s="1"/>
  <c r="Q17" i="1"/>
  <c r="P17" i="1"/>
  <c r="O17" i="1"/>
  <c r="G17" i="1"/>
  <c r="E17" i="1"/>
  <c r="Q16" i="1"/>
  <c r="P16" i="1"/>
  <c r="O16" i="1"/>
  <c r="G16" i="1"/>
  <c r="Q15" i="1"/>
  <c r="P15" i="1"/>
  <c r="O15" i="1"/>
  <c r="G15" i="1"/>
  <c r="Q14" i="1"/>
  <c r="P14" i="1"/>
  <c r="O14" i="1"/>
  <c r="Q13" i="1"/>
  <c r="P13" i="1"/>
  <c r="O13" i="1"/>
  <c r="Q12" i="1"/>
  <c r="P12" i="1"/>
  <c r="O12" i="1"/>
  <c r="Q11" i="1"/>
  <c r="P11" i="1"/>
  <c r="O11" i="1"/>
  <c r="Q10" i="1"/>
  <c r="P10" i="1"/>
  <c r="O10" i="1"/>
  <c r="Q9" i="1"/>
  <c r="P9" i="1"/>
  <c r="O9" i="1"/>
  <c r="Q8" i="1"/>
  <c r="P8" i="1"/>
  <c r="O8" i="1"/>
  <c r="Q7" i="1"/>
  <c r="P7" i="1"/>
  <c r="O7" i="1"/>
  <c r="M7" i="1"/>
  <c r="M8" i="1" s="1"/>
  <c r="M9" i="1" s="1"/>
  <c r="M10" i="1" s="1"/>
  <c r="M11" i="1" s="1"/>
  <c r="M12" i="1" s="1"/>
  <c r="M13" i="1" s="1"/>
  <c r="M14" i="1" s="1"/>
  <c r="M15" i="1" s="1"/>
  <c r="M16" i="1" s="1"/>
  <c r="M17" i="1" s="1"/>
  <c r="M18" i="1" s="1"/>
  <c r="M19" i="1" s="1"/>
  <c r="M20" i="1" s="1"/>
  <c r="H7" i="1"/>
  <c r="H8" i="1" s="1"/>
  <c r="H9" i="1" s="1"/>
  <c r="H10" i="1" s="1"/>
  <c r="H11" i="1" s="1"/>
  <c r="H12" i="1" s="1"/>
  <c r="H13" i="1" s="1"/>
  <c r="H14" i="1" s="1"/>
  <c r="S55" i="1" l="1"/>
  <c r="Q47" i="1"/>
  <c r="Q49" i="1"/>
  <c r="M27" i="2"/>
  <c r="H48" i="1"/>
  <c r="H49" i="1" s="1"/>
  <c r="S52" i="1"/>
  <c r="S56" i="1"/>
  <c r="H15" i="1"/>
  <c r="H16" i="1" s="1"/>
  <c r="H17" i="1" s="1"/>
  <c r="H18" i="1" s="1"/>
  <c r="H19" i="1" s="1"/>
  <c r="H20" i="1" s="1"/>
  <c r="S57" i="1"/>
  <c r="S53" i="1"/>
  <c r="S54" i="1"/>
  <c r="S47" i="1"/>
  <c r="S43" i="1"/>
  <c r="S58" i="1"/>
  <c r="S25" i="1"/>
  <c r="S35" i="1"/>
  <c r="S38" i="1"/>
  <c r="S14" i="1"/>
  <c r="S16" i="1"/>
  <c r="S19" i="1"/>
  <c r="S21" i="1"/>
  <c r="S31" i="1"/>
  <c r="S42" i="1"/>
  <c r="S44" i="1"/>
  <c r="S46" i="1"/>
  <c r="S7" i="1"/>
  <c r="S36" i="1"/>
  <c r="S33" i="1"/>
  <c r="S30" i="1"/>
  <c r="S34" i="1"/>
  <c r="S37" i="1"/>
  <c r="S39" i="1"/>
  <c r="S11" i="1"/>
  <c r="S41" i="1"/>
  <c r="S15" i="1"/>
  <c r="S9" i="1"/>
  <c r="S20" i="1"/>
  <c r="S28" i="1"/>
  <c r="S22" i="1"/>
  <c r="S26" i="1"/>
  <c r="S23" i="1"/>
  <c r="S27" i="1"/>
  <c r="R7" i="1"/>
  <c r="R8" i="1" s="1"/>
  <c r="R9" i="1" s="1"/>
  <c r="R10" i="1" s="1"/>
  <c r="R11" i="1" s="1"/>
  <c r="R12" i="1" s="1"/>
  <c r="R13" i="1" s="1"/>
  <c r="R14" i="1" s="1"/>
  <c r="R15" i="1" s="1"/>
  <c r="R16" i="1" s="1"/>
  <c r="R17" i="1" s="1"/>
  <c r="R18" i="1" s="1"/>
  <c r="R19" i="1" s="1"/>
  <c r="R20" i="1" s="1"/>
  <c r="R21" i="1" s="1"/>
  <c r="R22" i="1" s="1"/>
  <c r="R23" i="1" s="1"/>
  <c r="R24" i="1" s="1"/>
  <c r="R25" i="1" s="1"/>
  <c r="R26" i="1" s="1"/>
  <c r="R27" i="1" s="1"/>
  <c r="R28" i="1" s="1"/>
  <c r="R29" i="1" s="1"/>
  <c r="R30" i="1" s="1"/>
  <c r="R31" i="1" s="1"/>
  <c r="R32" i="1" s="1"/>
  <c r="R33" i="1" s="1"/>
  <c r="R34" i="1" s="1"/>
  <c r="R35" i="1" s="1"/>
  <c r="R36" i="1" s="1"/>
  <c r="R37" i="1" s="1"/>
  <c r="R38" i="1" s="1"/>
  <c r="R39" i="1" s="1"/>
  <c r="R40" i="1" s="1"/>
  <c r="R41" i="1" s="1"/>
  <c r="R42" i="1" s="1"/>
  <c r="R43" i="1" s="1"/>
  <c r="R44" i="1" s="1"/>
  <c r="R45" i="1" s="1"/>
  <c r="R46" i="1" s="1"/>
  <c r="S17" i="1"/>
  <c r="S8" i="1"/>
  <c r="S10" i="1"/>
  <c r="S13" i="1"/>
  <c r="S32" i="1"/>
  <c r="S40" i="1"/>
  <c r="S49" i="1"/>
  <c r="S24" i="1"/>
  <c r="S12" i="1"/>
  <c r="S18" i="1"/>
  <c r="K28" i="2" l="1"/>
  <c r="F28" i="2" s="1"/>
  <c r="G28" i="2" s="1"/>
  <c r="L21" i="1"/>
  <c r="G21" i="1" s="1"/>
  <c r="H21" i="1" s="1"/>
  <c r="R47" i="1"/>
  <c r="R48" i="1" s="1"/>
  <c r="R49" i="1" s="1"/>
  <c r="M28" i="2" l="1"/>
  <c r="M21" i="1"/>
  <c r="L22" i="1" s="1"/>
  <c r="G22" i="1" s="1"/>
  <c r="H22" i="1" s="1"/>
  <c r="K29" i="2" l="1"/>
  <c r="F29" i="2" s="1"/>
  <c r="G29" i="2" s="1"/>
  <c r="M22" i="1"/>
  <c r="L23" i="1" s="1"/>
  <c r="G23" i="1" s="1"/>
  <c r="H23" i="1" s="1"/>
  <c r="M29" i="2" l="1"/>
  <c r="K30" i="2" s="1"/>
  <c r="F30" i="2" s="1"/>
  <c r="G30" i="2" s="1"/>
  <c r="G31" i="2" s="1"/>
  <c r="G32" i="2" s="1"/>
  <c r="G33" i="2" s="1"/>
  <c r="G34" i="2" s="1"/>
  <c r="G35" i="2" s="1"/>
  <c r="G36" i="2" s="1"/>
  <c r="G37" i="2" s="1"/>
  <c r="G38" i="2" s="1"/>
  <c r="G39" i="2" s="1"/>
  <c r="G40" i="2" s="1"/>
  <c r="G41" i="2" s="1"/>
  <c r="G42" i="2" s="1"/>
  <c r="M23" i="1"/>
  <c r="G44" i="2" l="1"/>
  <c r="G43" i="2"/>
  <c r="M30" i="2"/>
  <c r="M31" i="2" s="1"/>
  <c r="M32" i="2" s="1"/>
  <c r="M33" i="2" s="1"/>
  <c r="M34" i="2" s="1"/>
  <c r="M35" i="2" s="1"/>
  <c r="M36" i="2" s="1"/>
  <c r="M37" i="2" s="1"/>
  <c r="M38" i="2" s="1"/>
  <c r="M39" i="2" s="1"/>
  <c r="M40" i="2" s="1"/>
  <c r="M41" i="2" s="1"/>
  <c r="M42" i="2" s="1"/>
  <c r="M43" i="2" s="1"/>
  <c r="L24" i="1"/>
  <c r="G24" i="1" s="1"/>
  <c r="H24" i="1" s="1"/>
  <c r="M44" i="2" l="1"/>
  <c r="M45" i="2" s="1"/>
  <c r="M46" i="2" s="1"/>
  <c r="M47" i="2" s="1"/>
  <c r="M48" i="2" s="1"/>
  <c r="M49" i="2" s="1"/>
  <c r="M50" i="2" s="1"/>
  <c r="M24" i="1"/>
  <c r="R50" i="2" l="1"/>
  <c r="R52" i="2" s="1"/>
  <c r="R53" i="2" s="1"/>
  <c r="R54" i="2" s="1"/>
  <c r="R55" i="2" s="1"/>
  <c r="R56" i="2" s="1"/>
  <c r="R57" i="2" s="1"/>
  <c r="R58" i="2" s="1"/>
  <c r="R59" i="2" s="1"/>
  <c r="R60" i="2" s="1"/>
  <c r="R62" i="2" s="1"/>
  <c r="R63" i="2" s="1"/>
  <c r="R64" i="2" s="1"/>
  <c r="R65" i="2" s="1"/>
  <c r="R66" i="2" s="1"/>
  <c r="R67" i="2" s="1"/>
  <c r="R69" i="2" s="1"/>
  <c r="R70" i="2" s="1"/>
  <c r="M51" i="2"/>
  <c r="R51" i="2" s="1"/>
  <c r="L25" i="1"/>
  <c r="G25" i="1" s="1"/>
  <c r="H25" i="1" s="1"/>
  <c r="F52" i="2" l="1"/>
  <c r="G52" i="2" s="1"/>
  <c r="M25" i="1"/>
  <c r="R71" i="2" l="1"/>
  <c r="R72" i="2" s="1"/>
  <c r="M52" i="2"/>
  <c r="F53" i="2" s="1"/>
  <c r="G53" i="2" s="1"/>
  <c r="L26" i="1"/>
  <c r="G26" i="1" s="1"/>
  <c r="H26" i="1" s="1"/>
  <c r="R73" i="2" l="1"/>
  <c r="R74" i="2" s="1"/>
  <c r="R75" i="2" s="1"/>
  <c r="R76" i="2" s="1"/>
  <c r="R77" i="2" s="1"/>
  <c r="R78" i="2" s="1"/>
  <c r="R79" i="2" s="1"/>
  <c r="R80" i="2" s="1"/>
  <c r="R81" i="2" s="1"/>
  <c r="R82" i="2" s="1"/>
  <c r="R83" i="2" s="1"/>
  <c r="R84" i="2" s="1"/>
  <c r="R85" i="2" s="1"/>
  <c r="R86" i="2" s="1"/>
  <c r="R87" i="2" s="1"/>
  <c r="R88" i="2" s="1"/>
  <c r="R89" i="2" s="1"/>
  <c r="R90" i="2" s="1"/>
  <c r="R91" i="2" s="1"/>
  <c r="R92" i="2" s="1"/>
  <c r="R93" i="2" s="1"/>
  <c r="R94" i="2" s="1"/>
  <c r="R95" i="2" s="1"/>
  <c r="R96" i="2" s="1"/>
  <c r="R97" i="2" s="1"/>
  <c r="R98" i="2" s="1"/>
  <c r="R99" i="2" s="1"/>
  <c r="R100" i="2" s="1"/>
  <c r="R101" i="2" s="1"/>
  <c r="R102" i="2" s="1"/>
  <c r="R103" i="2" s="1"/>
  <c r="R104" i="2" s="1"/>
  <c r="R105" i="2" s="1"/>
  <c r="R106" i="2" s="1"/>
  <c r="R107" i="2" s="1"/>
  <c r="R108" i="2" s="1"/>
  <c r="R109" i="2" s="1"/>
  <c r="R110" i="2" s="1"/>
  <c r="R111" i="2" s="1"/>
  <c r="R112" i="2" s="1"/>
  <c r="R113" i="2" s="1"/>
  <c r="R114" i="2" s="1"/>
  <c r="R115" i="2" s="1"/>
  <c r="R116" i="2" s="1"/>
  <c r="R117" i="2" s="1"/>
  <c r="R118" i="2" s="1"/>
  <c r="M53" i="2"/>
  <c r="M26" i="1"/>
  <c r="F54" i="2" l="1"/>
  <c r="G54" i="2" s="1"/>
  <c r="L27" i="1"/>
  <c r="G27" i="1" s="1"/>
  <c r="H27" i="1" s="1"/>
  <c r="M54" i="2" l="1"/>
  <c r="M27" i="1"/>
  <c r="F55" i="2" l="1"/>
  <c r="G55" i="2" s="1"/>
  <c r="L28" i="1"/>
  <c r="G28" i="1" s="1"/>
  <c r="H28" i="1" s="1"/>
  <c r="M55" i="2" l="1"/>
  <c r="M28" i="1"/>
  <c r="F56" i="2" l="1"/>
  <c r="G56" i="2" s="1"/>
  <c r="L29" i="1"/>
  <c r="G29" i="1" s="1"/>
  <c r="H29" i="1" s="1"/>
  <c r="M56" i="2" l="1"/>
  <c r="M29" i="1"/>
  <c r="F57" i="2" l="1"/>
  <c r="G57" i="2" s="1"/>
  <c r="L30" i="1"/>
  <c r="G30" i="1" s="1"/>
  <c r="H30" i="1" s="1"/>
  <c r="H31" i="1" s="1"/>
  <c r="H32" i="1" s="1"/>
  <c r="H33" i="1" s="1"/>
  <c r="H34" i="1" s="1"/>
  <c r="H35" i="1" s="1"/>
  <c r="H36" i="1" s="1"/>
  <c r="H37" i="1" s="1"/>
  <c r="H38" i="1" s="1"/>
  <c r="H39" i="1" s="1"/>
  <c r="H40" i="1" s="1"/>
  <c r="H41" i="1" s="1"/>
  <c r="H42" i="1" s="1"/>
  <c r="M57" i="2" l="1"/>
  <c r="H43" i="1"/>
  <c r="H44" i="1"/>
  <c r="M30" i="1"/>
  <c r="M31" i="1" s="1"/>
  <c r="M32" i="1" s="1"/>
  <c r="M33" i="1" s="1"/>
  <c r="M34" i="1" s="1"/>
  <c r="M35" i="1" s="1"/>
  <c r="M36" i="1" s="1"/>
  <c r="M37" i="1" s="1"/>
  <c r="M38" i="1" s="1"/>
  <c r="M39" i="1" s="1"/>
  <c r="M40" i="1" s="1"/>
  <c r="M41" i="1" s="1"/>
  <c r="M42" i="1" s="1"/>
  <c r="M43" i="1" s="1"/>
  <c r="F58" i="2" l="1"/>
  <c r="G58" i="2" s="1"/>
  <c r="M47" i="1"/>
  <c r="M48" i="1" s="1"/>
  <c r="M49" i="1" s="1"/>
  <c r="M50" i="1" s="1"/>
  <c r="M44" i="1"/>
  <c r="M45" i="1" s="1"/>
  <c r="M46" i="1" s="1"/>
  <c r="M58" i="2" l="1"/>
  <c r="F59" i="2" s="1"/>
  <c r="G59" i="2" s="1"/>
  <c r="M51" i="1"/>
  <c r="R51" i="1" s="1"/>
  <c r="R50" i="1"/>
  <c r="R52" i="1" s="1"/>
  <c r="R53" i="1" s="1"/>
  <c r="R54" i="1" s="1"/>
  <c r="R55" i="1" s="1"/>
  <c r="R56" i="1" s="1"/>
  <c r="R57" i="1" s="1"/>
  <c r="R58" i="1" s="1"/>
  <c r="R59" i="1" s="1"/>
  <c r="R60" i="1" s="1"/>
  <c r="R61" i="1" s="1"/>
  <c r="R62" i="1" s="1"/>
  <c r="R63" i="1" s="1"/>
  <c r="R64" i="1" s="1"/>
  <c r="R65" i="1" s="1"/>
  <c r="R66" i="1" s="1"/>
  <c r="M59" i="2" l="1"/>
  <c r="L52" i="1"/>
  <c r="F60" i="2" l="1"/>
  <c r="G60" i="2" s="1"/>
  <c r="G52" i="1"/>
  <c r="H52" i="1" s="1"/>
  <c r="M52" i="1"/>
  <c r="M60" i="2" l="1"/>
  <c r="M62" i="2" s="1"/>
  <c r="M63" i="2" s="1"/>
  <c r="M64" i="2" s="1"/>
  <c r="M65" i="2" s="1"/>
  <c r="M66" i="2" s="1"/>
  <c r="M67" i="2" s="1"/>
  <c r="M69" i="2" s="1"/>
  <c r="M70" i="2" s="1"/>
  <c r="L53" i="1"/>
  <c r="G53" i="1" s="1"/>
  <c r="H53" i="1" s="1"/>
  <c r="M53" i="1" l="1"/>
  <c r="F62" i="2" l="1"/>
  <c r="G62" i="2" s="1"/>
  <c r="F63" i="2"/>
  <c r="L54" i="1"/>
  <c r="G54" i="1" s="1"/>
  <c r="H54" i="1" s="1"/>
  <c r="G63" i="2" l="1"/>
  <c r="M54" i="1"/>
  <c r="F64" i="2" l="1"/>
  <c r="G64" i="2" s="1"/>
  <c r="L55" i="1"/>
  <c r="G55" i="1" s="1"/>
  <c r="H55" i="1" s="1"/>
  <c r="M55" i="1" l="1"/>
  <c r="F65" i="2" l="1"/>
  <c r="G65" i="2" s="1"/>
  <c r="L56" i="1"/>
  <c r="G56" i="1" s="1"/>
  <c r="H56" i="1" s="1"/>
  <c r="M56" i="1" l="1"/>
  <c r="F66" i="2" l="1"/>
  <c r="G66" i="2" s="1"/>
  <c r="L57" i="1"/>
  <c r="G57" i="1" s="1"/>
  <c r="H57" i="1" s="1"/>
  <c r="M57" i="1" l="1"/>
  <c r="F67" i="2" l="1"/>
  <c r="G67" i="2" s="1"/>
  <c r="L58" i="1"/>
  <c r="G58" i="1" s="1"/>
  <c r="H58" i="1" s="1"/>
  <c r="M58" i="1" l="1"/>
  <c r="G72" i="2"/>
  <c r="G69" i="2"/>
  <c r="G70" i="2" s="1"/>
  <c r="G71" i="2" s="1"/>
  <c r="L59" i="1"/>
  <c r="G59" i="1" s="1"/>
  <c r="H59" i="1" s="1"/>
  <c r="M59" i="1" l="1"/>
  <c r="M71" i="2" l="1"/>
  <c r="M72" i="2" s="1"/>
  <c r="K73" i="2" s="1"/>
  <c r="L60" i="1"/>
  <c r="G60" i="1" s="1"/>
  <c r="H60" i="1" s="1"/>
  <c r="M60" i="1" l="1"/>
  <c r="M73" i="2"/>
  <c r="F73" i="2"/>
  <c r="G73" i="2" s="1"/>
  <c r="L61" i="1" l="1"/>
  <c r="G61" i="1" s="1"/>
  <c r="H61" i="1" s="1"/>
  <c r="M61" i="1"/>
  <c r="K74" i="2"/>
  <c r="F74" i="2" s="1"/>
  <c r="G74" i="2" s="1"/>
  <c r="L62" i="1" l="1"/>
  <c r="G62" i="1" s="1"/>
  <c r="H62" i="1" s="1"/>
  <c r="M62" i="1"/>
  <c r="M74" i="2"/>
  <c r="L63" i="1" l="1"/>
  <c r="G63" i="1" s="1"/>
  <c r="H63" i="1" s="1"/>
  <c r="M63" i="1"/>
  <c r="K75" i="2"/>
  <c r="F75" i="2" s="1"/>
  <c r="G75" i="2" s="1"/>
  <c r="L64" i="1" l="1"/>
  <c r="G64" i="1" s="1"/>
  <c r="H64" i="1" s="1"/>
  <c r="M64" i="1"/>
  <c r="M75" i="2"/>
  <c r="K76" i="2" s="1"/>
  <c r="F76" i="2" s="1"/>
  <c r="G76" i="2" s="1"/>
  <c r="M76" i="2" l="1"/>
  <c r="K77" i="2" s="1"/>
  <c r="F77" i="2" s="1"/>
  <c r="G77" i="2" s="1"/>
  <c r="L65" i="1"/>
  <c r="G65" i="1" s="1"/>
  <c r="H65" i="1" s="1"/>
  <c r="M65" i="1"/>
  <c r="M77" i="2" l="1"/>
  <c r="K78" i="2" s="1"/>
  <c r="F78" i="2" s="1"/>
  <c r="G78" i="2" s="1"/>
  <c r="L66" i="1"/>
  <c r="G66" i="1" s="1"/>
  <c r="H66" i="1" s="1"/>
  <c r="M78" i="2" l="1"/>
  <c r="K79" i="2" s="1"/>
  <c r="F79" i="2" s="1"/>
  <c r="G79" i="2" s="1"/>
  <c r="M66" i="1"/>
  <c r="M79" i="2" l="1"/>
  <c r="K80" i="2" s="1"/>
  <c r="F80" i="2" s="1"/>
  <c r="G80" i="2" s="1"/>
  <c r="M80" i="2" l="1"/>
  <c r="K81" i="2" s="1"/>
  <c r="F81" i="2" s="1"/>
  <c r="G81" i="2" s="1"/>
  <c r="M81" i="2" l="1"/>
  <c r="K82" i="2" s="1"/>
  <c r="F82" i="2" l="1"/>
  <c r="G82" i="2" s="1"/>
  <c r="M82" i="2"/>
  <c r="K83" i="2" s="1"/>
  <c r="F83" i="2" s="1"/>
  <c r="G83" i="2" s="1"/>
  <c r="M83" i="2" l="1"/>
  <c r="K84" i="2" s="1"/>
  <c r="M84" i="2" l="1"/>
  <c r="K85" i="2" s="1"/>
  <c r="F84" i="2"/>
  <c r="G84" i="2" s="1"/>
  <c r="F85" i="2" l="1"/>
  <c r="G85" i="2" s="1"/>
  <c r="M85" i="2"/>
  <c r="K86" i="2" s="1"/>
  <c r="F86" i="2" l="1"/>
  <c r="G86" i="2" s="1"/>
  <c r="M86" i="2"/>
  <c r="K87" i="2" s="1"/>
  <c r="M87" i="2" l="1"/>
  <c r="F87" i="2"/>
  <c r="G87" i="2" s="1"/>
  <c r="K88" i="2" l="1"/>
  <c r="F88" i="2" s="1"/>
  <c r="G88" i="2" s="1"/>
  <c r="M88" i="2" l="1"/>
  <c r="K89" i="2" s="1"/>
  <c r="F89" i="2" s="1"/>
  <c r="G89" i="2" s="1"/>
  <c r="G90" i="2" s="1"/>
  <c r="G91" i="2" s="1"/>
  <c r="G92" i="2" s="1"/>
  <c r="G93" i="2" s="1"/>
  <c r="G94" i="2" s="1"/>
  <c r="G95" i="2" s="1"/>
  <c r="G96" i="2" s="1"/>
  <c r="G97" i="2" s="1"/>
  <c r="G98" i="2" s="1"/>
  <c r="G99" i="2" s="1"/>
  <c r="G100" i="2" s="1"/>
  <c r="G101" i="2" s="1"/>
  <c r="G102" i="2" s="1"/>
  <c r="G103" i="2" s="1"/>
  <c r="G104" i="2" s="1"/>
  <c r="G105" i="2" s="1"/>
  <c r="G106" i="2" s="1"/>
  <c r="G107" i="2" s="1"/>
  <c r="G108" i="2" s="1"/>
  <c r="M89" i="2" l="1"/>
  <c r="M90" i="2" s="1"/>
  <c r="M91" i="2" s="1"/>
  <c r="M92" i="2" s="1"/>
  <c r="M93" i="2" s="1"/>
  <c r="M94" i="2" s="1"/>
  <c r="M95" i="2" s="1"/>
  <c r="M96" i="2" s="1"/>
  <c r="M97" i="2" s="1"/>
  <c r="M98" i="2" s="1"/>
  <c r="M99" i="2" s="1"/>
  <c r="M100" i="2" s="1"/>
  <c r="M101" i="2" s="1"/>
  <c r="M102" i="2" s="1"/>
  <c r="M103" i="2" s="1"/>
  <c r="M104" i="2" s="1"/>
  <c r="M105" i="2" s="1"/>
  <c r="M106" i="2" s="1"/>
  <c r="M107" i="2" s="1"/>
  <c r="M108" i="2" s="1"/>
  <c r="K109" i="2" l="1"/>
  <c r="F109" i="2" s="1"/>
  <c r="G109" i="2" s="1"/>
  <c r="M109" i="2" l="1"/>
  <c r="K110" i="2" l="1"/>
  <c r="F110" i="2" s="1"/>
  <c r="G110" i="2" s="1"/>
  <c r="M110" i="2" l="1"/>
  <c r="K111" i="2" l="1"/>
  <c r="F111" i="2" s="1"/>
  <c r="G111" i="2" s="1"/>
  <c r="M111" i="2" l="1"/>
  <c r="K112" i="2" l="1"/>
  <c r="F112" i="2" s="1"/>
  <c r="G112" i="2" s="1"/>
  <c r="M112" i="2"/>
  <c r="K113" i="2" l="1"/>
  <c r="F113" i="2" s="1"/>
  <c r="G113" i="2" s="1"/>
  <c r="M113" i="2" l="1"/>
  <c r="K114" i="2" l="1"/>
  <c r="F114" i="2" s="1"/>
  <c r="G114" i="2" s="1"/>
  <c r="M114" i="2" l="1"/>
  <c r="K115" i="2" l="1"/>
  <c r="F115" i="2" s="1"/>
  <c r="G115" i="2" s="1"/>
  <c r="M115" i="2" l="1"/>
  <c r="K116" i="2" s="1"/>
  <c r="F116" i="2" l="1"/>
  <c r="G116" i="2" s="1"/>
  <c r="M116" i="2"/>
  <c r="K117" i="2" s="1"/>
  <c r="F117" i="2" l="1"/>
  <c r="G117" i="2" s="1"/>
  <c r="M117" i="2"/>
  <c r="K118" i="2" s="1"/>
  <c r="F118" i="2" l="1"/>
  <c r="G118" i="2" s="1"/>
  <c r="M118" i="2"/>
</calcChain>
</file>

<file path=xl/sharedStrings.xml><?xml version="1.0" encoding="utf-8"?>
<sst xmlns="http://schemas.openxmlformats.org/spreadsheetml/2006/main" count="55" uniqueCount="27">
  <si>
    <t>Rider F - Fuel Adjustment Rider</t>
  </si>
  <si>
    <t xml:space="preserve">Diesel Fuel Price Variances and Rider F Surcharges </t>
  </si>
  <si>
    <t>YEC</t>
  </si>
  <si>
    <t>Combined Company Balances</t>
  </si>
  <si>
    <t>Fuel Price Variance</t>
  </si>
  <si>
    <t>RS 32 SS Adjustment</t>
  </si>
  <si>
    <t>Rider F Surcharge - Industrial</t>
  </si>
  <si>
    <t>Rider F Surcharge - CIS</t>
  </si>
  <si>
    <t>Inter-company Transfer</t>
  </si>
  <si>
    <t>Balance</t>
  </si>
  <si>
    <t>RS 32 - SS Adjustment</t>
  </si>
  <si>
    <t>Rider F Surcharge</t>
  </si>
  <si>
    <t xml:space="preserve">Cumulative Balance </t>
  </si>
  <si>
    <t>Monthly Change</t>
  </si>
  <si>
    <t>RS 32 Adjustment (1)</t>
  </si>
  <si>
    <t>GRA True-up Rider Adjustment for 2012</t>
  </si>
  <si>
    <t>GRA True-up Rider Adjustment for Jan.-Mar. 2013</t>
  </si>
  <si>
    <t>Apr.1/13</t>
  </si>
  <si>
    <t>Notes:</t>
  </si>
  <si>
    <t>1. While preparing the GRA Compliance filing in spring 2013, it was noted that during 2011 the RS 32 SS Adjustment calculation added, instead of subtracted, 1.1 cents to GRA approved Rate Schedule 32 (Secondary Energy) rates. The reversal of this error benefits ratepayers by $12.14 thousand and is recorded as a correction to the December 2012 ending balance.</t>
  </si>
  <si>
    <t>ATCO Electric Yukon</t>
  </si>
  <si>
    <t>GRA True-Up Adjustment</t>
  </si>
  <si>
    <t>GRA True-up Rider Adjustment for 2013 (2)</t>
  </si>
  <si>
    <t>GRA True-up Rider Adjustment for Jan.-Jun. 2014 (2)</t>
  </si>
  <si>
    <t>Rider F - Fuel Adjustment Rider Continuity Schedule</t>
  </si>
  <si>
    <t>GRA True-up Rider Adjustment for 2016</t>
  </si>
  <si>
    <t>GRA True-up Rider Adjustment for Jan-Jun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</si>
</sst>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quot;$&quot;* #,##0.00_);_(&quot;$&quot;* \(#,##0.00\);_(&quot;$&quot;* &quot;-&quot;??_);_(@_)"/>
    <numFmt numFmtId="165" formatCode="_(* #,##0.00_);_(* \(#,##0.00\);_(* &quot;-&quot;??_);_(@_)"/>
    <numFmt numFmtId="166" formatCode="_(* #,##0_);_(* \(#,##0\);_(* &quot;-&quot;??_);_(@_)"/>
    <numFmt numFmtId="167" formatCode="_(* #,##0.0000_);_(* \(#,##0.0000\);_(* &quot;-&quot;??_);_(@_)"/>
    <numFmt numFmtId="168" formatCode="_(* #,##0.000_);_(* \(#,##0.000\);_(* &quot;-&quot;??_);_(@_)"/>
  </numFmts>
  <fonts count="11" x14ac:knownFonts="1">
    <font>
      <sz val="10"/>
      <name val="Arial"/>
      <family val="2"/>
    </font>
    <font>
      <sz val="11"/>
      <color theme="1"/>
      <name val="Calibri"/>
      <family val="2"/>
      <scheme val="minor"/>
    </font>
    <font>
      <sz val="10"/>
      <name val="Arial"/>
      <family val="2"/>
    </font>
    <font>
      <b/>
      <sz val="11"/>
      <name val="Arial"/>
      <family val="2"/>
    </font>
    <font>
      <b/>
      <sz val="10"/>
      <name val="Arial"/>
      <family val="2"/>
    </font>
    <font>
      <b/>
      <vertAlign val="superscript"/>
      <sz val="10"/>
      <name val="Arial"/>
      <family val="2"/>
    </font>
    <font>
      <sz val="8"/>
      <name val="Arial"/>
      <family val="2"/>
    </font>
    <font>
      <b/>
      <sz val="8"/>
      <name val="Arial"/>
      <family val="2"/>
    </font>
    <font>
      <sz val="11"/>
      <name val="Arial"/>
      <family val="2"/>
    </font>
    <font>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
    <xf numFmtId="0" fontId="0" fillId="0" borderId="0"/>
    <xf numFmtId="165" fontId="2" fillId="0" borderId="0" applyFont="0" applyFill="0" applyBorder="0" applyAlignment="0" applyProtection="0"/>
    <xf numFmtId="165" fontId="2"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0" fontId="2" fillId="0" borderId="0"/>
    <xf numFmtId="0" fontId="8" fillId="0" borderId="0"/>
    <xf numFmtId="0" fontId="1" fillId="0" borderId="0"/>
    <xf numFmtId="0" fontId="9" fillId="0" borderId="0"/>
    <xf numFmtId="9" fontId="2" fillId="0" borderId="0" applyFont="0" applyFill="0" applyBorder="0" applyAlignment="0" applyProtection="0"/>
    <xf numFmtId="9" fontId="2" fillId="0" borderId="0" applyFont="0" applyFill="0" applyBorder="0" applyAlignment="0" applyProtection="0"/>
  </cellStyleXfs>
  <cellXfs count="51">
    <xf numFmtId="0" fontId="0" fillId="0" borderId="0" xfId="0"/>
    <xf numFmtId="0" fontId="3" fillId="0" borderId="0" xfId="0" applyFont="1"/>
    <xf numFmtId="0" fontId="2" fillId="0" borderId="0" xfId="0" applyFont="1"/>
    <xf numFmtId="0" fontId="2" fillId="0" borderId="0" xfId="0" applyFont="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17" fontId="4" fillId="0" borderId="0" xfId="0" applyNumberFormat="1" applyFont="1" applyFill="1"/>
    <xf numFmtId="165" fontId="4" fillId="0" borderId="0" xfId="1" applyFont="1" applyFill="1"/>
    <xf numFmtId="166" fontId="4" fillId="0" borderId="0" xfId="1" applyNumberFormat="1" applyFont="1" applyFill="1"/>
    <xf numFmtId="166" fontId="4" fillId="0" borderId="0" xfId="0" applyNumberFormat="1" applyFont="1" applyFill="1"/>
    <xf numFmtId="0" fontId="4" fillId="0" borderId="0" xfId="0" applyFont="1" applyFill="1"/>
    <xf numFmtId="166" fontId="4" fillId="2" borderId="0" xfId="0" applyNumberFormat="1" applyFont="1" applyFill="1"/>
    <xf numFmtId="165" fontId="4" fillId="2" borderId="0" xfId="1" applyNumberFormat="1" applyFont="1" applyFill="1"/>
    <xf numFmtId="166" fontId="4" fillId="2" borderId="0" xfId="1" applyNumberFormat="1" applyFont="1" applyFill="1"/>
    <xf numFmtId="166" fontId="2" fillId="0" borderId="0" xfId="0" applyNumberFormat="1" applyFont="1"/>
    <xf numFmtId="165" fontId="4" fillId="0" borderId="0" xfId="0" applyNumberFormat="1" applyFont="1" applyFill="1"/>
    <xf numFmtId="17" fontId="2" fillId="0" borderId="0" xfId="0" applyNumberFormat="1" applyFont="1" applyFill="1"/>
    <xf numFmtId="165" fontId="2" fillId="0" borderId="0" xfId="1" applyFont="1" applyFill="1"/>
    <xf numFmtId="166" fontId="2" fillId="0" borderId="0" xfId="1" applyNumberFormat="1" applyFont="1" applyFill="1"/>
    <xf numFmtId="166" fontId="2" fillId="0" borderId="0" xfId="0" applyNumberFormat="1" applyFont="1" applyFill="1"/>
    <xf numFmtId="165" fontId="2" fillId="0" borderId="0" xfId="1" applyNumberFormat="1" applyFont="1" applyFill="1"/>
    <xf numFmtId="0" fontId="2" fillId="0" borderId="0" xfId="0" applyFont="1" applyFill="1"/>
    <xf numFmtId="166" fontId="2" fillId="2" borderId="0" xfId="0" applyNumberFormat="1" applyFont="1" applyFill="1"/>
    <xf numFmtId="165" fontId="2" fillId="2" borderId="0" xfId="1" applyNumberFormat="1" applyFont="1" applyFill="1"/>
    <xf numFmtId="166" fontId="2" fillId="2" borderId="0" xfId="1" applyNumberFormat="1" applyFont="1" applyFill="1"/>
    <xf numFmtId="165" fontId="2" fillId="0" borderId="0" xfId="0" applyNumberFormat="1" applyFont="1" applyFill="1"/>
    <xf numFmtId="17" fontId="2" fillId="2" borderId="0" xfId="0" applyNumberFormat="1" applyFont="1" applyFill="1"/>
    <xf numFmtId="165" fontId="2" fillId="2" borderId="0" xfId="1" applyFont="1" applyFill="1"/>
    <xf numFmtId="0" fontId="2" fillId="2" borderId="0" xfId="0" applyFont="1" applyFill="1"/>
    <xf numFmtId="165" fontId="2" fillId="2" borderId="0" xfId="0" applyNumberFormat="1" applyFont="1" applyFill="1"/>
    <xf numFmtId="17" fontId="4" fillId="2" borderId="0" xfId="0" applyNumberFormat="1" applyFont="1" applyFill="1"/>
    <xf numFmtId="166" fontId="4" fillId="0" borderId="0" xfId="0" applyNumberFormat="1" applyFont="1"/>
    <xf numFmtId="165" fontId="4" fillId="2" borderId="0" xfId="0" applyNumberFormat="1" applyFont="1" applyFill="1"/>
    <xf numFmtId="0" fontId="4" fillId="2" borderId="0" xfId="0" applyFont="1" applyFill="1"/>
    <xf numFmtId="166" fontId="0" fillId="0" borderId="0" xfId="0" applyNumberFormat="1" applyFont="1" applyFill="1"/>
    <xf numFmtId="1" fontId="5" fillId="2" borderId="0" xfId="0" applyNumberFormat="1" applyFont="1" applyFill="1" applyAlignment="1">
      <alignment horizontal="left"/>
    </xf>
    <xf numFmtId="166" fontId="4" fillId="0" borderId="0" xfId="1" applyNumberFormat="1" applyFont="1" applyFill="1" applyAlignment="1">
      <alignment horizontal="right"/>
    </xf>
    <xf numFmtId="0" fontId="6" fillId="0" borderId="0" xfId="0" applyFont="1"/>
    <xf numFmtId="166" fontId="0" fillId="2" borderId="0" xfId="0" applyNumberFormat="1" applyFont="1" applyFill="1"/>
    <xf numFmtId="0" fontId="7" fillId="0" borderId="0" xfId="0" applyFont="1"/>
    <xf numFmtId="17" fontId="0" fillId="0" borderId="0" xfId="0" applyNumberFormat="1" applyFont="1" applyFill="1"/>
    <xf numFmtId="168" fontId="4" fillId="0" borderId="0" xfId="1" applyNumberFormat="1" applyFont="1" applyFill="1"/>
    <xf numFmtId="168" fontId="2" fillId="0" borderId="0" xfId="1" applyNumberFormat="1" applyFont="1" applyFill="1"/>
    <xf numFmtId="165" fontId="0" fillId="0" borderId="0" xfId="0" applyNumberFormat="1" applyFont="1" applyFill="1"/>
    <xf numFmtId="166" fontId="10" fillId="0" borderId="0" xfId="1" applyNumberFormat="1" applyFont="1"/>
    <xf numFmtId="166" fontId="6" fillId="0" borderId="0" xfId="0" applyNumberFormat="1" applyFont="1"/>
    <xf numFmtId="0" fontId="3" fillId="0" borderId="0" xfId="0" applyFont="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1" fontId="5" fillId="2" borderId="0" xfId="0" applyNumberFormat="1" applyFont="1" applyFill="1" applyAlignment="1">
      <alignment horizontal="left" vertical="center" wrapText="1"/>
    </xf>
  </cellXfs>
  <cellStyles count="14">
    <cellStyle name="Comma" xfId="1" builtinId="3"/>
    <cellStyle name="Comma 2" xfId="2"/>
    <cellStyle name="Comma 2 2" xfId="3"/>
    <cellStyle name="Comma 3" xfId="4"/>
    <cellStyle name="Comma 4" xfId="5"/>
    <cellStyle name="Comma 5" xfId="6"/>
    <cellStyle name="Currency 2" xfId="7"/>
    <cellStyle name="Normal" xfId="0" builtinId="0"/>
    <cellStyle name="Normal 2" xfId="8"/>
    <cellStyle name="Normal 3" xfId="9"/>
    <cellStyle name="Normal 4" xfId="10"/>
    <cellStyle name="Normal 5" xfId="11"/>
    <cellStyle name="Percent 2" xfId="12"/>
    <cellStyle name="Percent 3"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uhhl\Local%20Settings\Temporary%20Internet%20Files\OLKBA\Rider%20F%20-%20to%20Jan%2009%20-%20three%20versions%20-%20tom%20090204%20a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306\6.0\BP\08%20BP\Reg%20Model%20and%20Supporting%20Files\Sales%20and%20Generation%20-%202008-12%20B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amp; Collections"/>
      <sheetName val="YUB 2005-12 Rider F Adjmt"/>
      <sheetName val="2008 DFPV using 2005 rates"/>
      <sheetName val="Status Quo"/>
      <sheetName val="Pro-forma change at 090301 stat"/>
      <sheetName val="Pro-forma change at 090301 YECL"/>
      <sheetName val="Pro-forma change at 090301YEC G"/>
      <sheetName val="2009 GRA Rates"/>
      <sheetName val="2008 DFPV using 2008 GRA rates"/>
      <sheetName val="Rider F (2)"/>
    </sheetNames>
    <sheetDataSet>
      <sheetData sheetId="0"/>
      <sheetData sheetId="1" refreshError="1"/>
      <sheetData sheetId="2"/>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YEC"/>
      <sheetName val="Mayo Dawson Combined"/>
      <sheetName val="Dawson with hydro"/>
      <sheetName val="Mayo"/>
      <sheetName val="N Klondike Hwy"/>
      <sheetName val="WAF"/>
      <sheetName val="WAF Res &amp; Com"/>
      <sheetName val="WAF Secondary Sls"/>
      <sheetName val="N.Klondike Res. Fsct"/>
      <sheetName val="N.Klondike GS. Fsct"/>
      <sheetName val="Faro GS fcst"/>
      <sheetName val="Braeburn GS Fcst"/>
      <sheetName val="Champagne GS Fcst"/>
      <sheetName val="POP WAF Distribution"/>
      <sheetName val="DawsonWith Diesel"/>
      <sheetName val="Wholesales"/>
    </sheetNames>
    <sheetDataSet>
      <sheetData sheetId="0"/>
      <sheetData sheetId="1">
        <row r="209">
          <cell r="C209">
            <v>984</v>
          </cell>
        </row>
      </sheetData>
      <sheetData sheetId="2">
        <row r="10">
          <cell r="C10">
            <v>500</v>
          </cell>
        </row>
      </sheetData>
      <sheetData sheetId="3">
        <row r="12">
          <cell r="C12">
            <v>191</v>
          </cell>
        </row>
      </sheetData>
      <sheetData sheetId="4">
        <row r="13">
          <cell r="U13">
            <v>0</v>
          </cell>
        </row>
      </sheetData>
      <sheetData sheetId="5">
        <row r="8">
          <cell r="A8" t="str">
            <v>1986</v>
          </cell>
          <cell r="B8" t="str">
            <v>JAN</v>
          </cell>
          <cell r="C8">
            <v>75</v>
          </cell>
          <cell r="D8">
            <v>653.33333333333337</v>
          </cell>
          <cell r="E8">
            <v>49000</v>
          </cell>
          <cell r="F8">
            <v>55</v>
          </cell>
          <cell r="G8">
            <v>5645.454545454545</v>
          </cell>
          <cell r="H8">
            <v>310500</v>
          </cell>
          <cell r="I8">
            <v>10513</v>
          </cell>
          <cell r="J8">
            <v>290</v>
          </cell>
          <cell r="K8">
            <v>370303</v>
          </cell>
        </row>
        <row r="9">
          <cell r="B9" t="str">
            <v>FEB</v>
          </cell>
          <cell r="C9">
            <v>100</v>
          </cell>
          <cell r="D9">
            <v>610</v>
          </cell>
          <cell r="E9">
            <v>61000</v>
          </cell>
          <cell r="F9">
            <v>60</v>
          </cell>
          <cell r="G9">
            <v>5175</v>
          </cell>
          <cell r="H9">
            <v>310500</v>
          </cell>
          <cell r="I9">
            <v>10513</v>
          </cell>
          <cell r="J9">
            <v>290</v>
          </cell>
          <cell r="K9">
            <v>382303</v>
          </cell>
        </row>
        <row r="10">
          <cell r="B10" t="str">
            <v>MAR</v>
          </cell>
          <cell r="C10">
            <v>125</v>
          </cell>
          <cell r="D10">
            <v>496</v>
          </cell>
          <cell r="E10">
            <v>62000</v>
          </cell>
          <cell r="F10">
            <v>63</v>
          </cell>
          <cell r="G10">
            <v>5992.063492063492</v>
          </cell>
          <cell r="H10">
            <v>377500</v>
          </cell>
          <cell r="I10">
            <v>10513</v>
          </cell>
          <cell r="J10">
            <v>290</v>
          </cell>
          <cell r="K10">
            <v>450303</v>
          </cell>
        </row>
        <row r="11">
          <cell r="B11" t="str">
            <v>APR</v>
          </cell>
          <cell r="C11">
            <v>150</v>
          </cell>
          <cell r="D11">
            <v>586.66666666666663</v>
          </cell>
          <cell r="E11">
            <v>88000</v>
          </cell>
          <cell r="F11">
            <v>65</v>
          </cell>
          <cell r="G11">
            <v>5807.6923076923076</v>
          </cell>
          <cell r="H11">
            <v>377500</v>
          </cell>
          <cell r="I11">
            <v>10513</v>
          </cell>
          <cell r="J11">
            <v>290</v>
          </cell>
          <cell r="K11">
            <v>476303</v>
          </cell>
        </row>
        <row r="12">
          <cell r="B12" t="str">
            <v>MAY</v>
          </cell>
          <cell r="C12">
            <v>164</v>
          </cell>
          <cell r="D12">
            <v>963.41463414634143</v>
          </cell>
          <cell r="E12">
            <v>158000</v>
          </cell>
          <cell r="F12">
            <v>66</v>
          </cell>
          <cell r="G12">
            <v>4287.878787878788</v>
          </cell>
          <cell r="H12">
            <v>283000</v>
          </cell>
          <cell r="I12">
            <v>10513</v>
          </cell>
          <cell r="J12">
            <v>290</v>
          </cell>
          <cell r="K12">
            <v>451803</v>
          </cell>
        </row>
        <row r="13">
          <cell r="B13" t="str">
            <v>JUN</v>
          </cell>
          <cell r="C13">
            <v>230</v>
          </cell>
          <cell r="D13">
            <v>852.17391304347825</v>
          </cell>
          <cell r="E13">
            <v>196000</v>
          </cell>
          <cell r="F13">
            <v>70</v>
          </cell>
          <cell r="G13">
            <v>4157.1428571428569</v>
          </cell>
          <cell r="H13">
            <v>291000</v>
          </cell>
          <cell r="I13">
            <v>10513</v>
          </cell>
          <cell r="J13">
            <v>290</v>
          </cell>
          <cell r="K13">
            <v>497803</v>
          </cell>
        </row>
        <row r="14">
          <cell r="B14" t="str">
            <v>JUL</v>
          </cell>
          <cell r="C14">
            <v>309</v>
          </cell>
          <cell r="D14">
            <v>682.84789644012949</v>
          </cell>
          <cell r="E14">
            <v>211000</v>
          </cell>
          <cell r="F14">
            <v>75</v>
          </cell>
          <cell r="G14">
            <v>3133.3333333333335</v>
          </cell>
          <cell r="H14">
            <v>235000</v>
          </cell>
          <cell r="I14">
            <v>10513</v>
          </cell>
          <cell r="J14">
            <v>290</v>
          </cell>
          <cell r="K14">
            <v>456803</v>
          </cell>
        </row>
        <row r="15">
          <cell r="B15" t="str">
            <v>AUG</v>
          </cell>
          <cell r="C15">
            <v>319</v>
          </cell>
          <cell r="D15">
            <v>592.47648902821322</v>
          </cell>
          <cell r="E15">
            <v>189000</v>
          </cell>
          <cell r="F15">
            <v>71</v>
          </cell>
          <cell r="G15">
            <v>2690.1408450704225</v>
          </cell>
          <cell r="H15">
            <v>191000</v>
          </cell>
          <cell r="I15">
            <v>10513</v>
          </cell>
          <cell r="J15">
            <v>290</v>
          </cell>
          <cell r="K15">
            <v>390803</v>
          </cell>
        </row>
        <row r="16">
          <cell r="B16" t="str">
            <v>SEP</v>
          </cell>
          <cell r="C16">
            <v>356</v>
          </cell>
          <cell r="D16">
            <v>648.87640449438197</v>
          </cell>
          <cell r="E16">
            <v>231000</v>
          </cell>
          <cell r="F16">
            <v>67</v>
          </cell>
          <cell r="G16">
            <v>3268.6567164179105</v>
          </cell>
          <cell r="H16">
            <v>219000</v>
          </cell>
          <cell r="I16">
            <v>10513</v>
          </cell>
          <cell r="J16">
            <v>290</v>
          </cell>
          <cell r="K16">
            <v>460803</v>
          </cell>
        </row>
        <row r="17">
          <cell r="B17" t="str">
            <v>OCT</v>
          </cell>
          <cell r="C17">
            <v>394</v>
          </cell>
          <cell r="D17">
            <v>677.6649746192893</v>
          </cell>
          <cell r="E17">
            <v>267000</v>
          </cell>
          <cell r="F17">
            <v>62</v>
          </cell>
          <cell r="G17">
            <v>4967.7419354838712</v>
          </cell>
          <cell r="H17">
            <v>308000</v>
          </cell>
          <cell r="I17">
            <v>10513</v>
          </cell>
          <cell r="J17">
            <v>290</v>
          </cell>
          <cell r="K17">
            <v>585803</v>
          </cell>
        </row>
        <row r="18">
          <cell r="B18" t="str">
            <v>NOV</v>
          </cell>
          <cell r="C18">
            <v>423</v>
          </cell>
          <cell r="D18">
            <v>664.3026004728132</v>
          </cell>
          <cell r="E18">
            <v>281000</v>
          </cell>
          <cell r="F18">
            <v>64</v>
          </cell>
          <cell r="G18">
            <v>5859.375</v>
          </cell>
          <cell r="H18">
            <v>375000</v>
          </cell>
          <cell r="I18">
            <v>10513</v>
          </cell>
          <cell r="J18">
            <v>290</v>
          </cell>
          <cell r="K18">
            <v>666803</v>
          </cell>
        </row>
        <row r="19">
          <cell r="B19" t="str">
            <v>DEC</v>
          </cell>
          <cell r="C19">
            <v>427</v>
          </cell>
          <cell r="D19">
            <v>1025.7611241217799</v>
          </cell>
          <cell r="E19">
            <v>438000</v>
          </cell>
          <cell r="F19">
            <v>67</v>
          </cell>
          <cell r="G19">
            <v>6000</v>
          </cell>
          <cell r="H19">
            <v>402000</v>
          </cell>
          <cell r="I19">
            <v>10513</v>
          </cell>
          <cell r="J19">
            <v>290</v>
          </cell>
          <cell r="K19">
            <v>850803</v>
          </cell>
        </row>
        <row r="20">
          <cell r="A20">
            <v>1987</v>
          </cell>
          <cell r="B20" t="str">
            <v>JAN</v>
          </cell>
          <cell r="C20">
            <v>392</v>
          </cell>
          <cell r="D20">
            <v>1005.1020408163265</v>
          </cell>
          <cell r="E20">
            <v>394000</v>
          </cell>
          <cell r="F20">
            <v>64</v>
          </cell>
          <cell r="G20">
            <v>6287.5</v>
          </cell>
          <cell r="H20">
            <v>402400</v>
          </cell>
          <cell r="I20">
            <v>10513</v>
          </cell>
          <cell r="J20">
            <v>290</v>
          </cell>
          <cell r="K20">
            <v>807203</v>
          </cell>
        </row>
        <row r="21">
          <cell r="B21" t="str">
            <v>FEB</v>
          </cell>
          <cell r="C21">
            <v>435</v>
          </cell>
          <cell r="D21">
            <v>840.919540229885</v>
          </cell>
          <cell r="E21">
            <v>365800</v>
          </cell>
          <cell r="F21">
            <v>86</v>
          </cell>
          <cell r="G21">
            <v>3047.6744186046512</v>
          </cell>
          <cell r="H21">
            <v>262100</v>
          </cell>
          <cell r="I21">
            <v>10513</v>
          </cell>
          <cell r="J21">
            <v>290</v>
          </cell>
          <cell r="K21">
            <v>638703</v>
          </cell>
        </row>
        <row r="22">
          <cell r="B22" t="str">
            <v>MAR</v>
          </cell>
          <cell r="C22">
            <v>461</v>
          </cell>
          <cell r="D22">
            <v>908.0260303687636</v>
          </cell>
          <cell r="E22">
            <v>418600</v>
          </cell>
          <cell r="F22">
            <v>78</v>
          </cell>
          <cell r="G22">
            <v>6347.4358974358975</v>
          </cell>
          <cell r="H22">
            <v>495100</v>
          </cell>
          <cell r="I22">
            <v>10513</v>
          </cell>
          <cell r="J22">
            <v>290</v>
          </cell>
          <cell r="K22">
            <v>924503</v>
          </cell>
        </row>
        <row r="23">
          <cell r="B23" t="str">
            <v>APR</v>
          </cell>
          <cell r="C23">
            <v>415</v>
          </cell>
          <cell r="D23">
            <v>855.42168674698792</v>
          </cell>
          <cell r="E23">
            <v>355000</v>
          </cell>
          <cell r="F23">
            <v>78</v>
          </cell>
          <cell r="G23">
            <v>6382.0512820512822</v>
          </cell>
          <cell r="H23">
            <v>497800</v>
          </cell>
          <cell r="I23">
            <v>10513</v>
          </cell>
          <cell r="J23">
            <v>290</v>
          </cell>
          <cell r="K23">
            <v>863603</v>
          </cell>
        </row>
        <row r="24">
          <cell r="B24" t="str">
            <v>MAY</v>
          </cell>
          <cell r="C24">
            <v>445</v>
          </cell>
          <cell r="D24">
            <v>833.87640449438197</v>
          </cell>
          <cell r="E24">
            <v>371075</v>
          </cell>
          <cell r="F24">
            <v>85</v>
          </cell>
          <cell r="G24">
            <v>3607.8117647058825</v>
          </cell>
          <cell r="H24">
            <v>306664</v>
          </cell>
          <cell r="I24">
            <v>10513</v>
          </cell>
          <cell r="J24">
            <v>290</v>
          </cell>
          <cell r="K24">
            <v>688542</v>
          </cell>
        </row>
        <row r="25">
          <cell r="B25" t="str">
            <v>JUN</v>
          </cell>
          <cell r="C25">
            <v>392</v>
          </cell>
          <cell r="D25">
            <v>894.49489795918362</v>
          </cell>
          <cell r="E25">
            <v>350642</v>
          </cell>
          <cell r="F25">
            <v>64</v>
          </cell>
          <cell r="G25">
            <v>4563.96875</v>
          </cell>
          <cell r="H25">
            <v>292094</v>
          </cell>
          <cell r="I25">
            <v>10513</v>
          </cell>
          <cell r="J25">
            <v>290</v>
          </cell>
          <cell r="K25">
            <v>653539</v>
          </cell>
        </row>
        <row r="26">
          <cell r="B26" t="str">
            <v>JUL</v>
          </cell>
          <cell r="C26">
            <v>389</v>
          </cell>
          <cell r="D26">
            <v>784.71465295629821</v>
          </cell>
          <cell r="E26">
            <v>305254</v>
          </cell>
          <cell r="F26">
            <v>69</v>
          </cell>
          <cell r="G26">
            <v>3402.985507246377</v>
          </cell>
          <cell r="H26">
            <v>234806</v>
          </cell>
          <cell r="I26">
            <v>10513</v>
          </cell>
          <cell r="J26">
            <v>290</v>
          </cell>
          <cell r="K26">
            <v>550863</v>
          </cell>
        </row>
        <row r="27">
          <cell r="B27" t="str">
            <v>AUG</v>
          </cell>
          <cell r="C27">
            <v>393</v>
          </cell>
          <cell r="D27">
            <v>677.2722646310433</v>
          </cell>
          <cell r="E27">
            <v>266168</v>
          </cell>
          <cell r="F27">
            <v>68</v>
          </cell>
          <cell r="G27">
            <v>3195.2352941176468</v>
          </cell>
          <cell r="H27">
            <v>217276</v>
          </cell>
          <cell r="I27">
            <v>10513</v>
          </cell>
          <cell r="J27">
            <v>290</v>
          </cell>
          <cell r="K27">
            <v>494247</v>
          </cell>
        </row>
        <row r="28">
          <cell r="B28" t="str">
            <v>SEP</v>
          </cell>
          <cell r="C28">
            <v>394</v>
          </cell>
          <cell r="D28">
            <v>796.53045685279187</v>
          </cell>
          <cell r="E28">
            <v>313833</v>
          </cell>
          <cell r="F28">
            <v>71</v>
          </cell>
          <cell r="G28">
            <v>4240.7183098591549</v>
          </cell>
          <cell r="H28">
            <v>301091</v>
          </cell>
          <cell r="I28">
            <v>10513</v>
          </cell>
          <cell r="J28">
            <v>290</v>
          </cell>
          <cell r="K28">
            <v>625727</v>
          </cell>
        </row>
        <row r="29">
          <cell r="B29" t="str">
            <v>OCT</v>
          </cell>
          <cell r="C29">
            <v>408</v>
          </cell>
          <cell r="D29">
            <v>818.36764705882354</v>
          </cell>
          <cell r="E29">
            <v>333894</v>
          </cell>
          <cell r="F29">
            <v>73</v>
          </cell>
          <cell r="G29">
            <v>3008.5616438356165</v>
          </cell>
          <cell r="H29">
            <v>219625</v>
          </cell>
          <cell r="I29">
            <v>10513</v>
          </cell>
          <cell r="J29">
            <v>290</v>
          </cell>
          <cell r="K29">
            <v>564322</v>
          </cell>
        </row>
        <row r="30">
          <cell r="B30" t="str">
            <v>NOV</v>
          </cell>
          <cell r="C30">
            <v>412</v>
          </cell>
          <cell r="D30">
            <v>845.21116504854365</v>
          </cell>
          <cell r="E30">
            <v>348227</v>
          </cell>
          <cell r="F30">
            <v>75</v>
          </cell>
          <cell r="G30">
            <v>4679.5333333333338</v>
          </cell>
          <cell r="H30">
            <v>350965</v>
          </cell>
          <cell r="I30">
            <v>10513</v>
          </cell>
          <cell r="J30">
            <v>290</v>
          </cell>
          <cell r="K30">
            <v>709995</v>
          </cell>
        </row>
        <row r="31">
          <cell r="B31" t="str">
            <v>DEC</v>
          </cell>
          <cell r="C31">
            <v>413</v>
          </cell>
          <cell r="D31">
            <v>1033.641646489104</v>
          </cell>
          <cell r="E31">
            <v>426894</v>
          </cell>
          <cell r="F31">
            <v>75</v>
          </cell>
          <cell r="G31">
            <v>5230.7733333333335</v>
          </cell>
          <cell r="H31">
            <v>392308</v>
          </cell>
          <cell r="I31">
            <v>10513</v>
          </cell>
          <cell r="J31">
            <v>290</v>
          </cell>
          <cell r="K31">
            <v>830005</v>
          </cell>
        </row>
        <row r="32">
          <cell r="A32">
            <v>1988</v>
          </cell>
          <cell r="B32" t="str">
            <v>JAN</v>
          </cell>
          <cell r="C32">
            <v>424</v>
          </cell>
          <cell r="D32">
            <v>1240.632075471698</v>
          </cell>
          <cell r="E32">
            <v>526028</v>
          </cell>
          <cell r="F32">
            <v>75</v>
          </cell>
          <cell r="G32">
            <v>5659.0533333333333</v>
          </cell>
          <cell r="H32">
            <v>424429</v>
          </cell>
          <cell r="I32">
            <v>10513</v>
          </cell>
          <cell r="J32">
            <v>290</v>
          </cell>
          <cell r="K32">
            <v>961260</v>
          </cell>
        </row>
        <row r="33">
          <cell r="B33" t="str">
            <v>FEB</v>
          </cell>
          <cell r="C33">
            <v>424</v>
          </cell>
          <cell r="D33">
            <v>1251.7735849056603</v>
          </cell>
          <cell r="E33">
            <v>530752</v>
          </cell>
          <cell r="F33">
            <v>76</v>
          </cell>
          <cell r="G33">
            <v>5766.9868421052633</v>
          </cell>
          <cell r="H33">
            <v>438291</v>
          </cell>
          <cell r="I33">
            <v>10513</v>
          </cell>
          <cell r="J33">
            <v>290</v>
          </cell>
          <cell r="K33">
            <v>979846</v>
          </cell>
        </row>
        <row r="34">
          <cell r="B34" t="str">
            <v>MAR</v>
          </cell>
          <cell r="C34">
            <v>425</v>
          </cell>
          <cell r="D34">
            <v>1038.5623529411764</v>
          </cell>
          <cell r="E34">
            <v>441389</v>
          </cell>
          <cell r="F34">
            <v>77</v>
          </cell>
          <cell r="G34">
            <v>4332.636363636364</v>
          </cell>
          <cell r="H34">
            <v>333613</v>
          </cell>
          <cell r="I34">
            <v>10513</v>
          </cell>
          <cell r="J34">
            <v>290</v>
          </cell>
          <cell r="K34">
            <v>785805</v>
          </cell>
        </row>
        <row r="35">
          <cell r="B35" t="str">
            <v>APR</v>
          </cell>
          <cell r="C35">
            <v>436</v>
          </cell>
          <cell r="D35">
            <v>959.32110091743118</v>
          </cell>
          <cell r="E35">
            <v>418264</v>
          </cell>
          <cell r="F35">
            <v>79</v>
          </cell>
          <cell r="G35">
            <v>5110.7594936708865</v>
          </cell>
          <cell r="H35">
            <v>403750</v>
          </cell>
          <cell r="I35">
            <v>10513</v>
          </cell>
          <cell r="J35">
            <v>290</v>
          </cell>
          <cell r="K35">
            <v>832817</v>
          </cell>
        </row>
        <row r="36">
          <cell r="B36" t="str">
            <v>MAY</v>
          </cell>
          <cell r="C36">
            <v>426</v>
          </cell>
          <cell r="D36">
            <v>795.76995305164314</v>
          </cell>
          <cell r="E36">
            <v>338998</v>
          </cell>
          <cell r="F36">
            <v>79</v>
          </cell>
          <cell r="G36">
            <v>3763.3417721518986</v>
          </cell>
          <cell r="H36">
            <v>297304</v>
          </cell>
          <cell r="I36">
            <v>10513</v>
          </cell>
          <cell r="J36">
            <v>290</v>
          </cell>
          <cell r="K36">
            <v>647105</v>
          </cell>
        </row>
        <row r="37">
          <cell r="B37" t="str">
            <v>JUN</v>
          </cell>
          <cell r="C37">
            <v>418</v>
          </cell>
          <cell r="D37">
            <v>729.81339712918657</v>
          </cell>
          <cell r="E37">
            <v>305062</v>
          </cell>
          <cell r="F37">
            <v>79</v>
          </cell>
          <cell r="G37">
            <v>3083.7088607594937</v>
          </cell>
          <cell r="H37">
            <v>243613</v>
          </cell>
          <cell r="I37">
            <v>10513</v>
          </cell>
          <cell r="J37">
            <v>290</v>
          </cell>
          <cell r="K37">
            <v>559478</v>
          </cell>
        </row>
        <row r="38">
          <cell r="B38" t="str">
            <v>JUL</v>
          </cell>
          <cell r="C38">
            <v>407</v>
          </cell>
          <cell r="D38">
            <v>660.22113022113024</v>
          </cell>
          <cell r="E38">
            <v>268710</v>
          </cell>
          <cell r="F38">
            <v>76</v>
          </cell>
          <cell r="G38">
            <v>2763.8552631578946</v>
          </cell>
          <cell r="H38">
            <v>210053</v>
          </cell>
          <cell r="I38">
            <v>10513</v>
          </cell>
          <cell r="J38">
            <v>290</v>
          </cell>
          <cell r="K38">
            <v>489566</v>
          </cell>
        </row>
        <row r="39">
          <cell r="B39" t="str">
            <v>AUG</v>
          </cell>
          <cell r="C39">
            <v>420</v>
          </cell>
          <cell r="D39">
            <v>866.05</v>
          </cell>
          <cell r="E39">
            <v>363741</v>
          </cell>
          <cell r="F39">
            <v>76</v>
          </cell>
          <cell r="G39">
            <v>3703.8815789473683</v>
          </cell>
          <cell r="H39">
            <v>281495</v>
          </cell>
          <cell r="I39">
            <v>10513</v>
          </cell>
          <cell r="J39">
            <v>290</v>
          </cell>
          <cell r="K39">
            <v>656039</v>
          </cell>
        </row>
        <row r="40">
          <cell r="B40" t="str">
            <v>SEP</v>
          </cell>
          <cell r="C40">
            <v>488</v>
          </cell>
          <cell r="D40">
            <v>697.875</v>
          </cell>
          <cell r="E40">
            <v>340563</v>
          </cell>
          <cell r="F40">
            <v>76</v>
          </cell>
          <cell r="G40">
            <v>3687.5263157894738</v>
          </cell>
          <cell r="H40">
            <v>280252</v>
          </cell>
          <cell r="I40">
            <v>10513</v>
          </cell>
          <cell r="J40">
            <v>290</v>
          </cell>
          <cell r="K40">
            <v>631618</v>
          </cell>
        </row>
        <row r="41">
          <cell r="B41" t="str">
            <v>OCT</v>
          </cell>
          <cell r="C41">
            <v>503</v>
          </cell>
          <cell r="D41">
            <v>690.13518886679924</v>
          </cell>
          <cell r="E41">
            <v>347138</v>
          </cell>
          <cell r="F41">
            <v>76</v>
          </cell>
          <cell r="G41">
            <v>3558.5131578947367</v>
          </cell>
          <cell r="H41">
            <v>270447</v>
          </cell>
          <cell r="I41">
            <v>10513</v>
          </cell>
          <cell r="J41">
            <v>290</v>
          </cell>
          <cell r="K41">
            <v>628388</v>
          </cell>
        </row>
        <row r="42">
          <cell r="B42" t="str">
            <v>NOV</v>
          </cell>
          <cell r="C42">
            <v>504</v>
          </cell>
          <cell r="D42">
            <v>915.03174603174602</v>
          </cell>
          <cell r="E42">
            <v>461176</v>
          </cell>
          <cell r="F42">
            <v>77</v>
          </cell>
          <cell r="G42">
            <v>4871.2597402597403</v>
          </cell>
          <cell r="H42">
            <v>375087</v>
          </cell>
          <cell r="I42">
            <v>10513</v>
          </cell>
          <cell r="J42">
            <v>290</v>
          </cell>
          <cell r="K42">
            <v>847066</v>
          </cell>
        </row>
        <row r="43">
          <cell r="B43" t="str">
            <v>DEC</v>
          </cell>
          <cell r="C43">
            <v>501</v>
          </cell>
          <cell r="D43">
            <v>978.97005988023955</v>
          </cell>
          <cell r="E43">
            <v>490464</v>
          </cell>
          <cell r="F43">
            <v>77</v>
          </cell>
          <cell r="G43">
            <v>5388.3896103896104</v>
          </cell>
          <cell r="H43">
            <v>414906</v>
          </cell>
          <cell r="I43">
            <v>10513</v>
          </cell>
          <cell r="J43">
            <v>290</v>
          </cell>
          <cell r="K43">
            <v>916173</v>
          </cell>
        </row>
        <row r="44">
          <cell r="A44">
            <v>1989</v>
          </cell>
          <cell r="B44" t="str">
            <v>JAN</v>
          </cell>
          <cell r="C44">
            <v>508</v>
          </cell>
          <cell r="D44">
            <v>1324.1712598425197</v>
          </cell>
          <cell r="E44">
            <v>672679</v>
          </cell>
          <cell r="F44">
            <v>76</v>
          </cell>
          <cell r="G44">
            <v>5606.5263157894733</v>
          </cell>
          <cell r="H44">
            <v>426096</v>
          </cell>
          <cell r="I44">
            <v>10513</v>
          </cell>
          <cell r="J44">
            <v>290</v>
          </cell>
          <cell r="K44">
            <v>1109578</v>
          </cell>
        </row>
        <row r="45">
          <cell r="B45" t="str">
            <v>FEB</v>
          </cell>
          <cell r="C45">
            <v>506</v>
          </cell>
          <cell r="D45">
            <v>1236.306324110672</v>
          </cell>
          <cell r="E45">
            <v>625571</v>
          </cell>
          <cell r="F45">
            <v>76</v>
          </cell>
          <cell r="G45">
            <v>5221.3815789473683</v>
          </cell>
          <cell r="H45">
            <v>396825</v>
          </cell>
          <cell r="I45">
            <v>10513</v>
          </cell>
          <cell r="J45">
            <v>290</v>
          </cell>
          <cell r="K45">
            <v>1033199</v>
          </cell>
        </row>
        <row r="46">
          <cell r="B46" t="str">
            <v>MAR</v>
          </cell>
          <cell r="C46">
            <v>516</v>
          </cell>
          <cell r="D46">
            <v>1140.9127906976744</v>
          </cell>
          <cell r="E46">
            <v>588711</v>
          </cell>
          <cell r="F46">
            <v>76</v>
          </cell>
          <cell r="G46">
            <v>5597.4078947368425</v>
          </cell>
          <cell r="H46">
            <v>425403</v>
          </cell>
          <cell r="I46">
            <v>10513</v>
          </cell>
          <cell r="J46">
            <v>290</v>
          </cell>
          <cell r="K46">
            <v>1024917</v>
          </cell>
        </row>
        <row r="47">
          <cell r="B47" t="str">
            <v>APR</v>
          </cell>
          <cell r="C47">
            <v>515</v>
          </cell>
          <cell r="D47">
            <v>1060.8485436893204</v>
          </cell>
          <cell r="E47">
            <v>546337</v>
          </cell>
          <cell r="F47">
            <v>78</v>
          </cell>
          <cell r="G47">
            <v>5170.2307692307695</v>
          </cell>
          <cell r="H47">
            <v>403278</v>
          </cell>
          <cell r="I47">
            <v>10513</v>
          </cell>
          <cell r="J47">
            <v>290</v>
          </cell>
          <cell r="K47">
            <v>960418</v>
          </cell>
        </row>
        <row r="48">
          <cell r="B48" t="str">
            <v>MAY</v>
          </cell>
          <cell r="C48">
            <v>506</v>
          </cell>
          <cell r="D48">
            <v>840.0474308300395</v>
          </cell>
          <cell r="E48">
            <v>425064</v>
          </cell>
          <cell r="F48">
            <v>78</v>
          </cell>
          <cell r="G48">
            <v>3615.5641025641025</v>
          </cell>
          <cell r="H48">
            <v>282014</v>
          </cell>
          <cell r="I48">
            <v>10513</v>
          </cell>
          <cell r="J48">
            <v>290</v>
          </cell>
          <cell r="K48">
            <v>717881</v>
          </cell>
        </row>
        <row r="49">
          <cell r="B49" t="str">
            <v>JUN</v>
          </cell>
          <cell r="C49">
            <v>499</v>
          </cell>
          <cell r="D49">
            <v>875.56312625250496</v>
          </cell>
          <cell r="E49">
            <v>436906</v>
          </cell>
          <cell r="F49">
            <v>79</v>
          </cell>
          <cell r="G49">
            <v>3677.9620253164558</v>
          </cell>
          <cell r="H49">
            <v>290559</v>
          </cell>
          <cell r="I49">
            <v>10513</v>
          </cell>
          <cell r="J49">
            <v>290</v>
          </cell>
          <cell r="K49">
            <v>738268</v>
          </cell>
        </row>
        <row r="50">
          <cell r="B50" t="str">
            <v>JUL</v>
          </cell>
          <cell r="C50">
            <v>507</v>
          </cell>
          <cell r="D50">
            <v>786.52662721893489</v>
          </cell>
          <cell r="E50">
            <v>398769</v>
          </cell>
          <cell r="F50">
            <v>81</v>
          </cell>
          <cell r="G50">
            <v>3049.9876543209875</v>
          </cell>
          <cell r="H50">
            <v>247049</v>
          </cell>
          <cell r="I50">
            <v>10513</v>
          </cell>
          <cell r="J50">
            <v>290</v>
          </cell>
          <cell r="K50">
            <v>656621</v>
          </cell>
        </row>
        <row r="51">
          <cell r="B51" t="str">
            <v>AUG</v>
          </cell>
          <cell r="C51">
            <v>506</v>
          </cell>
          <cell r="D51">
            <v>738.81027667984188</v>
          </cell>
          <cell r="E51">
            <v>373838</v>
          </cell>
          <cell r="F51">
            <v>83</v>
          </cell>
          <cell r="G51">
            <v>2880.1686746987953</v>
          </cell>
          <cell r="H51">
            <v>239054</v>
          </cell>
          <cell r="I51">
            <v>10513</v>
          </cell>
          <cell r="J51">
            <v>290</v>
          </cell>
          <cell r="K51">
            <v>623695</v>
          </cell>
        </row>
        <row r="52">
          <cell r="B52" t="str">
            <v>SEP</v>
          </cell>
          <cell r="C52">
            <v>507</v>
          </cell>
          <cell r="D52">
            <v>770.3491124260355</v>
          </cell>
          <cell r="E52">
            <v>390567</v>
          </cell>
          <cell r="F52">
            <v>83</v>
          </cell>
          <cell r="G52">
            <v>3574.9879518072289</v>
          </cell>
          <cell r="H52">
            <v>296724</v>
          </cell>
          <cell r="I52">
            <v>10513</v>
          </cell>
          <cell r="J52">
            <v>290</v>
          </cell>
          <cell r="K52">
            <v>698094</v>
          </cell>
        </row>
        <row r="53">
          <cell r="B53" t="str">
            <v>OCT</v>
          </cell>
          <cell r="C53">
            <v>509</v>
          </cell>
          <cell r="D53">
            <v>835.82711198428285</v>
          </cell>
          <cell r="E53">
            <v>425436</v>
          </cell>
          <cell r="F53">
            <v>85</v>
          </cell>
          <cell r="G53">
            <v>3981.8470588235296</v>
          </cell>
          <cell r="H53">
            <v>338457</v>
          </cell>
          <cell r="I53">
            <v>10513</v>
          </cell>
          <cell r="J53">
            <v>290</v>
          </cell>
          <cell r="K53">
            <v>774696</v>
          </cell>
        </row>
        <row r="54">
          <cell r="B54" t="str">
            <v>NOV</v>
          </cell>
          <cell r="C54">
            <v>514</v>
          </cell>
          <cell r="D54">
            <v>955.94747081712057</v>
          </cell>
          <cell r="E54">
            <v>491357</v>
          </cell>
          <cell r="F54">
            <v>86</v>
          </cell>
          <cell r="G54">
            <v>4553.5581395348836</v>
          </cell>
          <cell r="H54">
            <v>391606</v>
          </cell>
          <cell r="I54">
            <v>10513</v>
          </cell>
          <cell r="J54">
            <v>290</v>
          </cell>
          <cell r="K54">
            <v>893766</v>
          </cell>
        </row>
        <row r="55">
          <cell r="B55" t="str">
            <v>DEC</v>
          </cell>
          <cell r="C55">
            <v>510</v>
          </cell>
          <cell r="D55">
            <v>1212.7901960784313</v>
          </cell>
          <cell r="E55">
            <v>618523</v>
          </cell>
          <cell r="F55">
            <v>90</v>
          </cell>
          <cell r="G55">
            <v>6249.2111111111108</v>
          </cell>
          <cell r="H55">
            <v>562429</v>
          </cell>
          <cell r="I55">
            <v>10513</v>
          </cell>
          <cell r="J55">
            <v>290</v>
          </cell>
          <cell r="K55">
            <v>1191755</v>
          </cell>
        </row>
        <row r="56">
          <cell r="A56">
            <v>1990</v>
          </cell>
          <cell r="B56" t="str">
            <v>JAN</v>
          </cell>
          <cell r="C56">
            <v>514</v>
          </cell>
          <cell r="D56">
            <v>1448.8404669260701</v>
          </cell>
          <cell r="E56">
            <v>744704</v>
          </cell>
          <cell r="F56">
            <v>89</v>
          </cell>
          <cell r="G56">
            <v>6353.5955056179773</v>
          </cell>
          <cell r="H56">
            <v>565470</v>
          </cell>
          <cell r="I56">
            <v>10513</v>
          </cell>
          <cell r="J56">
            <v>290</v>
          </cell>
          <cell r="K56">
            <v>1320977</v>
          </cell>
          <cell r="R56">
            <v>19537311.999999963</v>
          </cell>
          <cell r="S56">
            <v>336000</v>
          </cell>
          <cell r="T56">
            <v>265200</v>
          </cell>
          <cell r="U56">
            <v>548640</v>
          </cell>
          <cell r="V56">
            <v>0</v>
          </cell>
          <cell r="W56">
            <v>0</v>
          </cell>
          <cell r="X56">
            <v>0</v>
          </cell>
          <cell r="AJ56">
            <v>0</v>
          </cell>
        </row>
        <row r="57">
          <cell r="B57" t="str">
            <v>FEB</v>
          </cell>
          <cell r="C57">
            <v>510</v>
          </cell>
          <cell r="D57">
            <v>1341.4490196078432</v>
          </cell>
          <cell r="E57">
            <v>684139</v>
          </cell>
          <cell r="F57">
            <v>89</v>
          </cell>
          <cell r="G57">
            <v>6311.1573033707864</v>
          </cell>
          <cell r="H57">
            <v>561693</v>
          </cell>
          <cell r="I57">
            <v>10513</v>
          </cell>
          <cell r="J57">
            <v>290</v>
          </cell>
          <cell r="K57">
            <v>1256635</v>
          </cell>
          <cell r="R57">
            <v>21190838.399999976</v>
          </cell>
          <cell r="S57">
            <v>338400</v>
          </cell>
          <cell r="T57">
            <v>254400</v>
          </cell>
          <cell r="U57">
            <v>445200</v>
          </cell>
          <cell r="V57">
            <v>0</v>
          </cell>
          <cell r="W57">
            <v>0</v>
          </cell>
          <cell r="X57">
            <v>0</v>
          </cell>
          <cell r="AJ57">
            <v>0</v>
          </cell>
        </row>
        <row r="58">
          <cell r="B58" t="str">
            <v>MAR</v>
          </cell>
          <cell r="C58">
            <v>512</v>
          </cell>
          <cell r="D58">
            <v>1247.072265625</v>
          </cell>
          <cell r="E58">
            <v>638501</v>
          </cell>
          <cell r="F58">
            <v>92</v>
          </cell>
          <cell r="G58">
            <v>5850.782608695652</v>
          </cell>
          <cell r="H58">
            <v>538272</v>
          </cell>
          <cell r="I58">
            <v>10513</v>
          </cell>
          <cell r="J58">
            <v>290</v>
          </cell>
          <cell r="K58">
            <v>1187576</v>
          </cell>
          <cell r="R58">
            <v>17044448.000000019</v>
          </cell>
          <cell r="S58">
            <v>225600</v>
          </cell>
          <cell r="T58">
            <v>261600</v>
          </cell>
          <cell r="U58">
            <v>460560</v>
          </cell>
          <cell r="V58">
            <v>0</v>
          </cell>
          <cell r="W58">
            <v>0</v>
          </cell>
          <cell r="X58">
            <v>0</v>
          </cell>
          <cell r="AJ58">
            <v>0</v>
          </cell>
        </row>
        <row r="59">
          <cell r="B59" t="str">
            <v>APR</v>
          </cell>
          <cell r="C59">
            <v>510</v>
          </cell>
          <cell r="D59">
            <v>962.32941176470592</v>
          </cell>
          <cell r="E59">
            <v>490788</v>
          </cell>
          <cell r="F59">
            <v>89</v>
          </cell>
          <cell r="G59">
            <v>5059.2808988764045</v>
          </cell>
          <cell r="H59">
            <v>450276</v>
          </cell>
          <cell r="I59">
            <v>10513</v>
          </cell>
          <cell r="J59">
            <v>290</v>
          </cell>
          <cell r="K59">
            <v>951867</v>
          </cell>
          <cell r="R59">
            <v>14334192.000000063</v>
          </cell>
          <cell r="S59">
            <v>244800</v>
          </cell>
          <cell r="T59">
            <v>193200</v>
          </cell>
          <cell r="U59">
            <v>443280</v>
          </cell>
          <cell r="V59">
            <v>0</v>
          </cell>
          <cell r="W59">
            <v>0</v>
          </cell>
          <cell r="X59">
            <v>0</v>
          </cell>
          <cell r="AJ59">
            <v>0</v>
          </cell>
        </row>
        <row r="60">
          <cell r="B60" t="str">
            <v>MAY</v>
          </cell>
          <cell r="C60">
            <v>507</v>
          </cell>
          <cell r="D60">
            <v>950.53254437869828</v>
          </cell>
          <cell r="E60">
            <v>481920</v>
          </cell>
          <cell r="F60">
            <v>91</v>
          </cell>
          <cell r="G60">
            <v>4532.8131868131868</v>
          </cell>
          <cell r="H60">
            <v>412486</v>
          </cell>
          <cell r="I60">
            <v>10513</v>
          </cell>
          <cell r="J60">
            <v>290</v>
          </cell>
          <cell r="K60">
            <v>905209</v>
          </cell>
          <cell r="R60">
            <v>13833430.399999985</v>
          </cell>
          <cell r="S60">
            <v>199200</v>
          </cell>
          <cell r="T60">
            <v>169200</v>
          </cell>
          <cell r="U60">
            <v>378720</v>
          </cell>
          <cell r="V60">
            <v>0</v>
          </cell>
          <cell r="W60">
            <v>0</v>
          </cell>
          <cell r="X60">
            <v>0</v>
          </cell>
          <cell r="AJ60">
            <v>0</v>
          </cell>
        </row>
        <row r="61">
          <cell r="B61" t="str">
            <v>JUN</v>
          </cell>
          <cell r="C61">
            <v>508</v>
          </cell>
          <cell r="D61">
            <v>892.18307086614175</v>
          </cell>
          <cell r="E61">
            <v>453229</v>
          </cell>
          <cell r="F61">
            <v>88</v>
          </cell>
          <cell r="G61">
            <v>4184.670454545455</v>
          </cell>
          <cell r="H61">
            <v>368251</v>
          </cell>
          <cell r="I61">
            <v>10513</v>
          </cell>
          <cell r="J61">
            <v>290</v>
          </cell>
          <cell r="K61">
            <v>832283</v>
          </cell>
          <cell r="R61">
            <v>12214220.799999993</v>
          </cell>
          <cell r="S61">
            <v>182400</v>
          </cell>
          <cell r="T61">
            <v>176400</v>
          </cell>
          <cell r="U61">
            <v>402540</v>
          </cell>
          <cell r="V61">
            <v>0</v>
          </cell>
          <cell r="W61">
            <v>0</v>
          </cell>
          <cell r="X61">
            <v>0</v>
          </cell>
          <cell r="AJ61">
            <v>0</v>
          </cell>
        </row>
        <row r="62">
          <cell r="B62" t="str">
            <v>JUL</v>
          </cell>
          <cell r="C62">
            <v>509</v>
          </cell>
          <cell r="D62">
            <v>833.84479371316309</v>
          </cell>
          <cell r="E62">
            <v>424427</v>
          </cell>
          <cell r="F62">
            <v>88</v>
          </cell>
          <cell r="G62">
            <v>3624.318181818182</v>
          </cell>
          <cell r="H62">
            <v>318940</v>
          </cell>
          <cell r="I62">
            <v>10513</v>
          </cell>
          <cell r="J62">
            <v>290</v>
          </cell>
          <cell r="K62">
            <v>754170</v>
          </cell>
          <cell r="R62">
            <v>11817430.400000012</v>
          </cell>
          <cell r="S62">
            <v>175200</v>
          </cell>
          <cell r="T62">
            <v>140400</v>
          </cell>
          <cell r="U62">
            <v>305160</v>
          </cell>
          <cell r="V62">
            <v>0</v>
          </cell>
          <cell r="W62">
            <v>0</v>
          </cell>
          <cell r="X62">
            <v>0</v>
          </cell>
          <cell r="AJ62">
            <v>0</v>
          </cell>
        </row>
        <row r="63">
          <cell r="B63" t="str">
            <v>AUG</v>
          </cell>
          <cell r="C63">
            <v>512</v>
          </cell>
          <cell r="D63">
            <v>734.287109375</v>
          </cell>
          <cell r="E63">
            <v>375955</v>
          </cell>
          <cell r="F63">
            <v>89</v>
          </cell>
          <cell r="G63">
            <v>3364.5393258426966</v>
          </cell>
          <cell r="H63">
            <v>299444</v>
          </cell>
          <cell r="I63">
            <v>10513</v>
          </cell>
          <cell r="J63">
            <v>290</v>
          </cell>
          <cell r="K63">
            <v>686202</v>
          </cell>
          <cell r="R63">
            <v>11948220.799999919</v>
          </cell>
          <cell r="S63">
            <v>184800</v>
          </cell>
          <cell r="T63">
            <v>133200</v>
          </cell>
          <cell r="U63">
            <v>338640</v>
          </cell>
          <cell r="V63">
            <v>0</v>
          </cell>
          <cell r="W63">
            <v>0</v>
          </cell>
          <cell r="X63">
            <v>0</v>
          </cell>
          <cell r="AJ63">
            <v>0</v>
          </cell>
        </row>
        <row r="64">
          <cell r="B64" t="str">
            <v>SEP</v>
          </cell>
          <cell r="C64">
            <v>528</v>
          </cell>
          <cell r="D64">
            <v>798</v>
          </cell>
          <cell r="E64">
            <v>421344</v>
          </cell>
          <cell r="F64">
            <v>88</v>
          </cell>
          <cell r="G64">
            <v>3427.9545454545455</v>
          </cell>
          <cell r="H64">
            <v>301660</v>
          </cell>
          <cell r="I64">
            <v>10513</v>
          </cell>
          <cell r="J64">
            <v>290</v>
          </cell>
          <cell r="K64">
            <v>733807</v>
          </cell>
          <cell r="R64">
            <v>12413270.400000004</v>
          </cell>
          <cell r="S64">
            <v>189600</v>
          </cell>
          <cell r="T64">
            <v>140400</v>
          </cell>
          <cell r="U64">
            <v>377220</v>
          </cell>
          <cell r="V64">
            <v>0</v>
          </cell>
          <cell r="W64">
            <v>0</v>
          </cell>
          <cell r="X64">
            <v>0</v>
          </cell>
          <cell r="AJ64">
            <v>0</v>
          </cell>
        </row>
        <row r="65">
          <cell r="B65" t="str">
            <v>OCT</v>
          </cell>
          <cell r="C65">
            <v>532</v>
          </cell>
          <cell r="D65">
            <v>846.18796992481202</v>
          </cell>
          <cell r="E65">
            <v>450172</v>
          </cell>
          <cell r="F65">
            <v>89</v>
          </cell>
          <cell r="G65">
            <v>3769.8876404494381</v>
          </cell>
          <cell r="H65">
            <v>335520</v>
          </cell>
          <cell r="I65">
            <v>10513</v>
          </cell>
          <cell r="J65">
            <v>290</v>
          </cell>
          <cell r="K65">
            <v>796495</v>
          </cell>
          <cell r="R65">
            <v>16297740.799999999</v>
          </cell>
          <cell r="S65">
            <v>271200</v>
          </cell>
          <cell r="T65">
            <v>166800</v>
          </cell>
          <cell r="U65">
            <v>325980</v>
          </cell>
          <cell r="V65">
            <v>0</v>
          </cell>
          <cell r="W65">
            <v>0</v>
          </cell>
          <cell r="X65">
            <v>0</v>
          </cell>
          <cell r="AJ65">
            <v>0</v>
          </cell>
        </row>
        <row r="66">
          <cell r="B66" t="str">
            <v>NOV</v>
          </cell>
          <cell r="C66">
            <v>542</v>
          </cell>
          <cell r="D66">
            <v>983.74723247232475</v>
          </cell>
          <cell r="E66">
            <v>533191</v>
          </cell>
          <cell r="F66">
            <v>92</v>
          </cell>
          <cell r="G66">
            <v>4931.695652173913</v>
          </cell>
          <cell r="H66">
            <v>453716</v>
          </cell>
          <cell r="I66">
            <v>10513</v>
          </cell>
          <cell r="J66">
            <v>290</v>
          </cell>
          <cell r="K66">
            <v>997710</v>
          </cell>
          <cell r="R66">
            <v>20782371.200000044</v>
          </cell>
          <cell r="S66">
            <v>297600</v>
          </cell>
          <cell r="T66">
            <v>283200</v>
          </cell>
          <cell r="U66">
            <v>413520</v>
          </cell>
          <cell r="V66">
            <v>0</v>
          </cell>
          <cell r="W66">
            <v>0</v>
          </cell>
          <cell r="X66">
            <v>0</v>
          </cell>
          <cell r="AJ66">
            <v>0</v>
          </cell>
        </row>
        <row r="67">
          <cell r="B67" t="str">
            <v>DEC</v>
          </cell>
          <cell r="C67">
            <v>541</v>
          </cell>
          <cell r="D67">
            <v>1324.0628465804066</v>
          </cell>
          <cell r="E67">
            <v>716318</v>
          </cell>
          <cell r="F67">
            <v>92</v>
          </cell>
          <cell r="G67">
            <v>6011.358695652174</v>
          </cell>
          <cell r="H67">
            <v>553045</v>
          </cell>
          <cell r="I67">
            <v>10513</v>
          </cell>
          <cell r="J67">
            <v>290</v>
          </cell>
          <cell r="K67">
            <v>1280166</v>
          </cell>
          <cell r="R67">
            <v>24558156.800000023</v>
          </cell>
          <cell r="S67">
            <v>381600</v>
          </cell>
          <cell r="T67">
            <v>170400</v>
          </cell>
          <cell r="U67">
            <v>471180</v>
          </cell>
          <cell r="V67">
            <v>0</v>
          </cell>
          <cell r="W67">
            <v>0</v>
          </cell>
          <cell r="X67">
            <v>0</v>
          </cell>
          <cell r="AJ67">
            <v>0</v>
          </cell>
        </row>
        <row r="68">
          <cell r="A68">
            <v>1991</v>
          </cell>
          <cell r="B68" t="str">
            <v>JAN</v>
          </cell>
          <cell r="C68">
            <v>541</v>
          </cell>
          <cell r="D68">
            <v>1641.8853974121996</v>
          </cell>
          <cell r="E68">
            <v>888260</v>
          </cell>
          <cell r="F68">
            <v>94</v>
          </cell>
          <cell r="G68">
            <v>6869.9148936170213</v>
          </cell>
          <cell r="H68">
            <v>645772</v>
          </cell>
          <cell r="I68">
            <v>10513</v>
          </cell>
          <cell r="J68">
            <v>290</v>
          </cell>
          <cell r="K68">
            <v>1544835</v>
          </cell>
          <cell r="R68">
            <v>23132790.399999969</v>
          </cell>
          <cell r="S68">
            <v>422400</v>
          </cell>
          <cell r="T68">
            <v>210000</v>
          </cell>
          <cell r="U68">
            <v>568740</v>
          </cell>
          <cell r="V68">
            <v>0</v>
          </cell>
          <cell r="W68">
            <v>0</v>
          </cell>
          <cell r="X68">
            <v>0</v>
          </cell>
          <cell r="AJ68">
            <v>0</v>
          </cell>
        </row>
        <row r="69">
          <cell r="B69" t="str">
            <v>FEB</v>
          </cell>
          <cell r="C69">
            <v>547</v>
          </cell>
          <cell r="D69">
            <v>1164.0073126142595</v>
          </cell>
          <cell r="E69">
            <v>636712</v>
          </cell>
          <cell r="F69">
            <v>95</v>
          </cell>
          <cell r="G69">
            <v>5561.4210526315792</v>
          </cell>
          <cell r="H69">
            <v>528335</v>
          </cell>
          <cell r="I69">
            <v>10513</v>
          </cell>
          <cell r="J69">
            <v>290</v>
          </cell>
          <cell r="K69">
            <v>1175850</v>
          </cell>
          <cell r="R69">
            <v>17580934.400000002</v>
          </cell>
          <cell r="S69">
            <v>285600</v>
          </cell>
          <cell r="T69">
            <v>210000</v>
          </cell>
          <cell r="U69">
            <v>471780</v>
          </cell>
          <cell r="V69">
            <v>0</v>
          </cell>
          <cell r="W69">
            <v>0</v>
          </cell>
          <cell r="X69">
            <v>0</v>
          </cell>
          <cell r="AJ69">
            <v>0</v>
          </cell>
        </row>
        <row r="70">
          <cell r="B70" t="str">
            <v>MAR</v>
          </cell>
          <cell r="C70">
            <v>545</v>
          </cell>
          <cell r="D70">
            <v>1095.5669724770642</v>
          </cell>
          <cell r="E70">
            <v>597084</v>
          </cell>
          <cell r="F70">
            <v>96</v>
          </cell>
          <cell r="G70">
            <v>5441.947916666667</v>
          </cell>
          <cell r="H70">
            <v>522427</v>
          </cell>
          <cell r="I70">
            <v>10513</v>
          </cell>
          <cell r="J70">
            <v>290</v>
          </cell>
          <cell r="K70">
            <v>1130314</v>
          </cell>
          <cell r="R70">
            <v>18230704.000000004</v>
          </cell>
          <cell r="S70">
            <v>280800</v>
          </cell>
          <cell r="T70">
            <v>230400</v>
          </cell>
          <cell r="U70">
            <v>464160</v>
          </cell>
          <cell r="V70">
            <v>0</v>
          </cell>
          <cell r="W70">
            <v>0</v>
          </cell>
          <cell r="X70">
            <v>0</v>
          </cell>
          <cell r="AJ70">
            <v>0</v>
          </cell>
        </row>
        <row r="71">
          <cell r="B71" t="str">
            <v>APR</v>
          </cell>
          <cell r="C71">
            <v>540</v>
          </cell>
          <cell r="D71">
            <v>1093.5777777777778</v>
          </cell>
          <cell r="E71">
            <v>590532</v>
          </cell>
          <cell r="F71">
            <v>97</v>
          </cell>
          <cell r="G71">
            <v>5334.7010309278348</v>
          </cell>
          <cell r="H71">
            <v>517466</v>
          </cell>
          <cell r="I71">
            <v>10513</v>
          </cell>
          <cell r="J71">
            <v>290</v>
          </cell>
          <cell r="K71">
            <v>1118801</v>
          </cell>
          <cell r="R71">
            <v>14931203.19999993</v>
          </cell>
          <cell r="S71">
            <v>264000</v>
          </cell>
          <cell r="T71">
            <v>212400</v>
          </cell>
          <cell r="U71">
            <v>396480</v>
          </cell>
          <cell r="V71">
            <v>0</v>
          </cell>
          <cell r="W71">
            <v>0</v>
          </cell>
          <cell r="X71">
            <v>0</v>
          </cell>
          <cell r="AJ71">
            <v>0</v>
          </cell>
        </row>
        <row r="72">
          <cell r="B72" t="str">
            <v>MAY</v>
          </cell>
          <cell r="C72">
            <v>539</v>
          </cell>
          <cell r="D72">
            <v>795.10946196660484</v>
          </cell>
          <cell r="E72">
            <v>428564</v>
          </cell>
          <cell r="F72">
            <v>92</v>
          </cell>
          <cell r="G72">
            <v>4197.630434782609</v>
          </cell>
          <cell r="H72">
            <v>386182</v>
          </cell>
          <cell r="I72">
            <v>10513</v>
          </cell>
          <cell r="J72">
            <v>290</v>
          </cell>
          <cell r="K72">
            <v>825549</v>
          </cell>
          <cell r="R72">
            <v>13612540.800000036</v>
          </cell>
          <cell r="S72">
            <v>216000</v>
          </cell>
          <cell r="T72">
            <v>178800</v>
          </cell>
          <cell r="U72">
            <v>325740</v>
          </cell>
          <cell r="V72">
            <v>0</v>
          </cell>
          <cell r="W72">
            <v>0</v>
          </cell>
          <cell r="X72">
            <v>0</v>
          </cell>
          <cell r="AJ72">
            <v>0</v>
          </cell>
        </row>
        <row r="73">
          <cell r="B73" t="str">
            <v>JUN</v>
          </cell>
          <cell r="C73">
            <v>537</v>
          </cell>
          <cell r="D73">
            <v>772.20670391061458</v>
          </cell>
          <cell r="E73">
            <v>414675</v>
          </cell>
          <cell r="F73">
            <v>93</v>
          </cell>
          <cell r="G73">
            <v>3518.0322580645161</v>
          </cell>
          <cell r="H73">
            <v>327177</v>
          </cell>
          <cell r="I73">
            <v>10513</v>
          </cell>
          <cell r="J73">
            <v>290</v>
          </cell>
          <cell r="K73">
            <v>752655</v>
          </cell>
          <cell r="R73">
            <v>12793571.199999966</v>
          </cell>
          <cell r="S73">
            <v>213600</v>
          </cell>
          <cell r="T73">
            <v>162000</v>
          </cell>
          <cell r="U73">
            <v>403800</v>
          </cell>
          <cell r="V73">
            <v>0</v>
          </cell>
          <cell r="W73">
            <v>0</v>
          </cell>
          <cell r="X73">
            <v>0</v>
          </cell>
          <cell r="AJ73">
            <v>0</v>
          </cell>
        </row>
        <row r="74">
          <cell r="B74" t="str">
            <v>JUL</v>
          </cell>
          <cell r="C74">
            <v>533</v>
          </cell>
          <cell r="D74">
            <v>707.04690431519703</v>
          </cell>
          <cell r="E74">
            <v>376856</v>
          </cell>
          <cell r="F74">
            <v>93</v>
          </cell>
          <cell r="G74">
            <v>3246.505376344086</v>
          </cell>
          <cell r="H74">
            <v>301925</v>
          </cell>
          <cell r="I74">
            <v>10513</v>
          </cell>
          <cell r="J74">
            <v>290</v>
          </cell>
          <cell r="K74">
            <v>689584</v>
          </cell>
          <cell r="R74">
            <v>12394230.400000039</v>
          </cell>
          <cell r="S74">
            <v>206400</v>
          </cell>
          <cell r="T74">
            <v>142800</v>
          </cell>
          <cell r="U74">
            <v>339000</v>
          </cell>
          <cell r="V74">
            <v>0</v>
          </cell>
          <cell r="W74">
            <v>0</v>
          </cell>
          <cell r="X74">
            <v>0</v>
          </cell>
          <cell r="AJ74">
            <v>0</v>
          </cell>
        </row>
        <row r="75">
          <cell r="B75" t="str">
            <v>AUG</v>
          </cell>
          <cell r="C75">
            <v>539</v>
          </cell>
          <cell r="D75">
            <v>752.92207792207796</v>
          </cell>
          <cell r="E75">
            <v>405825</v>
          </cell>
          <cell r="F75">
            <v>93</v>
          </cell>
          <cell r="G75">
            <v>3450.7096774193546</v>
          </cell>
          <cell r="H75">
            <v>320916</v>
          </cell>
          <cell r="I75">
            <v>10513</v>
          </cell>
          <cell r="J75">
            <v>290</v>
          </cell>
          <cell r="K75">
            <v>737544</v>
          </cell>
          <cell r="R75">
            <v>12849510.399999993</v>
          </cell>
          <cell r="S75">
            <v>211200</v>
          </cell>
          <cell r="T75">
            <v>140247</v>
          </cell>
          <cell r="U75">
            <v>321180</v>
          </cell>
          <cell r="V75">
            <v>0</v>
          </cell>
          <cell r="W75">
            <v>0</v>
          </cell>
          <cell r="X75">
            <v>0</v>
          </cell>
          <cell r="AJ75">
            <v>0</v>
          </cell>
        </row>
        <row r="76">
          <cell r="B76" t="str">
            <v>SEP</v>
          </cell>
          <cell r="C76">
            <v>545</v>
          </cell>
          <cell r="D76">
            <v>783.87522935779816</v>
          </cell>
          <cell r="E76">
            <v>427212</v>
          </cell>
          <cell r="F76">
            <v>94</v>
          </cell>
          <cell r="G76">
            <v>3769.127659574468</v>
          </cell>
          <cell r="H76">
            <v>354298</v>
          </cell>
          <cell r="I76">
            <v>10513</v>
          </cell>
          <cell r="J76">
            <v>290</v>
          </cell>
          <cell r="K76">
            <v>792313</v>
          </cell>
          <cell r="R76">
            <v>13404160</v>
          </cell>
          <cell r="S76">
            <v>268800</v>
          </cell>
          <cell r="T76">
            <v>176247</v>
          </cell>
          <cell r="U76">
            <v>406320</v>
          </cell>
          <cell r="V76">
            <v>0</v>
          </cell>
          <cell r="W76">
            <v>0</v>
          </cell>
          <cell r="X76">
            <v>0</v>
          </cell>
          <cell r="AJ76">
            <v>0</v>
          </cell>
        </row>
        <row r="77">
          <cell r="B77" t="str">
            <v>OCT</v>
          </cell>
          <cell r="C77">
            <v>547</v>
          </cell>
          <cell r="D77">
            <v>798.76051188299812</v>
          </cell>
          <cell r="E77">
            <v>436922</v>
          </cell>
          <cell r="F77">
            <v>95</v>
          </cell>
          <cell r="G77">
            <v>4158.0842105263155</v>
          </cell>
          <cell r="H77">
            <v>395018</v>
          </cell>
          <cell r="I77">
            <v>10513</v>
          </cell>
          <cell r="J77">
            <v>290</v>
          </cell>
          <cell r="K77">
            <v>842743</v>
          </cell>
          <cell r="R77">
            <v>16655502.719999963</v>
          </cell>
          <cell r="S77">
            <v>252000</v>
          </cell>
          <cell r="T77">
            <v>130800</v>
          </cell>
          <cell r="U77">
            <v>406320</v>
          </cell>
          <cell r="V77">
            <v>0</v>
          </cell>
          <cell r="W77">
            <v>0</v>
          </cell>
          <cell r="X77">
            <v>0</v>
          </cell>
          <cell r="AJ77">
            <v>0</v>
          </cell>
        </row>
        <row r="78">
          <cell r="B78" t="str">
            <v>NOV</v>
          </cell>
          <cell r="C78">
            <v>546</v>
          </cell>
          <cell r="D78">
            <v>982.21794871794873</v>
          </cell>
          <cell r="E78">
            <v>536291</v>
          </cell>
          <cell r="F78">
            <v>97</v>
          </cell>
          <cell r="G78">
            <v>5077.567010309278</v>
          </cell>
          <cell r="H78">
            <v>492524</v>
          </cell>
          <cell r="I78">
            <v>10513</v>
          </cell>
          <cell r="J78">
            <v>290</v>
          </cell>
          <cell r="K78">
            <v>1039618</v>
          </cell>
          <cell r="R78">
            <v>18760297.600000035</v>
          </cell>
          <cell r="S78">
            <v>331200</v>
          </cell>
          <cell r="T78">
            <v>229200</v>
          </cell>
          <cell r="U78">
            <v>393780</v>
          </cell>
          <cell r="V78">
            <v>0</v>
          </cell>
          <cell r="W78">
            <v>0</v>
          </cell>
          <cell r="X78">
            <v>0</v>
          </cell>
          <cell r="AJ78">
            <v>0</v>
          </cell>
        </row>
        <row r="79">
          <cell r="B79" t="str">
            <v>DEC</v>
          </cell>
          <cell r="C79">
            <v>548</v>
          </cell>
          <cell r="D79">
            <v>1032.5200729927008</v>
          </cell>
          <cell r="E79">
            <v>565821</v>
          </cell>
          <cell r="F79">
            <v>97</v>
          </cell>
          <cell r="G79">
            <v>5043.6185567010307</v>
          </cell>
          <cell r="H79">
            <v>489231</v>
          </cell>
          <cell r="I79">
            <v>10513</v>
          </cell>
          <cell r="J79">
            <v>290</v>
          </cell>
          <cell r="K79">
            <v>1065855</v>
          </cell>
          <cell r="R79">
            <v>20671623.68</v>
          </cell>
          <cell r="S79">
            <v>314400</v>
          </cell>
          <cell r="T79">
            <v>200400</v>
          </cell>
          <cell r="U79">
            <v>532680</v>
          </cell>
          <cell r="V79">
            <v>0</v>
          </cell>
          <cell r="W79">
            <v>0</v>
          </cell>
          <cell r="X79">
            <v>0</v>
          </cell>
          <cell r="AJ79">
            <v>0</v>
          </cell>
        </row>
        <row r="80">
          <cell r="A80">
            <v>1992</v>
          </cell>
          <cell r="B80" t="str">
            <v>JAN</v>
          </cell>
          <cell r="C80">
            <v>546</v>
          </cell>
          <cell r="D80">
            <v>1297.3608058608058</v>
          </cell>
          <cell r="E80">
            <v>708359</v>
          </cell>
          <cell r="F80">
            <v>98</v>
          </cell>
          <cell r="G80">
            <v>5949.8571428571431</v>
          </cell>
          <cell r="H80">
            <v>583086</v>
          </cell>
          <cell r="I80">
            <v>10513</v>
          </cell>
          <cell r="J80">
            <v>290</v>
          </cell>
          <cell r="K80">
            <v>1302248</v>
          </cell>
          <cell r="L80">
            <v>16211600</v>
          </cell>
          <cell r="M80">
            <v>24120</v>
          </cell>
          <cell r="O80">
            <v>0</v>
          </cell>
          <cell r="R80">
            <v>19693091.199999973</v>
          </cell>
          <cell r="S80">
            <v>374400</v>
          </cell>
          <cell r="T80">
            <v>276000</v>
          </cell>
          <cell r="U80">
            <v>517080</v>
          </cell>
          <cell r="V80">
            <v>0</v>
          </cell>
          <cell r="W80">
            <v>0</v>
          </cell>
          <cell r="X80">
            <v>0</v>
          </cell>
          <cell r="AJ80">
            <v>0</v>
          </cell>
        </row>
        <row r="81">
          <cell r="B81" t="str">
            <v>FEB</v>
          </cell>
          <cell r="C81">
            <v>542</v>
          </cell>
          <cell r="D81">
            <v>1087.2564575645756</v>
          </cell>
          <cell r="E81">
            <v>589293</v>
          </cell>
          <cell r="F81">
            <v>98</v>
          </cell>
          <cell r="G81">
            <v>5710.9591836734689</v>
          </cell>
          <cell r="H81">
            <v>559674</v>
          </cell>
          <cell r="I81">
            <v>10513</v>
          </cell>
          <cell r="J81">
            <v>290</v>
          </cell>
          <cell r="K81">
            <v>1159770</v>
          </cell>
          <cell r="L81">
            <v>15575900</v>
          </cell>
          <cell r="M81">
            <v>24760</v>
          </cell>
          <cell r="O81">
            <v>0</v>
          </cell>
          <cell r="R81">
            <v>19178150.400000006</v>
          </cell>
          <cell r="S81">
            <v>128400</v>
          </cell>
          <cell r="T81">
            <v>278400</v>
          </cell>
          <cell r="U81">
            <v>424380</v>
          </cell>
          <cell r="V81">
            <v>0</v>
          </cell>
          <cell r="W81">
            <v>0</v>
          </cell>
          <cell r="X81">
            <v>0</v>
          </cell>
          <cell r="AJ81">
            <v>0</v>
          </cell>
        </row>
        <row r="82">
          <cell r="B82" t="str">
            <v>MAR</v>
          </cell>
          <cell r="C82">
            <v>541</v>
          </cell>
          <cell r="D82">
            <v>1110.4621072088726</v>
          </cell>
          <cell r="E82">
            <v>600760</v>
          </cell>
          <cell r="F82">
            <v>98</v>
          </cell>
          <cell r="G82">
            <v>5515.1326530612241</v>
          </cell>
          <cell r="H82">
            <v>540483</v>
          </cell>
          <cell r="I82">
            <v>10513</v>
          </cell>
          <cell r="J82">
            <v>290</v>
          </cell>
          <cell r="K82">
            <v>1152046</v>
          </cell>
          <cell r="L82">
            <v>15549800</v>
          </cell>
          <cell r="M82">
            <v>24360</v>
          </cell>
          <cell r="O82">
            <v>0</v>
          </cell>
          <cell r="R82">
            <v>17866739.200000022</v>
          </cell>
          <cell r="S82">
            <v>478800</v>
          </cell>
          <cell r="T82">
            <v>176400</v>
          </cell>
          <cell r="U82">
            <v>555120</v>
          </cell>
          <cell r="V82">
            <v>0</v>
          </cell>
          <cell r="W82">
            <v>0</v>
          </cell>
          <cell r="X82">
            <v>0</v>
          </cell>
          <cell r="AJ82">
            <v>0</v>
          </cell>
        </row>
        <row r="83">
          <cell r="B83" t="str">
            <v>APR</v>
          </cell>
          <cell r="C83">
            <v>544</v>
          </cell>
          <cell r="D83">
            <v>855.35110294117646</v>
          </cell>
          <cell r="E83">
            <v>465311</v>
          </cell>
          <cell r="F83">
            <v>98</v>
          </cell>
          <cell r="G83">
            <v>4788.2142857142853</v>
          </cell>
          <cell r="H83">
            <v>469245</v>
          </cell>
          <cell r="I83">
            <v>10513</v>
          </cell>
          <cell r="J83">
            <v>290</v>
          </cell>
          <cell r="K83">
            <v>945359</v>
          </cell>
          <cell r="L83">
            <v>16550700</v>
          </cell>
          <cell r="M83">
            <v>24080</v>
          </cell>
          <cell r="O83">
            <v>0</v>
          </cell>
          <cell r="R83">
            <v>15791868.799999986</v>
          </cell>
          <cell r="S83">
            <v>288000</v>
          </cell>
          <cell r="T83">
            <v>193200</v>
          </cell>
          <cell r="U83">
            <v>410280</v>
          </cell>
          <cell r="V83">
            <v>0</v>
          </cell>
          <cell r="W83">
            <v>0</v>
          </cell>
          <cell r="X83">
            <v>0</v>
          </cell>
          <cell r="AJ83">
            <v>0</v>
          </cell>
        </row>
        <row r="84">
          <cell r="B84" t="str">
            <v>MAY</v>
          </cell>
          <cell r="C84">
            <v>544</v>
          </cell>
          <cell r="D84">
            <v>903.56801470588232</v>
          </cell>
          <cell r="E84">
            <v>491541</v>
          </cell>
          <cell r="F84">
            <v>94</v>
          </cell>
          <cell r="G84">
            <v>4733.6808510638302</v>
          </cell>
          <cell r="H84">
            <v>444966</v>
          </cell>
          <cell r="I84">
            <v>10513</v>
          </cell>
          <cell r="J84">
            <v>290</v>
          </cell>
          <cell r="K84">
            <v>947310</v>
          </cell>
          <cell r="L84">
            <v>15470300</v>
          </cell>
          <cell r="M84">
            <v>24080</v>
          </cell>
          <cell r="O84">
            <v>0</v>
          </cell>
          <cell r="R84">
            <v>14821609.599999998</v>
          </cell>
          <cell r="S84">
            <v>273600</v>
          </cell>
          <cell r="T84">
            <v>194400</v>
          </cell>
          <cell r="U84">
            <v>402960</v>
          </cell>
          <cell r="V84">
            <v>0</v>
          </cell>
          <cell r="W84">
            <v>0</v>
          </cell>
          <cell r="X84">
            <v>0</v>
          </cell>
          <cell r="AJ84">
            <v>0</v>
          </cell>
        </row>
        <row r="85">
          <cell r="B85" t="str">
            <v>JUN</v>
          </cell>
          <cell r="C85">
            <v>542</v>
          </cell>
          <cell r="D85">
            <v>827.24723247232475</v>
          </cell>
          <cell r="E85">
            <v>448368</v>
          </cell>
          <cell r="F85">
            <v>94</v>
          </cell>
          <cell r="G85">
            <v>3707.6595744680849</v>
          </cell>
          <cell r="H85">
            <v>348520</v>
          </cell>
          <cell r="I85">
            <v>10513</v>
          </cell>
          <cell r="J85">
            <v>290</v>
          </cell>
          <cell r="K85">
            <v>807691</v>
          </cell>
          <cell r="L85">
            <v>14788800</v>
          </cell>
          <cell r="M85">
            <v>23520</v>
          </cell>
          <cell r="O85">
            <v>0</v>
          </cell>
          <cell r="R85">
            <v>13008800</v>
          </cell>
          <cell r="S85">
            <v>214800</v>
          </cell>
          <cell r="T85">
            <v>169200</v>
          </cell>
          <cell r="U85">
            <v>447720</v>
          </cell>
          <cell r="V85">
            <v>0</v>
          </cell>
          <cell r="W85">
            <v>0</v>
          </cell>
          <cell r="X85">
            <v>0</v>
          </cell>
          <cell r="AJ85">
            <v>0</v>
          </cell>
        </row>
        <row r="86">
          <cell r="B86" t="str">
            <v>JUL</v>
          </cell>
          <cell r="C86">
            <v>536</v>
          </cell>
          <cell r="D86">
            <v>743.40858208955228</v>
          </cell>
          <cell r="E86">
            <v>398467</v>
          </cell>
          <cell r="F86">
            <v>94</v>
          </cell>
          <cell r="G86">
            <v>3912.9148936170213</v>
          </cell>
          <cell r="H86">
            <v>367814</v>
          </cell>
          <cell r="I86">
            <v>10513</v>
          </cell>
          <cell r="J86">
            <v>290</v>
          </cell>
          <cell r="K86">
            <v>777084</v>
          </cell>
          <cell r="L86">
            <v>16757500</v>
          </cell>
          <cell r="M86">
            <v>23600</v>
          </cell>
          <cell r="O86">
            <v>0</v>
          </cell>
          <cell r="R86">
            <v>13386240</v>
          </cell>
          <cell r="S86">
            <v>154800</v>
          </cell>
          <cell r="T86">
            <v>130800</v>
          </cell>
          <cell r="U86">
            <v>376500</v>
          </cell>
          <cell r="V86">
            <v>0</v>
          </cell>
          <cell r="W86">
            <v>0</v>
          </cell>
          <cell r="X86">
            <v>0</v>
          </cell>
          <cell r="AJ86">
            <v>0</v>
          </cell>
        </row>
        <row r="87">
          <cell r="B87" t="str">
            <v>AUG</v>
          </cell>
          <cell r="C87">
            <v>538</v>
          </cell>
          <cell r="D87">
            <v>765.07249070631974</v>
          </cell>
          <cell r="E87">
            <v>411609</v>
          </cell>
          <cell r="F87">
            <v>93</v>
          </cell>
          <cell r="G87">
            <v>3369.3440860215055</v>
          </cell>
          <cell r="H87">
            <v>313349</v>
          </cell>
          <cell r="I87">
            <v>10513</v>
          </cell>
          <cell r="J87">
            <v>290</v>
          </cell>
          <cell r="K87">
            <v>735761</v>
          </cell>
          <cell r="L87">
            <v>9941000</v>
          </cell>
          <cell r="M87">
            <v>23320</v>
          </cell>
          <cell r="O87">
            <v>0</v>
          </cell>
          <cell r="R87">
            <v>12496400</v>
          </cell>
          <cell r="S87">
            <v>298800</v>
          </cell>
          <cell r="T87">
            <v>166800</v>
          </cell>
          <cell r="U87">
            <v>263880</v>
          </cell>
          <cell r="V87">
            <v>0</v>
          </cell>
          <cell r="W87">
            <v>0</v>
          </cell>
          <cell r="X87">
            <v>0</v>
          </cell>
          <cell r="AJ87">
            <v>0</v>
          </cell>
        </row>
        <row r="88">
          <cell r="B88" t="str">
            <v>SEP</v>
          </cell>
          <cell r="C88">
            <v>544</v>
          </cell>
          <cell r="D88">
            <v>751.20772058823525</v>
          </cell>
          <cell r="E88">
            <v>408657</v>
          </cell>
          <cell r="F88">
            <v>91</v>
          </cell>
          <cell r="G88">
            <v>3442.934065934066</v>
          </cell>
          <cell r="H88">
            <v>313307</v>
          </cell>
          <cell r="I88">
            <v>10513</v>
          </cell>
          <cell r="J88">
            <v>290</v>
          </cell>
          <cell r="K88">
            <v>732767</v>
          </cell>
          <cell r="L88">
            <v>12525400</v>
          </cell>
          <cell r="M88">
            <v>24560</v>
          </cell>
          <cell r="O88">
            <v>1920</v>
          </cell>
          <cell r="R88">
            <v>15180723.199999999</v>
          </cell>
          <cell r="S88">
            <v>241200</v>
          </cell>
          <cell r="T88">
            <v>159600</v>
          </cell>
          <cell r="U88">
            <v>394080</v>
          </cell>
          <cell r="V88">
            <v>0</v>
          </cell>
          <cell r="W88">
            <v>0</v>
          </cell>
          <cell r="X88">
            <v>0</v>
          </cell>
          <cell r="AJ88">
            <v>0</v>
          </cell>
        </row>
        <row r="89">
          <cell r="B89" t="str">
            <v>OCT</v>
          </cell>
          <cell r="C89">
            <v>543</v>
          </cell>
          <cell r="D89">
            <v>820.34622467771635</v>
          </cell>
          <cell r="E89">
            <v>445448</v>
          </cell>
          <cell r="F89">
            <v>94</v>
          </cell>
          <cell r="G89">
            <v>4221.8085106382978</v>
          </cell>
          <cell r="H89">
            <v>396850</v>
          </cell>
          <cell r="I89">
            <v>10513</v>
          </cell>
          <cell r="J89">
            <v>290</v>
          </cell>
          <cell r="K89">
            <v>853101</v>
          </cell>
          <cell r="L89">
            <v>16046500</v>
          </cell>
          <cell r="M89">
            <v>24360</v>
          </cell>
          <cell r="O89">
            <v>0</v>
          </cell>
          <cell r="R89">
            <v>15261679.999999994</v>
          </cell>
          <cell r="S89">
            <v>298800</v>
          </cell>
          <cell r="T89">
            <v>184800</v>
          </cell>
          <cell r="U89">
            <v>473160</v>
          </cell>
          <cell r="V89">
            <v>0</v>
          </cell>
          <cell r="W89">
            <v>0</v>
          </cell>
          <cell r="X89">
            <v>0</v>
          </cell>
          <cell r="AJ89">
            <v>0</v>
          </cell>
        </row>
        <row r="90">
          <cell r="B90" t="str">
            <v>NOV</v>
          </cell>
          <cell r="C90">
            <v>545</v>
          </cell>
          <cell r="D90">
            <v>988.03302752293575</v>
          </cell>
          <cell r="E90">
            <v>538478</v>
          </cell>
          <cell r="F90">
            <v>93</v>
          </cell>
          <cell r="G90">
            <v>5211.4408602150534</v>
          </cell>
          <cell r="H90">
            <v>484664</v>
          </cell>
          <cell r="I90">
            <v>10513</v>
          </cell>
          <cell r="J90">
            <v>290</v>
          </cell>
          <cell r="K90">
            <v>1033945</v>
          </cell>
          <cell r="L90">
            <v>15332400</v>
          </cell>
          <cell r="M90">
            <v>24480</v>
          </cell>
          <cell r="O90">
            <v>0</v>
          </cell>
          <cell r="R90">
            <v>18421844.800000004</v>
          </cell>
          <cell r="S90">
            <v>354840</v>
          </cell>
          <cell r="T90">
            <v>318240</v>
          </cell>
          <cell r="U90">
            <v>452640</v>
          </cell>
          <cell r="V90">
            <v>0</v>
          </cell>
          <cell r="W90">
            <v>0</v>
          </cell>
          <cell r="X90">
            <v>0</v>
          </cell>
          <cell r="AJ90">
            <v>0</v>
          </cell>
        </row>
        <row r="91">
          <cell r="B91" t="str">
            <v>DEC</v>
          </cell>
          <cell r="C91">
            <v>548</v>
          </cell>
          <cell r="D91">
            <v>1079.801094890511</v>
          </cell>
          <cell r="E91">
            <v>591731</v>
          </cell>
          <cell r="F91">
            <v>93</v>
          </cell>
          <cell r="G91">
            <v>5377.9784946236559</v>
          </cell>
          <cell r="H91">
            <v>500152</v>
          </cell>
          <cell r="I91">
            <v>10513</v>
          </cell>
          <cell r="J91">
            <v>290</v>
          </cell>
          <cell r="K91">
            <v>1102686</v>
          </cell>
          <cell r="L91">
            <v>12118200</v>
          </cell>
          <cell r="M91">
            <v>24440</v>
          </cell>
          <cell r="O91">
            <v>0</v>
          </cell>
          <cell r="R91">
            <v>24731501.199999999</v>
          </cell>
          <cell r="S91">
            <v>330360</v>
          </cell>
          <cell r="T91">
            <v>84960.000000000218</v>
          </cell>
          <cell r="U91">
            <v>456840</v>
          </cell>
          <cell r="V91">
            <v>0</v>
          </cell>
          <cell r="W91">
            <v>0</v>
          </cell>
          <cell r="X91">
            <v>0</v>
          </cell>
          <cell r="AJ91">
            <v>0</v>
          </cell>
        </row>
        <row r="92">
          <cell r="A92">
            <v>1993</v>
          </cell>
          <cell r="B92" t="str">
            <v>JAN</v>
          </cell>
          <cell r="C92">
            <v>546</v>
          </cell>
          <cell r="D92">
            <v>1395.5</v>
          </cell>
          <cell r="E92">
            <v>761943</v>
          </cell>
          <cell r="F92">
            <v>95</v>
          </cell>
          <cell r="G92">
            <v>6421.4526315789471</v>
          </cell>
          <cell r="H92">
            <v>610038</v>
          </cell>
          <cell r="I92">
            <v>10513</v>
          </cell>
          <cell r="J92">
            <v>290</v>
          </cell>
          <cell r="K92">
            <v>1382784</v>
          </cell>
          <cell r="L92">
            <v>12361300</v>
          </cell>
          <cell r="M92">
            <v>21640</v>
          </cell>
          <cell r="O92">
            <v>0</v>
          </cell>
          <cell r="R92">
            <v>24396861.599999994</v>
          </cell>
          <cell r="S92">
            <v>508200</v>
          </cell>
          <cell r="T92">
            <v>290400</v>
          </cell>
          <cell r="U92">
            <v>641760</v>
          </cell>
          <cell r="V92">
            <v>0</v>
          </cell>
          <cell r="W92">
            <v>0</v>
          </cell>
          <cell r="X92">
            <v>0</v>
          </cell>
          <cell r="AJ92">
            <v>0</v>
          </cell>
        </row>
        <row r="93">
          <cell r="B93" t="str">
            <v>FEB</v>
          </cell>
          <cell r="C93">
            <v>542</v>
          </cell>
          <cell r="D93">
            <v>1204.3542435424354</v>
          </cell>
          <cell r="E93">
            <v>652760</v>
          </cell>
          <cell r="F93">
            <v>92</v>
          </cell>
          <cell r="G93">
            <v>5531.576086956522</v>
          </cell>
          <cell r="H93">
            <v>508905</v>
          </cell>
          <cell r="I93">
            <v>10513</v>
          </cell>
          <cell r="J93">
            <v>290</v>
          </cell>
          <cell r="K93">
            <v>1172468</v>
          </cell>
          <cell r="L93">
            <v>12452800</v>
          </cell>
          <cell r="M93">
            <v>22080</v>
          </cell>
          <cell r="O93">
            <v>0</v>
          </cell>
          <cell r="R93">
            <v>19952659.200000007</v>
          </cell>
          <cell r="S93">
            <v>346200</v>
          </cell>
          <cell r="T93">
            <v>279600</v>
          </cell>
          <cell r="U93">
            <v>508320</v>
          </cell>
          <cell r="V93">
            <v>0</v>
          </cell>
          <cell r="W93">
            <v>0</v>
          </cell>
          <cell r="X93">
            <v>0</v>
          </cell>
          <cell r="AJ93">
            <v>0</v>
          </cell>
        </row>
        <row r="94">
          <cell r="B94" t="str">
            <v>MAR</v>
          </cell>
          <cell r="C94">
            <v>539</v>
          </cell>
          <cell r="D94">
            <v>1030.669758812616</v>
          </cell>
          <cell r="E94">
            <v>555531</v>
          </cell>
          <cell r="F94">
            <v>92</v>
          </cell>
          <cell r="G94">
            <v>5191.673913043478</v>
          </cell>
          <cell r="H94">
            <v>477634</v>
          </cell>
          <cell r="I94">
            <v>10513</v>
          </cell>
          <cell r="J94">
            <v>290</v>
          </cell>
          <cell r="K94">
            <v>1043968</v>
          </cell>
          <cell r="L94">
            <v>14742900</v>
          </cell>
          <cell r="M94">
            <v>21910</v>
          </cell>
          <cell r="O94">
            <v>480</v>
          </cell>
          <cell r="R94">
            <v>18802559.199999999</v>
          </cell>
          <cell r="S94">
            <v>298800</v>
          </cell>
          <cell r="T94">
            <v>176400</v>
          </cell>
          <cell r="U94">
            <v>477960</v>
          </cell>
          <cell r="V94">
            <v>0</v>
          </cell>
          <cell r="W94">
            <v>0</v>
          </cell>
          <cell r="X94">
            <v>0</v>
          </cell>
          <cell r="AJ94">
            <v>0</v>
          </cell>
        </row>
        <row r="95">
          <cell r="B95" t="str">
            <v>APR</v>
          </cell>
          <cell r="C95">
            <v>538</v>
          </cell>
          <cell r="D95">
            <v>861.31226765799261</v>
          </cell>
          <cell r="E95">
            <v>463386</v>
          </cell>
          <cell r="F95">
            <v>92</v>
          </cell>
          <cell r="G95">
            <v>4597.152173913043</v>
          </cell>
          <cell r="H95">
            <v>422938</v>
          </cell>
          <cell r="I95">
            <v>10513</v>
          </cell>
          <cell r="J95">
            <v>290</v>
          </cell>
          <cell r="K95">
            <v>897127</v>
          </cell>
          <cell r="L95">
            <v>4051300</v>
          </cell>
          <cell r="M95">
            <v>21550</v>
          </cell>
          <cell r="O95">
            <v>0</v>
          </cell>
          <cell r="R95">
            <v>15636003.199999996</v>
          </cell>
          <cell r="S95">
            <v>280800</v>
          </cell>
          <cell r="T95">
            <v>230400</v>
          </cell>
          <cell r="U95">
            <v>493440</v>
          </cell>
          <cell r="V95">
            <v>0</v>
          </cell>
          <cell r="W95">
            <v>0</v>
          </cell>
          <cell r="X95">
            <v>0</v>
          </cell>
          <cell r="AJ95">
            <v>0</v>
          </cell>
        </row>
        <row r="96">
          <cell r="B96" t="str">
            <v>MAY</v>
          </cell>
          <cell r="C96">
            <v>456</v>
          </cell>
          <cell r="D96">
            <v>925.89473684210532</v>
          </cell>
          <cell r="E96">
            <v>422208</v>
          </cell>
          <cell r="F96">
            <v>83</v>
          </cell>
          <cell r="G96">
            <v>4149.0963855421687</v>
          </cell>
          <cell r="H96">
            <v>344375</v>
          </cell>
          <cell r="I96">
            <v>10513</v>
          </cell>
          <cell r="J96">
            <v>290</v>
          </cell>
          <cell r="K96">
            <v>777386</v>
          </cell>
          <cell r="L96">
            <v>485500</v>
          </cell>
          <cell r="M96">
            <v>2770</v>
          </cell>
          <cell r="O96">
            <v>0</v>
          </cell>
          <cell r="R96">
            <v>14739900.000000004</v>
          </cell>
          <cell r="S96">
            <v>218400</v>
          </cell>
          <cell r="T96">
            <v>166800</v>
          </cell>
          <cell r="U96">
            <v>410640</v>
          </cell>
          <cell r="V96">
            <v>0</v>
          </cell>
          <cell r="W96">
            <v>0</v>
          </cell>
          <cell r="X96">
            <v>0</v>
          </cell>
          <cell r="AJ96">
            <v>0</v>
          </cell>
        </row>
        <row r="97">
          <cell r="B97" t="str">
            <v>JUN</v>
          </cell>
          <cell r="C97">
            <v>415</v>
          </cell>
          <cell r="D97">
            <v>825.79036144578311</v>
          </cell>
          <cell r="E97">
            <v>342703</v>
          </cell>
          <cell r="F97">
            <v>84</v>
          </cell>
          <cell r="G97">
            <v>3291.8809523809523</v>
          </cell>
          <cell r="H97">
            <v>276518</v>
          </cell>
          <cell r="I97">
            <v>10513</v>
          </cell>
          <cell r="J97">
            <v>290</v>
          </cell>
          <cell r="K97">
            <v>630024</v>
          </cell>
          <cell r="L97">
            <v>169900</v>
          </cell>
          <cell r="M97">
            <v>2440</v>
          </cell>
          <cell r="O97">
            <v>0</v>
          </cell>
          <cell r="R97">
            <v>13187299.999999993</v>
          </cell>
          <cell r="S97">
            <v>260400</v>
          </cell>
          <cell r="T97">
            <v>165600</v>
          </cell>
          <cell r="U97">
            <v>373680</v>
          </cell>
          <cell r="V97">
            <v>0</v>
          </cell>
          <cell r="W97">
            <v>2300</v>
          </cell>
          <cell r="X97">
            <v>0</v>
          </cell>
          <cell r="AJ97">
            <v>0</v>
          </cell>
        </row>
        <row r="98">
          <cell r="B98" t="str">
            <v>JUL</v>
          </cell>
          <cell r="C98">
            <v>385</v>
          </cell>
          <cell r="D98">
            <v>706.78701298701299</v>
          </cell>
          <cell r="E98">
            <v>272113</v>
          </cell>
          <cell r="F98">
            <v>82</v>
          </cell>
          <cell r="G98">
            <v>3064.2804878048782</v>
          </cell>
          <cell r="H98">
            <v>251271</v>
          </cell>
          <cell r="I98">
            <v>10513</v>
          </cell>
          <cell r="J98">
            <v>290</v>
          </cell>
          <cell r="K98">
            <v>534187</v>
          </cell>
          <cell r="L98">
            <v>660200</v>
          </cell>
          <cell r="M98">
            <v>2040</v>
          </cell>
          <cell r="O98">
            <v>0</v>
          </cell>
          <cell r="R98">
            <v>12788300.000000004</v>
          </cell>
          <cell r="S98">
            <v>237600</v>
          </cell>
          <cell r="T98">
            <v>153600</v>
          </cell>
          <cell r="U98">
            <v>484200</v>
          </cell>
          <cell r="V98">
            <v>0</v>
          </cell>
          <cell r="W98">
            <v>3000</v>
          </cell>
          <cell r="X98">
            <v>0</v>
          </cell>
          <cell r="AJ98">
            <v>0</v>
          </cell>
        </row>
        <row r="99">
          <cell r="B99" t="str">
            <v>AUG</v>
          </cell>
          <cell r="C99">
            <v>359</v>
          </cell>
          <cell r="D99">
            <v>677.90529247910865</v>
          </cell>
          <cell r="E99">
            <v>243368</v>
          </cell>
          <cell r="F99">
            <v>81</v>
          </cell>
          <cell r="G99">
            <v>2615.5308641975307</v>
          </cell>
          <cell r="H99">
            <v>211858</v>
          </cell>
          <cell r="I99">
            <v>10513</v>
          </cell>
          <cell r="J99">
            <v>290</v>
          </cell>
          <cell r="K99">
            <v>466029</v>
          </cell>
          <cell r="L99">
            <v>802800</v>
          </cell>
          <cell r="M99">
            <v>0</v>
          </cell>
          <cell r="O99">
            <v>4800</v>
          </cell>
          <cell r="R99">
            <v>13606679.040000003</v>
          </cell>
          <cell r="S99">
            <v>274800</v>
          </cell>
          <cell r="T99">
            <v>135600</v>
          </cell>
          <cell r="U99">
            <v>360600</v>
          </cell>
          <cell r="V99">
            <v>0</v>
          </cell>
          <cell r="W99">
            <v>3400</v>
          </cell>
          <cell r="X99">
            <v>13452</v>
          </cell>
          <cell r="AJ99">
            <v>13452</v>
          </cell>
        </row>
        <row r="100">
          <cell r="B100" t="str">
            <v>SEP</v>
          </cell>
          <cell r="C100">
            <v>325</v>
          </cell>
          <cell r="D100">
            <v>731.08</v>
          </cell>
          <cell r="E100">
            <v>237601</v>
          </cell>
          <cell r="F100">
            <v>78</v>
          </cell>
          <cell r="G100">
            <v>2825.3461538461538</v>
          </cell>
          <cell r="H100">
            <v>220377</v>
          </cell>
          <cell r="I100">
            <v>10513</v>
          </cell>
          <cell r="J100">
            <v>290</v>
          </cell>
          <cell r="K100">
            <v>468781</v>
          </cell>
          <cell r="L100">
            <v>0</v>
          </cell>
          <cell r="M100">
            <v>0</v>
          </cell>
          <cell r="O100">
            <v>0</v>
          </cell>
          <cell r="R100">
            <v>13863500</v>
          </cell>
          <cell r="S100">
            <v>228000</v>
          </cell>
          <cell r="T100">
            <v>165600</v>
          </cell>
          <cell r="U100">
            <v>427560</v>
          </cell>
          <cell r="V100">
            <v>0</v>
          </cell>
          <cell r="W100">
            <v>4300</v>
          </cell>
          <cell r="X100">
            <v>18372</v>
          </cell>
          <cell r="AJ100">
            <v>18372</v>
          </cell>
        </row>
        <row r="101">
          <cell r="B101" t="str">
            <v>OCT</v>
          </cell>
          <cell r="C101">
            <v>311</v>
          </cell>
          <cell r="D101">
            <v>695.21221864951769</v>
          </cell>
          <cell r="E101">
            <v>216211</v>
          </cell>
          <cell r="F101">
            <v>82</v>
          </cell>
          <cell r="G101">
            <v>2651.1219512195121</v>
          </cell>
          <cell r="H101">
            <v>217392</v>
          </cell>
          <cell r="I101">
            <v>10513</v>
          </cell>
          <cell r="J101">
            <v>290</v>
          </cell>
          <cell r="K101">
            <v>444406</v>
          </cell>
          <cell r="L101">
            <v>440300</v>
          </cell>
          <cell r="M101">
            <v>0</v>
          </cell>
          <cell r="O101">
            <v>0</v>
          </cell>
          <cell r="R101">
            <v>15922550.000000004</v>
          </cell>
          <cell r="S101">
            <v>325200</v>
          </cell>
          <cell r="T101">
            <v>175200</v>
          </cell>
          <cell r="U101">
            <v>342480</v>
          </cell>
          <cell r="V101">
            <v>0</v>
          </cell>
          <cell r="W101">
            <v>4100</v>
          </cell>
          <cell r="X101">
            <v>15384</v>
          </cell>
          <cell r="AJ101">
            <v>15384</v>
          </cell>
        </row>
        <row r="102">
          <cell r="B102" t="str">
            <v>NOV</v>
          </cell>
          <cell r="C102">
            <v>280</v>
          </cell>
          <cell r="D102">
            <v>809.74285714285713</v>
          </cell>
          <cell r="E102">
            <v>226728</v>
          </cell>
          <cell r="F102">
            <v>80</v>
          </cell>
          <cell r="G102">
            <v>3296.75</v>
          </cell>
          <cell r="H102">
            <v>263740</v>
          </cell>
          <cell r="I102">
            <v>10513</v>
          </cell>
          <cell r="J102">
            <v>290</v>
          </cell>
          <cell r="K102">
            <v>501271</v>
          </cell>
          <cell r="L102">
            <v>424600</v>
          </cell>
          <cell r="M102">
            <v>0</v>
          </cell>
          <cell r="O102">
            <v>0</v>
          </cell>
          <cell r="R102">
            <v>18272100.000000004</v>
          </cell>
          <cell r="S102">
            <v>364800</v>
          </cell>
          <cell r="T102">
            <v>175200</v>
          </cell>
          <cell r="U102">
            <v>530760</v>
          </cell>
          <cell r="V102">
            <v>0</v>
          </cell>
          <cell r="W102">
            <v>6700</v>
          </cell>
          <cell r="X102">
            <v>19944</v>
          </cell>
          <cell r="AJ102">
            <v>19944</v>
          </cell>
        </row>
        <row r="103">
          <cell r="B103" t="str">
            <v>DEC</v>
          </cell>
          <cell r="C103">
            <v>259</v>
          </cell>
          <cell r="D103">
            <v>982.59459459459458</v>
          </cell>
          <cell r="E103">
            <v>254492</v>
          </cell>
          <cell r="F103">
            <v>73</v>
          </cell>
          <cell r="G103">
            <v>5037.5616438356165</v>
          </cell>
          <cell r="H103">
            <v>367742</v>
          </cell>
          <cell r="I103">
            <v>10513</v>
          </cell>
          <cell r="J103">
            <v>290</v>
          </cell>
          <cell r="K103">
            <v>633037</v>
          </cell>
          <cell r="L103">
            <v>156800</v>
          </cell>
          <cell r="M103">
            <v>0</v>
          </cell>
          <cell r="O103">
            <v>578064</v>
          </cell>
          <cell r="R103">
            <v>19897161.839999992</v>
          </cell>
          <cell r="S103">
            <v>334800</v>
          </cell>
          <cell r="T103">
            <v>259200</v>
          </cell>
          <cell r="U103">
            <v>858480</v>
          </cell>
          <cell r="V103">
            <v>0</v>
          </cell>
          <cell r="W103">
            <v>5800</v>
          </cell>
          <cell r="X103">
            <v>17820</v>
          </cell>
          <cell r="AJ103">
            <v>17820</v>
          </cell>
        </row>
        <row r="342">
          <cell r="B342" t="str">
            <v>1986</v>
          </cell>
          <cell r="C342">
            <v>256</v>
          </cell>
          <cell r="D342">
            <v>8714.84375</v>
          </cell>
          <cell r="E342">
            <v>2231000</v>
          </cell>
          <cell r="F342">
            <v>65.416666666666671</v>
          </cell>
          <cell r="G342">
            <v>56254.77707006369</v>
          </cell>
          <cell r="H342">
            <v>3680000</v>
          </cell>
          <cell r="I342">
            <v>126156</v>
          </cell>
          <cell r="J342">
            <v>3480</v>
          </cell>
          <cell r="K342">
            <v>630024</v>
          </cell>
        </row>
        <row r="343">
          <cell r="B343">
            <v>1987</v>
          </cell>
          <cell r="C343">
            <v>412.41666666666669</v>
          </cell>
          <cell r="D343">
            <v>10303.625782986461</v>
          </cell>
          <cell r="E343">
            <v>4249387</v>
          </cell>
          <cell r="F343">
            <v>73.833333333333329</v>
          </cell>
          <cell r="G343">
            <v>53799.941309255082</v>
          </cell>
          <cell r="H343">
            <v>3972229</v>
          </cell>
          <cell r="I343">
            <v>126156</v>
          </cell>
          <cell r="J343">
            <v>3480</v>
          </cell>
          <cell r="K343">
            <v>534187</v>
          </cell>
        </row>
        <row r="344">
          <cell r="B344">
            <v>1988</v>
          </cell>
          <cell r="C344">
            <v>448</v>
          </cell>
          <cell r="D344">
            <v>10786.350446428571</v>
          </cell>
          <cell r="E344">
            <v>4832285</v>
          </cell>
          <cell r="F344">
            <v>76.916666666666671</v>
          </cell>
          <cell r="G344">
            <v>51656.424702058503</v>
          </cell>
          <cell r="H344">
            <v>3973240</v>
          </cell>
          <cell r="I344">
            <v>126156</v>
          </cell>
          <cell r="J344">
            <v>3480</v>
          </cell>
          <cell r="K344">
            <v>466029</v>
          </cell>
        </row>
        <row r="345">
          <cell r="B345">
            <v>1989</v>
          </cell>
          <cell r="C345">
            <v>508.58333333333331</v>
          </cell>
          <cell r="D345">
            <v>11785.203342618384</v>
          </cell>
          <cell r="E345">
            <v>5993758</v>
          </cell>
          <cell r="F345">
            <v>80.916666666666671</v>
          </cell>
          <cell r="G345">
            <v>53134.838311019565</v>
          </cell>
          <cell r="H345">
            <v>4299494</v>
          </cell>
          <cell r="I345">
            <v>126156</v>
          </cell>
          <cell r="J345">
            <v>3480</v>
          </cell>
          <cell r="K345">
            <v>468781</v>
          </cell>
        </row>
        <row r="346">
          <cell r="B346">
            <v>1990</v>
          </cell>
          <cell r="C346">
            <v>518.75</v>
          </cell>
          <cell r="D346">
            <v>12365.663614457831</v>
          </cell>
          <cell r="E346">
            <v>6414688</v>
          </cell>
          <cell r="F346">
            <v>89.666666666666671</v>
          </cell>
          <cell r="G346">
            <v>57532.784386617095</v>
          </cell>
          <cell r="H346">
            <v>5158773</v>
          </cell>
          <cell r="I346">
            <v>126156</v>
          </cell>
          <cell r="J346">
            <v>3480</v>
          </cell>
          <cell r="K346">
            <v>444406</v>
          </cell>
        </row>
        <row r="347">
          <cell r="B347">
            <v>1991</v>
          </cell>
          <cell r="C347">
            <v>542.25</v>
          </cell>
          <cell r="D347">
            <v>11627.024435223606</v>
          </cell>
          <cell r="E347">
            <v>6304754</v>
          </cell>
          <cell r="F347">
            <v>94.666666666666671</v>
          </cell>
          <cell r="G347">
            <v>55788.07394366197</v>
          </cell>
          <cell r="H347">
            <v>5281271</v>
          </cell>
          <cell r="I347">
            <v>126156</v>
          </cell>
          <cell r="J347">
            <v>3480</v>
          </cell>
          <cell r="K347">
            <v>501271</v>
          </cell>
        </row>
        <row r="348">
          <cell r="B348">
            <v>1992</v>
          </cell>
          <cell r="C348">
            <v>542.75</v>
          </cell>
          <cell r="D348">
            <v>11235.415937356058</v>
          </cell>
          <cell r="E348">
            <v>6098022</v>
          </cell>
          <cell r="F348">
            <v>94.833333333333329</v>
          </cell>
          <cell r="G348">
            <v>56120.667838312831</v>
          </cell>
          <cell r="H348">
            <v>5322110</v>
          </cell>
          <cell r="I348">
            <v>126156</v>
          </cell>
          <cell r="J348">
            <v>3480</v>
          </cell>
          <cell r="K348">
            <v>633037</v>
          </cell>
        </row>
        <row r="349">
          <cell r="B349">
            <v>1993</v>
          </cell>
          <cell r="C349">
            <v>412.91666666666669</v>
          </cell>
          <cell r="D349">
            <v>11259.036932391524</v>
          </cell>
          <cell r="E349">
            <v>4649044</v>
          </cell>
          <cell r="F349">
            <v>84.5</v>
          </cell>
          <cell r="G349">
            <v>49382.106508875739</v>
          </cell>
          <cell r="H349">
            <v>4172788</v>
          </cell>
          <cell r="I349">
            <v>126156</v>
          </cell>
          <cell r="J349">
            <v>3480</v>
          </cell>
          <cell r="K349">
            <v>643221</v>
          </cell>
        </row>
        <row r="350">
          <cell r="B350">
            <v>1994</v>
          </cell>
          <cell r="C350">
            <v>234.33333333333334</v>
          </cell>
          <cell r="D350">
            <v>9892.6130867709817</v>
          </cell>
          <cell r="E350">
            <v>2318169</v>
          </cell>
          <cell r="F350">
            <v>71.666666666666671</v>
          </cell>
          <cell r="G350">
            <v>47023.68837209302</v>
          </cell>
          <cell r="H350">
            <v>3370031</v>
          </cell>
          <cell r="I350">
            <v>81600</v>
          </cell>
          <cell r="J350">
            <v>2796</v>
          </cell>
          <cell r="K350">
            <v>5772596</v>
          </cell>
          <cell r="L350">
            <v>6083400</v>
          </cell>
          <cell r="O350">
            <v>101568</v>
          </cell>
          <cell r="P350">
            <v>6184968</v>
          </cell>
          <cell r="Q350">
            <v>11957564</v>
          </cell>
          <cell r="R350">
            <v>198431308.92000002</v>
          </cell>
          <cell r="S350">
            <v>3673079.9999999995</v>
          </cell>
          <cell r="T350">
            <v>2393520.0000000005</v>
          </cell>
          <cell r="U350">
            <v>5695800</v>
          </cell>
          <cell r="V350">
            <v>9500</v>
          </cell>
          <cell r="W350">
            <v>75900</v>
          </cell>
          <cell r="X350">
            <v>242582.6</v>
          </cell>
          <cell r="Y350">
            <v>0</v>
          </cell>
          <cell r="Z350">
            <v>210521691.52000004</v>
          </cell>
          <cell r="AA350">
            <v>222479255.52000004</v>
          </cell>
          <cell r="AB350">
            <v>18564630.07999998</v>
          </cell>
          <cell r="AC350">
            <v>8.3444319501199918E-2</v>
          </cell>
          <cell r="AD350">
            <v>241043885.59999999</v>
          </cell>
          <cell r="AE350">
            <v>240468183</v>
          </cell>
          <cell r="AF350">
            <v>242582.6</v>
          </cell>
          <cell r="AG350">
            <v>333120</v>
          </cell>
          <cell r="AH350">
            <v>153218183</v>
          </cell>
          <cell r="AI350">
            <v>87250000</v>
          </cell>
          <cell r="AJ350">
            <v>242582.6</v>
          </cell>
          <cell r="AK350">
            <v>0</v>
          </cell>
          <cell r="AL350">
            <v>279840</v>
          </cell>
          <cell r="AM350">
            <v>53280</v>
          </cell>
          <cell r="AN350">
            <v>3.7309512699153391</v>
          </cell>
          <cell r="AO350">
            <v>0.94294192571465285</v>
          </cell>
          <cell r="AP350">
            <v>75005</v>
          </cell>
          <cell r="AQ350">
            <v>56504.009999999995</v>
          </cell>
          <cell r="AR350">
            <v>131509.01</v>
          </cell>
          <cell r="AS350">
            <v>0.27051356576228253</v>
          </cell>
          <cell r="AT350">
            <v>0.2806531784204343</v>
          </cell>
          <cell r="AU350">
            <v>0.27487014007633392</v>
          </cell>
          <cell r="AV350">
            <v>20289.87</v>
          </cell>
          <cell r="AW350">
            <v>15858.030000000002</v>
          </cell>
          <cell r="AX350">
            <v>36147.9</v>
          </cell>
        </row>
        <row r="351">
          <cell r="B351">
            <v>1995</v>
          </cell>
          <cell r="C351">
            <v>427.5</v>
          </cell>
          <cell r="D351">
            <v>9394.5777777777785</v>
          </cell>
          <cell r="E351">
            <v>4016182</v>
          </cell>
          <cell r="F351">
            <v>86.333333333333329</v>
          </cell>
          <cell r="G351">
            <v>49765.45945945946</v>
          </cell>
          <cell r="H351">
            <v>4296418</v>
          </cell>
          <cell r="I351">
            <v>126529</v>
          </cell>
          <cell r="J351">
            <v>5364</v>
          </cell>
          <cell r="K351">
            <v>8444493</v>
          </cell>
          <cell r="L351">
            <v>84998700</v>
          </cell>
          <cell r="O351">
            <v>0</v>
          </cell>
          <cell r="P351">
            <v>84998700</v>
          </cell>
          <cell r="Q351">
            <v>93443193</v>
          </cell>
          <cell r="R351">
            <v>203069941.13040003</v>
          </cell>
          <cell r="S351">
            <v>3679080</v>
          </cell>
          <cell r="T351">
            <v>2376600</v>
          </cell>
          <cell r="U351">
            <v>5814600</v>
          </cell>
          <cell r="V351">
            <v>-33100</v>
          </cell>
          <cell r="W351">
            <v>98500</v>
          </cell>
          <cell r="X351">
            <v>237490</v>
          </cell>
          <cell r="Y351">
            <v>1402039.44</v>
          </cell>
          <cell r="Z351">
            <v>216645150.5704</v>
          </cell>
          <cell r="AA351">
            <v>310088343.5704</v>
          </cell>
          <cell r="AB351">
            <v>23464740.429600012</v>
          </cell>
          <cell r="AC351">
            <v>7.567114635598278E-2</v>
          </cell>
          <cell r="AD351">
            <v>333553084</v>
          </cell>
          <cell r="AE351">
            <v>293789544</v>
          </cell>
          <cell r="AF351">
            <v>237490</v>
          </cell>
          <cell r="AG351">
            <v>39526050</v>
          </cell>
          <cell r="AH351">
            <v>230199544</v>
          </cell>
          <cell r="AI351">
            <v>63590000</v>
          </cell>
          <cell r="AJ351">
            <v>237490</v>
          </cell>
          <cell r="AK351">
            <v>0</v>
          </cell>
          <cell r="AL351">
            <v>20908230</v>
          </cell>
          <cell r="AM351">
            <v>18617820</v>
          </cell>
          <cell r="AN351">
            <v>3.769347937743345</v>
          </cell>
          <cell r="AO351">
            <v>3.8808218883972558</v>
          </cell>
          <cell r="AP351">
            <v>5546909</v>
          </cell>
          <cell r="AQ351">
            <v>4797391</v>
          </cell>
          <cell r="AR351">
            <v>10344300</v>
          </cell>
          <cell r="AS351">
            <v>0.27865277220159912</v>
          </cell>
          <cell r="AT351">
            <v>0.30165204170350091</v>
          </cell>
          <cell r="AU351">
            <v>0.28931917674468066</v>
          </cell>
          <cell r="AV351">
            <v>1545661.57</v>
          </cell>
          <cell r="AW351">
            <v>1447142.79</v>
          </cell>
          <cell r="AX351">
            <v>2992804.3600000003</v>
          </cell>
        </row>
        <row r="352">
          <cell r="B352">
            <v>1996</v>
          </cell>
          <cell r="C352">
            <v>510.25</v>
          </cell>
          <cell r="D352">
            <v>11421.258206761391</v>
          </cell>
          <cell r="E352">
            <v>5827697</v>
          </cell>
          <cell r="F352">
            <v>98.083333333333329</v>
          </cell>
          <cell r="G352">
            <v>48678.23959218352</v>
          </cell>
          <cell r="H352">
            <v>4774524</v>
          </cell>
          <cell r="I352">
            <v>82080</v>
          </cell>
          <cell r="J352">
            <v>2708</v>
          </cell>
          <cell r="K352">
            <v>10687009</v>
          </cell>
          <cell r="L352">
            <v>173997928</v>
          </cell>
          <cell r="O352">
            <v>0</v>
          </cell>
          <cell r="P352">
            <v>173997928</v>
          </cell>
          <cell r="Q352">
            <v>184684937</v>
          </cell>
          <cell r="R352">
            <v>218468138.07279998</v>
          </cell>
          <cell r="S352">
            <v>3909240.0000000014</v>
          </cell>
          <cell r="T352">
            <v>2727479.9999999995</v>
          </cell>
          <cell r="U352">
            <v>6179520</v>
          </cell>
          <cell r="V352">
            <v>149400</v>
          </cell>
          <cell r="W352">
            <v>135300</v>
          </cell>
          <cell r="X352">
            <v>230170</v>
          </cell>
          <cell r="Y352">
            <v>8280</v>
          </cell>
          <cell r="Z352">
            <v>231807528.07279998</v>
          </cell>
          <cell r="AA352">
            <v>416492465.07279998</v>
          </cell>
          <cell r="AB352">
            <v>27635045.927200027</v>
          </cell>
          <cell r="AC352">
            <v>6.6351850860902395E-2</v>
          </cell>
          <cell r="AD352">
            <v>444127511</v>
          </cell>
          <cell r="AE352">
            <v>339342001</v>
          </cell>
          <cell r="AF352">
            <v>230170</v>
          </cell>
          <cell r="AG352">
            <v>104555340</v>
          </cell>
          <cell r="AH352">
            <v>228992001</v>
          </cell>
          <cell r="AI352">
            <v>110350000</v>
          </cell>
          <cell r="AJ352">
            <v>230170</v>
          </cell>
          <cell r="AK352">
            <v>0</v>
          </cell>
          <cell r="AL352">
            <v>57872550</v>
          </cell>
          <cell r="AM352">
            <v>46682790</v>
          </cell>
          <cell r="AN352">
            <v>3.9174644812235</v>
          </cell>
          <cell r="AO352">
            <v>3.7916092673153008</v>
          </cell>
          <cell r="AP352">
            <v>14772961</v>
          </cell>
          <cell r="AQ352">
            <v>12312131</v>
          </cell>
          <cell r="AR352">
            <v>27085092</v>
          </cell>
          <cell r="AS352">
            <v>0.30255676096349271</v>
          </cell>
          <cell r="AT352">
            <v>0.31478989705356447</v>
          </cell>
          <cell r="AU352">
            <v>0.30811760506480834</v>
          </cell>
          <cell r="AV352">
            <v>4469659.2300000004</v>
          </cell>
          <cell r="AW352">
            <v>3875734.4499999997</v>
          </cell>
          <cell r="AX352">
            <v>8345393.6799999997</v>
          </cell>
        </row>
        <row r="354">
          <cell r="B354">
            <v>1998</v>
          </cell>
          <cell r="C354">
            <v>357</v>
          </cell>
          <cell r="D354">
            <v>9407.6834733893556</v>
          </cell>
          <cell r="E354">
            <v>3358543</v>
          </cell>
          <cell r="F354">
            <v>87.75</v>
          </cell>
          <cell r="G354">
            <v>39123.783475783479</v>
          </cell>
          <cell r="H354">
            <v>3433112</v>
          </cell>
          <cell r="I354">
            <v>85680</v>
          </cell>
          <cell r="J354">
            <v>0</v>
          </cell>
          <cell r="K354">
            <v>6877335</v>
          </cell>
          <cell r="L354">
            <v>16619999.999999996</v>
          </cell>
          <cell r="O354">
            <v>0</v>
          </cell>
          <cell r="P354">
            <v>16619999.999999996</v>
          </cell>
          <cell r="Q354">
            <v>23497334.999999993</v>
          </cell>
          <cell r="R354">
            <v>206838665</v>
          </cell>
          <cell r="S354">
            <v>4007640</v>
          </cell>
          <cell r="T354">
            <v>2731920</v>
          </cell>
          <cell r="U354">
            <v>6667554</v>
          </cell>
          <cell r="V354">
            <v>177830</v>
          </cell>
          <cell r="W354">
            <v>189300</v>
          </cell>
          <cell r="X354">
            <v>258590</v>
          </cell>
          <cell r="Y354">
            <v>1768685</v>
          </cell>
          <cell r="Z354">
            <v>222640184</v>
          </cell>
          <cell r="AA354">
            <v>246137519</v>
          </cell>
          <cell r="AB354">
            <v>15139866.999999993</v>
          </cell>
          <cell r="AC354">
            <v>6.1509789574177E-2</v>
          </cell>
          <cell r="AD354">
            <v>261277386</v>
          </cell>
          <cell r="AE354">
            <v>253819666</v>
          </cell>
          <cell r="AF354">
            <v>258590</v>
          </cell>
          <cell r="AG354">
            <v>7199130</v>
          </cell>
          <cell r="AH354">
            <v>190429666</v>
          </cell>
          <cell r="AI354">
            <v>63390000</v>
          </cell>
          <cell r="AJ354">
            <v>258590</v>
          </cell>
          <cell r="AK354">
            <v>0</v>
          </cell>
          <cell r="AL354">
            <v>2640780</v>
          </cell>
          <cell r="AM354">
            <v>4558350</v>
          </cell>
          <cell r="AN354">
            <v>3.8362631887072851</v>
          </cell>
          <cell r="AO354">
            <v>3.4854460539032774</v>
          </cell>
          <cell r="AP354">
            <v>688373</v>
          </cell>
          <cell r="AQ354">
            <v>1307824</v>
          </cell>
          <cell r="AR354">
            <v>1996197</v>
          </cell>
          <cell r="AS354">
            <v>0.28629661535243245</v>
          </cell>
          <cell r="AT354">
            <v>0.33654754003596821</v>
          </cell>
          <cell r="AU354">
            <v>0.3192188997378515</v>
          </cell>
          <cell r="AV354">
            <v>197078.86</v>
          </cell>
          <cell r="AW354">
            <v>440144.95000000007</v>
          </cell>
          <cell r="AX354">
            <v>637223.80999999994</v>
          </cell>
        </row>
        <row r="355">
          <cell r="B355">
            <v>1999</v>
          </cell>
          <cell r="C355">
            <v>241.5</v>
          </cell>
          <cell r="D355">
            <v>9003.1511387163555</v>
          </cell>
          <cell r="E355">
            <v>2174261</v>
          </cell>
          <cell r="F355">
            <v>73.5</v>
          </cell>
          <cell r="G355">
            <v>36033.972789115644</v>
          </cell>
          <cell r="H355">
            <v>2648497</v>
          </cell>
          <cell r="I355">
            <v>86560</v>
          </cell>
          <cell r="J355">
            <v>0</v>
          </cell>
          <cell r="K355">
            <v>4909318</v>
          </cell>
          <cell r="L355">
            <v>1556400</v>
          </cell>
          <cell r="O355">
            <v>0</v>
          </cell>
          <cell r="P355">
            <v>1556400</v>
          </cell>
          <cell r="Q355">
            <v>6465718</v>
          </cell>
          <cell r="R355">
            <v>208570026.00000006</v>
          </cell>
          <cell r="S355">
            <v>3937320.0000000005</v>
          </cell>
          <cell r="T355">
            <v>2804640.0000000005</v>
          </cell>
          <cell r="U355">
            <v>6433626</v>
          </cell>
          <cell r="V355">
            <v>186640</v>
          </cell>
          <cell r="W355">
            <v>188520</v>
          </cell>
          <cell r="X355">
            <v>267639.59999999998</v>
          </cell>
          <cell r="Y355">
            <v>562464</v>
          </cell>
          <cell r="Z355">
            <v>222950875.60000002</v>
          </cell>
          <cell r="AA355">
            <v>229416593.60000002</v>
          </cell>
          <cell r="AB355">
            <v>16309785.99999994</v>
          </cell>
          <cell r="AC355">
            <v>7.1092442547712631E-2</v>
          </cell>
          <cell r="AD355">
            <v>245726379.59999999</v>
          </cell>
          <cell r="AE355">
            <v>233124830</v>
          </cell>
          <cell r="AF355">
            <v>267639.59999999998</v>
          </cell>
          <cell r="AG355">
            <v>12333910</v>
          </cell>
          <cell r="AH355">
            <v>194734830</v>
          </cell>
          <cell r="AI355">
            <v>38390000</v>
          </cell>
          <cell r="AJ355">
            <v>267639.59999999998</v>
          </cell>
          <cell r="AK355">
            <v>0</v>
          </cell>
          <cell r="AL355">
            <v>10499980</v>
          </cell>
          <cell r="AM355">
            <v>1833930</v>
          </cell>
          <cell r="AN355">
            <v>3.7369136593351842</v>
          </cell>
          <cell r="AO355">
            <v>3.0919372215000682</v>
          </cell>
          <cell r="AP355">
            <v>2809800</v>
          </cell>
          <cell r="AQ355">
            <v>593133</v>
          </cell>
          <cell r="AR355">
            <v>3402933</v>
          </cell>
          <cell r="AS355">
            <v>0.24095247348565735</v>
          </cell>
          <cell r="AT355">
            <v>0.3167218482195393</v>
          </cell>
          <cell r="AU355">
            <v>0.25415911509277439</v>
          </cell>
          <cell r="AV355">
            <v>677028.26</v>
          </cell>
          <cell r="AW355">
            <v>187858.18</v>
          </cell>
          <cell r="AX355">
            <v>864886.44</v>
          </cell>
        </row>
        <row r="356">
          <cell r="B356">
            <v>2000</v>
          </cell>
          <cell r="C356">
            <v>217.25</v>
          </cell>
          <cell r="D356">
            <v>8031.4384349827387</v>
          </cell>
          <cell r="E356">
            <v>1744830</v>
          </cell>
          <cell r="F356">
            <v>69.666666666666671</v>
          </cell>
          <cell r="G356">
            <v>37835.942583732052</v>
          </cell>
          <cell r="H356">
            <v>2635904</v>
          </cell>
          <cell r="I356">
            <v>87360</v>
          </cell>
          <cell r="J356">
            <v>2520</v>
          </cell>
          <cell r="K356">
            <v>4470614</v>
          </cell>
          <cell r="L356">
            <v>2304000</v>
          </cell>
          <cell r="O356">
            <v>0</v>
          </cell>
          <cell r="P356">
            <v>2304000</v>
          </cell>
          <cell r="Q356">
            <v>6774614</v>
          </cell>
          <cell r="R356">
            <v>204591740</v>
          </cell>
          <cell r="S356">
            <v>3817920</v>
          </cell>
          <cell r="T356">
            <v>2921280</v>
          </cell>
          <cell r="U356">
            <v>6419448</v>
          </cell>
          <cell r="V356">
            <v>178930</v>
          </cell>
          <cell r="W356">
            <v>185180</v>
          </cell>
          <cell r="X356">
            <v>385344</v>
          </cell>
          <cell r="Y356">
            <v>2555760</v>
          </cell>
          <cell r="Z356">
            <v>221055602</v>
          </cell>
          <cell r="AA356">
            <v>227830216</v>
          </cell>
          <cell r="AB356">
            <v>16270797</v>
          </cell>
          <cell r="AC356">
            <v>7.1416326094340357E-2</v>
          </cell>
          <cell r="AD356">
            <v>244101013</v>
          </cell>
          <cell r="AE356">
            <v>242964244</v>
          </cell>
          <cell r="AF356">
            <v>408599</v>
          </cell>
          <cell r="AG356">
            <v>728170</v>
          </cell>
          <cell r="AH356">
            <v>186654244</v>
          </cell>
          <cell r="AI356">
            <v>56310000</v>
          </cell>
          <cell r="AJ356">
            <v>249690</v>
          </cell>
          <cell r="AK356">
            <v>158909</v>
          </cell>
          <cell r="AL356">
            <v>528880</v>
          </cell>
          <cell r="AM356">
            <v>199290</v>
          </cell>
          <cell r="AN356">
            <v>2.2008605694406298</v>
          </cell>
          <cell r="AO356">
            <v>1.1569341158849857</v>
          </cell>
          <cell r="AP356">
            <v>240306</v>
          </cell>
          <cell r="AQ356">
            <v>172257</v>
          </cell>
          <cell r="AR356">
            <v>412563</v>
          </cell>
          <cell r="AS356">
            <v>0.37176816225978543</v>
          </cell>
          <cell r="AT356">
            <v>0.33593578200015095</v>
          </cell>
          <cell r="AU356">
            <v>0.35680710582383773</v>
          </cell>
          <cell r="AV356">
            <v>89338.12</v>
          </cell>
          <cell r="AW356">
            <v>57867.29</v>
          </cell>
          <cell r="AX356">
            <v>147205.40999999997</v>
          </cell>
        </row>
        <row r="357">
          <cell r="B357">
            <v>2001</v>
          </cell>
          <cell r="C357">
            <v>248.83333333333334</v>
          </cell>
          <cell r="D357">
            <v>7174.778298727394</v>
          </cell>
          <cell r="E357">
            <v>1785324</v>
          </cell>
          <cell r="F357">
            <v>69.833333333333329</v>
          </cell>
          <cell r="G357">
            <v>38930.806682577568</v>
          </cell>
          <cell r="H357">
            <v>2718668</v>
          </cell>
          <cell r="I357">
            <v>92460</v>
          </cell>
          <cell r="J357">
            <v>2520</v>
          </cell>
          <cell r="K357">
            <v>4598972</v>
          </cell>
          <cell r="L357">
            <v>5090400</v>
          </cell>
          <cell r="M357">
            <v>0</v>
          </cell>
          <cell r="N357">
            <v>0</v>
          </cell>
          <cell r="O357">
            <v>0</v>
          </cell>
          <cell r="P357">
            <v>5090400</v>
          </cell>
          <cell r="Q357">
            <v>9689372</v>
          </cell>
          <cell r="R357">
            <v>202462240</v>
          </cell>
          <cell r="S357">
            <v>4044720</v>
          </cell>
          <cell r="T357">
            <v>2778720</v>
          </cell>
          <cell r="U357">
            <v>6455652</v>
          </cell>
          <cell r="V357">
            <v>163600.00000000006</v>
          </cell>
          <cell r="W357">
            <v>207670</v>
          </cell>
          <cell r="X357">
            <v>973368.5</v>
          </cell>
          <cell r="Y357">
            <v>4979160</v>
          </cell>
          <cell r="Z357">
            <v>222065130.5</v>
          </cell>
          <cell r="AA357">
            <v>231754502.5</v>
          </cell>
          <cell r="AB357">
            <v>18143456.919999998</v>
          </cell>
          <cell r="AC357">
            <v>7.8287397760481478E-2</v>
          </cell>
          <cell r="AD357">
            <v>249897959.42000002</v>
          </cell>
          <cell r="AE357">
            <v>248554898</v>
          </cell>
          <cell r="AF357">
            <v>1112511.42</v>
          </cell>
          <cell r="AG357">
            <v>230550</v>
          </cell>
          <cell r="AH357">
            <v>141114898</v>
          </cell>
          <cell r="AI357">
            <v>107440000</v>
          </cell>
          <cell r="AJ357">
            <v>199090</v>
          </cell>
          <cell r="AK357">
            <v>913421.42</v>
          </cell>
          <cell r="AL357">
            <v>125760</v>
          </cell>
          <cell r="AM357">
            <v>104790</v>
          </cell>
          <cell r="AN357">
            <v>2.7998931338498529</v>
          </cell>
          <cell r="AO357">
            <v>0.78827405668893302</v>
          </cell>
          <cell r="AP357">
            <v>44916</v>
          </cell>
          <cell r="AQ357">
            <v>132936</v>
          </cell>
          <cell r="AR357">
            <v>177852</v>
          </cell>
          <cell r="AS357">
            <v>0.29356843886365658</v>
          </cell>
          <cell r="AT357">
            <v>0.37650418246374201</v>
          </cell>
          <cell r="AU357">
            <v>0.35555900411578167</v>
          </cell>
          <cell r="AV357">
            <v>13185.919999999998</v>
          </cell>
          <cell r="AW357">
            <v>50050.960000000006</v>
          </cell>
          <cell r="AX357">
            <v>63236.88</v>
          </cell>
        </row>
        <row r="358">
          <cell r="B358">
            <v>2002</v>
          </cell>
          <cell r="C358">
            <v>267.66666666666669</v>
          </cell>
          <cell r="D358">
            <v>7196.6488169364875</v>
          </cell>
          <cell r="E358">
            <v>1926303</v>
          </cell>
          <cell r="F358">
            <v>71.583333333333329</v>
          </cell>
          <cell r="G358">
            <v>39837.233993015136</v>
          </cell>
          <cell r="H358">
            <v>2851682</v>
          </cell>
          <cell r="I358">
            <v>97296</v>
          </cell>
          <cell r="J358">
            <v>2400</v>
          </cell>
          <cell r="K358">
            <v>4877681</v>
          </cell>
          <cell r="L358">
            <v>4020000</v>
          </cell>
          <cell r="M358">
            <v>0</v>
          </cell>
          <cell r="N358">
            <v>0</v>
          </cell>
          <cell r="O358">
            <v>0</v>
          </cell>
          <cell r="P358">
            <v>4020000</v>
          </cell>
          <cell r="Q358">
            <v>8897681</v>
          </cell>
          <cell r="R358">
            <v>205970480.00000003</v>
          </cell>
          <cell r="S358">
            <v>4139880.0000000019</v>
          </cell>
          <cell r="T358">
            <v>2688839.9999999991</v>
          </cell>
          <cell r="U358">
            <v>6456240</v>
          </cell>
          <cell r="V358">
            <v>180050.00000000006</v>
          </cell>
          <cell r="W358">
            <v>213009.99999999991</v>
          </cell>
          <cell r="X358">
            <v>1041346.0000000001</v>
          </cell>
          <cell r="Y358">
            <v>8126620</v>
          </cell>
          <cell r="Z358">
            <v>228816466.00000009</v>
          </cell>
          <cell r="AA358">
            <v>237714147.00000009</v>
          </cell>
          <cell r="AB358">
            <v>19412710.999999944</v>
          </cell>
          <cell r="AC358">
            <v>8.1664096331632866E-2</v>
          </cell>
          <cell r="AD358">
            <v>257126858</v>
          </cell>
          <cell r="AE358">
            <v>255328761</v>
          </cell>
          <cell r="AF358">
            <v>1087107</v>
          </cell>
          <cell r="AG358">
            <v>710990</v>
          </cell>
          <cell r="AH358">
            <v>169188761</v>
          </cell>
          <cell r="AI358">
            <v>86140000</v>
          </cell>
          <cell r="AJ358">
            <v>169540</v>
          </cell>
          <cell r="AK358">
            <v>917567.00000000012</v>
          </cell>
          <cell r="AL358">
            <v>530390</v>
          </cell>
          <cell r="AM358">
            <v>180600</v>
          </cell>
          <cell r="AN358">
            <v>4.0702484095496088</v>
          </cell>
          <cell r="AO358">
            <v>1.2440072739295751</v>
          </cell>
          <cell r="AP358">
            <v>130309</v>
          </cell>
          <cell r="AQ358">
            <v>145176</v>
          </cell>
          <cell r="AR358">
            <v>275485</v>
          </cell>
          <cell r="AS358">
            <v>0.42306632696129964</v>
          </cell>
          <cell r="AT358">
            <v>0.40110149060450762</v>
          </cell>
          <cell r="AU358">
            <v>0.41149122456758075</v>
          </cell>
          <cell r="AV358">
            <v>55129.35</v>
          </cell>
          <cell r="AW358">
            <v>58230.31</v>
          </cell>
          <cell r="AX358">
            <v>113359.65999999999</v>
          </cell>
        </row>
        <row r="359">
          <cell r="B359">
            <v>2003</v>
          </cell>
          <cell r="C359">
            <v>282.66666666666669</v>
          </cell>
          <cell r="D359">
            <v>7224.6084905660373</v>
          </cell>
          <cell r="E359">
            <v>2042156</v>
          </cell>
          <cell r="F359">
            <v>73.583333333333329</v>
          </cell>
          <cell r="G359">
            <v>41305.454133635336</v>
          </cell>
          <cell r="H359">
            <v>3039393</v>
          </cell>
          <cell r="I359">
            <v>97296</v>
          </cell>
          <cell r="J359">
            <v>2373</v>
          </cell>
          <cell r="K359">
            <v>5181218</v>
          </cell>
          <cell r="L359">
            <v>3827760</v>
          </cell>
          <cell r="M359">
            <v>0</v>
          </cell>
          <cell r="N359">
            <v>0</v>
          </cell>
          <cell r="O359">
            <v>0</v>
          </cell>
          <cell r="P359">
            <v>3827760</v>
          </cell>
          <cell r="Q359">
            <v>9008978</v>
          </cell>
          <cell r="R359">
            <v>215269395</v>
          </cell>
          <cell r="S359">
            <v>4187879.9999999991</v>
          </cell>
          <cell r="T359">
            <v>2603519.9999999991</v>
          </cell>
          <cell r="U359">
            <v>6364260.0000000009</v>
          </cell>
          <cell r="V359">
            <v>208110.00000000012</v>
          </cell>
          <cell r="W359">
            <v>223420.00000000012</v>
          </cell>
          <cell r="X359">
            <v>874123.99999999977</v>
          </cell>
          <cell r="Y359">
            <v>13039105</v>
          </cell>
          <cell r="Z359">
            <v>242769814</v>
          </cell>
          <cell r="AA359">
            <v>251778792</v>
          </cell>
          <cell r="AB359">
            <v>19110200.000000011</v>
          </cell>
          <cell r="AC359">
            <v>7.5900753388315603E-2</v>
          </cell>
          <cell r="AD359">
            <v>270888992</v>
          </cell>
          <cell r="AE359">
            <v>269711114</v>
          </cell>
          <cell r="AF359">
            <v>925897.99999999988</v>
          </cell>
          <cell r="AG359">
            <v>251980</v>
          </cell>
          <cell r="AH359">
            <v>208321114</v>
          </cell>
          <cell r="AI359">
            <v>61390000</v>
          </cell>
          <cell r="AJ359">
            <v>214529.99999999985</v>
          </cell>
          <cell r="AK359">
            <v>711368</v>
          </cell>
          <cell r="AL359">
            <v>137950</v>
          </cell>
          <cell r="AM359">
            <v>114030</v>
          </cell>
          <cell r="AN359">
            <v>3.1373663861723902</v>
          </cell>
          <cell r="AO359">
            <v>1.0704730433803029</v>
          </cell>
          <cell r="AP359">
            <v>43970</v>
          </cell>
          <cell r="AQ359">
            <v>106523</v>
          </cell>
          <cell r="AR359">
            <v>150493</v>
          </cell>
          <cell r="AS359">
            <v>0.41550852854218784</v>
          </cell>
          <cell r="AT359">
            <v>0.45905888869070527</v>
          </cell>
          <cell r="AU359">
            <v>0.44633464679420298</v>
          </cell>
          <cell r="AV359">
            <v>18269.91</v>
          </cell>
          <cell r="AW359">
            <v>48900.329999999994</v>
          </cell>
          <cell r="AX359">
            <v>67170.239999999991</v>
          </cell>
        </row>
        <row r="373">
          <cell r="B373" t="str">
            <v>CHANGE</v>
          </cell>
          <cell r="C373" t="str">
            <v>Residential</v>
          </cell>
          <cell r="F373" t="str">
            <v>Commercial</v>
          </cell>
          <cell r="I373" t="str">
            <v>ST Lites</v>
          </cell>
          <cell r="J373" t="str">
            <v>SP Lites</v>
          </cell>
          <cell r="K373" t="str">
            <v>Total</v>
          </cell>
          <cell r="L373" t="str">
            <v>Industrial</v>
          </cell>
          <cell r="M373" t="str">
            <v>Measured</v>
          </cell>
          <cell r="N373" t="str">
            <v>Billing</v>
          </cell>
          <cell r="O373" t="str">
            <v>Industrial</v>
          </cell>
          <cell r="P373" t="str">
            <v>Industrial</v>
          </cell>
          <cell r="Q373" t="str">
            <v>Retail</v>
          </cell>
          <cell r="R373" t="str">
            <v>Whse</v>
          </cell>
          <cell r="S373" t="str">
            <v>Carmacks</v>
          </cell>
          <cell r="T373" t="str">
            <v>Ross Rvr</v>
          </cell>
          <cell r="U373" t="str">
            <v>Haines Jn</v>
          </cell>
          <cell r="V373" t="str">
            <v>Creek</v>
          </cell>
          <cell r="W373" t="str">
            <v>River PT</v>
          </cell>
          <cell r="X373" t="str">
            <v>Turbine</v>
          </cell>
          <cell r="Y373" t="str">
            <v>Sales</v>
          </cell>
          <cell r="Z373" t="str">
            <v>P. Pwr</v>
          </cell>
          <cell r="AA373" t="str">
            <v>Total</v>
          </cell>
          <cell r="AB373" t="str">
            <v>Losses</v>
          </cell>
          <cell r="AC373" t="str">
            <v>Losses</v>
          </cell>
        </row>
        <row r="374">
          <cell r="B374" t="str">
            <v>%</v>
          </cell>
          <cell r="C374" t="str">
            <v>Cust</v>
          </cell>
          <cell r="D374" t="str">
            <v>Use</v>
          </cell>
          <cell r="E374" t="str">
            <v>Sales</v>
          </cell>
          <cell r="F374" t="str">
            <v>Cust</v>
          </cell>
          <cell r="G374" t="str">
            <v>Use</v>
          </cell>
          <cell r="H374" t="str">
            <v>Sales</v>
          </cell>
          <cell r="I374" t="str">
            <v>Sales</v>
          </cell>
          <cell r="J374" t="str">
            <v>Sales</v>
          </cell>
          <cell r="K374" t="str">
            <v>Sales</v>
          </cell>
          <cell r="L374" t="str">
            <v>Sales</v>
          </cell>
          <cell r="M374" t="str">
            <v>Demand</v>
          </cell>
          <cell r="N374" t="str">
            <v>Demand</v>
          </cell>
          <cell r="O374" t="str">
            <v>Sales</v>
          </cell>
          <cell r="P374" t="str">
            <v>Sales</v>
          </cell>
          <cell r="Q374" t="str">
            <v>Sales</v>
          </cell>
          <cell r="AA374" t="str">
            <v>Sales</v>
          </cell>
          <cell r="AD374" t="str">
            <v>Total</v>
          </cell>
          <cell r="AE374" t="str">
            <v>Hydro</v>
          </cell>
          <cell r="AF374" t="str">
            <v>Wind</v>
          </cell>
          <cell r="AG374" t="str">
            <v>Diesel</v>
          </cell>
          <cell r="AH374" t="str">
            <v>Whse</v>
          </cell>
          <cell r="AI374" t="str">
            <v>Aishihik</v>
          </cell>
          <cell r="AJ374" t="str">
            <v>Whse</v>
          </cell>
          <cell r="AK374" t="str">
            <v>Faro</v>
          </cell>
          <cell r="AL374" t="str">
            <v>Whse</v>
          </cell>
          <cell r="AM374" t="str">
            <v>Faro</v>
          </cell>
          <cell r="AN374" t="str">
            <v>Whse</v>
          </cell>
          <cell r="AO374" t="str">
            <v>Faro</v>
          </cell>
          <cell r="AP374" t="str">
            <v>Whse</v>
          </cell>
          <cell r="AQ374" t="str">
            <v>Faro</v>
          </cell>
          <cell r="AR374" t="str">
            <v>Total</v>
          </cell>
          <cell r="AS374" t="str">
            <v>Whse</v>
          </cell>
          <cell r="AT374" t="str">
            <v>Faro</v>
          </cell>
          <cell r="AU374" t="str">
            <v>Total</v>
          </cell>
          <cell r="AV374" t="str">
            <v>Whse</v>
          </cell>
          <cell r="AW374" t="str">
            <v>Faro</v>
          </cell>
          <cell r="AX374" t="str">
            <v>Total</v>
          </cell>
        </row>
        <row r="375">
          <cell r="D375" t="str">
            <v>KWh/Cust</v>
          </cell>
          <cell r="E375" t="str">
            <v>KWh</v>
          </cell>
          <cell r="G375" t="str">
            <v>KWh</v>
          </cell>
          <cell r="H375" t="str">
            <v>KWh</v>
          </cell>
          <cell r="I375" t="str">
            <v>KWh</v>
          </cell>
          <cell r="J375" t="str">
            <v>KWh</v>
          </cell>
          <cell r="K375" t="str">
            <v>KWh</v>
          </cell>
          <cell r="L375" t="str">
            <v>KWh</v>
          </cell>
          <cell r="M375" t="str">
            <v>KVA</v>
          </cell>
          <cell r="N375" t="str">
            <v>KVA</v>
          </cell>
          <cell r="O375" t="str">
            <v>KWh</v>
          </cell>
          <cell r="P375" t="str">
            <v>KWh</v>
          </cell>
          <cell r="Q375" t="str">
            <v>KWh</v>
          </cell>
          <cell r="AA375" t="str">
            <v>KWh</v>
          </cell>
          <cell r="AB375" t="str">
            <v>KWh</v>
          </cell>
          <cell r="AC375" t="str">
            <v>%</v>
          </cell>
          <cell r="AD375" t="str">
            <v>KWh</v>
          </cell>
          <cell r="AE375" t="str">
            <v>KWh</v>
          </cell>
          <cell r="AF375" t="str">
            <v>KWh</v>
          </cell>
          <cell r="AG375" t="str">
            <v>KWh</v>
          </cell>
          <cell r="AH375" t="str">
            <v>KWh</v>
          </cell>
          <cell r="AI375" t="str">
            <v>KWh</v>
          </cell>
          <cell r="AJ375" t="str">
            <v>KWh</v>
          </cell>
          <cell r="AK375" t="str">
            <v>KWh</v>
          </cell>
          <cell r="AL375" t="str">
            <v>KWh</v>
          </cell>
          <cell r="AM375" t="str">
            <v>KWh</v>
          </cell>
          <cell r="AN375" t="str">
            <v>KWh/L</v>
          </cell>
          <cell r="AO375" t="str">
            <v>KWh/L</v>
          </cell>
          <cell r="AS375" t="str">
            <v>$/L</v>
          </cell>
          <cell r="AT375" t="str">
            <v>$/L</v>
          </cell>
          <cell r="AU375" t="str">
            <v>$/L</v>
          </cell>
          <cell r="AV375" t="str">
            <v>$</v>
          </cell>
          <cell r="AW375" t="str">
            <v>$</v>
          </cell>
          <cell r="AX375" t="str">
            <v>$</v>
          </cell>
        </row>
        <row r="377">
          <cell r="B377" t="str">
            <v>1986</v>
          </cell>
        </row>
        <row r="378">
          <cell r="B378">
            <v>1987</v>
          </cell>
          <cell r="C378">
            <v>61.100260416666671</v>
          </cell>
          <cell r="D378">
            <v>18.230757527769349</v>
          </cell>
          <cell r="E378">
            <v>90.470058269834169</v>
          </cell>
          <cell r="F378">
            <v>12.866242038216535</v>
          </cell>
          <cell r="G378">
            <v>-4.3637818664736372</v>
          </cell>
          <cell r="H378">
            <v>7.9410054347825998</v>
          </cell>
          <cell r="I378">
            <v>0</v>
          </cell>
          <cell r="J378">
            <v>0</v>
          </cell>
          <cell r="K378">
            <v>-15.211642731070562</v>
          </cell>
          <cell r="L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row>
        <row r="379">
          <cell r="B379">
            <v>1988</v>
          </cell>
          <cell r="C379">
            <v>8.628005657708627</v>
          </cell>
          <cell r="D379">
            <v>4.6849980153510051</v>
          </cell>
          <cell r="E379">
            <v>13.717225566887659</v>
          </cell>
          <cell r="F379">
            <v>4.1760722347629953</v>
          </cell>
          <cell r="G379">
            <v>-3.9842359583166176</v>
          </cell>
          <cell r="H379">
            <v>2.5451704823664656E-2</v>
          </cell>
          <cell r="I379">
            <v>0</v>
          </cell>
          <cell r="J379">
            <v>0</v>
          </cell>
          <cell r="K379">
            <v>-12.759202301815654</v>
          </cell>
          <cell r="L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row>
        <row r="380">
          <cell r="B380">
            <v>1989</v>
          </cell>
          <cell r="C380">
            <v>13.523065476190466</v>
          </cell>
          <cell r="D380">
            <v>9.26034158773823</v>
          </cell>
          <cell r="E380">
            <v>24.035689120157432</v>
          </cell>
          <cell r="F380">
            <v>5.2004333694474436</v>
          </cell>
          <cell r="G380">
            <v>2.862013036109623</v>
          </cell>
          <cell r="H380">
            <v>8.2112834865248452</v>
          </cell>
          <cell r="I380">
            <v>0</v>
          </cell>
          <cell r="J380">
            <v>0</v>
          </cell>
          <cell r="K380">
            <v>0.59052119074134435</v>
          </cell>
          <cell r="L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row>
        <row r="381">
          <cell r="B381">
            <v>1990</v>
          </cell>
          <cell r="C381">
            <v>1.9990168769457695</v>
          </cell>
          <cell r="D381">
            <v>4.9253309846623683</v>
          </cell>
          <cell r="E381">
            <v>7.0228060592369523</v>
          </cell>
          <cell r="F381">
            <v>10.813594232749747</v>
          </cell>
          <cell r="G381">
            <v>8.276953907066753</v>
          </cell>
          <cell r="H381">
            <v>19.985584350158405</v>
          </cell>
          <cell r="I381">
            <v>0</v>
          </cell>
          <cell r="J381">
            <v>0</v>
          </cell>
          <cell r="K381">
            <v>-5.1996561294079697</v>
          </cell>
          <cell r="L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row>
        <row r="382">
          <cell r="B382">
            <v>1991</v>
          </cell>
          <cell r="C382">
            <v>4.530120481927713</v>
          </cell>
          <cell r="D382">
            <v>-5.9733080428503227</v>
          </cell>
          <cell r="E382">
            <v>-1.7137856120204131</v>
          </cell>
          <cell r="F382">
            <v>5.5762081784386686</v>
          </cell>
          <cell r="G382">
            <v>-3.0325499826859947</v>
          </cell>
          <cell r="H382">
            <v>2.3745568956028862</v>
          </cell>
          <cell r="I382">
            <v>0</v>
          </cell>
          <cell r="J382">
            <v>0</v>
          </cell>
          <cell r="K382">
            <v>12.795731830803359</v>
          </cell>
          <cell r="L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row>
        <row r="383">
          <cell r="B383">
            <v>1992</v>
          </cell>
          <cell r="C383">
            <v>9.2208390963577358E-2</v>
          </cell>
          <cell r="D383">
            <v>-3.3680887147805927</v>
          </cell>
          <cell r="E383">
            <v>-3.2789859842271452</v>
          </cell>
          <cell r="F383">
            <v>0.17605633802815213</v>
          </cell>
          <cell r="G383">
            <v>0.59617382558632137</v>
          </cell>
          <cell r="H383">
            <v>0.77327976542009846</v>
          </cell>
          <cell r="I383">
            <v>0</v>
          </cell>
          <cell r="J383">
            <v>0</v>
          </cell>
          <cell r="K383">
            <v>26.286380021984112</v>
          </cell>
          <cell r="L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row>
        <row r="384">
          <cell r="B384">
            <v>1993</v>
          </cell>
          <cell r="C384">
            <v>-23.921387993244281</v>
          </cell>
          <cell r="D384">
            <v>0.21023694331536724</v>
          </cell>
          <cell r="E384">
            <v>-23.761442644844511</v>
          </cell>
          <cell r="F384">
            <v>-10.896309314586993</v>
          </cell>
          <cell r="G384">
            <v>-12.007272167272331</v>
          </cell>
          <cell r="H384">
            <v>-21.595231966269012</v>
          </cell>
          <cell r="I384">
            <v>0</v>
          </cell>
          <cell r="J384">
            <v>0</v>
          </cell>
          <cell r="K384">
            <v>1.6087527269338153</v>
          </cell>
          <cell r="L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row>
        <row r="385">
          <cell r="B385">
            <v>1994</v>
          </cell>
          <cell r="C385">
            <v>-43.24924318869828</v>
          </cell>
          <cell r="D385">
            <v>-12.136240904312412</v>
          </cell>
          <cell r="E385">
            <v>-50.136651750338345</v>
          </cell>
          <cell r="F385">
            <v>-15.187376725838265</v>
          </cell>
          <cell r="G385">
            <v>-4.7758556763041859</v>
          </cell>
          <cell r="H385">
            <v>-19.237905208699789</v>
          </cell>
          <cell r="I385">
            <v>-35.31817749453058</v>
          </cell>
          <cell r="J385">
            <v>-19.6551724137931</v>
          </cell>
          <cell r="K385">
            <v>797.45142027390284</v>
          </cell>
          <cell r="L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row>
        <row r="386">
          <cell r="B386">
            <v>1995</v>
          </cell>
          <cell r="C386">
            <v>82.432432432432435</v>
          </cell>
          <cell r="D386">
            <v>-5.0344161307512074</v>
          </cell>
          <cell r="E386">
            <v>73.248024626332239</v>
          </cell>
          <cell r="F386">
            <v>20.465116279069751</v>
          </cell>
          <cell r="G386">
            <v>5.8306168279934178</v>
          </cell>
          <cell r="H386">
            <v>27.48897562069903</v>
          </cell>
          <cell r="I386">
            <v>55.060049019607838</v>
          </cell>
          <cell r="J386">
            <v>91.845493562231752</v>
          </cell>
          <cell r="K386">
            <v>46.285882469516302</v>
          </cell>
          <cell r="L386">
            <v>1297.223592070224</v>
          </cell>
          <cell r="O386">
            <v>-100</v>
          </cell>
          <cell r="P386">
            <v>1274.2787351527122</v>
          </cell>
          <cell r="Q386">
            <v>681.45676661233006</v>
          </cell>
          <cell r="R386">
            <v>2.3376513694570944</v>
          </cell>
          <cell r="S386">
            <v>0.16335064850208081</v>
          </cell>
          <cell r="T386">
            <v>-0.70690865336410225</v>
          </cell>
          <cell r="U386">
            <v>2.0857473928157511</v>
          </cell>
          <cell r="V386">
            <v>-448.42105263157902</v>
          </cell>
          <cell r="W386">
            <v>29.776021080368899</v>
          </cell>
          <cell r="X386">
            <v>-2.0993261676641284</v>
          </cell>
          <cell r="Y386">
            <v>0</v>
          </cell>
          <cell r="Z386">
            <v>2.9087069395023368</v>
          </cell>
          <cell r="AA386">
            <v>39.378542437869783</v>
          </cell>
          <cell r="AB386">
            <v>26.394872014600558</v>
          </cell>
          <cell r="AC386">
            <v>-9.315401206076535</v>
          </cell>
          <cell r="AD386">
            <v>38.3785708439476</v>
          </cell>
          <cell r="AE386">
            <v>22.173977586049286</v>
          </cell>
          <cell r="AF386">
            <v>-2.0993261676641284</v>
          </cell>
          <cell r="AG386">
            <v>11765.408861671471</v>
          </cell>
          <cell r="AH386">
            <v>50.242966919924889</v>
          </cell>
          <cell r="AI386">
            <v>-27.117478510028658</v>
          </cell>
          <cell r="AJ386">
            <v>-2.0993261676641284</v>
          </cell>
          <cell r="AK386">
            <v>0</v>
          </cell>
          <cell r="AL386">
            <v>7371.4944253859339</v>
          </cell>
          <cell r="AM386">
            <v>34843.355855855858</v>
          </cell>
          <cell r="AN386">
            <v>1.0291388187677164</v>
          </cell>
          <cell r="AO386">
            <v>311.56531304470241</v>
          </cell>
          <cell r="AP386">
            <v>7295.3856409572691</v>
          </cell>
          <cell r="AQ386">
            <v>8390.3549323313528</v>
          </cell>
          <cell r="AR386">
            <v>7765.8488874640598</v>
          </cell>
          <cell r="AS386">
            <v>3.0087978827904704</v>
          </cell>
          <cell r="AT386">
            <v>7.4821398429377961</v>
          </cell>
          <cell r="AU386">
            <v>5.2566774493344681</v>
          </cell>
          <cell r="AV386">
            <v>7517.8978475465838</v>
          </cell>
          <cell r="AW386">
            <v>9025.6151615301496</v>
          </cell>
          <cell r="AX386">
            <v>8179.331192130111</v>
          </cell>
        </row>
        <row r="387">
          <cell r="B387">
            <v>1996</v>
          </cell>
          <cell r="C387">
            <v>19.356725146198841</v>
          </cell>
          <cell r="D387">
            <v>21.57287402290271</v>
          </cell>
          <cell r="E387">
            <v>45.105401099850553</v>
          </cell>
          <cell r="F387">
            <v>13.610038610038622</v>
          </cell>
          <cell r="G387">
            <v>-2.1846876911919666</v>
          </cell>
          <cell r="H387">
            <v>11.128014080566651</v>
          </cell>
          <cell r="I387">
            <v>-35.129496004868457</v>
          </cell>
          <cell r="J387">
            <v>-49.515287099179716</v>
          </cell>
          <cell r="K387">
            <v>26.555957829558263</v>
          </cell>
          <cell r="L387">
            <v>104.70657551233136</v>
          </cell>
          <cell r="O387">
            <v>0</v>
          </cell>
          <cell r="P387">
            <v>104.70657551233136</v>
          </cell>
          <cell r="Q387">
            <v>97.644077723243043</v>
          </cell>
          <cell r="R387">
            <v>7.582706163543973</v>
          </cell>
          <cell r="S387">
            <v>6.2559118040379946</v>
          </cell>
          <cell r="T387">
            <v>14.763948497854052</v>
          </cell>
          <cell r="U387">
            <v>6.2759261170157954</v>
          </cell>
          <cell r="V387">
            <v>-551.35951661631429</v>
          </cell>
          <cell r="W387">
            <v>37.360406091370571</v>
          </cell>
          <cell r="X387">
            <v>-3.082235041475434</v>
          </cell>
          <cell r="Y387">
            <v>-99.409431734673603</v>
          </cell>
          <cell r="Z387">
            <v>6.9987153935729962</v>
          </cell>
          <cell r="AA387">
            <v>34.31413134632804</v>
          </cell>
          <cell r="AB387">
            <v>17.772647049354575</v>
          </cell>
          <cell r="AC387">
            <v>-12.315520437921279</v>
          </cell>
          <cell r="AD387">
            <v>33.150473583988813</v>
          </cell>
          <cell r="AE387">
            <v>15.505132136356758</v>
          </cell>
          <cell r="AF387">
            <v>-3.082235041475434</v>
          </cell>
          <cell r="AG387">
            <v>164.52261230251949</v>
          </cell>
          <cell r="AH387">
            <v>-0.5245635934013837</v>
          </cell>
          <cell r="AI387">
            <v>73.5335744613933</v>
          </cell>
          <cell r="AJ387">
            <v>-3.082235041475434</v>
          </cell>
          <cell r="AK387">
            <v>0</v>
          </cell>
          <cell r="AL387">
            <v>176.79315752696425</v>
          </cell>
          <cell r="AM387">
            <v>150.74251442972377</v>
          </cell>
          <cell r="AN387">
            <v>3.9295004315475834</v>
          </cell>
          <cell r="AO387">
            <v>-2.2988074085203425</v>
          </cell>
          <cell r="AP387">
            <v>166.32780526956546</v>
          </cell>
          <cell r="AQ387">
            <v>156.64222490933093</v>
          </cell>
          <cell r="AR387">
            <v>161.83590963139119</v>
          </cell>
          <cell r="AS387">
            <v>8.5784141220025525</v>
          </cell>
          <cell r="AT387">
            <v>4.3553013186554246</v>
          </cell>
          <cell r="AU387">
            <v>6.49747055540566</v>
          </cell>
          <cell r="AV387">
            <v>189.17450732762933</v>
          </cell>
          <cell r="AW387">
            <v>167.81976711503356</v>
          </cell>
          <cell r="AX387">
            <v>178.84862076316938</v>
          </cell>
        </row>
        <row r="388">
          <cell r="B388">
            <v>1997</v>
          </cell>
          <cell r="C388">
            <v>-12.134574554956723</v>
          </cell>
          <cell r="D388">
            <v>-10.580851630555376</v>
          </cell>
          <cell r="E388">
            <v>-21.431484855853011</v>
          </cell>
          <cell r="F388">
            <v>0.93457943925234765</v>
          </cell>
          <cell r="G388">
            <v>-6.4976395785446117</v>
          </cell>
          <cell r="H388">
            <v>-5.6237857428300675</v>
          </cell>
          <cell r="I388">
            <v>3.0701754385964897</v>
          </cell>
          <cell r="J388">
            <v>6.5731166912850858</v>
          </cell>
          <cell r="K388">
            <v>-14.173965793422649</v>
          </cell>
          <cell r="L388">
            <v>-56.866858782364346</v>
          </cell>
          <cell r="O388">
            <v>0</v>
          </cell>
          <cell r="P388">
            <v>-56.866858782364346</v>
          </cell>
          <cell r="Q388">
            <v>-54.396384800997602</v>
          </cell>
          <cell r="R388">
            <v>-4.6988416752008044</v>
          </cell>
          <cell r="S388">
            <v>-2.0536140016985893</v>
          </cell>
          <cell r="T388">
            <v>-5.9395485943068209</v>
          </cell>
          <cell r="U388">
            <v>-5.3596693594324503</v>
          </cell>
          <cell r="V388">
            <v>-0.80120481927711262</v>
          </cell>
          <cell r="W388">
            <v>15.024390243902431</v>
          </cell>
          <cell r="X388">
            <v>-0.87761219967850135</v>
          </cell>
          <cell r="Y388">
            <v>14619.613526570049</v>
          </cell>
          <cell r="Z388">
            <v>-4.1462585528203704</v>
          </cell>
          <cell r="AA388">
            <v>-26.428633814434054</v>
          </cell>
          <cell r="AB388">
            <v>-37.310918781761373</v>
          </cell>
          <cell r="AC388">
            <v>-14.79146783801648</v>
          </cell>
          <cell r="AD388">
            <v>-27.105764677568011</v>
          </cell>
          <cell r="AE388">
            <v>-28.779316357010575</v>
          </cell>
          <cell r="AF388">
            <v>-0.87761219967850135</v>
          </cell>
          <cell r="AG388">
            <v>-21.73186945783927</v>
          </cell>
          <cell r="AH388">
            <v>-20.300406912466784</v>
          </cell>
          <cell r="AI388">
            <v>-46.37426370638876</v>
          </cell>
          <cell r="AJ388">
            <v>-0.87761219967850135</v>
          </cell>
          <cell r="AK388">
            <v>0</v>
          </cell>
          <cell r="AL388">
            <v>-14.738403612766326</v>
          </cell>
          <cell r="AM388">
            <v>-30.401653371617254</v>
          </cell>
          <cell r="AN388">
            <v>-2.1655472109836094</v>
          </cell>
          <cell r="AO388">
            <v>0.70125792812283372</v>
          </cell>
          <cell r="AP388">
            <v>-12.85115421343087</v>
          </cell>
          <cell r="AQ388">
            <v>-30.886318542257229</v>
          </cell>
          <cell r="AR388">
            <v>-21.049439300409244</v>
          </cell>
          <cell r="AS388">
            <v>16.120846774050456</v>
          </cell>
          <cell r="AT388">
            <v>17.860367675993082</v>
          </cell>
          <cell r="AU388">
            <v>16.566934472192727</v>
          </cell>
          <cell r="AV388">
            <v>1.1979776811754439</v>
          </cell>
          <cell r="AW388">
            <v>-18.54236091948971</v>
          </cell>
          <cell r="AX388">
            <v>-7.969751643879297</v>
          </cell>
        </row>
        <row r="389">
          <cell r="B389">
            <v>1998</v>
          </cell>
          <cell r="C389">
            <v>-20.371747211895908</v>
          </cell>
          <cell r="D389">
            <v>-7.8833326110910313</v>
          </cell>
          <cell r="E389">
            <v>-26.649107231582526</v>
          </cell>
          <cell r="F389">
            <v>-11.363636363636365</v>
          </cell>
          <cell r="G389">
            <v>-14.042572780992424</v>
          </cell>
          <cell r="H389">
            <v>-23.810462237697838</v>
          </cell>
          <cell r="I389">
            <v>1.2765957446808418</v>
          </cell>
          <cell r="J389">
            <v>-100</v>
          </cell>
          <cell r="K389">
            <v>-25.020082344152506</v>
          </cell>
          <cell r="L389">
            <v>-77.854991285099658</v>
          </cell>
          <cell r="O389">
            <v>0</v>
          </cell>
          <cell r="P389">
            <v>-77.854991285099658</v>
          </cell>
          <cell r="Q389">
            <v>-72.1010498698883</v>
          </cell>
          <cell r="R389">
            <v>-0.65513145398009565</v>
          </cell>
          <cell r="S389">
            <v>4.666560441109957</v>
          </cell>
          <cell r="T389">
            <v>6.4876748210861201</v>
          </cell>
          <cell r="U389">
            <v>14.008058686054792</v>
          </cell>
          <cell r="V389">
            <v>19.990823397637026</v>
          </cell>
          <cell r="W389">
            <v>21.636209422468955</v>
          </cell>
          <cell r="X389">
            <v>13.342099495945646</v>
          </cell>
          <cell r="Y389">
            <v>45.118823351799819</v>
          </cell>
          <cell r="Z389">
            <v>0.19982133301632565</v>
          </cell>
          <cell r="AA389">
            <v>-19.672944215025012</v>
          </cell>
          <cell r="AB389">
            <v>-12.608344887518729</v>
          </cell>
          <cell r="AC389">
            <v>8.7947943049441424</v>
          </cell>
          <cell r="AD389">
            <v>-19.294903330416791</v>
          </cell>
          <cell r="AE389">
            <v>5.022297241189877</v>
          </cell>
          <cell r="AF389">
            <v>13.342099495945646</v>
          </cell>
          <cell r="AG389">
            <v>-91.202711456468137</v>
          </cell>
          <cell r="AH389">
            <v>4.3417675743408157</v>
          </cell>
          <cell r="AI389">
            <v>7.1211301879140265</v>
          </cell>
          <cell r="AJ389">
            <v>13.342099495945646</v>
          </cell>
          <cell r="AK389">
            <v>0</v>
          </cell>
          <cell r="AL389">
            <v>-94.648122755256765</v>
          </cell>
          <cell r="AM389">
            <v>-85.970185085155791</v>
          </cell>
          <cell r="AN389">
            <v>9.4797837427051945E-2</v>
          </cell>
          <cell r="AO389">
            <v>-8.7149004357749185</v>
          </cell>
          <cell r="AP389">
            <v>-94.653191414167509</v>
          </cell>
          <cell r="AQ389">
            <v>-84.630772183171786</v>
          </cell>
          <cell r="AR389">
            <v>-90.664923854620625</v>
          </cell>
          <cell r="AS389">
            <v>-18.510968269270698</v>
          </cell>
          <cell r="AT389">
            <v>-9.2894409877071205</v>
          </cell>
          <cell r="AU389">
            <v>-11.121501827366597</v>
          </cell>
          <cell r="AV389">
            <v>-95.6429374549096</v>
          </cell>
          <cell r="AW389">
            <v>-86.058487531482314</v>
          </cell>
          <cell r="AX389">
            <v>-91.703124518715057</v>
          </cell>
        </row>
        <row r="390">
          <cell r="B390">
            <v>1999</v>
          </cell>
          <cell r="C390">
            <v>-32.352941176470587</v>
          </cell>
          <cell r="D390">
            <v>-4.3000206779624683</v>
          </cell>
          <cell r="E390">
            <v>-35.26177869391578</v>
          </cell>
          <cell r="F390">
            <v>-16.239316239316238</v>
          </cell>
          <cell r="G390">
            <v>-7.8975252702242926</v>
          </cell>
          <cell r="H390">
            <v>-22.854337405828883</v>
          </cell>
          <cell r="I390">
            <v>1.0270774976657293</v>
          </cell>
          <cell r="J390">
            <v>0</v>
          </cell>
          <cell r="K390">
            <v>-28.615982789845194</v>
          </cell>
          <cell r="L390">
            <v>-90.635379061371836</v>
          </cell>
          <cell r="O390">
            <v>0</v>
          </cell>
          <cell r="P390">
            <v>-90.635379061371836</v>
          </cell>
          <cell r="Q390">
            <v>-72.483185859162319</v>
          </cell>
          <cell r="R390">
            <v>0.83705868049384069</v>
          </cell>
          <cell r="S390">
            <v>-1.7546486211336254</v>
          </cell>
          <cell r="T390">
            <v>2.6618641834314394</v>
          </cell>
          <cell r="U390">
            <v>-3.5084530249023804</v>
          </cell>
          <cell r="V390">
            <v>4.9541697126469053</v>
          </cell>
          <cell r="W390">
            <v>-0.41204437400951255</v>
          </cell>
          <cell r="X390">
            <v>3.499593951815605</v>
          </cell>
          <cell r="Y390">
            <v>-68.198746526374123</v>
          </cell>
          <cell r="Z390">
            <v>0.13954875279837964</v>
          </cell>
          <cell r="AA390">
            <v>-6.7933265387305592</v>
          </cell>
          <cell r="AB390">
            <v>7.7274060597754879</v>
          </cell>
          <cell r="AC390">
            <v>15.57906967309577</v>
          </cell>
          <cell r="AD390">
            <v>-5.9519144148204255</v>
          </cell>
          <cell r="AE390">
            <v>-8.1533619227124774</v>
          </cell>
          <cell r="AF390">
            <v>3.499593951815605</v>
          </cell>
          <cell r="AG390">
            <v>71.325007327274264</v>
          </cell>
          <cell r="AH390">
            <v>2.2607632993485449</v>
          </cell>
          <cell r="AI390">
            <v>-39.438397223536839</v>
          </cell>
          <cell r="AJ390">
            <v>3.499593951815605</v>
          </cell>
          <cell r="AK390">
            <v>0</v>
          </cell>
          <cell r="AL390">
            <v>297.60903975340619</v>
          </cell>
          <cell r="AM390">
            <v>-59.767679094409168</v>
          </cell>
          <cell r="AN390">
            <v>-2.5897474830338441</v>
          </cell>
          <cell r="AO390">
            <v>-11.290056604448861</v>
          </cell>
          <cell r="AP390">
            <v>308.17986760085006</v>
          </cell>
          <cell r="AQ390">
            <v>-54.64733786809235</v>
          </cell>
          <cell r="AR390">
            <v>70.470800226630942</v>
          </cell>
          <cell r="AS390">
            <v>-15.838169030030713</v>
          </cell>
          <cell r="AT390">
            <v>-5.8909037975169998</v>
          </cell>
          <cell r="AU390">
            <v>-20.380931297772598</v>
          </cell>
          <cell r="AV390">
            <v>243.5316502236719</v>
          </cell>
          <cell r="AW390">
            <v>-57.319019563895942</v>
          </cell>
          <cell r="AX390">
            <v>35.727263549678099</v>
          </cell>
        </row>
        <row r="391">
          <cell r="B391">
            <v>2000</v>
          </cell>
          <cell r="C391">
            <v>-10.041407867494822</v>
          </cell>
          <cell r="D391">
            <v>-10.793028893572043</v>
          </cell>
          <cell r="E391">
            <v>-19.750664708606735</v>
          </cell>
          <cell r="F391">
            <v>-5.2154195011337778</v>
          </cell>
          <cell r="G391">
            <v>5.0007524986551255</v>
          </cell>
          <cell r="H391">
            <v>-0.4754772234969451</v>
          </cell>
          <cell r="I391">
            <v>0.92421441774490631</v>
          </cell>
          <cell r="J391">
            <v>0</v>
          </cell>
          <cell r="K391">
            <v>-8.9361495833026101</v>
          </cell>
          <cell r="L391">
            <v>48.033924441017732</v>
          </cell>
          <cell r="O391">
            <v>0</v>
          </cell>
          <cell r="P391">
            <v>48.033924441017732</v>
          </cell>
          <cell r="Q391">
            <v>4.7774431238727155</v>
          </cell>
          <cell r="R391">
            <v>-1.9074102239408308</v>
          </cell>
          <cell r="S391">
            <v>-3.0325195818475592</v>
          </cell>
          <cell r="T391">
            <v>4.1588225226766973</v>
          </cell>
          <cell r="U391">
            <v>-0.22037339441242088</v>
          </cell>
          <cell r="V391">
            <v>-4.1309472781825951</v>
          </cell>
          <cell r="W391">
            <v>-1.7716953108423472</v>
          </cell>
          <cell r="X391">
            <v>43.978693735904571</v>
          </cell>
          <cell r="Y391">
            <v>354.3864140638334</v>
          </cell>
          <cell r="Z391">
            <v>-0.85008573969468371</v>
          </cell>
          <cell r="AA391">
            <v>-0.69148337315388941</v>
          </cell>
          <cell r="AB391">
            <v>-0.23905279934354207</v>
          </cell>
          <cell r="AC391">
            <v>0.45558083956724893</v>
          </cell>
          <cell r="AD391">
            <v>-0.66145385067969409</v>
          </cell>
          <cell r="AE391">
            <v>4.2206632386605936</v>
          </cell>
          <cell r="AF391">
            <v>52.667617198650738</v>
          </cell>
          <cell r="AG391">
            <v>-94.096194961695033</v>
          </cell>
          <cell r="AH391">
            <v>-4.1495329828772798</v>
          </cell>
          <cell r="AI391">
            <v>46.678822610054695</v>
          </cell>
          <cell r="AJ391">
            <v>-6.7066308573170748</v>
          </cell>
          <cell r="AK391">
            <v>0</v>
          </cell>
          <cell r="AL391">
            <v>-94.963038024834333</v>
          </cell>
          <cell r="AM391">
            <v>-89.133173021871059</v>
          </cell>
          <cell r="AN391">
            <v>-41.104858980547768</v>
          </cell>
          <cell r="AO391">
            <v>-62.582224896413209</v>
          </cell>
          <cell r="AP391">
            <v>-91.447576339953017</v>
          </cell>
          <cell r="AQ391">
            <v>-70.958115633424541</v>
          </cell>
          <cell r="AR391">
            <v>-87.876252632655422</v>
          </cell>
          <cell r="AS391">
            <v>54.291075282078353</v>
          </cell>
          <cell r="AT391">
            <v>6.0665009024869265</v>
          </cell>
          <cell r="AU391">
            <v>40.387294665231366</v>
          </cell>
          <cell r="AV391">
            <v>-86.804373572234638</v>
          </cell>
          <cell r="AW391">
            <v>-69.196289456227035</v>
          </cell>
          <cell r="AX391">
            <v>-82.979799058937729</v>
          </cell>
        </row>
        <row r="392">
          <cell r="B392">
            <v>2001</v>
          </cell>
          <cell r="C392">
            <v>14.537782892213279</v>
          </cell>
          <cell r="D392">
            <v>-10.666335092901525</v>
          </cell>
          <cell r="E392">
            <v>2.3207991609497824</v>
          </cell>
          <cell r="F392">
            <v>0.23923444976075015</v>
          </cell>
          <cell r="G392">
            <v>2.8937143469402127</v>
          </cell>
          <cell r="H392">
            <v>3.1398715582965142</v>
          </cell>
          <cell r="I392">
            <v>5.8379120879120894</v>
          </cell>
          <cell r="J392">
            <v>0</v>
          </cell>
          <cell r="K392">
            <v>2.8711492425872676</v>
          </cell>
          <cell r="L392">
            <v>120.93750000000001</v>
          </cell>
          <cell r="O392">
            <v>0</v>
          </cell>
          <cell r="P392">
            <v>120.93750000000001</v>
          </cell>
          <cell r="Q392">
            <v>43.024709599690844</v>
          </cell>
          <cell r="R392">
            <v>-1.0408533599645775</v>
          </cell>
          <cell r="S392">
            <v>5.9404073422177461</v>
          </cell>
          <cell r="T392">
            <v>-4.8800525796910961</v>
          </cell>
          <cell r="U392">
            <v>0.56397372484362496</v>
          </cell>
          <cell r="V392">
            <v>-8.5675962666964427</v>
          </cell>
          <cell r="W392">
            <v>12.14494005832163</v>
          </cell>
          <cell r="X392">
            <v>152.59728969440292</v>
          </cell>
          <cell r="Y392">
            <v>94.821109963376841</v>
          </cell>
          <cell r="Z392">
            <v>0.45668532752225488</v>
          </cell>
          <cell r="AA392">
            <v>1.7224609487268339</v>
          </cell>
          <cell r="AB392">
            <v>11.5093312269829</v>
          </cell>
          <cell r="AC392">
            <v>9.6211497313156258</v>
          </cell>
          <cell r="AD392">
            <v>2.3748145690817068</v>
          </cell>
          <cell r="AE392">
            <v>2.3010192396869744</v>
          </cell>
          <cell r="AF392">
            <v>172.27463111755043</v>
          </cell>
          <cell r="AG392">
            <v>-68.338437452792618</v>
          </cell>
          <cell r="AH392">
            <v>-24.397701881345913</v>
          </cell>
          <cell r="AI392">
            <v>90.800923459421057</v>
          </cell>
          <cell r="AJ392">
            <v>-20.265128759661977</v>
          </cell>
          <cell r="AK392">
            <v>474.80785858573154</v>
          </cell>
          <cell r="AL392">
            <v>-76.221449099984866</v>
          </cell>
          <cell r="AM392">
            <v>-47.418335089567961</v>
          </cell>
          <cell r="AN392">
            <v>27.218106077545535</v>
          </cell>
          <cell r="AO392">
            <v>-31.865259579976147</v>
          </cell>
          <cell r="AP392">
            <v>-81.308831240168786</v>
          </cell>
          <cell r="AQ392">
            <v>-22.826938818161235</v>
          </cell>
          <cell r="AR392">
            <v>-56.890947564371984</v>
          </cell>
          <cell r="AS392">
            <v>-21.034540160941528</v>
          </cell>
          <cell r="AT392">
            <v>12.076236780151284</v>
          </cell>
          <cell r="AU392">
            <v>-0.34979732401189123</v>
          </cell>
          <cell r="AV392">
            <v>-85.240432639504832</v>
          </cell>
          <cell r="AW392">
            <v>-13.507337219351367</v>
          </cell>
          <cell r="AX392">
            <v>-57.041741876198707</v>
          </cell>
        </row>
        <row r="393">
          <cell r="B393">
            <v>2002</v>
          </cell>
          <cell r="C393">
            <v>7.5686537173476287</v>
          </cell>
          <cell r="D393">
            <v>0.30482500362376541</v>
          </cell>
          <cell r="E393">
            <v>7.8965498699395731</v>
          </cell>
          <cell r="F393">
            <v>2.5059665871121739</v>
          </cell>
          <cell r="G393">
            <v>2.3283034380153556</v>
          </cell>
          <cell r="H393">
            <v>4.8926165313307735</v>
          </cell>
          <cell r="I393">
            <v>5.2303698896820183</v>
          </cell>
          <cell r="J393">
            <v>-4.7619047619047672</v>
          </cell>
          <cell r="K393">
            <v>6.0602456375033364</v>
          </cell>
          <cell r="L393">
            <v>-21.027817067421029</v>
          </cell>
          <cell r="O393">
            <v>0</v>
          </cell>
          <cell r="P393">
            <v>-21.027817067421029</v>
          </cell>
          <cell r="Q393">
            <v>-8.1707152950676321</v>
          </cell>
          <cell r="R393">
            <v>1.7327873088828882</v>
          </cell>
          <cell r="S393">
            <v>2.3526968492256994</v>
          </cell>
          <cell r="T393">
            <v>-3.2345828295042622</v>
          </cell>
          <cell r="U393">
            <v>9.108297659166098E-3</v>
          </cell>
          <cell r="V393">
            <v>10.055012224938874</v>
          </cell>
          <cell r="W393">
            <v>2.571387297154093</v>
          </cell>
          <cell r="X393">
            <v>6.9837374026383792</v>
          </cell>
          <cell r="Y393">
            <v>63.212670410270007</v>
          </cell>
          <cell r="Z393">
            <v>3.0402501666060067</v>
          </cell>
          <cell r="AA393">
            <v>2.5715334268425316</v>
          </cell>
          <cell r="AB393">
            <v>6.9956573634036401</v>
          </cell>
          <cell r="AC393">
            <v>4.3132083422702694</v>
          </cell>
          <cell r="AD393">
            <v>2.8927401395264951</v>
          </cell>
          <cell r="AE393">
            <v>2.725298537468368</v>
          </cell>
          <cell r="AF393">
            <v>-2.2835199300695663</v>
          </cell>
          <cell r="AG393">
            <v>208.38863587074385</v>
          </cell>
          <cell r="AH393">
            <v>19.894329654690313</v>
          </cell>
          <cell r="AI393">
            <v>-19.825018615040957</v>
          </cell>
          <cell r="AJ393">
            <v>-14.84253352755035</v>
          </cell>
          <cell r="AK393">
            <v>0.45385184858048877</v>
          </cell>
          <cell r="AL393">
            <v>321.74777353689564</v>
          </cell>
          <cell r="AM393">
            <v>72.344689378757508</v>
          </cell>
          <cell r="AN393">
            <v>45.371562947940717</v>
          </cell>
          <cell r="AO393">
            <v>57.814057607693471</v>
          </cell>
          <cell r="AP393">
            <v>190.11710748953604</v>
          </cell>
          <cell r="AQ393">
            <v>9.2074381657338833</v>
          </cell>
          <cell r="AR393">
            <v>54.89564356881003</v>
          </cell>
          <cell r="AS393">
            <v>44.11165198783047</v>
          </cell>
          <cell r="AT393">
            <v>6.5330769979253356</v>
          </cell>
          <cell r="AU393">
            <v>15.730784428000511</v>
          </cell>
          <cell r="AV393">
            <v>318.09255630248032</v>
          </cell>
          <cell r="AW393">
            <v>16.342044188562998</v>
          </cell>
          <cell r="AX393">
            <v>79.261943346983571</v>
          </cell>
        </row>
        <row r="394">
          <cell r="B394">
            <v>2003</v>
          </cell>
          <cell r="C394">
            <v>5.6039850560398508</v>
          </cell>
          <cell r="D394">
            <v>0.38850962914502851</v>
          </cell>
          <cell r="E394">
            <v>6.0142667067434319</v>
          </cell>
          <cell r="F394">
            <v>2.7939464493597299</v>
          </cell>
          <cell r="G394">
            <v>3.6855473973861574</v>
          </cell>
          <cell r="H394">
            <v>6.58246606739461</v>
          </cell>
          <cell r="I394">
            <v>0</v>
          </cell>
          <cell r="J394">
            <v>-1.1249999999999982</v>
          </cell>
          <cell r="K394">
            <v>6.2229776814022975</v>
          </cell>
          <cell r="L394">
            <v>-4.7820895522388103</v>
          </cell>
          <cell r="O394">
            <v>0</v>
          </cell>
          <cell r="P394">
            <v>-4.7820895522388103</v>
          </cell>
          <cell r="Q394">
            <v>1.2508540146584313</v>
          </cell>
          <cell r="R394">
            <v>4.5146833662765395</v>
          </cell>
          <cell r="S394">
            <v>1.1594538972143464</v>
          </cell>
          <cell r="T394">
            <v>-3.1731155442495607</v>
          </cell>
          <cell r="U394">
            <v>-1.4246682279469014</v>
          </cell>
          <cell r="V394">
            <v>15.584559844487679</v>
          </cell>
          <cell r="W394">
            <v>4.8870945026056045</v>
          </cell>
          <cell r="X394">
            <v>-16.058255373334163</v>
          </cell>
          <cell r="Y394">
            <v>60.449301185486704</v>
          </cell>
          <cell r="Z394">
            <v>6.0980524015259885</v>
          </cell>
          <cell r="AA394">
            <v>5.9166209405281611</v>
          </cell>
          <cell r="AB394">
            <v>-1.5583140345515556</v>
          </cell>
          <cell r="AC394">
            <v>-7.0573767447480007</v>
          </cell>
          <cell r="AD394">
            <v>5.3522740125420798</v>
          </cell>
          <cell r="AE394">
            <v>5.6328761960349638</v>
          </cell>
          <cell r="AF394">
            <v>-14.829175049006228</v>
          </cell>
          <cell r="AG394">
            <v>-64.559276501779223</v>
          </cell>
          <cell r="AH394">
            <v>23.129404558970677</v>
          </cell>
          <cell r="AI394">
            <v>-28.732296261899236</v>
          </cell>
          <cell r="AJ394">
            <v>26.536510557980343</v>
          </cell>
          <cell r="AK394">
            <v>-22.47236441589553</v>
          </cell>
          <cell r="AL394">
            <v>-73.990836931314703</v>
          </cell>
          <cell r="AM394">
            <v>-36.860465116279073</v>
          </cell>
          <cell r="AN394">
            <v>-22.91953535780501</v>
          </cell>
          <cell r="AO394">
            <v>-13.94961542315678</v>
          </cell>
          <cell r="AP394">
            <v>-66.257127289749747</v>
          </cell>
          <cell r="AQ394">
            <v>-26.624924229900259</v>
          </cell>
          <cell r="AR394">
            <v>-45.371617329437171</v>
          </cell>
          <cell r="AS394">
            <v>-1.7864334591212172</v>
          </cell>
          <cell r="AT394">
            <v>14.449559386789845</v>
          </cell>
          <cell r="AU394">
            <v>8.467597884557021</v>
          </cell>
          <cell r="AV394">
            <v>-66.859921257914337</v>
          </cell>
          <cell r="AW394">
            <v>-16.022549081397653</v>
          </cell>
          <cell r="AX394">
            <v>-40.745905554056883</v>
          </cell>
        </row>
        <row r="395">
          <cell r="B395">
            <v>2004</v>
          </cell>
          <cell r="C395">
            <v>4.8349056603773422</v>
          </cell>
          <cell r="D395">
            <v>-1.1039002690931721</v>
          </cell>
          <cell r="E395">
            <v>3.6776328546888726</v>
          </cell>
          <cell r="F395">
            <v>7.2480181200453186</v>
          </cell>
          <cell r="G395">
            <v>-2.1169123974033366</v>
          </cell>
          <cell r="H395">
            <v>4.9776715284926887</v>
          </cell>
          <cell r="I395">
            <v>0</v>
          </cell>
          <cell r="J395">
            <v>-39.317319848293295</v>
          </cell>
          <cell r="K395">
            <v>4.3515057656327238</v>
          </cell>
          <cell r="L395">
            <v>-16.085648003009588</v>
          </cell>
          <cell r="O395">
            <v>0</v>
          </cell>
          <cell r="P395">
            <v>-16.085648003009588</v>
          </cell>
          <cell r="Q395">
            <v>-4.3318898103647303</v>
          </cell>
          <cell r="R395">
            <v>2.9455580529689218</v>
          </cell>
          <cell r="S395">
            <v>1.3610705177799387</v>
          </cell>
          <cell r="T395">
            <v>3.2632743362832839</v>
          </cell>
          <cell r="U395">
            <v>-1.6338113150625388</v>
          </cell>
          <cell r="V395">
            <v>4.723463552928675</v>
          </cell>
          <cell r="W395">
            <v>8.6742458150567803</v>
          </cell>
          <cell r="X395">
            <v>-48.173943284934381</v>
          </cell>
          <cell r="Y395">
            <v>22.695691153648955</v>
          </cell>
          <cell r="Z395">
            <v>3.6850915905055626</v>
          </cell>
          <cell r="AA395">
            <v>3.398233398466699</v>
          </cell>
          <cell r="AB395">
            <v>-9.7733514039622715</v>
          </cell>
          <cell r="AC395">
            <v>-12.738694240228954</v>
          </cell>
          <cell r="AD395">
            <v>2.469027608179819</v>
          </cell>
          <cell r="AE395">
            <v>2.6611046514011916</v>
          </cell>
          <cell r="AF395">
            <v>-48.528131608449307</v>
          </cell>
          <cell r="AG395">
            <v>-15.735375823478048</v>
          </cell>
          <cell r="AH395">
            <v>-1.1821677374478701</v>
          </cell>
          <cell r="AI395">
            <v>15.70288320573383</v>
          </cell>
          <cell r="AJ395">
            <v>-21.936325921782451</v>
          </cell>
          <cell r="AK395">
            <v>-56.547525331474006</v>
          </cell>
          <cell r="AL395">
            <v>-54.012323305545486</v>
          </cell>
          <cell r="AM395">
            <v>30.570902394106824</v>
          </cell>
          <cell r="AN395">
            <v>-42.232940685202692</v>
          </cell>
          <cell r="AO395">
            <v>157.26554150132137</v>
          </cell>
          <cell r="AP395">
            <v>-20.391175801682969</v>
          </cell>
          <cell r="AQ395">
            <v>-49.246641570365092</v>
          </cell>
          <cell r="AR395">
            <v>-40.815851900088376</v>
          </cell>
          <cell r="AS395">
            <v>4.5943915581395212</v>
          </cell>
          <cell r="AT395">
            <v>5.6662040647324163</v>
          </cell>
          <cell r="AU395">
            <v>4.2344921052873463</v>
          </cell>
          <cell r="AV395">
            <v>-16.733634703181355</v>
          </cell>
          <cell r="AW395">
            <v>-46.3708527120369</v>
          </cell>
          <cell r="AX395">
            <v>-38.309703821216047</v>
          </cell>
        </row>
        <row r="396">
          <cell r="B396">
            <v>2005</v>
          </cell>
          <cell r="C396">
            <v>2.8965129358830222</v>
          </cell>
          <cell r="D396">
            <v>0.35974344492608612</v>
          </cell>
          <cell r="E396">
            <v>3.266676396227397</v>
          </cell>
          <cell r="F396">
            <v>1.0559662090813049</v>
          </cell>
          <cell r="G396">
            <v>126.36763722876209</v>
          </cell>
          <cell r="H396">
            <v>128.75800298619359</v>
          </cell>
          <cell r="I396">
            <v>0</v>
          </cell>
          <cell r="J396">
            <v>0</v>
          </cell>
          <cell r="K396">
            <v>77.264157905435098</v>
          </cell>
          <cell r="L396">
            <v>-100</v>
          </cell>
          <cell r="O396">
            <v>0</v>
          </cell>
          <cell r="P396">
            <v>-100</v>
          </cell>
          <cell r="Q396">
            <v>11.201026509856039</v>
          </cell>
          <cell r="R396">
            <v>0.41637960116289729</v>
          </cell>
          <cell r="S396">
            <v>-0.8851133600950245</v>
          </cell>
          <cell r="T396">
            <v>0.49991073022668253</v>
          </cell>
          <cell r="U396">
            <v>0.19647683490191525</v>
          </cell>
          <cell r="V396">
            <v>5.5795172983389874</v>
          </cell>
          <cell r="W396">
            <v>2.1828665568369043</v>
          </cell>
          <cell r="X396">
            <v>84.36506675143039</v>
          </cell>
          <cell r="Y396">
            <v>14.779334459277859</v>
          </cell>
          <cell r="Z396">
            <v>1.4599868429554297</v>
          </cell>
          <cell r="AA396">
            <v>1.7824764841390506</v>
          </cell>
          <cell r="AB396">
            <v>8.2732177997696397</v>
          </cell>
          <cell r="AC396">
            <v>6.3770715154902291</v>
          </cell>
          <cell r="AD396">
            <v>2.185667073746056</v>
          </cell>
          <cell r="AE396">
            <v>2.0771273961128767</v>
          </cell>
          <cell r="AF396">
            <v>86.712325605306177</v>
          </cell>
          <cell r="AG396">
            <v>-45.994442612913858</v>
          </cell>
          <cell r="AH396">
            <v>-1.8792892740174483</v>
          </cell>
          <cell r="AI396">
            <v>13.543573138110654</v>
          </cell>
          <cell r="AJ396">
            <v>-4.2335940765510287</v>
          </cell>
          <cell r="AK396">
            <v>135.98559722038001</v>
          </cell>
          <cell r="AL396">
            <v>26.465952080706188</v>
          </cell>
          <cell r="AM396">
            <v>-76.868829337094496</v>
          </cell>
          <cell r="AN396">
            <v>230.63068090470082</v>
          </cell>
          <cell r="AO396">
            <v>41.867681306786508</v>
          </cell>
          <cell r="AP396">
            <v>-61.750085704490921</v>
          </cell>
          <cell r="AQ396">
            <v>-83.695250073986386</v>
          </cell>
          <cell r="AR396">
            <v>-75.070732474064755</v>
          </cell>
          <cell r="AS396">
            <v>15.316952813461015</v>
          </cell>
          <cell r="AT396">
            <v>16.920373321648462</v>
          </cell>
          <cell r="AU396">
            <v>13.353537334418174</v>
          </cell>
          <cell r="AV396">
            <v>-55.891364380658516</v>
          </cell>
          <cell r="AW396">
            <v>-80.936425517343679</v>
          </cell>
          <cell r="AX396">
            <v>-71.741793427792004</v>
          </cell>
        </row>
      </sheetData>
      <sheetData sheetId="6"/>
      <sheetData sheetId="7"/>
      <sheetData sheetId="8"/>
      <sheetData sheetId="9"/>
      <sheetData sheetId="10"/>
      <sheetData sheetId="11"/>
      <sheetData sheetId="12"/>
      <sheetData sheetId="13"/>
      <sheetData sheetId="14">
        <row r="264">
          <cell r="C264">
            <v>665.33333333333337</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19"/>
  <sheetViews>
    <sheetView tabSelected="1" zoomScaleNormal="100" workbookViewId="0">
      <selection sqref="A1:S118"/>
    </sheetView>
  </sheetViews>
  <sheetFormatPr defaultRowHeight="11.25" outlineLevelRow="3" outlineLevelCol="1" x14ac:dyDescent="0.2"/>
  <cols>
    <col min="1" max="1" width="10.140625" style="37" customWidth="1"/>
    <col min="2" max="2" width="14.5703125" style="37" customWidth="1" outlineLevel="1"/>
    <col min="3" max="3" width="13.28515625" style="37" customWidth="1" outlineLevel="1"/>
    <col min="4" max="5" width="12.140625" style="37" customWidth="1" outlineLevel="1"/>
    <col min="6" max="6" width="12.85546875" style="37" customWidth="1" outlineLevel="1"/>
    <col min="7" max="7" width="13" style="37" customWidth="1" outlineLevel="1"/>
    <col min="8" max="8" width="3.42578125" style="37" customWidth="1" outlineLevel="1"/>
    <col min="9" max="9" width="14.140625" style="37" customWidth="1" outlineLevel="1"/>
    <col min="10" max="10" width="12.7109375" style="37" customWidth="1" outlineLevel="1"/>
    <col min="11" max="12" width="12.42578125" style="37" customWidth="1" outlineLevel="1"/>
    <col min="13" max="13" width="12.28515625" style="37" customWidth="1" outlineLevel="1"/>
    <col min="14" max="14" width="3.140625" style="37" customWidth="1"/>
    <col min="15" max="15" width="11.140625" style="37" customWidth="1"/>
    <col min="16" max="16" width="13" style="37" customWidth="1"/>
    <col min="17" max="17" width="14.140625" style="37" customWidth="1"/>
    <col min="18" max="18" width="14.7109375" style="37" customWidth="1"/>
    <col min="19" max="19" width="14.42578125" style="37" customWidth="1"/>
    <col min="20" max="20" width="12.42578125" style="37" bestFit="1" customWidth="1"/>
    <col min="21" max="21" width="9.28515625" style="37" bestFit="1" customWidth="1"/>
    <col min="22" max="16384" width="9.140625" style="37"/>
  </cols>
  <sheetData>
    <row r="1" spans="1:20" s="1" customFormat="1" ht="15" x14ac:dyDescent="0.25">
      <c r="A1" s="46" t="s">
        <v>24</v>
      </c>
      <c r="B1" s="46"/>
      <c r="C1" s="46"/>
      <c r="D1" s="46"/>
      <c r="E1" s="46"/>
      <c r="F1" s="46"/>
      <c r="G1" s="46"/>
      <c r="H1" s="46"/>
      <c r="I1" s="46"/>
      <c r="J1" s="46"/>
      <c r="K1" s="46"/>
      <c r="L1" s="46"/>
      <c r="M1" s="46"/>
      <c r="N1" s="46"/>
      <c r="O1" s="46"/>
      <c r="P1" s="46"/>
      <c r="Q1" s="46"/>
      <c r="R1" s="46"/>
      <c r="S1" s="46"/>
    </row>
    <row r="2" spans="1:20" s="1" customFormat="1" ht="15" x14ac:dyDescent="0.25">
      <c r="A2" s="46" t="s">
        <v>1</v>
      </c>
      <c r="B2" s="46"/>
      <c r="C2" s="46"/>
      <c r="D2" s="46"/>
      <c r="E2" s="46"/>
      <c r="F2" s="46"/>
      <c r="G2" s="46"/>
      <c r="H2" s="46"/>
      <c r="I2" s="46"/>
      <c r="J2" s="46"/>
      <c r="K2" s="46"/>
      <c r="L2" s="46"/>
      <c r="M2" s="46"/>
      <c r="N2" s="46"/>
      <c r="O2" s="46"/>
      <c r="P2" s="46"/>
      <c r="Q2" s="46"/>
      <c r="R2" s="46"/>
      <c r="S2" s="46"/>
    </row>
    <row r="3" spans="1:20" s="1" customFormat="1" ht="15" x14ac:dyDescent="0.25"/>
    <row r="4" spans="1:20" s="2" customFormat="1" ht="12.75" x14ac:dyDescent="0.2">
      <c r="B4" s="47" t="s">
        <v>2</v>
      </c>
      <c r="C4" s="48"/>
      <c r="D4" s="48"/>
      <c r="E4" s="48"/>
      <c r="F4" s="48"/>
      <c r="G4" s="49"/>
      <c r="I4" s="47" t="s">
        <v>20</v>
      </c>
      <c r="J4" s="48"/>
      <c r="K4" s="48"/>
      <c r="L4" s="48"/>
      <c r="M4" s="49"/>
      <c r="O4" s="47" t="s">
        <v>3</v>
      </c>
      <c r="P4" s="48"/>
      <c r="Q4" s="48"/>
      <c r="R4" s="48"/>
      <c r="S4" s="49"/>
    </row>
    <row r="5" spans="1:20" s="3" customFormat="1" ht="38.25" x14ac:dyDescent="0.2">
      <c r="B5" s="4" t="s">
        <v>4</v>
      </c>
      <c r="C5" s="4" t="s">
        <v>5</v>
      </c>
      <c r="D5" s="4" t="s">
        <v>6</v>
      </c>
      <c r="E5" s="4" t="s">
        <v>7</v>
      </c>
      <c r="F5" s="4" t="s">
        <v>8</v>
      </c>
      <c r="G5" s="4" t="s">
        <v>9</v>
      </c>
      <c r="I5" s="4" t="s">
        <v>4</v>
      </c>
      <c r="J5" s="4" t="s">
        <v>7</v>
      </c>
      <c r="K5" s="4" t="s">
        <v>8</v>
      </c>
      <c r="L5" s="4" t="s">
        <v>21</v>
      </c>
      <c r="M5" s="4" t="s">
        <v>9</v>
      </c>
      <c r="O5" s="5" t="s">
        <v>4</v>
      </c>
      <c r="P5" s="5" t="s">
        <v>10</v>
      </c>
      <c r="Q5" s="5" t="s">
        <v>11</v>
      </c>
      <c r="R5" s="5" t="s">
        <v>12</v>
      </c>
      <c r="S5" s="5" t="s">
        <v>13</v>
      </c>
    </row>
    <row r="6" spans="1:20" s="10" customFormat="1" ht="12.75" hidden="1" outlineLevel="2" x14ac:dyDescent="0.2">
      <c r="A6" s="6">
        <v>40178</v>
      </c>
      <c r="B6" s="7">
        <v>24083.263825699385</v>
      </c>
      <c r="C6" s="8">
        <v>-20377.499999999993</v>
      </c>
      <c r="D6" s="8">
        <v>-10734.7</v>
      </c>
      <c r="E6" s="8">
        <v>-9070.49</v>
      </c>
      <c r="F6" s="9">
        <v>74279.22</v>
      </c>
      <c r="G6" s="8">
        <v>-2.8001806203974411E-3</v>
      </c>
      <c r="H6" s="9"/>
      <c r="I6" s="8">
        <v>65665</v>
      </c>
      <c r="J6" s="8">
        <v>-97682.34</v>
      </c>
      <c r="K6" s="9">
        <v>-74279.22</v>
      </c>
      <c r="L6" s="9">
        <v>0</v>
      </c>
      <c r="M6" s="8">
        <v>297045.90908019396</v>
      </c>
      <c r="O6" s="11">
        <v>89748.263825699381</v>
      </c>
      <c r="P6" s="11">
        <v>-20377.499999999993</v>
      </c>
      <c r="Q6" s="12">
        <v>-117487.53</v>
      </c>
      <c r="R6" s="13">
        <v>297045.90628001362</v>
      </c>
      <c r="S6" s="14">
        <v>-48116.766174300603</v>
      </c>
      <c r="T6" s="15"/>
    </row>
    <row r="7" spans="1:20" s="21" customFormat="1" ht="12.75" hidden="1" outlineLevel="3" x14ac:dyDescent="0.2">
      <c r="A7" s="16">
        <v>40209</v>
      </c>
      <c r="B7" s="17">
        <v>9601.2099999999991</v>
      </c>
      <c r="C7" s="18">
        <v>-9968.8799999999992</v>
      </c>
      <c r="D7" s="18">
        <v>-7642.15</v>
      </c>
      <c r="E7" s="18">
        <v>-11823.41</v>
      </c>
      <c r="F7" s="19">
        <v>19833.23</v>
      </c>
      <c r="G7" s="20">
        <f t="shared" ref="G7:G41" si="0">SUM(B7:F7)+G6</f>
        <v>-2.8001806203974411E-3</v>
      </c>
      <c r="H7" s="19"/>
      <c r="I7" s="18">
        <v>52671</v>
      </c>
      <c r="J7" s="18">
        <v>-114166.15</v>
      </c>
      <c r="K7" s="19">
        <v>-19833.23</v>
      </c>
      <c r="L7" s="19"/>
      <c r="M7" s="18">
        <f t="shared" ref="M7" si="1">SUM(I7:K7)+M6</f>
        <v>215717.52908019396</v>
      </c>
      <c r="O7" s="22">
        <f t="shared" ref="O7:O67" si="2">B7+I7</f>
        <v>62272.21</v>
      </c>
      <c r="P7" s="22">
        <f t="shared" ref="P7:P67" si="3">+C7</f>
        <v>-9968.8799999999992</v>
      </c>
      <c r="Q7" s="23">
        <f t="shared" ref="Q7:Q16" si="4">+E7+J7+D7</f>
        <v>-133631.71</v>
      </c>
      <c r="R7" s="24">
        <f t="shared" ref="R7:R16" si="5">R6+O7+Q7+P7</f>
        <v>215717.52628001364</v>
      </c>
      <c r="S7" s="14">
        <f t="shared" ref="S7:S13" si="6">SUM(O7:Q7)</f>
        <v>-81328.37999999999</v>
      </c>
      <c r="T7" s="25"/>
    </row>
    <row r="8" spans="1:20" s="28" customFormat="1" ht="12.75" hidden="1" outlineLevel="3" x14ac:dyDescent="0.2">
      <c r="A8" s="26">
        <v>40210</v>
      </c>
      <c r="B8" s="27">
        <v>1685.83</v>
      </c>
      <c r="C8" s="24">
        <v>-10745.76</v>
      </c>
      <c r="D8" s="24">
        <v>-7731.36</v>
      </c>
      <c r="E8" s="24">
        <v>-10051.530000000001</v>
      </c>
      <c r="F8" s="22">
        <v>26842.82</v>
      </c>
      <c r="G8" s="23">
        <f t="shared" si="0"/>
        <v>-2.8001806203974411E-3</v>
      </c>
      <c r="H8" s="22"/>
      <c r="I8" s="24">
        <v>66639</v>
      </c>
      <c r="J8" s="24">
        <v>-90089.94</v>
      </c>
      <c r="K8" s="22">
        <v>-26842.82</v>
      </c>
      <c r="L8" s="22"/>
      <c r="M8" s="24">
        <f t="shared" ref="M8:M12" si="7">SUM(I8:K8)+M7</f>
        <v>165423.76908019395</v>
      </c>
      <c r="O8" s="22">
        <f t="shared" si="2"/>
        <v>68324.83</v>
      </c>
      <c r="P8" s="22">
        <f t="shared" si="3"/>
        <v>-10745.76</v>
      </c>
      <c r="Q8" s="23">
        <f t="shared" si="4"/>
        <v>-107872.83</v>
      </c>
      <c r="R8" s="24">
        <f t="shared" si="5"/>
        <v>165423.7662800136</v>
      </c>
      <c r="S8" s="14">
        <f t="shared" si="6"/>
        <v>-50293.760000000002</v>
      </c>
      <c r="T8" s="29"/>
    </row>
    <row r="9" spans="1:20" s="28" customFormat="1" ht="12.75" hidden="1" outlineLevel="3" x14ac:dyDescent="0.2">
      <c r="A9" s="26">
        <v>40238</v>
      </c>
      <c r="B9" s="27">
        <v>609.48</v>
      </c>
      <c r="C9" s="24">
        <v>-12814.88</v>
      </c>
      <c r="D9" s="24">
        <v>-9337.1</v>
      </c>
      <c r="E9" s="24">
        <v>-9138.0300000000007</v>
      </c>
      <c r="F9" s="22">
        <v>30680.53</v>
      </c>
      <c r="G9" s="23">
        <f t="shared" si="0"/>
        <v>-2.8001806203974411E-3</v>
      </c>
      <c r="H9" s="22"/>
      <c r="I9" s="24">
        <v>52622</v>
      </c>
      <c r="J9" s="24">
        <v>-85981.78</v>
      </c>
      <c r="K9" s="22">
        <v>-30680.53</v>
      </c>
      <c r="L9" s="22"/>
      <c r="M9" s="24">
        <f t="shared" si="7"/>
        <v>101383.45908019395</v>
      </c>
      <c r="O9" s="22">
        <f t="shared" si="2"/>
        <v>53231.48</v>
      </c>
      <c r="P9" s="22">
        <f t="shared" si="3"/>
        <v>-12814.88</v>
      </c>
      <c r="Q9" s="23">
        <f t="shared" si="4"/>
        <v>-104456.91</v>
      </c>
      <c r="R9" s="24">
        <f t="shared" si="5"/>
        <v>101383.4562800136</v>
      </c>
      <c r="S9" s="14">
        <f t="shared" si="6"/>
        <v>-64040.31</v>
      </c>
      <c r="T9" s="29"/>
    </row>
    <row r="10" spans="1:20" s="28" customFormat="1" ht="12.75" hidden="1" outlineLevel="3" x14ac:dyDescent="0.2">
      <c r="A10" s="26">
        <v>40269</v>
      </c>
      <c r="B10" s="27">
        <v>5088.0200000000004</v>
      </c>
      <c r="C10" s="24">
        <v>-9410.2199999999993</v>
      </c>
      <c r="D10" s="24">
        <v>-7404.26</v>
      </c>
      <c r="E10" s="24">
        <v>-9179.07</v>
      </c>
      <c r="F10" s="22">
        <v>20905.53</v>
      </c>
      <c r="G10" s="23">
        <f t="shared" si="0"/>
        <v>-2.8001806203974411E-3</v>
      </c>
      <c r="H10" s="22"/>
      <c r="I10" s="24">
        <v>44754</v>
      </c>
      <c r="J10" s="24">
        <v>-87487.73</v>
      </c>
      <c r="K10" s="22">
        <v>-20905.53</v>
      </c>
      <c r="L10" s="22"/>
      <c r="M10" s="24">
        <f t="shared" si="7"/>
        <v>37744.199080193954</v>
      </c>
      <c r="O10" s="22">
        <f t="shared" si="2"/>
        <v>49842.020000000004</v>
      </c>
      <c r="P10" s="22">
        <f t="shared" si="3"/>
        <v>-9410.2199999999993</v>
      </c>
      <c r="Q10" s="23">
        <f t="shared" si="4"/>
        <v>-104071.05999999998</v>
      </c>
      <c r="R10" s="24">
        <f t="shared" si="5"/>
        <v>37744.196280013639</v>
      </c>
      <c r="S10" s="14">
        <f t="shared" si="6"/>
        <v>-63639.25999999998</v>
      </c>
      <c r="T10" s="29"/>
    </row>
    <row r="11" spans="1:20" s="28" customFormat="1" ht="12.75" hidden="1" outlineLevel="3" x14ac:dyDescent="0.2">
      <c r="A11" s="26">
        <v>40329</v>
      </c>
      <c r="B11" s="27">
        <v>1419.64</v>
      </c>
      <c r="C11" s="24">
        <v>-7762.5</v>
      </c>
      <c r="D11" s="24">
        <v>-8207.14</v>
      </c>
      <c r="E11" s="24">
        <v>-8748.26</v>
      </c>
      <c r="F11" s="22">
        <v>23298.26</v>
      </c>
      <c r="G11" s="23">
        <f t="shared" si="0"/>
        <v>-2.8001806203974411E-3</v>
      </c>
      <c r="H11" s="22"/>
      <c r="I11" s="24">
        <v>46294</v>
      </c>
      <c r="J11" s="24">
        <v>-74918.460000000006</v>
      </c>
      <c r="K11" s="22">
        <v>-23298.26</v>
      </c>
      <c r="L11" s="22"/>
      <c r="M11" s="24">
        <f t="shared" si="7"/>
        <v>-14178.520919806047</v>
      </c>
      <c r="O11" s="22">
        <f t="shared" si="2"/>
        <v>47713.64</v>
      </c>
      <c r="P11" s="22">
        <f t="shared" si="3"/>
        <v>-7762.5</v>
      </c>
      <c r="Q11" s="23">
        <f t="shared" si="4"/>
        <v>-91873.86</v>
      </c>
      <c r="R11" s="24">
        <f t="shared" si="5"/>
        <v>-14178.523719986362</v>
      </c>
      <c r="S11" s="14">
        <f t="shared" si="6"/>
        <v>-51922.720000000001</v>
      </c>
      <c r="T11" s="29"/>
    </row>
    <row r="12" spans="1:20" s="28" customFormat="1" ht="12.75" hidden="1" outlineLevel="3" x14ac:dyDescent="0.2">
      <c r="A12" s="26">
        <v>40359</v>
      </c>
      <c r="B12" s="27">
        <v>1087.9000000000001</v>
      </c>
      <c r="C12" s="24">
        <v>-6411.06</v>
      </c>
      <c r="D12" s="24">
        <v>-6214.82</v>
      </c>
      <c r="E12" s="24">
        <v>-11551.4</v>
      </c>
      <c r="F12" s="22">
        <v>23089.38</v>
      </c>
      <c r="G12" s="23">
        <f t="shared" si="0"/>
        <v>-2.8001806203974411E-3</v>
      </c>
      <c r="H12" s="22"/>
      <c r="I12" s="24">
        <v>48878</v>
      </c>
      <c r="J12" s="24">
        <v>-71708.240000000005</v>
      </c>
      <c r="K12" s="22">
        <v>-23089.38</v>
      </c>
      <c r="L12" s="22"/>
      <c r="M12" s="24">
        <f t="shared" si="7"/>
        <v>-60098.140919806057</v>
      </c>
      <c r="O12" s="22">
        <f t="shared" si="2"/>
        <v>49965.9</v>
      </c>
      <c r="P12" s="22">
        <f t="shared" si="3"/>
        <v>-6411.06</v>
      </c>
      <c r="Q12" s="23">
        <f t="shared" si="4"/>
        <v>-89474.459999999992</v>
      </c>
      <c r="R12" s="24">
        <f t="shared" si="5"/>
        <v>-60098.14371998635</v>
      </c>
      <c r="S12" s="14">
        <f t="shared" si="6"/>
        <v>-45919.619999999988</v>
      </c>
      <c r="T12" s="29"/>
    </row>
    <row r="13" spans="1:20" s="28" customFormat="1" ht="12.75" hidden="1" outlineLevel="3" x14ac:dyDescent="0.2">
      <c r="A13" s="26">
        <v>40390</v>
      </c>
      <c r="B13" s="27">
        <v>11546.12</v>
      </c>
      <c r="C13" s="24">
        <v>-5049.7</v>
      </c>
      <c r="D13" s="24">
        <v>-2033.64</v>
      </c>
      <c r="E13" s="24">
        <v>-1205.1099999999999</v>
      </c>
      <c r="F13" s="22">
        <v>0</v>
      </c>
      <c r="G13" s="23">
        <f t="shared" si="0"/>
        <v>3257.6671998193806</v>
      </c>
      <c r="H13" s="22"/>
      <c r="I13" s="24">
        <v>50449</v>
      </c>
      <c r="J13" s="24">
        <v>-17329.419999999998</v>
      </c>
      <c r="K13" s="22">
        <v>0</v>
      </c>
      <c r="L13" s="22"/>
      <c r="M13" s="24">
        <f>SUM(I13:K13)+M12</f>
        <v>-26978.560919806056</v>
      </c>
      <c r="O13" s="22">
        <f t="shared" si="2"/>
        <v>61995.12</v>
      </c>
      <c r="P13" s="22">
        <f t="shared" si="3"/>
        <v>-5049.7</v>
      </c>
      <c r="Q13" s="23">
        <f t="shared" si="4"/>
        <v>-20568.169999999998</v>
      </c>
      <c r="R13" s="24">
        <f t="shared" si="5"/>
        <v>-23720.893719986347</v>
      </c>
      <c r="S13" s="14">
        <f t="shared" si="6"/>
        <v>36377.250000000007</v>
      </c>
      <c r="T13" s="29"/>
    </row>
    <row r="14" spans="1:20" s="28" customFormat="1" ht="13.5" hidden="1" customHeight="1" outlineLevel="3" x14ac:dyDescent="0.2">
      <c r="A14" s="26">
        <v>40421</v>
      </c>
      <c r="B14" s="27">
        <v>19174.099999999999</v>
      </c>
      <c r="C14" s="24">
        <v>-4249.3999999999996</v>
      </c>
      <c r="D14" s="24">
        <v>-2305.8000000000002</v>
      </c>
      <c r="E14" s="24">
        <v>-2564.8200000000002</v>
      </c>
      <c r="F14" s="22">
        <v>0</v>
      </c>
      <c r="G14" s="20">
        <f t="shared" si="0"/>
        <v>13311.74719981938</v>
      </c>
      <c r="H14" s="19"/>
      <c r="I14" s="18">
        <v>49234</v>
      </c>
      <c r="J14" s="18">
        <v>-16882.3</v>
      </c>
      <c r="K14" s="19">
        <v>0</v>
      </c>
      <c r="L14" s="19"/>
      <c r="M14" s="18">
        <f>SUM(I14:K14)+M13</f>
        <v>5373.1390801939451</v>
      </c>
      <c r="N14" s="21"/>
      <c r="O14" s="19">
        <f t="shared" si="2"/>
        <v>68408.100000000006</v>
      </c>
      <c r="P14" s="22">
        <f t="shared" si="3"/>
        <v>-4249.3999999999996</v>
      </c>
      <c r="Q14" s="23">
        <f t="shared" si="4"/>
        <v>-21752.92</v>
      </c>
      <c r="R14" s="24">
        <f t="shared" si="5"/>
        <v>18684.886280013663</v>
      </c>
      <c r="S14" s="14">
        <f t="shared" ref="S14:S25" si="8">SUM(O14:Q14)</f>
        <v>42405.780000000006</v>
      </c>
      <c r="T14" s="29"/>
    </row>
    <row r="15" spans="1:20" s="28" customFormat="1" ht="15.75" hidden="1" customHeight="1" outlineLevel="3" x14ac:dyDescent="0.2">
      <c r="A15" s="26">
        <v>40451</v>
      </c>
      <c r="B15" s="27">
        <v>4166.4399999999996</v>
      </c>
      <c r="C15" s="24">
        <v>-2537.5500000000002</v>
      </c>
      <c r="D15" s="24">
        <v>-2313.36</v>
      </c>
      <c r="E15" s="24">
        <v>-2844.91</v>
      </c>
      <c r="F15" s="22">
        <f t="shared" ref="F15:F18" si="9">-K15</f>
        <v>1036.5718182222809</v>
      </c>
      <c r="G15" s="20">
        <f t="shared" si="0"/>
        <v>10818.939018041659</v>
      </c>
      <c r="H15" s="19"/>
      <c r="I15" s="18">
        <v>43870</v>
      </c>
      <c r="J15" s="18">
        <v>-17725.23</v>
      </c>
      <c r="K15" s="19">
        <v>-1036.5718182222809</v>
      </c>
      <c r="L15" s="19"/>
      <c r="M15" s="18">
        <f t="shared" ref="M15" si="10">SUM(I15:K15)+M14</f>
        <v>30481.337261971665</v>
      </c>
      <c r="N15" s="21"/>
      <c r="O15" s="19">
        <f t="shared" si="2"/>
        <v>48036.44</v>
      </c>
      <c r="P15" s="22">
        <f t="shared" si="3"/>
        <v>-2537.5500000000002</v>
      </c>
      <c r="Q15" s="23">
        <f t="shared" si="4"/>
        <v>-22883.5</v>
      </c>
      <c r="R15" s="24">
        <f t="shared" si="5"/>
        <v>41300.276280013655</v>
      </c>
      <c r="S15" s="14">
        <f t="shared" si="8"/>
        <v>22615.39</v>
      </c>
      <c r="T15" s="29"/>
    </row>
    <row r="16" spans="1:20" s="28" customFormat="1" ht="12.75" hidden="1" outlineLevel="3" x14ac:dyDescent="0.2">
      <c r="A16" s="26">
        <v>40482</v>
      </c>
      <c r="B16" s="27">
        <v>6530.43</v>
      </c>
      <c r="C16" s="24">
        <v>0</v>
      </c>
      <c r="D16" s="24">
        <v>-2048.7600000000002</v>
      </c>
      <c r="E16" s="24">
        <v>-2468.6999999999998</v>
      </c>
      <c r="F16" s="22">
        <f t="shared" si="9"/>
        <v>-921.89386362853111</v>
      </c>
      <c r="G16" s="20">
        <f t="shared" si="0"/>
        <v>11910.015154413129</v>
      </c>
      <c r="H16" s="19"/>
      <c r="I16" s="18">
        <v>29792</v>
      </c>
      <c r="J16" s="18">
        <v>-19818.72</v>
      </c>
      <c r="K16" s="19">
        <v>921.89386362853111</v>
      </c>
      <c r="L16" s="19"/>
      <c r="M16" s="18">
        <f t="shared" ref="M16" si="11">SUM(I16:K16)+M15</f>
        <v>41376.511125600198</v>
      </c>
      <c r="N16" s="21"/>
      <c r="O16" s="19">
        <f t="shared" si="2"/>
        <v>36322.43</v>
      </c>
      <c r="P16" s="22">
        <f t="shared" si="3"/>
        <v>0</v>
      </c>
      <c r="Q16" s="23">
        <f t="shared" si="4"/>
        <v>-24336.18</v>
      </c>
      <c r="R16" s="24">
        <f t="shared" si="5"/>
        <v>53286.526280013662</v>
      </c>
      <c r="S16" s="14">
        <f t="shared" si="8"/>
        <v>11986.25</v>
      </c>
      <c r="T16" s="29"/>
    </row>
    <row r="17" spans="1:20" s="28" customFormat="1" ht="12.75" hidden="1" outlineLevel="3" x14ac:dyDescent="0.2">
      <c r="A17" s="26">
        <v>40512</v>
      </c>
      <c r="B17" s="27">
        <v>9740.57</v>
      </c>
      <c r="C17" s="24">
        <v>0</v>
      </c>
      <c r="D17" s="24">
        <f>-2570.4-18.94-680.58</f>
        <v>-3269.92</v>
      </c>
      <c r="E17" s="24">
        <v>-2349.06</v>
      </c>
      <c r="F17" s="22">
        <f t="shared" si="9"/>
        <v>-2200.53063002208</v>
      </c>
      <c r="G17" s="20">
        <f t="shared" si="0"/>
        <v>13831.07452439105</v>
      </c>
      <c r="H17" s="19"/>
      <c r="I17" s="18">
        <v>14004</v>
      </c>
      <c r="J17" s="18">
        <v>-22202.23</v>
      </c>
      <c r="K17" s="19">
        <v>2200.53063002208</v>
      </c>
      <c r="L17" s="19"/>
      <c r="M17" s="18">
        <f t="shared" ref="M17:M18" si="12">SUM(I17:K17)+M16</f>
        <v>35378.811755622279</v>
      </c>
      <c r="N17" s="21"/>
      <c r="O17" s="19">
        <f t="shared" si="2"/>
        <v>23744.57</v>
      </c>
      <c r="P17" s="22">
        <f t="shared" si="3"/>
        <v>0</v>
      </c>
      <c r="Q17" s="23">
        <f>+E17+J17+D17</f>
        <v>-27821.21</v>
      </c>
      <c r="R17" s="24">
        <f>R16+O17+Q17+P17</f>
        <v>49209.886280013663</v>
      </c>
      <c r="S17" s="14">
        <f t="shared" si="8"/>
        <v>-4076.6399999999994</v>
      </c>
      <c r="T17" s="29"/>
    </row>
    <row r="18" spans="1:20" s="33" customFormat="1" ht="12.75" hidden="1" outlineLevel="2" collapsed="1" x14ac:dyDescent="0.2">
      <c r="A18" s="30">
        <v>40543</v>
      </c>
      <c r="B18" s="13">
        <f>43849.7-3151.08</f>
        <v>40698.619999999995</v>
      </c>
      <c r="C18" s="13">
        <v>0</v>
      </c>
      <c r="D18" s="13">
        <f>-3465.92-1166.68</f>
        <v>-4632.6000000000004</v>
      </c>
      <c r="E18" s="13">
        <v>-2478.63</v>
      </c>
      <c r="F18" s="11">
        <f t="shared" si="9"/>
        <v>-9853.6763135498386</v>
      </c>
      <c r="G18" s="8">
        <f t="shared" si="0"/>
        <v>37564.788210841209</v>
      </c>
      <c r="H18" s="9"/>
      <c r="I18" s="8">
        <v>-10429</v>
      </c>
      <c r="J18" s="8">
        <v>-24105.09</v>
      </c>
      <c r="K18" s="9">
        <v>9853.6763135498386</v>
      </c>
      <c r="L18" s="9">
        <v>0</v>
      </c>
      <c r="M18" s="8">
        <f t="shared" si="12"/>
        <v>10698.398069172123</v>
      </c>
      <c r="N18" s="10"/>
      <c r="O18" s="8">
        <f t="shared" si="2"/>
        <v>30269.619999999995</v>
      </c>
      <c r="P18" s="13">
        <f t="shared" si="3"/>
        <v>0</v>
      </c>
      <c r="Q18" s="13">
        <f t="shared" ref="Q18:Q29" si="13">+E18+J18+D18</f>
        <v>-31216.32</v>
      </c>
      <c r="R18" s="13">
        <f t="shared" ref="R18:R29" si="14">R17+O18+Q18+P18</f>
        <v>48263.186280013651</v>
      </c>
      <c r="S18" s="31">
        <f t="shared" si="8"/>
        <v>-946.70000000000437</v>
      </c>
      <c r="T18" s="32"/>
    </row>
    <row r="19" spans="1:20" s="28" customFormat="1" ht="12.75" hidden="1" outlineLevel="3" x14ac:dyDescent="0.2">
      <c r="A19" s="26">
        <v>40574</v>
      </c>
      <c r="B19" s="24">
        <v>24419.58</v>
      </c>
      <c r="C19" s="24">
        <v>0</v>
      </c>
      <c r="D19" s="24">
        <f>-1249.93-3445.6</f>
        <v>-4695.53</v>
      </c>
      <c r="E19" s="24">
        <v>-2956.96</v>
      </c>
      <c r="F19" s="22">
        <f>-K19</f>
        <v>-24696.096216473536</v>
      </c>
      <c r="G19" s="18">
        <f t="shared" si="0"/>
        <v>29635.781994367677</v>
      </c>
      <c r="H19" s="19"/>
      <c r="I19" s="18">
        <v>-19115</v>
      </c>
      <c r="J19" s="18">
        <v>-31189.05</v>
      </c>
      <c r="K19" s="34">
        <v>24696.096216473536</v>
      </c>
      <c r="L19" s="34"/>
      <c r="M19" s="18">
        <f t="shared" ref="M19:M24" si="15">SUM(I19:K19)+M18</f>
        <v>-14909.555714354345</v>
      </c>
      <c r="N19" s="21"/>
      <c r="O19" s="18">
        <f t="shared" si="2"/>
        <v>5304.5800000000017</v>
      </c>
      <c r="P19" s="24">
        <f t="shared" si="3"/>
        <v>0</v>
      </c>
      <c r="Q19" s="24">
        <f t="shared" si="13"/>
        <v>-38841.54</v>
      </c>
      <c r="R19" s="24">
        <f t="shared" si="14"/>
        <v>14726.226280013652</v>
      </c>
      <c r="S19" s="14">
        <f t="shared" si="8"/>
        <v>-33536.959999999999</v>
      </c>
      <c r="T19" s="29"/>
    </row>
    <row r="20" spans="1:20" s="28" customFormat="1" ht="12.75" hidden="1" outlineLevel="3" x14ac:dyDescent="0.2">
      <c r="A20" s="26">
        <v>40602</v>
      </c>
      <c r="B20" s="24">
        <v>1858.17</v>
      </c>
      <c r="C20" s="24">
        <v>0</v>
      </c>
      <c r="D20" s="24">
        <f>-2252.88-812.88+1186.86+1203</f>
        <v>-675.90000000000032</v>
      </c>
      <c r="E20" s="24">
        <v>-2573.4</v>
      </c>
      <c r="F20" s="22">
        <f t="shared" ref="F20:F42" si="16">-K20</f>
        <v>-36667</v>
      </c>
      <c r="G20" s="18">
        <f t="shared" si="0"/>
        <v>-8422.3480056323206</v>
      </c>
      <c r="H20" s="19"/>
      <c r="I20" s="18">
        <v>-17713</v>
      </c>
      <c r="J20" s="18">
        <v>-24902.31</v>
      </c>
      <c r="K20" s="34">
        <v>36667</v>
      </c>
      <c r="L20" s="34"/>
      <c r="M20" s="18">
        <f t="shared" si="15"/>
        <v>-20857.865714354342</v>
      </c>
      <c r="N20" s="21"/>
      <c r="O20" s="18">
        <f t="shared" si="2"/>
        <v>-15854.83</v>
      </c>
      <c r="P20" s="24">
        <f t="shared" si="3"/>
        <v>0</v>
      </c>
      <c r="Q20" s="24">
        <f t="shared" si="13"/>
        <v>-28151.610000000004</v>
      </c>
      <c r="R20" s="24">
        <f t="shared" si="14"/>
        <v>-29280.21371998635</v>
      </c>
      <c r="S20" s="14">
        <f t="shared" si="8"/>
        <v>-44006.44</v>
      </c>
      <c r="T20" s="29"/>
    </row>
    <row r="21" spans="1:20" s="28" customFormat="1" ht="12.75" hidden="1" outlineLevel="3" x14ac:dyDescent="0.2">
      <c r="A21" s="26">
        <v>40633</v>
      </c>
      <c r="B21" s="24">
        <v>-32235</v>
      </c>
      <c r="C21" s="24">
        <v>0</v>
      </c>
      <c r="D21" s="24">
        <f>-897.39-2464.56</f>
        <v>-3361.95</v>
      </c>
      <c r="E21" s="24">
        <v>-2806.76</v>
      </c>
      <c r="F21" s="22">
        <f t="shared" si="16"/>
        <v>-7558.3446038733491</v>
      </c>
      <c r="G21" s="18">
        <f t="shared" si="0"/>
        <v>-54384.402609505662</v>
      </c>
      <c r="H21" s="19"/>
      <c r="I21" s="18">
        <v>-38574</v>
      </c>
      <c r="J21" s="18">
        <v>-27624.2</v>
      </c>
      <c r="K21" s="34">
        <f t="shared" ref="K21:K30" si="17">(((M20+I21)/(R20+O21))*Q21)-J21</f>
        <v>7558.3446038733491</v>
      </c>
      <c r="L21" s="34"/>
      <c r="M21" s="18">
        <f t="shared" si="15"/>
        <v>-79497.721110480983</v>
      </c>
      <c r="N21" s="21"/>
      <c r="O21" s="18">
        <f t="shared" si="2"/>
        <v>-70809</v>
      </c>
      <c r="P21" s="24">
        <f t="shared" si="3"/>
        <v>0</v>
      </c>
      <c r="Q21" s="24">
        <f t="shared" si="13"/>
        <v>-33792.909999999996</v>
      </c>
      <c r="R21" s="24">
        <f t="shared" si="14"/>
        <v>-133882.12371998635</v>
      </c>
      <c r="S21" s="14">
        <f t="shared" si="8"/>
        <v>-104601.91</v>
      </c>
      <c r="T21" s="29"/>
    </row>
    <row r="22" spans="1:20" s="28" customFormat="1" ht="12.75" hidden="1" outlineLevel="3" x14ac:dyDescent="0.2">
      <c r="A22" s="26">
        <v>40663</v>
      </c>
      <c r="B22" s="24">
        <v>-75704.460000000006</v>
      </c>
      <c r="C22" s="24">
        <v>0</v>
      </c>
      <c r="D22" s="24">
        <f>-840.69-2358.72</f>
        <v>-3199.41</v>
      </c>
      <c r="E22" s="24">
        <v>-2365.6799999999998</v>
      </c>
      <c r="F22" s="22">
        <f t="shared" si="16"/>
        <v>-8730.1229849145038</v>
      </c>
      <c r="G22" s="18">
        <f t="shared" si="0"/>
        <v>-144384.07559442017</v>
      </c>
      <c r="H22" s="19"/>
      <c r="I22" s="18">
        <v>-45860</v>
      </c>
      <c r="J22" s="18">
        <v>-22505.439999999999</v>
      </c>
      <c r="K22" s="34">
        <f t="shared" si="17"/>
        <v>8730.1229849145038</v>
      </c>
      <c r="L22" s="34"/>
      <c r="M22" s="18">
        <f t="shared" si="15"/>
        <v>-139133.0381255665</v>
      </c>
      <c r="N22" s="21"/>
      <c r="O22" s="18">
        <f t="shared" si="2"/>
        <v>-121564.46</v>
      </c>
      <c r="P22" s="24">
        <f t="shared" si="3"/>
        <v>0</v>
      </c>
      <c r="Q22" s="24">
        <f t="shared" si="13"/>
        <v>-28070.53</v>
      </c>
      <c r="R22" s="24">
        <f t="shared" si="14"/>
        <v>-283517.1137199864</v>
      </c>
      <c r="S22" s="14">
        <f t="shared" si="8"/>
        <v>-149634.99</v>
      </c>
      <c r="T22" s="29"/>
    </row>
    <row r="23" spans="1:20" s="28" customFormat="1" ht="14.25" hidden="1" customHeight="1" outlineLevel="3" x14ac:dyDescent="0.2">
      <c r="A23" s="26">
        <v>40694</v>
      </c>
      <c r="B23" s="24">
        <v>-26026.53</v>
      </c>
      <c r="C23" s="24">
        <v>0</v>
      </c>
      <c r="D23" s="24">
        <f>-881.73-2336.04</f>
        <v>-3217.77</v>
      </c>
      <c r="E23" s="24">
        <v>-2464.21</v>
      </c>
      <c r="F23" s="22">
        <f t="shared" si="16"/>
        <v>-7575.2188245764301</v>
      </c>
      <c r="G23" s="18">
        <f t="shared" si="0"/>
        <v>-183667.80441899659</v>
      </c>
      <c r="H23" s="19"/>
      <c r="I23" s="18">
        <v>-36872</v>
      </c>
      <c r="J23" s="18">
        <v>-21267.64</v>
      </c>
      <c r="K23" s="34">
        <f t="shared" si="17"/>
        <v>7575.2188245764301</v>
      </c>
      <c r="L23" s="34"/>
      <c r="M23" s="18">
        <f t="shared" si="15"/>
        <v>-189697.45930099007</v>
      </c>
      <c r="N23" s="21"/>
      <c r="O23" s="18">
        <f t="shared" si="2"/>
        <v>-62898.53</v>
      </c>
      <c r="P23" s="24">
        <f t="shared" si="3"/>
        <v>0</v>
      </c>
      <c r="Q23" s="24">
        <f t="shared" si="13"/>
        <v>-26949.62</v>
      </c>
      <c r="R23" s="24">
        <f t="shared" si="14"/>
        <v>-373365.26371998643</v>
      </c>
      <c r="S23" s="14">
        <f t="shared" si="8"/>
        <v>-89848.15</v>
      </c>
      <c r="T23" s="29"/>
    </row>
    <row r="24" spans="1:20" s="28" customFormat="1" ht="12.75" hidden="1" outlineLevel="3" x14ac:dyDescent="0.2">
      <c r="A24" s="26">
        <v>40724</v>
      </c>
      <c r="B24" s="24">
        <v>-3144.78</v>
      </c>
      <c r="C24" s="24">
        <v>0</v>
      </c>
      <c r="D24" s="24">
        <f>-773.91-2169.72</f>
        <v>-2943.6299999999997</v>
      </c>
      <c r="E24" s="24">
        <v>-2885.96</v>
      </c>
      <c r="F24" s="22">
        <f t="shared" si="16"/>
        <v>-5024.571782154022</v>
      </c>
      <c r="G24" s="18">
        <f t="shared" si="0"/>
        <v>-197666.74620115061</v>
      </c>
      <c r="H24" s="19"/>
      <c r="I24" s="18">
        <v>-47094</v>
      </c>
      <c r="J24" s="18">
        <v>-18782.599999999999</v>
      </c>
      <c r="K24" s="34">
        <f t="shared" si="17"/>
        <v>5024.571782154022</v>
      </c>
      <c r="L24" s="34"/>
      <c r="M24" s="18">
        <f t="shared" si="15"/>
        <v>-250549.48751883605</v>
      </c>
      <c r="N24" s="21"/>
      <c r="O24" s="18">
        <f t="shared" si="2"/>
        <v>-50238.78</v>
      </c>
      <c r="P24" s="24">
        <f t="shared" si="3"/>
        <v>0</v>
      </c>
      <c r="Q24" s="24">
        <f t="shared" si="13"/>
        <v>-24612.19</v>
      </c>
      <c r="R24" s="24">
        <f t="shared" si="14"/>
        <v>-448216.23371998646</v>
      </c>
      <c r="S24" s="14">
        <f t="shared" si="8"/>
        <v>-74850.97</v>
      </c>
      <c r="T24" s="29"/>
    </row>
    <row r="25" spans="1:20" s="28" customFormat="1" ht="12.75" hidden="1" outlineLevel="3" x14ac:dyDescent="0.2">
      <c r="A25" s="26">
        <v>40755</v>
      </c>
      <c r="B25" s="24">
        <v>2523.71</v>
      </c>
      <c r="C25" s="24">
        <v>0</v>
      </c>
      <c r="D25" s="24">
        <f>-826.02-2086.56</f>
        <v>-2912.58</v>
      </c>
      <c r="E25" s="24">
        <v>9545.4599999999991</v>
      </c>
      <c r="F25" s="22">
        <f t="shared" si="16"/>
        <v>23895.257966729892</v>
      </c>
      <c r="G25" s="18">
        <f t="shared" si="0"/>
        <v>-164614.89823442072</v>
      </c>
      <c r="H25" s="19"/>
      <c r="I25" s="18">
        <v>-49590</v>
      </c>
      <c r="J25" s="18">
        <v>70849.02</v>
      </c>
      <c r="K25" s="34">
        <f t="shared" si="17"/>
        <v>-23895.257966729892</v>
      </c>
      <c r="L25" s="34"/>
      <c r="M25" s="18">
        <f t="shared" ref="M25:M29" si="18">SUM(I25:K25)+M24</f>
        <v>-253185.72548556593</v>
      </c>
      <c r="N25" s="21"/>
      <c r="O25" s="18">
        <f t="shared" si="2"/>
        <v>-47066.29</v>
      </c>
      <c r="P25" s="24">
        <f t="shared" si="3"/>
        <v>0</v>
      </c>
      <c r="Q25" s="24">
        <f t="shared" si="13"/>
        <v>77481.900000000009</v>
      </c>
      <c r="R25" s="24">
        <f t="shared" si="14"/>
        <v>-417800.62371998641</v>
      </c>
      <c r="S25" s="14">
        <f t="shared" si="8"/>
        <v>30415.610000000008</v>
      </c>
      <c r="T25" s="29"/>
    </row>
    <row r="26" spans="1:20" s="28" customFormat="1" ht="12.75" hidden="1" outlineLevel="3" x14ac:dyDescent="0.2">
      <c r="A26" s="26">
        <v>40786</v>
      </c>
      <c r="B26" s="24">
        <v>-3340.97</v>
      </c>
      <c r="C26" s="24">
        <v>0</v>
      </c>
      <c r="D26" s="24">
        <f>-2472.12-853.29</f>
        <v>-3325.41</v>
      </c>
      <c r="E26" s="24">
        <v>10960.83</v>
      </c>
      <c r="F26" s="22">
        <f t="shared" si="16"/>
        <v>20541.431246861743</v>
      </c>
      <c r="G26" s="18">
        <f t="shared" si="0"/>
        <v>-139779.01698755898</v>
      </c>
      <c r="H26" s="19"/>
      <c r="I26" s="18">
        <v>-36728</v>
      </c>
      <c r="J26" s="18">
        <v>69178.350000000006</v>
      </c>
      <c r="K26" s="34">
        <f t="shared" si="17"/>
        <v>-20541.431246861743</v>
      </c>
      <c r="L26" s="34"/>
      <c r="M26" s="18">
        <f t="shared" si="18"/>
        <v>-241276.80673242768</v>
      </c>
      <c r="N26" s="21"/>
      <c r="O26" s="18">
        <f t="shared" si="2"/>
        <v>-40068.97</v>
      </c>
      <c r="P26" s="24">
        <f t="shared" si="3"/>
        <v>0</v>
      </c>
      <c r="Q26" s="24">
        <f t="shared" si="13"/>
        <v>76813.77</v>
      </c>
      <c r="R26" s="24">
        <f t="shared" si="14"/>
        <v>-381055.82371998637</v>
      </c>
      <c r="S26" s="14">
        <f t="shared" ref="S26" si="19">SUM(O26:Q26)</f>
        <v>36744.800000000003</v>
      </c>
      <c r="T26" s="29"/>
    </row>
    <row r="27" spans="1:20" s="28" customFormat="1" ht="14.25" hidden="1" customHeight="1" outlineLevel="3" x14ac:dyDescent="0.2">
      <c r="A27" s="26">
        <v>40816</v>
      </c>
      <c r="B27" s="24">
        <v>-10579.71</v>
      </c>
      <c r="C27" s="24">
        <v>-1766.06</v>
      </c>
      <c r="D27" s="24">
        <f>9284.35+22388.18+3010.66+8247.28</f>
        <v>42930.47</v>
      </c>
      <c r="E27" s="24">
        <v>10321.66</v>
      </c>
      <c r="F27" s="22">
        <f t="shared" si="16"/>
        <v>-9029.033917386434</v>
      </c>
      <c r="G27" s="18">
        <f t="shared" si="0"/>
        <v>-107901.69090494541</v>
      </c>
      <c r="H27" s="19"/>
      <c r="I27" s="18">
        <v>-43527</v>
      </c>
      <c r="J27" s="18">
        <v>74736.679999999993</v>
      </c>
      <c r="K27" s="34">
        <f t="shared" si="17"/>
        <v>9029.033917386434</v>
      </c>
      <c r="L27" s="34"/>
      <c r="M27" s="18">
        <f t="shared" si="18"/>
        <v>-201038.09281504125</v>
      </c>
      <c r="N27" s="21"/>
      <c r="O27" s="18">
        <f t="shared" si="2"/>
        <v>-54106.71</v>
      </c>
      <c r="P27" s="24">
        <f t="shared" si="3"/>
        <v>-1766.06</v>
      </c>
      <c r="Q27" s="24">
        <f t="shared" si="13"/>
        <v>127988.81</v>
      </c>
      <c r="R27" s="24">
        <f t="shared" si="14"/>
        <v>-308939.78371998639</v>
      </c>
      <c r="S27" s="14">
        <f t="shared" ref="S27:S29" si="20">SUM(O27:Q27)</f>
        <v>72116.040000000008</v>
      </c>
      <c r="T27" s="29"/>
    </row>
    <row r="28" spans="1:20" s="28" customFormat="1" ht="14.25" hidden="1" customHeight="1" outlineLevel="3" x14ac:dyDescent="0.2">
      <c r="A28" s="26">
        <v>40847</v>
      </c>
      <c r="B28" s="24">
        <f>-110846.93+7217.04</f>
        <v>-103629.89</v>
      </c>
      <c r="C28" s="24">
        <v>-3745.89</v>
      </c>
      <c r="D28" s="24">
        <f>3513.31+9136.51</f>
        <v>12649.82</v>
      </c>
      <c r="E28" s="24">
        <v>9796.7099999999991</v>
      </c>
      <c r="F28" s="22">
        <f t="shared" si="16"/>
        <v>22481.421854118154</v>
      </c>
      <c r="G28" s="18">
        <f t="shared" si="0"/>
        <v>-170349.51905082725</v>
      </c>
      <c r="H28" s="19"/>
      <c r="I28" s="18">
        <v>-68970</v>
      </c>
      <c r="J28" s="18">
        <v>79829.41</v>
      </c>
      <c r="K28" s="34">
        <f t="shared" si="17"/>
        <v>-22481.421854118154</v>
      </c>
      <c r="L28" s="34"/>
      <c r="M28" s="18">
        <f t="shared" si="18"/>
        <v>-212660.10466915939</v>
      </c>
      <c r="N28" s="21"/>
      <c r="O28" s="18">
        <f t="shared" si="2"/>
        <v>-172599.89</v>
      </c>
      <c r="P28" s="24">
        <f t="shared" si="3"/>
        <v>-3745.89</v>
      </c>
      <c r="Q28" s="24">
        <f t="shared" si="13"/>
        <v>102275.94</v>
      </c>
      <c r="R28" s="24">
        <f t="shared" si="14"/>
        <v>-383009.62371998641</v>
      </c>
      <c r="S28" s="14">
        <f t="shared" si="20"/>
        <v>-74069.840000000026</v>
      </c>
      <c r="T28" s="29"/>
    </row>
    <row r="29" spans="1:20" s="28" customFormat="1" ht="18.75" hidden="1" customHeight="1" outlineLevel="3" x14ac:dyDescent="0.2">
      <c r="A29" s="26">
        <v>40877</v>
      </c>
      <c r="B29" s="24">
        <v>-13197.01</v>
      </c>
      <c r="C29" s="24">
        <v>0</v>
      </c>
      <c r="D29" s="24">
        <f>3451.71+9313.92</f>
        <v>12765.630000000001</v>
      </c>
      <c r="E29" s="24">
        <v>8994.61</v>
      </c>
      <c r="F29" s="22">
        <f t="shared" si="16"/>
        <v>18735.15017504798</v>
      </c>
      <c r="G29" s="18">
        <f t="shared" si="0"/>
        <v>-143051.13887577926</v>
      </c>
      <c r="H29" s="19"/>
      <c r="I29" s="18">
        <v>-108048.5</v>
      </c>
      <c r="J29" s="18">
        <v>89492.25</v>
      </c>
      <c r="K29" s="34">
        <f t="shared" si="17"/>
        <v>-18735.15017504798</v>
      </c>
      <c r="L29" s="34"/>
      <c r="M29" s="18">
        <f t="shared" si="18"/>
        <v>-249951.50484420737</v>
      </c>
      <c r="N29" s="21"/>
      <c r="O29" s="18">
        <f t="shared" si="2"/>
        <v>-121245.51</v>
      </c>
      <c r="P29" s="24">
        <f t="shared" si="3"/>
        <v>0</v>
      </c>
      <c r="Q29" s="24">
        <f t="shared" si="13"/>
        <v>111252.49</v>
      </c>
      <c r="R29" s="24">
        <f t="shared" si="14"/>
        <v>-393002.64371998643</v>
      </c>
      <c r="S29" s="14">
        <f t="shared" si="20"/>
        <v>-9993.0199999999895</v>
      </c>
      <c r="T29" s="29"/>
    </row>
    <row r="30" spans="1:20" s="33" customFormat="1" ht="14.25" hidden="1" customHeight="1" outlineLevel="2" collapsed="1" x14ac:dyDescent="0.2">
      <c r="A30" s="30">
        <v>40908</v>
      </c>
      <c r="B30" s="13">
        <f>-4568.84+-5952.74</f>
        <v>-10521.58</v>
      </c>
      <c r="C30" s="13">
        <v>0</v>
      </c>
      <c r="D30" s="13">
        <f>11117.57+3634.75</f>
        <v>14752.32</v>
      </c>
      <c r="E30" s="13">
        <v>10810.7</v>
      </c>
      <c r="F30" s="11">
        <f t="shared" si="16"/>
        <v>13363.154055201652</v>
      </c>
      <c r="G30" s="8">
        <f t="shared" si="0"/>
        <v>-114646.5448205776</v>
      </c>
      <c r="H30" s="9"/>
      <c r="I30" s="8">
        <v>-98171.65</v>
      </c>
      <c r="J30" s="8">
        <v>101602.15</v>
      </c>
      <c r="K30" s="9">
        <f t="shared" si="17"/>
        <v>-13363.154055201652</v>
      </c>
      <c r="L30" s="9">
        <v>0</v>
      </c>
      <c r="M30" s="8">
        <f t="shared" ref="M30:M39" si="21">SUM(I30:K30)+M29</f>
        <v>-259884.15889940903</v>
      </c>
      <c r="O30" s="13">
        <f t="shared" si="2"/>
        <v>-108693.23</v>
      </c>
      <c r="P30" s="13">
        <f t="shared" si="3"/>
        <v>0</v>
      </c>
      <c r="Q30" s="13">
        <f>+E30+J30+D30</f>
        <v>127165.16999999998</v>
      </c>
      <c r="R30" s="13">
        <f>R29+O30+Q30+P30</f>
        <v>-374530.70371998643</v>
      </c>
      <c r="S30" s="31">
        <f>SUM(O30:Q30)</f>
        <v>18471.939999999988</v>
      </c>
      <c r="T30" s="32"/>
    </row>
    <row r="31" spans="1:20" s="28" customFormat="1" ht="14.25" hidden="1" customHeight="1" outlineLevel="3" x14ac:dyDescent="0.2">
      <c r="A31" s="26">
        <v>40939</v>
      </c>
      <c r="B31" s="24">
        <v>-2238</v>
      </c>
      <c r="C31" s="24">
        <v>0</v>
      </c>
      <c r="D31" s="24">
        <f>9461.76+3462.27</f>
        <v>12924.03</v>
      </c>
      <c r="E31" s="24">
        <v>12568.27</v>
      </c>
      <c r="F31" s="22">
        <f t="shared" si="16"/>
        <v>7699.4998685960891</v>
      </c>
      <c r="G31" s="8">
        <f t="shared" si="0"/>
        <v>-83692.744951981513</v>
      </c>
      <c r="H31" s="19"/>
      <c r="I31" s="18">
        <v>-97341.51</v>
      </c>
      <c r="J31" s="18">
        <v>89492.25</v>
      </c>
      <c r="K31" s="9">
        <v>-7699.4998685960891</v>
      </c>
      <c r="L31" s="9">
        <v>0</v>
      </c>
      <c r="M31" s="8">
        <f>SUM(I31:K31)+M30</f>
        <v>-275432.9187680051</v>
      </c>
      <c r="O31" s="24">
        <f t="shared" si="2"/>
        <v>-99579.51</v>
      </c>
      <c r="P31" s="24">
        <f t="shared" si="3"/>
        <v>0</v>
      </c>
      <c r="Q31" s="24">
        <f t="shared" ref="Q31:Q41" si="22">+E31+J31+D31</f>
        <v>114984.55</v>
      </c>
      <c r="R31" s="24">
        <f>R30+O31+Q31+P31</f>
        <v>-359125.66371998645</v>
      </c>
      <c r="S31" s="14">
        <f t="shared" ref="S31:S41" si="23">SUM(O31:Q31)</f>
        <v>15405.040000000008</v>
      </c>
      <c r="T31" s="29"/>
    </row>
    <row r="32" spans="1:20" s="28" customFormat="1" ht="14.25" hidden="1" customHeight="1" outlineLevel="3" x14ac:dyDescent="0.2">
      <c r="A32" s="26">
        <v>40968</v>
      </c>
      <c r="B32" s="24">
        <v>-23</v>
      </c>
      <c r="C32" s="24">
        <v>0</v>
      </c>
      <c r="D32" s="24">
        <f>3632.29+8633.86</f>
        <v>12266.150000000001</v>
      </c>
      <c r="E32" s="24">
        <v>11556.77</v>
      </c>
      <c r="F32" s="22">
        <f t="shared" si="16"/>
        <v>6553.3675095594663</v>
      </c>
      <c r="G32" s="8">
        <f t="shared" si="0"/>
        <v>-53339.457442422048</v>
      </c>
      <c r="H32" s="19"/>
      <c r="I32" s="18">
        <v>-81101.59</v>
      </c>
      <c r="J32" s="18">
        <v>102699.54</v>
      </c>
      <c r="K32" s="9">
        <v>-6553.3675095594663</v>
      </c>
      <c r="L32" s="9">
        <v>0</v>
      </c>
      <c r="M32" s="8">
        <f t="shared" si="21"/>
        <v>-260388.33627756458</v>
      </c>
      <c r="O32" s="24">
        <f t="shared" si="2"/>
        <v>-81124.59</v>
      </c>
      <c r="P32" s="24">
        <f t="shared" si="3"/>
        <v>0</v>
      </c>
      <c r="Q32" s="24">
        <f t="shared" si="22"/>
        <v>126522.45999999999</v>
      </c>
      <c r="R32" s="24">
        <f t="shared" ref="R32:R41" si="24">R31+O32+Q32+P32</f>
        <v>-313727.79371998645</v>
      </c>
      <c r="S32" s="14">
        <f t="shared" si="23"/>
        <v>45397.869999999995</v>
      </c>
      <c r="T32" s="29"/>
    </row>
    <row r="33" spans="1:20" s="28" customFormat="1" ht="14.25" hidden="1" customHeight="1" outlineLevel="3" x14ac:dyDescent="0.2">
      <c r="A33" s="26">
        <v>40999</v>
      </c>
      <c r="B33" s="24">
        <v>-380</v>
      </c>
      <c r="C33" s="24">
        <v>0</v>
      </c>
      <c r="D33" s="24">
        <f>3721.34+9609.6</f>
        <v>13330.94</v>
      </c>
      <c r="E33" s="24">
        <v>10351.879999999999</v>
      </c>
      <c r="F33" s="22">
        <f t="shared" si="16"/>
        <v>209.3221986519784</v>
      </c>
      <c r="G33" s="8">
        <f t="shared" si="0"/>
        <v>-29827.31524377007</v>
      </c>
      <c r="H33" s="19"/>
      <c r="I33" s="18">
        <v>-93323.42</v>
      </c>
      <c r="J33" s="18">
        <v>100521.25</v>
      </c>
      <c r="K33" s="9">
        <v>-209.3221986519784</v>
      </c>
      <c r="L33" s="9">
        <v>0</v>
      </c>
      <c r="M33" s="8">
        <f t="shared" si="21"/>
        <v>-253399.82847621656</v>
      </c>
      <c r="O33" s="24">
        <f t="shared" si="2"/>
        <v>-93703.42</v>
      </c>
      <c r="P33" s="24">
        <f t="shared" si="3"/>
        <v>0</v>
      </c>
      <c r="Q33" s="24">
        <f t="shared" si="22"/>
        <v>124204.07</v>
      </c>
      <c r="R33" s="24">
        <f t="shared" si="24"/>
        <v>-283227.14371998643</v>
      </c>
      <c r="S33" s="14">
        <f t="shared" si="23"/>
        <v>30500.650000000009</v>
      </c>
      <c r="T33" s="29"/>
    </row>
    <row r="34" spans="1:20" s="28" customFormat="1" ht="14.25" hidden="1" customHeight="1" outlineLevel="3" x14ac:dyDescent="0.2">
      <c r="A34" s="26">
        <v>41029</v>
      </c>
      <c r="B34" s="24">
        <v>-214</v>
      </c>
      <c r="C34" s="24">
        <v>0</v>
      </c>
      <c r="D34" s="24">
        <f>4050.11+9609.6</f>
        <v>13659.710000000001</v>
      </c>
      <c r="E34" s="24">
        <v>9915.9599999999991</v>
      </c>
      <c r="F34" s="22">
        <f t="shared" si="16"/>
        <v>-5715.8866774437047</v>
      </c>
      <c r="G34" s="8">
        <f t="shared" si="0"/>
        <v>-12181.531921213777</v>
      </c>
      <c r="H34" s="19"/>
      <c r="I34" s="18">
        <v>-86324.78</v>
      </c>
      <c r="J34" s="18">
        <v>90762.95</v>
      </c>
      <c r="K34" s="9">
        <v>5715.8866774437047</v>
      </c>
      <c r="L34" s="9">
        <v>0</v>
      </c>
      <c r="M34" s="8">
        <f t="shared" si="21"/>
        <v>-243245.77179877285</v>
      </c>
      <c r="O34" s="24">
        <f t="shared" si="2"/>
        <v>-86538.78</v>
      </c>
      <c r="P34" s="24">
        <f t="shared" si="3"/>
        <v>0</v>
      </c>
      <c r="Q34" s="24">
        <f t="shared" si="22"/>
        <v>114338.62000000001</v>
      </c>
      <c r="R34" s="24">
        <f t="shared" si="24"/>
        <v>-255427.30371998646</v>
      </c>
      <c r="S34" s="14">
        <f t="shared" si="23"/>
        <v>27799.840000000011</v>
      </c>
      <c r="T34" s="29"/>
    </row>
    <row r="35" spans="1:20" s="28" customFormat="1" ht="14.25" hidden="1" customHeight="1" outlineLevel="3" x14ac:dyDescent="0.2">
      <c r="A35" s="26">
        <v>41060</v>
      </c>
      <c r="B35" s="24">
        <v>-77</v>
      </c>
      <c r="C35" s="24">
        <v>0</v>
      </c>
      <c r="D35" s="24">
        <f>9964.42+3646.72</f>
        <v>13611.14</v>
      </c>
      <c r="E35" s="24">
        <v>10858.16</v>
      </c>
      <c r="F35" s="22">
        <f t="shared" si="16"/>
        <v>-8443.0878676400898</v>
      </c>
      <c r="G35" s="8">
        <f t="shared" si="0"/>
        <v>3767.6802111461329</v>
      </c>
      <c r="H35" s="19"/>
      <c r="I35" s="18">
        <v>-59194.080000000002</v>
      </c>
      <c r="J35" s="18">
        <v>98436.2</v>
      </c>
      <c r="K35" s="9">
        <v>8443.0878676400898</v>
      </c>
      <c r="L35" s="9">
        <v>0</v>
      </c>
      <c r="M35" s="8">
        <f t="shared" si="21"/>
        <v>-195560.56393113278</v>
      </c>
      <c r="O35" s="24">
        <f t="shared" si="2"/>
        <v>-59271.08</v>
      </c>
      <c r="P35" s="24">
        <f t="shared" si="3"/>
        <v>0</v>
      </c>
      <c r="Q35" s="24">
        <f t="shared" si="22"/>
        <v>122905.5</v>
      </c>
      <c r="R35" s="24">
        <f t="shared" si="24"/>
        <v>-191792.88371998648</v>
      </c>
      <c r="S35" s="14">
        <f t="shared" si="23"/>
        <v>63634.42</v>
      </c>
      <c r="T35" s="29"/>
    </row>
    <row r="36" spans="1:20" s="28" customFormat="1" ht="14.25" hidden="1" customHeight="1" outlineLevel="3" x14ac:dyDescent="0.2">
      <c r="A36" s="26">
        <v>41090</v>
      </c>
      <c r="B36" s="24">
        <v>-545</v>
      </c>
      <c r="C36" s="24">
        <v>0</v>
      </c>
      <c r="D36" s="24">
        <f>8515.58+3376.38</f>
        <v>11891.96</v>
      </c>
      <c r="E36" s="24">
        <v>11911.48</v>
      </c>
      <c r="F36" s="22">
        <f t="shared" si="16"/>
        <v>-10040.502197790498</v>
      </c>
      <c r="G36" s="8">
        <f t="shared" si="0"/>
        <v>16985.618013355634</v>
      </c>
      <c r="H36" s="19"/>
      <c r="I36" s="18">
        <v>-42909.41</v>
      </c>
      <c r="J36" s="18">
        <v>92896.24</v>
      </c>
      <c r="K36" s="9">
        <v>10040.502197790498</v>
      </c>
      <c r="L36" s="9">
        <v>0</v>
      </c>
      <c r="M36" s="8">
        <f t="shared" si="21"/>
        <v>-135533.23173334228</v>
      </c>
      <c r="O36" s="24">
        <f t="shared" si="2"/>
        <v>-43454.41</v>
      </c>
      <c r="P36" s="24">
        <f t="shared" si="3"/>
        <v>0</v>
      </c>
      <c r="Q36" s="24">
        <f t="shared" si="22"/>
        <v>116699.68</v>
      </c>
      <c r="R36" s="24">
        <f t="shared" si="24"/>
        <v>-118547.61371998649</v>
      </c>
      <c r="S36" s="14">
        <f t="shared" si="23"/>
        <v>73245.26999999999</v>
      </c>
      <c r="T36" s="29"/>
    </row>
    <row r="37" spans="1:20" s="28" customFormat="1" ht="14.25" hidden="1" customHeight="1" outlineLevel="3" x14ac:dyDescent="0.2">
      <c r="A37" s="26">
        <v>41121</v>
      </c>
      <c r="B37" s="24">
        <v>-365</v>
      </c>
      <c r="C37" s="24">
        <v>0</v>
      </c>
      <c r="D37" s="24">
        <f>9757.44+3982.18</f>
        <v>13739.62</v>
      </c>
      <c r="E37" s="24">
        <v>12235.89</v>
      </c>
      <c r="F37" s="22">
        <f t="shared" si="16"/>
        <v>-13375.364519008916</v>
      </c>
      <c r="G37" s="8">
        <f t="shared" si="0"/>
        <v>29220.76349434672</v>
      </c>
      <c r="H37" s="19"/>
      <c r="I37" s="18">
        <v>-27722.01</v>
      </c>
      <c r="J37" s="18">
        <v>88253.11</v>
      </c>
      <c r="K37" s="9">
        <v>13375.364519008916</v>
      </c>
      <c r="L37" s="9">
        <v>0</v>
      </c>
      <c r="M37" s="8">
        <f t="shared" si="21"/>
        <v>-61626.767214333362</v>
      </c>
      <c r="O37" s="24">
        <f t="shared" si="2"/>
        <v>-28087.01</v>
      </c>
      <c r="P37" s="24">
        <f t="shared" si="3"/>
        <v>0</v>
      </c>
      <c r="Q37" s="24">
        <f t="shared" si="22"/>
        <v>114228.62</v>
      </c>
      <c r="R37" s="24">
        <f t="shared" si="24"/>
        <v>-32406.003719986504</v>
      </c>
      <c r="S37" s="14">
        <f t="shared" si="23"/>
        <v>86141.61</v>
      </c>
      <c r="T37" s="29"/>
    </row>
    <row r="38" spans="1:20" s="28" customFormat="1" ht="14.25" hidden="1" customHeight="1" outlineLevel="3" x14ac:dyDescent="0.2">
      <c r="A38" s="26">
        <v>41152</v>
      </c>
      <c r="B38" s="24">
        <v>-40</v>
      </c>
      <c r="C38" s="18">
        <v>0</v>
      </c>
      <c r="D38" s="24">
        <f>9432.19+3641.11</f>
        <v>13073.300000000001</v>
      </c>
      <c r="E38" s="18">
        <v>12022.25</v>
      </c>
      <c r="F38" s="22">
        <f t="shared" si="16"/>
        <v>-14204.705775106166</v>
      </c>
      <c r="G38" s="8">
        <f t="shared" si="0"/>
        <v>40071.607719240557</v>
      </c>
      <c r="H38" s="19"/>
      <c r="I38" s="18">
        <v>-46530.87</v>
      </c>
      <c r="J38" s="18">
        <v>86379.91</v>
      </c>
      <c r="K38" s="9">
        <v>14204.705775106166</v>
      </c>
      <c r="L38" s="9">
        <v>0</v>
      </c>
      <c r="M38" s="8">
        <f t="shared" si="21"/>
        <v>-7573.0214392271955</v>
      </c>
      <c r="O38" s="24">
        <f t="shared" si="2"/>
        <v>-46570.87</v>
      </c>
      <c r="P38" s="24">
        <f t="shared" si="3"/>
        <v>0</v>
      </c>
      <c r="Q38" s="24">
        <f t="shared" si="22"/>
        <v>111475.46</v>
      </c>
      <c r="R38" s="24">
        <f t="shared" si="24"/>
        <v>32498.586280013507</v>
      </c>
      <c r="S38" s="14">
        <f t="shared" si="23"/>
        <v>64904.590000000004</v>
      </c>
      <c r="T38" s="29"/>
    </row>
    <row r="39" spans="1:20" s="28" customFormat="1" ht="14.25" hidden="1" customHeight="1" outlineLevel="3" x14ac:dyDescent="0.2">
      <c r="A39" s="26">
        <v>41182</v>
      </c>
      <c r="B39" s="24">
        <v>-474</v>
      </c>
      <c r="C39" s="18">
        <v>0</v>
      </c>
      <c r="D39" s="24">
        <f>7403.46+3722.05</f>
        <v>11125.51</v>
      </c>
      <c r="E39" s="18">
        <v>9018.9</v>
      </c>
      <c r="F39" s="22">
        <f t="shared" si="16"/>
        <v>-14545.552899071816</v>
      </c>
      <c r="G39" s="8">
        <f t="shared" si="0"/>
        <v>45196.464820168738</v>
      </c>
      <c r="H39" s="19"/>
      <c r="I39" s="18">
        <v>-60651.39</v>
      </c>
      <c r="J39" s="18">
        <v>85770.25</v>
      </c>
      <c r="K39" s="9">
        <v>14545.552899071816</v>
      </c>
      <c r="L39" s="9">
        <v>0</v>
      </c>
      <c r="M39" s="8">
        <f t="shared" si="21"/>
        <v>32091.391459844621</v>
      </c>
      <c r="O39" s="24">
        <f t="shared" si="2"/>
        <v>-61125.39</v>
      </c>
      <c r="P39" s="24">
        <f t="shared" si="3"/>
        <v>0</v>
      </c>
      <c r="Q39" s="24">
        <f t="shared" si="22"/>
        <v>105914.65999999999</v>
      </c>
      <c r="R39" s="24">
        <f t="shared" si="24"/>
        <v>77287.856280013497</v>
      </c>
      <c r="S39" s="14">
        <f t="shared" si="23"/>
        <v>44789.26999999999</v>
      </c>
      <c r="T39" s="29"/>
    </row>
    <row r="40" spans="1:20" s="28" customFormat="1" ht="14.25" hidden="1" customHeight="1" outlineLevel="3" x14ac:dyDescent="0.2">
      <c r="A40" s="26">
        <v>41213</v>
      </c>
      <c r="B40" s="24">
        <v>177</v>
      </c>
      <c r="C40" s="18">
        <v>-3512</v>
      </c>
      <c r="D40" s="24">
        <f>5335.94+2025.36</f>
        <v>7361.2999999999993</v>
      </c>
      <c r="E40" s="18">
        <v>9019.9</v>
      </c>
      <c r="F40" s="22">
        <f t="shared" si="16"/>
        <v>-13653.263042653227</v>
      </c>
      <c r="G40" s="8">
        <f t="shared" si="0"/>
        <v>44589.401777515508</v>
      </c>
      <c r="H40" s="19"/>
      <c r="I40" s="18">
        <v>-73857.66</v>
      </c>
      <c r="J40" s="18">
        <v>43402.9</v>
      </c>
      <c r="K40" s="9">
        <v>13653.263042653227</v>
      </c>
      <c r="L40" s="9">
        <v>0</v>
      </c>
      <c r="M40" s="8">
        <f t="shared" ref="M40" si="25">SUM(I40:K40)+M39</f>
        <v>15289.894502497846</v>
      </c>
      <c r="O40" s="24">
        <f t="shared" si="2"/>
        <v>-73680.66</v>
      </c>
      <c r="P40" s="24">
        <f t="shared" si="3"/>
        <v>-3512</v>
      </c>
      <c r="Q40" s="24">
        <f t="shared" si="22"/>
        <v>59784.100000000006</v>
      </c>
      <c r="R40" s="24">
        <f t="shared" si="24"/>
        <v>59879.296280013499</v>
      </c>
      <c r="S40" s="14">
        <f t="shared" si="23"/>
        <v>-17408.559999999998</v>
      </c>
      <c r="T40" s="29"/>
    </row>
    <row r="41" spans="1:20" s="28" customFormat="1" ht="14.25" hidden="1" customHeight="1" outlineLevel="3" x14ac:dyDescent="0.2">
      <c r="A41" s="26">
        <v>41243</v>
      </c>
      <c r="B41" s="24">
        <v>1202</v>
      </c>
      <c r="C41" s="18">
        <v>-4617</v>
      </c>
      <c r="D41" s="24">
        <f>13626.62+5584.51</f>
        <v>19211.13</v>
      </c>
      <c r="E41" s="18">
        <v>5155.0200000000004</v>
      </c>
      <c r="F41" s="22">
        <f t="shared" si="16"/>
        <v>-22418.58</v>
      </c>
      <c r="G41" s="8">
        <f t="shared" si="0"/>
        <v>43121.971777515508</v>
      </c>
      <c r="H41" s="19"/>
      <c r="I41" s="18">
        <v>-69399.320000000007</v>
      </c>
      <c r="J41" s="18">
        <f>51822.54-89492.25+123144.84</f>
        <v>85475.13</v>
      </c>
      <c r="K41" s="9">
        <v>22418.58</v>
      </c>
      <c r="L41" s="9">
        <v>0</v>
      </c>
      <c r="M41" s="8">
        <f t="shared" ref="M41" si="26">SUM(I41:K41)+M40</f>
        <v>53784.284502497845</v>
      </c>
      <c r="O41" s="24">
        <f t="shared" si="2"/>
        <v>-68197.320000000007</v>
      </c>
      <c r="P41" s="24">
        <f t="shared" si="3"/>
        <v>-4617</v>
      </c>
      <c r="Q41" s="24">
        <f t="shared" si="22"/>
        <v>109841.28000000001</v>
      </c>
      <c r="R41" s="24">
        <f t="shared" si="24"/>
        <v>96906.256280013506</v>
      </c>
      <c r="S41" s="14">
        <f t="shared" si="23"/>
        <v>37026.960000000006</v>
      </c>
      <c r="T41" s="29"/>
    </row>
    <row r="42" spans="1:20" s="28" customFormat="1" ht="14.25" hidden="1" customHeight="1" outlineLevel="1" x14ac:dyDescent="0.2">
      <c r="A42" s="26">
        <v>41274</v>
      </c>
      <c r="B42" s="24">
        <v>4706</v>
      </c>
      <c r="C42" s="18">
        <v>-1961</v>
      </c>
      <c r="D42" s="24">
        <f>4829.24+2860.23</f>
        <v>7689.4699999999993</v>
      </c>
      <c r="E42" s="18">
        <v>6455.15</v>
      </c>
      <c r="F42" s="22">
        <f t="shared" si="16"/>
        <v>2557.5946187424634</v>
      </c>
      <c r="G42" s="8">
        <f>SUM(B42:F42)+G41</f>
        <v>62569.186396257966</v>
      </c>
      <c r="H42" s="19"/>
      <c r="I42" s="18">
        <v>-114361.82</v>
      </c>
      <c r="J42" s="18">
        <v>61219.32</v>
      </c>
      <c r="K42" s="9">
        <v>-2557.5946187424634</v>
      </c>
      <c r="L42" s="9">
        <v>0</v>
      </c>
      <c r="M42" s="8">
        <f>SUM(I42:K42)+M41</f>
        <v>-1915.8101162446255</v>
      </c>
      <c r="O42" s="24">
        <f t="shared" si="2"/>
        <v>-109655.82</v>
      </c>
      <c r="P42" s="24">
        <f t="shared" si="3"/>
        <v>-1961</v>
      </c>
      <c r="Q42" s="24">
        <f>+E42+J42+D42</f>
        <v>75363.94</v>
      </c>
      <c r="R42" s="24">
        <f>R41+O42+Q42+P42</f>
        <v>60653.376280013501</v>
      </c>
      <c r="S42" s="14">
        <f t="shared" ref="S42:S49" si="27">SUM(O42:Q42)</f>
        <v>-36252.880000000005</v>
      </c>
      <c r="T42" s="29"/>
    </row>
    <row r="43" spans="1:20" s="28" customFormat="1" ht="13.5" hidden="1" customHeight="1" outlineLevel="1" x14ac:dyDescent="0.2">
      <c r="A43" s="6" t="s">
        <v>14</v>
      </c>
      <c r="B43" s="24"/>
      <c r="C43" s="36">
        <v>12140</v>
      </c>
      <c r="D43" s="24"/>
      <c r="E43" s="18"/>
      <c r="F43" s="22"/>
      <c r="G43" s="8">
        <f>SUM(B43:F43)+G42</f>
        <v>74709.186396257966</v>
      </c>
      <c r="H43" s="19"/>
      <c r="I43" s="18"/>
      <c r="J43" s="18"/>
      <c r="K43" s="9"/>
      <c r="L43" s="9"/>
      <c r="M43" s="8">
        <f>SUM(I43:K43)+M42</f>
        <v>-1915.8101162446255</v>
      </c>
      <c r="O43" s="24">
        <f t="shared" si="2"/>
        <v>0</v>
      </c>
      <c r="P43" s="24">
        <f t="shared" si="3"/>
        <v>12140</v>
      </c>
      <c r="Q43" s="24">
        <f t="shared" ref="Q43:Q67" si="28">+E43+J43+D43</f>
        <v>0</v>
      </c>
      <c r="R43" s="24">
        <f>R42+O43+Q43+P43</f>
        <v>72793.376280013501</v>
      </c>
      <c r="S43" s="31">
        <f t="shared" si="27"/>
        <v>12140</v>
      </c>
      <c r="T43" s="29"/>
    </row>
    <row r="44" spans="1:20" s="28" customFormat="1" ht="14.25" hidden="1" customHeight="1" outlineLevel="1" x14ac:dyDescent="0.2">
      <c r="A44" s="30">
        <v>41255</v>
      </c>
      <c r="B44" s="23"/>
      <c r="C44" s="20"/>
      <c r="D44" s="23"/>
      <c r="E44" s="20"/>
      <c r="F44" s="29"/>
      <c r="G44" s="8">
        <f>SUM(B43:F43)+G42</f>
        <v>74709.186396257966</v>
      </c>
      <c r="H44" s="25"/>
      <c r="I44" s="20"/>
      <c r="J44" s="20"/>
      <c r="K44" s="15"/>
      <c r="L44" s="15"/>
      <c r="M44" s="8">
        <f t="shared" ref="M44:M48" si="29">SUM(I44:K44)+M43</f>
        <v>-1915.8101162446255</v>
      </c>
      <c r="N44" s="22"/>
      <c r="O44" s="24">
        <f t="shared" si="2"/>
        <v>0</v>
      </c>
      <c r="P44" s="24">
        <f t="shared" si="3"/>
        <v>0</v>
      </c>
      <c r="Q44" s="24">
        <f t="shared" si="28"/>
        <v>0</v>
      </c>
      <c r="R44" s="24">
        <f t="shared" ref="R44" si="30">R43+O44+Q44+P44</f>
        <v>72793.376280013501</v>
      </c>
      <c r="S44" s="14">
        <f t="shared" si="27"/>
        <v>0</v>
      </c>
      <c r="T44" s="29"/>
    </row>
    <row r="45" spans="1:20" s="28" customFormat="1" ht="14.25" hidden="1" customHeight="1" outlineLevel="1" x14ac:dyDescent="0.2">
      <c r="A45" s="6" t="s">
        <v>15</v>
      </c>
      <c r="B45" s="23"/>
      <c r="C45" s="20"/>
      <c r="D45" s="23"/>
      <c r="E45" s="20"/>
      <c r="F45" s="29"/>
      <c r="G45" s="8">
        <v>-74709</v>
      </c>
      <c r="H45" s="25"/>
      <c r="I45" s="20"/>
      <c r="J45" s="20"/>
      <c r="K45" s="15"/>
      <c r="L45" s="15"/>
      <c r="M45" s="8">
        <f t="shared" si="29"/>
        <v>-1915.8101162446255</v>
      </c>
      <c r="N45" s="22"/>
      <c r="O45" s="24">
        <f t="shared" si="2"/>
        <v>0</v>
      </c>
      <c r="P45" s="24">
        <f t="shared" si="3"/>
        <v>0</v>
      </c>
      <c r="Q45" s="24">
        <f t="shared" si="28"/>
        <v>0</v>
      </c>
      <c r="R45" s="18">
        <f>R44+O45+Q45+P45+G45</f>
        <v>-1915.6237199864991</v>
      </c>
      <c r="S45" s="31">
        <v>-74707</v>
      </c>
      <c r="T45" s="29"/>
    </row>
    <row r="46" spans="1:20" s="28" customFormat="1" ht="12.75" hidden="1" outlineLevel="1" x14ac:dyDescent="0.2">
      <c r="A46" s="30">
        <v>41255</v>
      </c>
      <c r="B46" s="23"/>
      <c r="C46" s="20"/>
      <c r="D46" s="23"/>
      <c r="E46" s="20"/>
      <c r="F46" s="29"/>
      <c r="G46" s="8">
        <v>0</v>
      </c>
      <c r="H46" s="25"/>
      <c r="I46" s="20"/>
      <c r="J46" s="20"/>
      <c r="K46" s="15"/>
      <c r="L46" s="15"/>
      <c r="M46" s="8">
        <f t="shared" si="29"/>
        <v>-1915.8101162446255</v>
      </c>
      <c r="N46" s="22"/>
      <c r="O46" s="24">
        <f t="shared" si="2"/>
        <v>0</v>
      </c>
      <c r="P46" s="24">
        <f t="shared" si="3"/>
        <v>0</v>
      </c>
      <c r="Q46" s="24">
        <f t="shared" si="28"/>
        <v>0</v>
      </c>
      <c r="R46" s="24">
        <f>R45+O46+Q46+P46+G46</f>
        <v>-1915.6237199864991</v>
      </c>
      <c r="S46" s="14">
        <f t="shared" ref="S46" si="31">SUM(O46:Q46)</f>
        <v>0</v>
      </c>
      <c r="T46" s="29"/>
    </row>
    <row r="47" spans="1:20" s="28" customFormat="1" ht="12.75" hidden="1" outlineLevel="1" collapsed="1" x14ac:dyDescent="0.2">
      <c r="A47" s="26">
        <v>41287</v>
      </c>
      <c r="B47" s="23">
        <v>493</v>
      </c>
      <c r="C47" s="18">
        <v>-1725</v>
      </c>
      <c r="D47" s="24">
        <f>4716.94+2128.5-660.1</f>
        <v>6185.3399999999992</v>
      </c>
      <c r="E47" s="18">
        <v>7313.62</v>
      </c>
      <c r="F47" s="22">
        <f>-K47</f>
        <v>409.17</v>
      </c>
      <c r="G47" s="8">
        <f>SUM(B47:F47)</f>
        <v>12676.13</v>
      </c>
      <c r="H47" s="19"/>
      <c r="I47" s="18">
        <v>17376.259999999998</v>
      </c>
      <c r="J47" s="18">
        <v>72457.19</v>
      </c>
      <c r="K47" s="9">
        <v>-409.17</v>
      </c>
      <c r="L47" s="9">
        <v>0</v>
      </c>
      <c r="M47" s="8">
        <f>SUM(I47:K47)+M46</f>
        <v>87508.469883755373</v>
      </c>
      <c r="N47" s="22"/>
      <c r="O47" s="24">
        <f t="shared" si="2"/>
        <v>17869.259999999998</v>
      </c>
      <c r="P47" s="24">
        <f t="shared" si="3"/>
        <v>-1725</v>
      </c>
      <c r="Q47" s="24">
        <f t="shared" si="28"/>
        <v>85956.15</v>
      </c>
      <c r="R47" s="24">
        <f>R45+O47+Q47+P47</f>
        <v>100184.78628001349</v>
      </c>
      <c r="S47" s="14">
        <f t="shared" si="27"/>
        <v>102100.40999999999</v>
      </c>
      <c r="T47" s="29"/>
    </row>
    <row r="48" spans="1:20" s="28" customFormat="1" ht="12.75" hidden="1" outlineLevel="1" x14ac:dyDescent="0.2">
      <c r="A48" s="26">
        <v>41333</v>
      </c>
      <c r="B48" s="23">
        <v>-18</v>
      </c>
      <c r="C48" s="18">
        <v>-1098</v>
      </c>
      <c r="D48" s="24">
        <f>4267.7+1882.31</f>
        <v>6150.01</v>
      </c>
      <c r="E48" s="18">
        <v>6130.16</v>
      </c>
      <c r="F48" s="22">
        <f>-K48</f>
        <v>1391.37</v>
      </c>
      <c r="G48" s="8">
        <f>SUM(B48:F48)+G47</f>
        <v>25231.67</v>
      </c>
      <c r="H48" s="19"/>
      <c r="I48" s="18">
        <v>424.72</v>
      </c>
      <c r="J48" s="18">
        <v>57254.48</v>
      </c>
      <c r="K48" s="9">
        <v>-1391.37</v>
      </c>
      <c r="L48" s="9">
        <v>0</v>
      </c>
      <c r="M48" s="8">
        <f t="shared" si="29"/>
        <v>143796.29988375539</v>
      </c>
      <c r="N48" s="22"/>
      <c r="O48" s="24">
        <f t="shared" si="2"/>
        <v>406.72</v>
      </c>
      <c r="P48" s="24">
        <f t="shared" si="3"/>
        <v>-1098</v>
      </c>
      <c r="Q48" s="24">
        <f t="shared" si="28"/>
        <v>69534.649999999994</v>
      </c>
      <c r="R48" s="24">
        <f>R47+O48+Q48+P48</f>
        <v>169028.1562800135</v>
      </c>
      <c r="S48" s="14">
        <f t="shared" si="27"/>
        <v>68843.37</v>
      </c>
      <c r="T48" s="29"/>
    </row>
    <row r="49" spans="1:20" s="28" customFormat="1" ht="12.75" hidden="1" outlineLevel="1" x14ac:dyDescent="0.2">
      <c r="A49" s="26">
        <v>41364</v>
      </c>
      <c r="B49" s="23">
        <v>29</v>
      </c>
      <c r="C49" s="18">
        <v>-1224</v>
      </c>
      <c r="D49" s="24">
        <f>4460.23+1842.2</f>
        <v>6302.4299999999994</v>
      </c>
      <c r="E49" s="18">
        <v>5824.21</v>
      </c>
      <c r="F49" s="22">
        <f>-K49</f>
        <v>-42963</v>
      </c>
      <c r="G49" s="8">
        <f>SUM(B49:F49)+G48</f>
        <v>-6799.6900000000023</v>
      </c>
      <c r="H49" s="19"/>
      <c r="I49" s="18">
        <v>-2393.48</v>
      </c>
      <c r="J49" s="18">
        <f>55414.09</f>
        <v>55414.09</v>
      </c>
      <c r="K49" s="9">
        <v>42963</v>
      </c>
      <c r="L49" s="9">
        <v>0</v>
      </c>
      <c r="M49" s="8">
        <f t="shared" ref="M49:M55" si="32">SUM(I49:K49)+M48</f>
        <v>239779.90988375538</v>
      </c>
      <c r="N49" s="22"/>
      <c r="O49" s="24">
        <f t="shared" si="2"/>
        <v>-2364.48</v>
      </c>
      <c r="P49" s="24">
        <f t="shared" si="3"/>
        <v>-1224</v>
      </c>
      <c r="Q49" s="24">
        <f t="shared" si="28"/>
        <v>67540.73</v>
      </c>
      <c r="R49" s="24">
        <f>R48+O49+Q49+P49</f>
        <v>232980.4062800135</v>
      </c>
      <c r="S49" s="14">
        <f t="shared" si="27"/>
        <v>63952.249999999993</v>
      </c>
      <c r="T49" s="29"/>
    </row>
    <row r="50" spans="1:20" s="28" customFormat="1" ht="12.75" hidden="1" outlineLevel="1" x14ac:dyDescent="0.2">
      <c r="A50" s="6" t="s">
        <v>16</v>
      </c>
      <c r="B50" s="23"/>
      <c r="C50" s="18"/>
      <c r="D50" s="24"/>
      <c r="E50" s="18"/>
      <c r="F50" s="22"/>
      <c r="G50" s="8">
        <v>6800</v>
      </c>
      <c r="H50" s="19"/>
      <c r="I50" s="18">
        <v>0</v>
      </c>
      <c r="J50" s="18">
        <v>0</v>
      </c>
      <c r="K50" s="9">
        <v>0</v>
      </c>
      <c r="L50" s="9">
        <v>0</v>
      </c>
      <c r="M50" s="8">
        <f t="shared" si="32"/>
        <v>239779.90988375538</v>
      </c>
      <c r="N50" s="22"/>
      <c r="O50" s="24">
        <f t="shared" si="2"/>
        <v>0</v>
      </c>
      <c r="P50" s="24">
        <f t="shared" si="3"/>
        <v>0</v>
      </c>
      <c r="Q50" s="24">
        <f t="shared" si="28"/>
        <v>0</v>
      </c>
      <c r="R50" s="24">
        <f>M50</f>
        <v>239779.90988375538</v>
      </c>
      <c r="S50" s="31">
        <v>6800</v>
      </c>
      <c r="T50" s="29"/>
    </row>
    <row r="51" spans="1:20" ht="12.75" hidden="1" outlineLevel="1" x14ac:dyDescent="0.2">
      <c r="A51" s="30" t="s">
        <v>17</v>
      </c>
      <c r="B51" s="23"/>
      <c r="C51" s="18"/>
      <c r="D51" s="24"/>
      <c r="E51" s="18"/>
      <c r="F51" s="22"/>
      <c r="G51" s="8">
        <v>0</v>
      </c>
      <c r="H51" s="19"/>
      <c r="I51" s="18">
        <v>0</v>
      </c>
      <c r="J51" s="18">
        <v>0</v>
      </c>
      <c r="K51" s="9">
        <v>0</v>
      </c>
      <c r="L51" s="9">
        <v>0</v>
      </c>
      <c r="M51" s="8">
        <f t="shared" si="32"/>
        <v>239779.90988375538</v>
      </c>
      <c r="N51" s="22"/>
      <c r="O51" s="24">
        <f t="shared" si="2"/>
        <v>0</v>
      </c>
      <c r="P51" s="24">
        <f t="shared" si="3"/>
        <v>0</v>
      </c>
      <c r="Q51" s="24">
        <f t="shared" si="28"/>
        <v>0</v>
      </c>
      <c r="R51" s="24">
        <f>M51</f>
        <v>239779.90988375538</v>
      </c>
      <c r="S51" s="14">
        <v>0</v>
      </c>
    </row>
    <row r="52" spans="1:20" ht="12.75" hidden="1" outlineLevel="1" x14ac:dyDescent="0.2">
      <c r="A52" s="26">
        <v>41394</v>
      </c>
      <c r="B52" s="23">
        <v>-110.34</v>
      </c>
      <c r="C52" s="18">
        <v>-391.2</v>
      </c>
      <c r="D52" s="24">
        <f>2294.1+5406.83</f>
        <v>7700.93</v>
      </c>
      <c r="E52" s="18">
        <v>6092.52</v>
      </c>
      <c r="F52" s="22">
        <f>-K52</f>
        <v>-13742.19</v>
      </c>
      <c r="G52" s="8">
        <f>SUM(B52:F52)+G51</f>
        <v>-450.28000000000065</v>
      </c>
      <c r="H52" s="19"/>
      <c r="I52" s="18">
        <v>14046.18</v>
      </c>
      <c r="J52" s="18">
        <v>56349.760000000002</v>
      </c>
      <c r="K52" s="9">
        <v>13742.19</v>
      </c>
      <c r="L52" s="9">
        <v>0</v>
      </c>
      <c r="M52" s="8">
        <f>SUM(I52:K52)+M50</f>
        <v>323918.03988375538</v>
      </c>
      <c r="N52" s="22"/>
      <c r="O52" s="24">
        <f t="shared" si="2"/>
        <v>13935.84</v>
      </c>
      <c r="P52" s="24">
        <f t="shared" si="3"/>
        <v>-391.2</v>
      </c>
      <c r="Q52" s="24">
        <f t="shared" si="28"/>
        <v>70143.209999999992</v>
      </c>
      <c r="R52" s="24">
        <f>R50+O52+Q52+P52</f>
        <v>323467.75988375535</v>
      </c>
      <c r="S52" s="14">
        <f>SUM(O52:Q52)</f>
        <v>83687.849999999991</v>
      </c>
    </row>
    <row r="53" spans="1:20" ht="12.75" hidden="1" outlineLevel="1" x14ac:dyDescent="0.2">
      <c r="A53" s="26">
        <v>41425</v>
      </c>
      <c r="B53" s="23">
        <v>-43.88</v>
      </c>
      <c r="C53" s="18">
        <v>-355.8</v>
      </c>
      <c r="D53" s="24">
        <f>1897.78+5358.7</f>
        <v>7256.48</v>
      </c>
      <c r="E53" s="18">
        <v>4801.3900000000003</v>
      </c>
      <c r="F53" s="22">
        <f>-K53</f>
        <v>-11870.72</v>
      </c>
      <c r="G53" s="8">
        <f>SUM(B53:F53)+G52</f>
        <v>-662.81000000000131</v>
      </c>
      <c r="H53" s="19"/>
      <c r="I53" s="18">
        <v>12525.44</v>
      </c>
      <c r="J53" s="18">
        <v>45290.1</v>
      </c>
      <c r="K53" s="9">
        <v>11870.72</v>
      </c>
      <c r="L53" s="9">
        <v>0</v>
      </c>
      <c r="M53" s="8">
        <f t="shared" si="32"/>
        <v>393604.29988375539</v>
      </c>
      <c r="N53" s="22"/>
      <c r="O53" s="24">
        <f t="shared" si="2"/>
        <v>12481.560000000001</v>
      </c>
      <c r="P53" s="24">
        <f t="shared" si="3"/>
        <v>-355.8</v>
      </c>
      <c r="Q53" s="24">
        <f t="shared" si="28"/>
        <v>57347.97</v>
      </c>
      <c r="R53" s="24">
        <f>R52+O53+Q53+P53</f>
        <v>392941.48988375539</v>
      </c>
      <c r="S53" s="14">
        <f>SUM(O53:Q53)</f>
        <v>69473.73000000001</v>
      </c>
    </row>
    <row r="54" spans="1:20" ht="12.75" hidden="1" outlineLevel="1" x14ac:dyDescent="0.2">
      <c r="A54" s="26">
        <v>41455</v>
      </c>
      <c r="B54" s="23">
        <v>23.49</v>
      </c>
      <c r="C54" s="18">
        <v>-250.8</v>
      </c>
      <c r="D54" s="24">
        <f>4123.31+1745.93</f>
        <v>5869.2400000000007</v>
      </c>
      <c r="E54" s="18">
        <v>5307.39</v>
      </c>
      <c r="F54" s="22">
        <f>-K54</f>
        <v>-10948.15</v>
      </c>
      <c r="G54" s="8">
        <f>SUM(B54:F54)+G53</f>
        <v>-661.64000000000124</v>
      </c>
      <c r="H54" s="19"/>
      <c r="I54" s="18">
        <v>14767.09</v>
      </c>
      <c r="J54" s="18">
        <v>43066.22</v>
      </c>
      <c r="K54" s="9">
        <v>10948.15</v>
      </c>
      <c r="L54" s="9">
        <v>0</v>
      </c>
      <c r="M54" s="8">
        <f t="shared" si="32"/>
        <v>462385.75988375535</v>
      </c>
      <c r="N54" s="22"/>
      <c r="O54" s="24">
        <f t="shared" si="2"/>
        <v>14790.58</v>
      </c>
      <c r="P54" s="24">
        <f t="shared" si="3"/>
        <v>-250.8</v>
      </c>
      <c r="Q54" s="24">
        <f t="shared" si="28"/>
        <v>54242.85</v>
      </c>
      <c r="R54" s="24">
        <f>R53+O54+Q54+P54</f>
        <v>461724.1198837554</v>
      </c>
      <c r="S54" s="14">
        <f>SUM(O54:Q54)</f>
        <v>68782.63</v>
      </c>
    </row>
    <row r="55" spans="1:20" s="28" customFormat="1" ht="12.75" hidden="1" outlineLevel="1" x14ac:dyDescent="0.2">
      <c r="A55" s="26">
        <v>41486</v>
      </c>
      <c r="B55" s="23">
        <v>-291.55</v>
      </c>
      <c r="C55" s="18">
        <v>-154.80000000000001</v>
      </c>
      <c r="D55" s="24">
        <f>2083.62+5214.3</f>
        <v>7297.92</v>
      </c>
      <c r="E55" s="18">
        <v>4902.28</v>
      </c>
      <c r="F55" s="22">
        <f t="shared" ref="F55:F59" si="33">-K55</f>
        <v>-11871.23</v>
      </c>
      <c r="G55" s="8">
        <f t="shared" ref="G55:G57" si="34">SUM(B55:F55)+G54</f>
        <v>-779.02000000000226</v>
      </c>
      <c r="H55" s="22"/>
      <c r="I55" s="24">
        <v>11495.54</v>
      </c>
      <c r="J55" s="18">
        <v>40942.92</v>
      </c>
      <c r="K55" s="9">
        <v>11871.23</v>
      </c>
      <c r="L55" s="9">
        <v>0</v>
      </c>
      <c r="M55" s="8">
        <f t="shared" si="32"/>
        <v>526695.4498837553</v>
      </c>
      <c r="N55" s="22"/>
      <c r="O55" s="24">
        <f t="shared" si="2"/>
        <v>11203.990000000002</v>
      </c>
      <c r="P55" s="24">
        <f t="shared" si="3"/>
        <v>-154.80000000000001</v>
      </c>
      <c r="Q55" s="24">
        <f t="shared" si="28"/>
        <v>53143.119999999995</v>
      </c>
      <c r="R55" s="24">
        <f t="shared" ref="R55:R71" si="35">R54+O55+Q55+P55</f>
        <v>525916.42988375528</v>
      </c>
      <c r="S55" s="14">
        <f t="shared" ref="S55:S57" si="36">SUM(O55:Q55)</f>
        <v>64192.31</v>
      </c>
    </row>
    <row r="56" spans="1:20" s="28" customFormat="1" ht="12.75" hidden="1" outlineLevel="1" x14ac:dyDescent="0.2">
      <c r="A56" s="26">
        <v>41517</v>
      </c>
      <c r="B56" s="23">
        <v>-73.67</v>
      </c>
      <c r="C56" s="18">
        <v>-158.34</v>
      </c>
      <c r="D56" s="24">
        <f>5053.86+1912.1</f>
        <v>6965.9599999999991</v>
      </c>
      <c r="E56" s="18">
        <v>5475.3</v>
      </c>
      <c r="F56" s="22">
        <f t="shared" si="33"/>
        <v>-12148.61</v>
      </c>
      <c r="G56" s="8">
        <f t="shared" si="34"/>
        <v>-718.38000000000284</v>
      </c>
      <c r="H56" s="22"/>
      <c r="I56" s="24">
        <v>42195.57</v>
      </c>
      <c r="J56" s="18">
        <v>40854.31</v>
      </c>
      <c r="K56" s="9">
        <v>12148.61</v>
      </c>
      <c r="L56" s="9">
        <v>0</v>
      </c>
      <c r="M56" s="8">
        <f t="shared" ref="M56" si="37">SUM(I56:K56)+M55</f>
        <v>621893.93988375529</v>
      </c>
      <c r="N56" s="22"/>
      <c r="O56" s="24">
        <f t="shared" si="2"/>
        <v>42121.9</v>
      </c>
      <c r="P56" s="24">
        <f t="shared" si="3"/>
        <v>-158.34</v>
      </c>
      <c r="Q56" s="24">
        <f t="shared" si="28"/>
        <v>53295.57</v>
      </c>
      <c r="R56" s="24">
        <f t="shared" si="35"/>
        <v>621175.55988375528</v>
      </c>
      <c r="S56" s="14">
        <f t="shared" si="36"/>
        <v>95259.13</v>
      </c>
    </row>
    <row r="57" spans="1:20" s="28" customFormat="1" ht="12.75" hidden="1" outlineLevel="1" x14ac:dyDescent="0.2">
      <c r="A57" s="26">
        <v>41547</v>
      </c>
      <c r="B57" s="23">
        <v>-73.98</v>
      </c>
      <c r="C57" s="18">
        <v>-78.599999999999994</v>
      </c>
      <c r="D57" s="24">
        <v>5519.14</v>
      </c>
      <c r="E57" s="18">
        <v>6117.57</v>
      </c>
      <c r="F57" s="22">
        <f t="shared" si="33"/>
        <v>-11418.28</v>
      </c>
      <c r="G57" s="8">
        <f t="shared" si="34"/>
        <v>-652.53000000000247</v>
      </c>
      <c r="H57" s="22"/>
      <c r="I57" s="24">
        <v>-102.76</v>
      </c>
      <c r="J57" s="18">
        <v>38953.42</v>
      </c>
      <c r="K57" s="9">
        <v>11418.28</v>
      </c>
      <c r="L57" s="9">
        <v>0</v>
      </c>
      <c r="M57" s="8">
        <f t="shared" ref="M57" si="38">SUM(I57:K57)+M56</f>
        <v>672162.87988375523</v>
      </c>
      <c r="N57" s="22"/>
      <c r="O57" s="24">
        <f t="shared" si="2"/>
        <v>-176.74</v>
      </c>
      <c r="P57" s="24">
        <f t="shared" si="3"/>
        <v>-78.599999999999994</v>
      </c>
      <c r="Q57" s="24">
        <f t="shared" si="28"/>
        <v>50590.13</v>
      </c>
      <c r="R57" s="24">
        <f t="shared" si="35"/>
        <v>671510.34988375532</v>
      </c>
      <c r="S57" s="14">
        <f t="shared" si="36"/>
        <v>50334.79</v>
      </c>
    </row>
    <row r="58" spans="1:20" s="28" customFormat="1" ht="12.75" hidden="1" outlineLevel="1" x14ac:dyDescent="0.2">
      <c r="A58" s="26">
        <v>41578</v>
      </c>
      <c r="B58" s="24">
        <v>-166.33</v>
      </c>
      <c r="C58" s="18">
        <v>-1297.08</v>
      </c>
      <c r="D58" s="24">
        <v>5480.17</v>
      </c>
      <c r="E58" s="18">
        <v>5646.64</v>
      </c>
      <c r="F58" s="22">
        <f t="shared" si="33"/>
        <v>-10925.53</v>
      </c>
      <c r="G58" s="8">
        <f>SUM(B58:F58)+G57</f>
        <v>-1914.6600000000017</v>
      </c>
      <c r="H58" s="19"/>
      <c r="I58" s="18">
        <v>-6744.78</v>
      </c>
      <c r="J58" s="18">
        <v>43604.61</v>
      </c>
      <c r="K58" s="9">
        <v>10925.53</v>
      </c>
      <c r="L58" s="9">
        <v>0</v>
      </c>
      <c r="M58" s="8">
        <f t="shared" ref="M58" si="39">SUM(I58:K58)+M57</f>
        <v>719948.23988375522</v>
      </c>
      <c r="N58" s="22"/>
      <c r="O58" s="24">
        <f t="shared" si="2"/>
        <v>-6911.11</v>
      </c>
      <c r="P58" s="24">
        <f t="shared" si="3"/>
        <v>-1297.08</v>
      </c>
      <c r="Q58" s="24">
        <f t="shared" si="28"/>
        <v>54731.42</v>
      </c>
      <c r="R58" s="24">
        <f t="shared" si="35"/>
        <v>718033.57988375542</v>
      </c>
      <c r="S58" s="14">
        <f t="shared" ref="S58" si="40">SUM(O58:Q58)</f>
        <v>46523.229999999996</v>
      </c>
    </row>
    <row r="59" spans="1:20" s="28" customFormat="1" ht="12.75" hidden="1" outlineLevel="1" x14ac:dyDescent="0.2">
      <c r="A59" s="26">
        <v>41608</v>
      </c>
      <c r="B59" s="24">
        <v>-219.84</v>
      </c>
      <c r="C59" s="18">
        <v>-1040.58</v>
      </c>
      <c r="D59" s="24">
        <v>5601.65</v>
      </c>
      <c r="E59" s="18">
        <v>4731.4799999999996</v>
      </c>
      <c r="F59" s="22">
        <f t="shared" si="33"/>
        <v>-9874.7900000000009</v>
      </c>
      <c r="G59" s="8">
        <f t="shared" ref="G59" si="41">SUM(B59:F59)+G58</f>
        <v>-2716.7400000000034</v>
      </c>
      <c r="H59" s="19"/>
      <c r="I59" s="18">
        <v>-17585.169999999998</v>
      </c>
      <c r="J59" s="18">
        <v>49497.79</v>
      </c>
      <c r="K59" s="9">
        <v>9874.7900000000009</v>
      </c>
      <c r="L59" s="9">
        <v>0</v>
      </c>
      <c r="M59" s="8">
        <f t="shared" ref="M59" si="42">SUM(I59:K59)+M58</f>
        <v>761735.64988375525</v>
      </c>
      <c r="N59" s="22"/>
      <c r="O59" s="24">
        <f t="shared" si="2"/>
        <v>-17805.009999999998</v>
      </c>
      <c r="P59" s="24">
        <f t="shared" si="3"/>
        <v>-1040.58</v>
      </c>
      <c r="Q59" s="24">
        <f t="shared" si="28"/>
        <v>59830.920000000006</v>
      </c>
      <c r="R59" s="24">
        <f t="shared" si="35"/>
        <v>759018.90988375549</v>
      </c>
      <c r="S59" s="14">
        <f t="shared" ref="S59:S60" si="43">SUM(O59:Q59)</f>
        <v>40985.330000000009</v>
      </c>
    </row>
    <row r="60" spans="1:20" s="28" customFormat="1" ht="12.75" hidden="1" outlineLevel="2" collapsed="1" x14ac:dyDescent="0.2">
      <c r="A60" s="30">
        <v>41639</v>
      </c>
      <c r="B60" s="24">
        <v>-3542.11</v>
      </c>
      <c r="C60" s="18">
        <v>-1324.8</v>
      </c>
      <c r="D60" s="24">
        <v>6390.1</v>
      </c>
      <c r="E60" s="18">
        <v>6544.81</v>
      </c>
      <c r="F60" s="38">
        <f>-K60</f>
        <v>-11779.76</v>
      </c>
      <c r="G60" s="8">
        <f>SUM(B60:F60)+G59</f>
        <v>-6428.5000000000027</v>
      </c>
      <c r="H60" s="9"/>
      <c r="I60" s="18">
        <v>-46097.33</v>
      </c>
      <c r="J60" s="18">
        <v>58057.27</v>
      </c>
      <c r="K60" s="9">
        <v>11779.76</v>
      </c>
      <c r="L60" s="9">
        <v>0</v>
      </c>
      <c r="M60" s="8">
        <f>SUM(I60:K60)+M59</f>
        <v>785475.3498837552</v>
      </c>
      <c r="N60" s="11"/>
      <c r="O60" s="24">
        <f t="shared" si="2"/>
        <v>-49639.44</v>
      </c>
      <c r="P60" s="24">
        <f t="shared" si="3"/>
        <v>-1324.8</v>
      </c>
      <c r="Q60" s="24">
        <f t="shared" si="28"/>
        <v>70992.179999999993</v>
      </c>
      <c r="R60" s="13">
        <f>R59+O60+Q60+P60</f>
        <v>779046.84988375544</v>
      </c>
      <c r="S60" s="31">
        <f t="shared" si="43"/>
        <v>20027.939999999988</v>
      </c>
    </row>
    <row r="61" spans="1:20" s="28" customFormat="1" ht="12.75" hidden="1" outlineLevel="2" x14ac:dyDescent="0.2">
      <c r="A61" s="30"/>
      <c r="B61" s="24"/>
      <c r="C61" s="18"/>
      <c r="D61" s="24"/>
      <c r="E61" s="18"/>
      <c r="F61" s="38"/>
      <c r="G61" s="8"/>
      <c r="H61" s="9"/>
      <c r="I61" s="18"/>
      <c r="J61" s="18"/>
      <c r="K61" s="9"/>
      <c r="L61" s="9"/>
      <c r="M61" s="8"/>
      <c r="N61" s="11"/>
      <c r="O61" s="24"/>
      <c r="P61" s="24"/>
      <c r="Q61" s="24"/>
      <c r="R61" s="13"/>
      <c r="S61" s="31"/>
    </row>
    <row r="62" spans="1:20" s="28" customFormat="1" ht="12.75" hidden="1" outlineLevel="2" x14ac:dyDescent="0.2">
      <c r="A62" s="16">
        <v>41670</v>
      </c>
      <c r="B62" s="18">
        <f>-414+233.97</f>
        <v>-180.03</v>
      </c>
      <c r="C62" s="18">
        <v>-896.4</v>
      </c>
      <c r="D62" s="18">
        <v>5849.18</v>
      </c>
      <c r="E62" s="18">
        <v>5707.94</v>
      </c>
      <c r="F62" s="19">
        <f>-K62</f>
        <v>-10842.34</v>
      </c>
      <c r="G62" s="18">
        <f>SUM(B62:F62)+G60</f>
        <v>-6790.1500000000042</v>
      </c>
      <c r="H62" s="19"/>
      <c r="I62" s="18">
        <v>-60700.73</v>
      </c>
      <c r="J62" s="18">
        <v>41284.51</v>
      </c>
      <c r="K62" s="19">
        <v>10842.34</v>
      </c>
      <c r="L62" s="19"/>
      <c r="M62" s="8">
        <f>SUM(I62:K62)+M60</f>
        <v>776901.4698837552</v>
      </c>
      <c r="N62" s="19"/>
      <c r="O62" s="18">
        <f t="shared" si="2"/>
        <v>-60880.76</v>
      </c>
      <c r="P62" s="18">
        <f t="shared" si="3"/>
        <v>-896.4</v>
      </c>
      <c r="Q62" s="18">
        <f t="shared" si="28"/>
        <v>52841.630000000005</v>
      </c>
      <c r="R62" s="13">
        <f>R60+O62+Q62+P62</f>
        <v>770111.31988375541</v>
      </c>
      <c r="S62" s="19">
        <f t="shared" ref="S62:S64" si="44">SUM(O62:Q62)</f>
        <v>-8935.5299999999988</v>
      </c>
    </row>
    <row r="63" spans="1:20" s="28" customFormat="1" ht="12.75" hidden="1" outlineLevel="2" x14ac:dyDescent="0.2">
      <c r="A63" s="16">
        <v>41698</v>
      </c>
      <c r="B63" s="18">
        <v>-2271.9299999999998</v>
      </c>
      <c r="C63" s="18">
        <v>-745.2</v>
      </c>
      <c r="D63" s="18">
        <v>-5849.18</v>
      </c>
      <c r="E63" s="18">
        <v>-21.92</v>
      </c>
      <c r="F63" s="19">
        <f>-K63</f>
        <v>5784.65</v>
      </c>
      <c r="G63" s="18">
        <f t="shared" ref="G63:G64" si="45">SUM(B63:F63)+G62</f>
        <v>-9893.7300000000068</v>
      </c>
      <c r="H63" s="19"/>
      <c r="I63" s="18">
        <v>-79687.740000000005</v>
      </c>
      <c r="J63" s="18">
        <v>-44.67</v>
      </c>
      <c r="K63" s="19">
        <v>-5784.65</v>
      </c>
      <c r="L63" s="19"/>
      <c r="M63" s="8">
        <f t="shared" ref="M63:M67" si="46">SUM(I63:K63)+M62</f>
        <v>691384.40988375526</v>
      </c>
      <c r="N63" s="19"/>
      <c r="O63" s="18">
        <f t="shared" si="2"/>
        <v>-81959.67</v>
      </c>
      <c r="P63" s="18">
        <f t="shared" si="3"/>
        <v>-745.2</v>
      </c>
      <c r="Q63" s="18">
        <f t="shared" si="28"/>
        <v>-5915.77</v>
      </c>
      <c r="R63" s="13">
        <f t="shared" ref="R63:R67" si="47">R62+O63+Q63+P63</f>
        <v>681490.67988375539</v>
      </c>
      <c r="S63" s="19">
        <f t="shared" si="44"/>
        <v>-88620.64</v>
      </c>
    </row>
    <row r="64" spans="1:20" s="28" customFormat="1" ht="12.75" hidden="1" outlineLevel="2" x14ac:dyDescent="0.2">
      <c r="A64" s="40">
        <v>41729</v>
      </c>
      <c r="B64" s="18">
        <v>-889.43</v>
      </c>
      <c r="C64" s="18">
        <v>-721.2</v>
      </c>
      <c r="D64" s="18">
        <v>0</v>
      </c>
      <c r="E64" s="18">
        <v>-6.9</v>
      </c>
      <c r="F64" s="34">
        <f>-K64</f>
        <v>6.03</v>
      </c>
      <c r="G64" s="18">
        <f t="shared" si="45"/>
        <v>-11505.230000000007</v>
      </c>
      <c r="H64" s="34"/>
      <c r="I64" s="18">
        <v>-71347.81</v>
      </c>
      <c r="J64" s="18">
        <v>-57.26</v>
      </c>
      <c r="K64" s="34">
        <v>-6.03</v>
      </c>
      <c r="L64" s="34"/>
      <c r="M64" s="8">
        <f t="shared" si="46"/>
        <v>619973.30988375528</v>
      </c>
      <c r="N64" s="34"/>
      <c r="O64" s="18">
        <f t="shared" si="2"/>
        <v>-72237.239999999991</v>
      </c>
      <c r="P64" s="18">
        <f t="shared" si="3"/>
        <v>-721.2</v>
      </c>
      <c r="Q64" s="18">
        <f t="shared" si="28"/>
        <v>-64.16</v>
      </c>
      <c r="R64" s="13">
        <f t="shared" si="47"/>
        <v>608468.07988375542</v>
      </c>
      <c r="S64" s="34">
        <f t="shared" si="44"/>
        <v>-73022.599999999991</v>
      </c>
    </row>
    <row r="65" spans="1:20" s="28" customFormat="1" ht="12.75" hidden="1" outlineLevel="2" x14ac:dyDescent="0.2">
      <c r="A65" s="16">
        <v>41759</v>
      </c>
      <c r="B65" s="18">
        <v>-975.74</v>
      </c>
      <c r="C65" s="18">
        <v>418.2</v>
      </c>
      <c r="D65" s="18">
        <v>0</v>
      </c>
      <c r="E65" s="18">
        <v>-5.41</v>
      </c>
      <c r="F65" s="19">
        <f t="shared" ref="F65:F67" si="48">-K65</f>
        <v>6</v>
      </c>
      <c r="G65" s="18">
        <f t="shared" ref="G65" si="49">SUM(B65:F65)+G64</f>
        <v>-12062.180000000008</v>
      </c>
      <c r="H65" s="19"/>
      <c r="I65" s="18">
        <v>-64007.07</v>
      </c>
      <c r="J65" s="18">
        <v>13.48</v>
      </c>
      <c r="K65" s="19">
        <v>-6</v>
      </c>
      <c r="L65" s="19"/>
      <c r="M65" s="8">
        <f t="shared" si="46"/>
        <v>555973.71988375532</v>
      </c>
      <c r="N65" s="19"/>
      <c r="O65" s="18">
        <f t="shared" si="2"/>
        <v>-64982.81</v>
      </c>
      <c r="P65" s="18">
        <f t="shared" si="3"/>
        <v>418.2</v>
      </c>
      <c r="Q65" s="18">
        <f t="shared" si="28"/>
        <v>8.07</v>
      </c>
      <c r="R65" s="13">
        <f t="shared" si="47"/>
        <v>543911.53988375526</v>
      </c>
      <c r="S65" s="19">
        <f t="shared" ref="S65:S71" si="50">SUM(O65:Q65)</f>
        <v>-64556.54</v>
      </c>
    </row>
    <row r="66" spans="1:20" s="28" customFormat="1" ht="12.75" hidden="1" outlineLevel="2" x14ac:dyDescent="0.2">
      <c r="A66" s="16">
        <v>41790</v>
      </c>
      <c r="B66" s="18">
        <f>-319.97+0.2</f>
        <v>-319.77000000000004</v>
      </c>
      <c r="C66" s="18">
        <v>405</v>
      </c>
      <c r="D66" s="18">
        <v>0</v>
      </c>
      <c r="E66" s="18">
        <v>-8.67</v>
      </c>
      <c r="F66" s="19">
        <f t="shared" si="48"/>
        <v>7.61</v>
      </c>
      <c r="G66" s="18">
        <f t="shared" ref="G66" si="51">SUM(B66:F66)+G65</f>
        <v>-11978.010000000007</v>
      </c>
      <c r="H66" s="19"/>
      <c r="I66" s="18">
        <v>-40750.07</v>
      </c>
      <c r="J66" s="18">
        <v>-79.349999999999994</v>
      </c>
      <c r="K66" s="19">
        <v>-7.61</v>
      </c>
      <c r="L66" s="19"/>
      <c r="M66" s="8">
        <f t="shared" si="46"/>
        <v>515136.68988375529</v>
      </c>
      <c r="N66" s="19"/>
      <c r="O66" s="18">
        <f t="shared" si="2"/>
        <v>-41069.839999999997</v>
      </c>
      <c r="P66" s="18">
        <f t="shared" si="3"/>
        <v>405</v>
      </c>
      <c r="Q66" s="18">
        <f t="shared" si="28"/>
        <v>-88.02</v>
      </c>
      <c r="R66" s="13">
        <f t="shared" si="47"/>
        <v>503158.67988375528</v>
      </c>
      <c r="S66" s="19">
        <f t="shared" si="50"/>
        <v>-40752.859999999993</v>
      </c>
    </row>
    <row r="67" spans="1:20" ht="12.75" hidden="1" outlineLevel="2" x14ac:dyDescent="0.2">
      <c r="A67" s="40">
        <v>41820</v>
      </c>
      <c r="B67" s="18">
        <v>-662.69</v>
      </c>
      <c r="C67" s="18">
        <v>261.60000000000002</v>
      </c>
      <c r="D67" s="18">
        <v>0</v>
      </c>
      <c r="E67" s="18">
        <v>-38.42</v>
      </c>
      <c r="F67" s="34">
        <f t="shared" si="48"/>
        <v>37.86</v>
      </c>
      <c r="G67" s="18">
        <f t="shared" ref="G67:G71" si="52">SUM(B67:F67)+G66</f>
        <v>-12379.660000000007</v>
      </c>
      <c r="H67" s="34"/>
      <c r="I67" s="18">
        <v>-41158</v>
      </c>
      <c r="J67" s="18">
        <v>-9.06</v>
      </c>
      <c r="K67" s="34">
        <v>-37.86</v>
      </c>
      <c r="L67" s="34"/>
      <c r="M67" s="8">
        <f t="shared" si="46"/>
        <v>473931.7698837553</v>
      </c>
      <c r="N67" s="34"/>
      <c r="O67" s="18">
        <f t="shared" si="2"/>
        <v>-41820.69</v>
      </c>
      <c r="P67" s="18">
        <f t="shared" si="3"/>
        <v>261.60000000000002</v>
      </c>
      <c r="Q67" s="18">
        <f t="shared" si="28"/>
        <v>-47.480000000000004</v>
      </c>
      <c r="R67" s="13">
        <f t="shared" si="47"/>
        <v>461552.10988375527</v>
      </c>
      <c r="S67" s="9">
        <f t="shared" si="50"/>
        <v>-41606.570000000007</v>
      </c>
    </row>
    <row r="68" spans="1:20" ht="12.75" hidden="1" outlineLevel="2" x14ac:dyDescent="0.2">
      <c r="A68" s="40"/>
      <c r="B68" s="18"/>
      <c r="C68" s="18"/>
      <c r="D68" s="18"/>
      <c r="E68" s="18"/>
      <c r="F68" s="34"/>
      <c r="G68" s="18"/>
      <c r="H68" s="34"/>
      <c r="I68" s="18"/>
      <c r="J68" s="18"/>
      <c r="K68" s="34"/>
      <c r="L68" s="34"/>
      <c r="M68" s="8"/>
      <c r="N68" s="34"/>
      <c r="O68" s="18"/>
      <c r="P68" s="18"/>
      <c r="Q68" s="18"/>
      <c r="R68" s="8"/>
      <c r="S68" s="9"/>
    </row>
    <row r="69" spans="1:20" ht="12.75" hidden="1" outlineLevel="2" x14ac:dyDescent="0.2">
      <c r="A69" s="6" t="s">
        <v>22</v>
      </c>
      <c r="B69" s="18"/>
      <c r="C69" s="18"/>
      <c r="D69" s="18"/>
      <c r="E69" s="18"/>
      <c r="F69" s="34"/>
      <c r="G69" s="8">
        <f>G67</f>
        <v>-12379.660000000007</v>
      </c>
      <c r="H69" s="34"/>
      <c r="I69" s="18"/>
      <c r="J69" s="18"/>
      <c r="K69" s="34"/>
      <c r="L69" s="9">
        <v>-787000</v>
      </c>
      <c r="M69" s="8">
        <f>SUM(I69:L69)+M67</f>
        <v>-313068.2301162447</v>
      </c>
      <c r="N69" s="34"/>
      <c r="O69" s="18">
        <v>0</v>
      </c>
      <c r="P69" s="18">
        <v>0</v>
      </c>
      <c r="Q69" s="18">
        <v>0</v>
      </c>
      <c r="R69" s="8">
        <f>R67+O69+Q69+P69+L69</f>
        <v>-325447.89011624473</v>
      </c>
      <c r="S69" s="31">
        <f>SUM(O69:Q69)+L69</f>
        <v>-787000</v>
      </c>
    </row>
    <row r="70" spans="1:20" ht="12.75" hidden="1" outlineLevel="2" x14ac:dyDescent="0.2">
      <c r="A70" s="6" t="s">
        <v>23</v>
      </c>
      <c r="B70" s="8"/>
      <c r="C70" s="8"/>
      <c r="D70" s="8"/>
      <c r="E70" s="8"/>
      <c r="F70" s="9"/>
      <c r="G70" s="8">
        <f>SUM(B69:F69)+G69</f>
        <v>-12379.660000000007</v>
      </c>
      <c r="H70" s="9"/>
      <c r="I70" s="8"/>
      <c r="J70" s="8"/>
      <c r="K70" s="9"/>
      <c r="L70" s="9">
        <v>289000</v>
      </c>
      <c r="M70" s="8">
        <f>SUM(I70:L70)+M69</f>
        <v>-24068.230116244697</v>
      </c>
      <c r="N70" s="9"/>
      <c r="O70" s="8">
        <v>0</v>
      </c>
      <c r="P70" s="8">
        <v>0</v>
      </c>
      <c r="Q70" s="8">
        <v>0</v>
      </c>
      <c r="R70" s="8">
        <f>R69+O70+Q70+P70+L70</f>
        <v>-36447.890116244729</v>
      </c>
      <c r="S70" s="31">
        <f>SUM(O70:Q70)+L70</f>
        <v>289000</v>
      </c>
    </row>
    <row r="71" spans="1:20" ht="12.75" hidden="1" outlineLevel="2" x14ac:dyDescent="0.2">
      <c r="A71" s="40">
        <v>41820</v>
      </c>
      <c r="B71" s="8"/>
      <c r="C71" s="8"/>
      <c r="D71" s="8"/>
      <c r="E71" s="8"/>
      <c r="F71" s="9"/>
      <c r="G71" s="8">
        <f t="shared" si="52"/>
        <v>-12379.660000000007</v>
      </c>
      <c r="H71" s="9"/>
      <c r="I71" s="8"/>
      <c r="J71" s="8"/>
      <c r="K71" s="9"/>
      <c r="L71" s="9"/>
      <c r="M71" s="8">
        <f>SUM(M70:M70)</f>
        <v>-24068.230116244697</v>
      </c>
      <c r="N71" s="9"/>
      <c r="O71" s="8">
        <v>0</v>
      </c>
      <c r="P71" s="8">
        <v>0</v>
      </c>
      <c r="Q71" s="8">
        <v>0</v>
      </c>
      <c r="R71" s="8">
        <f t="shared" si="35"/>
        <v>-36447.890116244729</v>
      </c>
      <c r="S71" s="9">
        <f t="shared" si="50"/>
        <v>0</v>
      </c>
    </row>
    <row r="72" spans="1:20" ht="12.75" hidden="1" outlineLevel="2" x14ac:dyDescent="0.2">
      <c r="A72" s="16">
        <v>41851</v>
      </c>
      <c r="B72" s="18">
        <v>-654.64</v>
      </c>
      <c r="C72" s="18">
        <v>482.64</v>
      </c>
      <c r="D72" s="18">
        <v>0</v>
      </c>
      <c r="E72" s="18">
        <v>-0.65</v>
      </c>
      <c r="F72" s="19">
        <f t="shared" ref="F72:F106" si="53">-K72</f>
        <v>0.55530454115212802</v>
      </c>
      <c r="G72" s="18">
        <f>SUM(B72:F72)+G67</f>
        <v>-12551.754695458854</v>
      </c>
      <c r="H72" s="19"/>
      <c r="I72" s="18">
        <v>35634.97</v>
      </c>
      <c r="J72" s="18">
        <v>5.71</v>
      </c>
      <c r="K72" s="19">
        <f>(((L68+I72)/(Q68+O72))*Q72)-J72</f>
        <v>-0.55530454115212802</v>
      </c>
      <c r="L72" s="19"/>
      <c r="M72" s="18">
        <f>SUM(I72:K72)+M71</f>
        <v>11571.894579214153</v>
      </c>
      <c r="N72" s="19"/>
      <c r="O72" s="18">
        <f t="shared" ref="O72:O83" si="54">B72+I72</f>
        <v>34980.33</v>
      </c>
      <c r="P72" s="18">
        <f t="shared" ref="P72:P118" si="55">+C72</f>
        <v>482.64</v>
      </c>
      <c r="Q72" s="18">
        <f t="shared" ref="Q72:Q76" si="56">+E72+J72+D72</f>
        <v>5.0599999999999996</v>
      </c>
      <c r="R72" s="18">
        <f>R71+O72+Q72+P72</f>
        <v>-979.86011624472746</v>
      </c>
      <c r="S72" s="19">
        <f t="shared" ref="S72:S74" si="57">SUM(O72:Q72)</f>
        <v>35468.03</v>
      </c>
    </row>
    <row r="73" spans="1:20" ht="12.75" hidden="1" outlineLevel="2" x14ac:dyDescent="0.2">
      <c r="A73" s="16">
        <v>41882</v>
      </c>
      <c r="B73" s="18">
        <v>-1695.38</v>
      </c>
      <c r="C73" s="18">
        <v>852</v>
      </c>
      <c r="D73" s="18">
        <v>0</v>
      </c>
      <c r="E73" s="18">
        <v>-4.21</v>
      </c>
      <c r="F73" s="19">
        <f t="shared" si="53"/>
        <v>4.0876441159770938</v>
      </c>
      <c r="G73" s="18">
        <f>SUM(B73:F73)+G72</f>
        <v>-13395.257051342876</v>
      </c>
      <c r="H73" s="19"/>
      <c r="I73" s="18">
        <f>-70682.04</f>
        <v>-70682.039999999994</v>
      </c>
      <c r="J73" s="18">
        <v>3.58</v>
      </c>
      <c r="K73" s="19">
        <f t="shared" ref="K73:K76" si="58">(((M72+I73)/(R72+O73))*Q73)-J73</f>
        <v>-4.0876441159770938</v>
      </c>
      <c r="L73" s="19"/>
      <c r="M73" s="18">
        <f>SUM(I73:K73)+M72</f>
        <v>-59110.653064901817</v>
      </c>
      <c r="N73" s="19"/>
      <c r="O73" s="18">
        <f t="shared" si="54"/>
        <v>-72377.42</v>
      </c>
      <c r="P73" s="18">
        <f t="shared" si="55"/>
        <v>852</v>
      </c>
      <c r="Q73" s="18">
        <f t="shared" si="56"/>
        <v>-0.62999999999999989</v>
      </c>
      <c r="R73" s="18">
        <f>R72+O73+Q73+P73</f>
        <v>-72505.910116244733</v>
      </c>
      <c r="S73" s="19">
        <f t="shared" si="57"/>
        <v>-71526.05</v>
      </c>
    </row>
    <row r="74" spans="1:20" ht="12.75" hidden="1" outlineLevel="2" x14ac:dyDescent="0.2">
      <c r="A74" s="40">
        <v>41912</v>
      </c>
      <c r="B74" s="18">
        <v>-817.87</v>
      </c>
      <c r="C74" s="18">
        <v>1014.72</v>
      </c>
      <c r="D74" s="18">
        <v>0</v>
      </c>
      <c r="E74" s="18">
        <v>-25.79</v>
      </c>
      <c r="F74" s="34">
        <f>-K74</f>
        <v>17.795649128083586</v>
      </c>
      <c r="G74" s="18">
        <f>SUM(B74:F74)+G73</f>
        <v>-13206.401402214793</v>
      </c>
      <c r="H74" s="34"/>
      <c r="I74" s="18">
        <v>27880.75</v>
      </c>
      <c r="J74" s="18">
        <v>0.23</v>
      </c>
      <c r="K74" s="34">
        <f>(((M73+I74)/(R73+O74))*Q74)-J74</f>
        <v>-17.795649128083586</v>
      </c>
      <c r="L74" s="34"/>
      <c r="M74" s="18">
        <f t="shared" ref="M74" si="59">SUM(I74:K74)+M73</f>
        <v>-31247.468714029899</v>
      </c>
      <c r="N74" s="34"/>
      <c r="O74" s="18">
        <f t="shared" si="54"/>
        <v>27062.880000000001</v>
      </c>
      <c r="P74" s="18">
        <f t="shared" si="55"/>
        <v>1014.72</v>
      </c>
      <c r="Q74" s="18">
        <f t="shared" si="56"/>
        <v>-25.56</v>
      </c>
      <c r="R74" s="18">
        <f>R73+O74+Q74+P74</f>
        <v>-44453.870116244725</v>
      </c>
      <c r="S74" s="34">
        <f t="shared" si="57"/>
        <v>28052.04</v>
      </c>
    </row>
    <row r="75" spans="1:20" ht="12.75" hidden="1" outlineLevel="2" x14ac:dyDescent="0.2">
      <c r="A75" s="16">
        <v>41943</v>
      </c>
      <c r="B75" s="18">
        <v>-3346.11</v>
      </c>
      <c r="C75" s="18">
        <v>1338.96</v>
      </c>
      <c r="D75" s="18">
        <v>0</v>
      </c>
      <c r="E75" s="18">
        <v>30</v>
      </c>
      <c r="F75" s="19">
        <f t="shared" si="53"/>
        <v>-22.890635648932928</v>
      </c>
      <c r="G75" s="18">
        <f t="shared" ref="G75:G77" si="60">SUM(B75:F75)+G74</f>
        <v>-15206.442037863726</v>
      </c>
      <c r="H75" s="19"/>
      <c r="I75" s="18">
        <v>-2607.04</v>
      </c>
      <c r="J75" s="18">
        <v>-8.35</v>
      </c>
      <c r="K75" s="19">
        <f t="shared" si="58"/>
        <v>22.890635648932928</v>
      </c>
      <c r="L75" s="19"/>
      <c r="M75" s="18">
        <f t="shared" ref="M75:M76" si="61">SUM(I75:K75)+M74</f>
        <v>-33839.968078380967</v>
      </c>
      <c r="N75" s="19"/>
      <c r="O75" s="18">
        <f t="shared" si="54"/>
        <v>-5953.15</v>
      </c>
      <c r="P75" s="18">
        <f t="shared" si="55"/>
        <v>1338.96</v>
      </c>
      <c r="Q75" s="18">
        <f t="shared" si="56"/>
        <v>21.65</v>
      </c>
      <c r="R75" s="18">
        <f t="shared" ref="R75:R83" si="62">R74+O75+Q75+P75</f>
        <v>-49046.410116244726</v>
      </c>
      <c r="S75" s="19">
        <f t="shared" ref="S75:S83" si="63">SUM(O75:Q75)</f>
        <v>-4592.54</v>
      </c>
    </row>
    <row r="76" spans="1:20" ht="12.75" hidden="1" outlineLevel="2" x14ac:dyDescent="0.2">
      <c r="A76" s="16">
        <v>41973</v>
      </c>
      <c r="B76" s="18">
        <v>-6137.73</v>
      </c>
      <c r="C76" s="18">
        <v>1820.04</v>
      </c>
      <c r="D76" s="18">
        <v>0</v>
      </c>
      <c r="E76" s="18">
        <v>0</v>
      </c>
      <c r="F76" s="19">
        <f t="shared" si="53"/>
        <v>64.079946529610652</v>
      </c>
      <c r="G76" s="18">
        <f t="shared" si="60"/>
        <v>-19460.052091334117</v>
      </c>
      <c r="H76" s="19"/>
      <c r="I76" s="18">
        <v>-12042.73</v>
      </c>
      <c r="J76" s="18">
        <v>201.83</v>
      </c>
      <c r="K76" s="19">
        <f t="shared" si="58"/>
        <v>-64.079946529610652</v>
      </c>
      <c r="L76" s="19"/>
      <c r="M76" s="18">
        <f t="shared" si="61"/>
        <v>-45744.948024910576</v>
      </c>
      <c r="N76" s="19"/>
      <c r="O76" s="18">
        <f t="shared" si="54"/>
        <v>-18180.46</v>
      </c>
      <c r="P76" s="18">
        <f t="shared" si="55"/>
        <v>1820.04</v>
      </c>
      <c r="Q76" s="18">
        <f t="shared" si="56"/>
        <v>201.83</v>
      </c>
      <c r="R76" s="18">
        <f t="shared" si="62"/>
        <v>-65205.000116244722</v>
      </c>
      <c r="S76" s="19">
        <f t="shared" si="63"/>
        <v>-16158.589999999998</v>
      </c>
    </row>
    <row r="77" spans="1:20" s="39" customFormat="1" ht="13.5" hidden="1" customHeight="1" outlineLevel="1" x14ac:dyDescent="0.2">
      <c r="A77" s="6">
        <v>42004</v>
      </c>
      <c r="B77" s="8">
        <v>-807.32</v>
      </c>
      <c r="C77" s="8">
        <v>788.4</v>
      </c>
      <c r="D77" s="8">
        <v>0</v>
      </c>
      <c r="E77" s="8">
        <v>0</v>
      </c>
      <c r="F77" s="15">
        <f t="shared" si="53"/>
        <v>0</v>
      </c>
      <c r="G77" s="8">
        <f t="shared" si="60"/>
        <v>-19478.972091334115</v>
      </c>
      <c r="H77" s="9"/>
      <c r="I77" s="8">
        <v>28614.43</v>
      </c>
      <c r="J77" s="8">
        <v>0</v>
      </c>
      <c r="K77" s="9">
        <f>(((M76+I77)/(R76+O77))*Q77)-J77</f>
        <v>0</v>
      </c>
      <c r="L77" s="9"/>
      <c r="M77" s="8">
        <f t="shared" ref="M77" si="64">SUM(I77:K77)+M76</f>
        <v>-17130.518024910576</v>
      </c>
      <c r="N77" s="9"/>
      <c r="O77" s="8">
        <f t="shared" si="54"/>
        <v>27807.11</v>
      </c>
      <c r="P77" s="8">
        <f t="shared" si="55"/>
        <v>788.4</v>
      </c>
      <c r="Q77" s="41">
        <f>+E77+J77+D77</f>
        <v>0</v>
      </c>
      <c r="R77" s="8">
        <f t="shared" si="62"/>
        <v>-36609.49011624472</v>
      </c>
      <c r="S77" s="9">
        <f t="shared" si="63"/>
        <v>28595.510000000002</v>
      </c>
    </row>
    <row r="78" spans="1:20" s="28" customFormat="1" ht="12.75" hidden="1" outlineLevel="1" x14ac:dyDescent="0.2">
      <c r="A78" s="16">
        <v>42035</v>
      </c>
      <c r="B78" s="18">
        <v>8822.1</v>
      </c>
      <c r="C78" s="18">
        <v>-1479.6</v>
      </c>
      <c r="D78" s="18">
        <v>0</v>
      </c>
      <c r="E78" s="18">
        <v>0.36</v>
      </c>
      <c r="F78" s="25">
        <f t="shared" si="53"/>
        <v>-1.2666954148551568</v>
      </c>
      <c r="G78" s="18">
        <f t="shared" ref="G78:G80" si="65">SUM(B78:F78)+G77</f>
        <v>-12137.37878674897</v>
      </c>
      <c r="H78" s="19"/>
      <c r="I78" s="18">
        <v>62577.84</v>
      </c>
      <c r="J78" s="18">
        <v>2.6</v>
      </c>
      <c r="K78" s="25">
        <f>(((M77+I78)/(R77+O78))*Q78)-J78</f>
        <v>1.2666954148551568</v>
      </c>
      <c r="L78" s="19"/>
      <c r="M78" s="18">
        <f t="shared" ref="M78" si="66">SUM(I78:K78)+M77</f>
        <v>45451.188670504271</v>
      </c>
      <c r="N78" s="19"/>
      <c r="O78" s="18">
        <f t="shared" si="54"/>
        <v>71399.94</v>
      </c>
      <c r="P78" s="18">
        <f t="shared" si="55"/>
        <v>-1479.6</v>
      </c>
      <c r="Q78" s="42">
        <f>+E78+J78+D78</f>
        <v>2.96</v>
      </c>
      <c r="R78" s="18">
        <f t="shared" si="62"/>
        <v>33313.809883755282</v>
      </c>
      <c r="S78" s="19">
        <f t="shared" si="63"/>
        <v>69923.3</v>
      </c>
      <c r="T78" s="29"/>
    </row>
    <row r="79" spans="1:20" s="28" customFormat="1" ht="12.75" hidden="1" outlineLevel="1" x14ac:dyDescent="0.2">
      <c r="A79" s="16">
        <v>42063</v>
      </c>
      <c r="B79" s="18">
        <v>15170.97</v>
      </c>
      <c r="C79" s="18">
        <v>-1969.2</v>
      </c>
      <c r="D79" s="18">
        <v>0</v>
      </c>
      <c r="E79" s="18">
        <v>0</v>
      </c>
      <c r="F79" s="25">
        <f t="shared" si="53"/>
        <v>-2.3108218363371985E-4</v>
      </c>
      <c r="G79" s="18">
        <f t="shared" si="65"/>
        <v>1064.3909821688449</v>
      </c>
      <c r="H79" s="19"/>
      <c r="I79" s="18">
        <v>82792.81</v>
      </c>
      <c r="J79" s="18">
        <v>-0.01</v>
      </c>
      <c r="K79" s="25">
        <f>(((M78+I79)/(R78+O79))*Q79)-J79</f>
        <v>2.3108218363371985E-4</v>
      </c>
      <c r="L79" s="19"/>
      <c r="M79" s="18">
        <f t="shared" ref="M79" si="67">SUM(I79:K79)+M78</f>
        <v>128243.98890158646</v>
      </c>
      <c r="N79" s="19"/>
      <c r="O79" s="18">
        <f t="shared" si="54"/>
        <v>97963.78</v>
      </c>
      <c r="P79" s="18">
        <f t="shared" si="55"/>
        <v>-1969.2</v>
      </c>
      <c r="Q79" s="42">
        <f>+E79+J79+D79</f>
        <v>-0.01</v>
      </c>
      <c r="R79" s="18">
        <f t="shared" si="62"/>
        <v>129308.37988375527</v>
      </c>
      <c r="S79" s="19">
        <f t="shared" si="63"/>
        <v>95994.57</v>
      </c>
      <c r="T79" s="29"/>
    </row>
    <row r="80" spans="1:20" s="33" customFormat="1" ht="12.75" hidden="1" outlineLevel="1" x14ac:dyDescent="0.2">
      <c r="A80" s="40">
        <v>42094</v>
      </c>
      <c r="B80" s="18">
        <v>1411.34</v>
      </c>
      <c r="C80" s="18">
        <v>-2712.6</v>
      </c>
      <c r="D80" s="18">
        <v>0</v>
      </c>
      <c r="E80" s="18">
        <v>0</v>
      </c>
      <c r="F80" s="43">
        <f t="shared" si="53"/>
        <v>0</v>
      </c>
      <c r="G80" s="18">
        <f t="shared" si="65"/>
        <v>-236.86901783115513</v>
      </c>
      <c r="H80" s="34"/>
      <c r="I80" s="18">
        <v>77928.11</v>
      </c>
      <c r="J80" s="18">
        <v>0</v>
      </c>
      <c r="K80" s="43">
        <f>(((M79+I80)/(R79+O80))*Q80)-J80</f>
        <v>0</v>
      </c>
      <c r="L80" s="34"/>
      <c r="M80" s="18">
        <f t="shared" ref="M80" si="68">SUM(I80:K80)+M79</f>
        <v>206172.09890158646</v>
      </c>
      <c r="N80" s="34"/>
      <c r="O80" s="18">
        <f t="shared" si="54"/>
        <v>79339.45</v>
      </c>
      <c r="P80" s="18">
        <f t="shared" si="55"/>
        <v>-2712.6</v>
      </c>
      <c r="Q80" s="42">
        <f>+E80+J80+D80</f>
        <v>0</v>
      </c>
      <c r="R80" s="18">
        <f t="shared" si="62"/>
        <v>205935.22988375527</v>
      </c>
      <c r="S80" s="34">
        <f t="shared" si="63"/>
        <v>76626.849999999991</v>
      </c>
      <c r="T80" s="32"/>
    </row>
    <row r="81" spans="1:19" ht="12.75" hidden="1" outlineLevel="1" x14ac:dyDescent="0.2">
      <c r="A81" s="16">
        <v>42124</v>
      </c>
      <c r="B81" s="18">
        <v>453.2</v>
      </c>
      <c r="C81" s="18">
        <v>-13392</v>
      </c>
      <c r="D81" s="18">
        <v>0</v>
      </c>
      <c r="E81" s="18">
        <v>0</v>
      </c>
      <c r="F81" s="25">
        <f t="shared" si="53"/>
        <v>0</v>
      </c>
      <c r="G81" s="18">
        <f t="shared" ref="G81:G83" si="69">SUM(B81:F81)+G80</f>
        <v>-13175.669017831155</v>
      </c>
      <c r="H81" s="19"/>
      <c r="I81" s="18">
        <v>130716.24</v>
      </c>
      <c r="J81" s="18">
        <v>0</v>
      </c>
      <c r="K81" s="25">
        <f t="shared" ref="K81:K83" si="70">(((M80+I81)/(R80+O81))*Q81)-J81</f>
        <v>0</v>
      </c>
      <c r="L81" s="19"/>
      <c r="M81" s="18">
        <f t="shared" ref="M81:M82" si="71">SUM(I81:K81)+M80</f>
        <v>336888.33890158648</v>
      </c>
      <c r="N81" s="19"/>
      <c r="O81" s="18">
        <f t="shared" si="54"/>
        <v>131169.44</v>
      </c>
      <c r="P81" s="18">
        <f t="shared" si="55"/>
        <v>-13392</v>
      </c>
      <c r="Q81" s="42">
        <f t="shared" ref="Q81:Q83" si="72">+E81+J81+D81</f>
        <v>0</v>
      </c>
      <c r="R81" s="18">
        <f t="shared" si="62"/>
        <v>323712.66988375527</v>
      </c>
      <c r="S81" s="19">
        <f t="shared" si="63"/>
        <v>117777.44</v>
      </c>
    </row>
    <row r="82" spans="1:19" ht="12.75" hidden="1" outlineLevel="1" x14ac:dyDescent="0.2">
      <c r="A82" s="16">
        <v>42155</v>
      </c>
      <c r="B82" s="18">
        <v>7219.87</v>
      </c>
      <c r="C82" s="18">
        <v>-10646.4</v>
      </c>
      <c r="D82" s="18">
        <v>0</v>
      </c>
      <c r="E82" s="18">
        <v>0</v>
      </c>
      <c r="F82" s="25">
        <f t="shared" si="53"/>
        <v>1.419686142826327E-4</v>
      </c>
      <c r="G82" s="18">
        <f t="shared" si="69"/>
        <v>-16602.198875862541</v>
      </c>
      <c r="H82" s="19"/>
      <c r="I82" s="18">
        <v>88582.65</v>
      </c>
      <c r="J82" s="18">
        <v>-0.01</v>
      </c>
      <c r="K82" s="25">
        <f t="shared" si="70"/>
        <v>-1.419686142826327E-4</v>
      </c>
      <c r="L82" s="19"/>
      <c r="M82" s="18">
        <f t="shared" si="71"/>
        <v>425470.97875961789</v>
      </c>
      <c r="N82" s="19"/>
      <c r="O82" s="18">
        <f t="shared" si="54"/>
        <v>95802.51999999999</v>
      </c>
      <c r="P82" s="18">
        <f t="shared" si="55"/>
        <v>-10646.4</v>
      </c>
      <c r="Q82" s="42">
        <f t="shared" si="72"/>
        <v>-0.01</v>
      </c>
      <c r="R82" s="18">
        <f t="shared" si="62"/>
        <v>408868.77988375525</v>
      </c>
      <c r="S82" s="19">
        <f t="shared" si="63"/>
        <v>85156.11</v>
      </c>
    </row>
    <row r="83" spans="1:19" ht="12.75" hidden="1" outlineLevel="1" x14ac:dyDescent="0.2">
      <c r="A83" s="40">
        <v>42185</v>
      </c>
      <c r="B83" s="18">
        <v>6054.04</v>
      </c>
      <c r="C83" s="18">
        <v>-8697.6</v>
      </c>
      <c r="D83" s="18">
        <v>-9486.0499999999993</v>
      </c>
      <c r="E83" s="18">
        <v>0</v>
      </c>
      <c r="F83" s="43">
        <f t="shared" si="53"/>
        <v>9672.8769347149137</v>
      </c>
      <c r="G83" s="18">
        <f t="shared" si="69"/>
        <v>-19058.931941147628</v>
      </c>
      <c r="H83" s="34"/>
      <c r="I83" s="18">
        <v>120844.14</v>
      </c>
      <c r="J83" s="18">
        <v>-3.35</v>
      </c>
      <c r="K83" s="34">
        <f t="shared" si="70"/>
        <v>-9672.8769347149137</v>
      </c>
      <c r="L83" s="34"/>
      <c r="M83" s="18">
        <f t="shared" ref="M83" si="73">SUM(I83:K83)+M82</f>
        <v>536638.89182490297</v>
      </c>
      <c r="N83" s="34"/>
      <c r="O83" s="18">
        <f t="shared" si="54"/>
        <v>126898.18</v>
      </c>
      <c r="P83" s="18">
        <f t="shared" si="55"/>
        <v>-8697.6</v>
      </c>
      <c r="Q83" s="18">
        <f t="shared" si="72"/>
        <v>-9489.4</v>
      </c>
      <c r="R83" s="18">
        <f t="shared" si="62"/>
        <v>517579.95988375531</v>
      </c>
      <c r="S83" s="34">
        <f t="shared" si="63"/>
        <v>108711.18</v>
      </c>
    </row>
    <row r="84" spans="1:19" ht="12.75" hidden="1" outlineLevel="1" x14ac:dyDescent="0.2">
      <c r="A84" s="16">
        <v>42216</v>
      </c>
      <c r="B84" s="18">
        <v>2061.52</v>
      </c>
      <c r="C84" s="18">
        <v>-8751.6</v>
      </c>
      <c r="D84" s="18">
        <v>-8772.19</v>
      </c>
      <c r="E84" s="18">
        <v>-2140.31</v>
      </c>
      <c r="F84" s="19">
        <f t="shared" si="53"/>
        <v>12150.968386699853</v>
      </c>
      <c r="G84" s="18">
        <f>SUM(B84:F84)+G83</f>
        <v>-24510.543554447777</v>
      </c>
      <c r="H84" s="19"/>
      <c r="I84" s="18">
        <v>16388.23</v>
      </c>
      <c r="J84" s="18">
        <v>-28143.79</v>
      </c>
      <c r="K84" s="19">
        <f>(((M83+I84)/(R83+O84))*Q84)-J84</f>
        <v>-12150.968386699853</v>
      </c>
      <c r="L84" s="19"/>
      <c r="M84" s="18">
        <f t="shared" ref="M84" si="74">SUM(I84:K84)+M83</f>
        <v>512732.36343820312</v>
      </c>
      <c r="N84" s="19"/>
      <c r="O84" s="18">
        <f>B84+I84</f>
        <v>18449.75</v>
      </c>
      <c r="P84" s="18">
        <f t="shared" si="55"/>
        <v>-8751.6</v>
      </c>
      <c r="Q84" s="20">
        <f>+E84+J84+D84</f>
        <v>-39056.29</v>
      </c>
      <c r="R84" s="18">
        <f>R83+O84+Q84+P84</f>
        <v>488221.81988375535</v>
      </c>
      <c r="S84" s="19">
        <f t="shared" ref="S84" si="75">SUM(O84:Q84)</f>
        <v>-29358.14</v>
      </c>
    </row>
    <row r="85" spans="1:19" ht="12.75" hidden="1" outlineLevel="1" x14ac:dyDescent="0.2">
      <c r="A85" s="16">
        <v>42247</v>
      </c>
      <c r="B85" s="18">
        <v>5842.74</v>
      </c>
      <c r="C85" s="18">
        <v>-9861.36</v>
      </c>
      <c r="D85" s="18">
        <v>-10287.74</v>
      </c>
      <c r="E85" s="18">
        <v>-9087.33</v>
      </c>
      <c r="F85" s="19">
        <f t="shared" si="53"/>
        <v>21401.056972979961</v>
      </c>
      <c r="G85" s="18">
        <f>SUM(B85:F85)+G84</f>
        <v>-26503.176581467818</v>
      </c>
      <c r="H85" s="19"/>
      <c r="I85" s="18">
        <v>262630.14</v>
      </c>
      <c r="J85" s="18">
        <v>-62747.8</v>
      </c>
      <c r="K85" s="19">
        <f>(((M84+I85)/(R84+O85))*Q85)-J85</f>
        <v>-21401.056972979961</v>
      </c>
      <c r="L85" s="19"/>
      <c r="M85" s="18">
        <f t="shared" ref="M85" si="76">SUM(I85:K85)+M84</f>
        <v>691213.64646522317</v>
      </c>
      <c r="N85" s="19"/>
      <c r="O85" s="18">
        <f>B85+I85</f>
        <v>268472.88</v>
      </c>
      <c r="P85" s="18">
        <f t="shared" si="55"/>
        <v>-9861.36</v>
      </c>
      <c r="Q85" s="20">
        <f>+E85+J85+D85</f>
        <v>-82122.87000000001</v>
      </c>
      <c r="R85" s="18">
        <f>R84+O85+Q85+P85</f>
        <v>664710.46988375532</v>
      </c>
      <c r="S85" s="19">
        <f t="shared" ref="S85" si="77">SUM(O85:Q85)</f>
        <v>176488.65000000002</v>
      </c>
    </row>
    <row r="86" spans="1:19" s="39" customFormat="1" ht="12.75" hidden="1" outlineLevel="1" x14ac:dyDescent="0.2">
      <c r="A86" s="40">
        <v>42277</v>
      </c>
      <c r="B86" s="18">
        <v>16696.060000000001</v>
      </c>
      <c r="C86" s="18">
        <v>-8169.18</v>
      </c>
      <c r="D86" s="18">
        <v>-12366.43</v>
      </c>
      <c r="E86" s="18">
        <v>-13174.8</v>
      </c>
      <c r="F86" s="34">
        <f t="shared" si="53"/>
        <v>26979.840154520847</v>
      </c>
      <c r="G86" s="18">
        <f>SUM(B86:F86)+G85</f>
        <v>-16537.68642694697</v>
      </c>
      <c r="H86" s="34"/>
      <c r="I86" s="18">
        <v>60675.96</v>
      </c>
      <c r="J86" s="18">
        <v>-83315.17</v>
      </c>
      <c r="K86" s="34">
        <f>(((M85+I86)/(R85+O86))*Q86)-J86</f>
        <v>-26979.840154520847</v>
      </c>
      <c r="L86" s="34"/>
      <c r="M86" s="18">
        <f t="shared" ref="M86" si="78">SUM(I86:K86)+M85</f>
        <v>641594.59631070227</v>
      </c>
      <c r="N86" s="34"/>
      <c r="O86" s="18">
        <f>B86+I86</f>
        <v>77372.02</v>
      </c>
      <c r="P86" s="18">
        <f t="shared" si="55"/>
        <v>-8169.18</v>
      </c>
      <c r="Q86" s="20">
        <f>+E86+J86+D86</f>
        <v>-108856.4</v>
      </c>
      <c r="R86" s="18">
        <f>R85+O86+Q86+P86</f>
        <v>625056.90988375526</v>
      </c>
      <c r="S86" s="34">
        <f t="shared" ref="S86" si="79">SUM(O86:Q86)</f>
        <v>-39653.56</v>
      </c>
    </row>
    <row r="87" spans="1:19" ht="12.75" hidden="1" outlineLevel="1" x14ac:dyDescent="0.2">
      <c r="A87" s="16">
        <v>42308</v>
      </c>
      <c r="B87" s="18">
        <v>12736.52</v>
      </c>
      <c r="C87" s="18">
        <v>-4661.3999999999996</v>
      </c>
      <c r="D87" s="18">
        <v>-9724.0300000000007</v>
      </c>
      <c r="E87" s="18">
        <v>-13122.85</v>
      </c>
      <c r="F87" s="19">
        <f t="shared" si="53"/>
        <v>23377.766639108595</v>
      </c>
      <c r="G87" s="18">
        <f t="shared" ref="G87:G88" si="80">SUM(B87:F87)+G86</f>
        <v>-7931.679787838375</v>
      </c>
      <c r="H87" s="19"/>
      <c r="I87" s="18">
        <v>132629.96</v>
      </c>
      <c r="J87" s="18">
        <v>-84753.64</v>
      </c>
      <c r="K87" s="19">
        <f t="shared" ref="K87:K89" si="81">(((M86+I87)/(R86+O87))*Q87)-J87</f>
        <v>-23377.766639108595</v>
      </c>
      <c r="L87" s="19"/>
      <c r="M87" s="18">
        <f t="shared" ref="M87:M88" si="82">SUM(I87:K87)+M86</f>
        <v>666093.14967159368</v>
      </c>
      <c r="N87" s="19"/>
      <c r="O87" s="18">
        <f t="shared" ref="O87:O102" si="83">B87+I87</f>
        <v>145366.47999999998</v>
      </c>
      <c r="P87" s="18">
        <f t="shared" si="55"/>
        <v>-4661.3999999999996</v>
      </c>
      <c r="Q87" s="18">
        <f t="shared" ref="Q87:Q118" si="84">+E87+J87+D87</f>
        <v>-107600.52</v>
      </c>
      <c r="R87" s="18">
        <f t="shared" ref="R87:R94" si="85">R86+O87+Q87+P87</f>
        <v>658161.4698837552</v>
      </c>
      <c r="S87" s="19">
        <f t="shared" ref="S87:S95" si="86">SUM(O87:Q87)</f>
        <v>33104.559999999983</v>
      </c>
    </row>
    <row r="88" spans="1:19" ht="12.75" hidden="1" outlineLevel="1" x14ac:dyDescent="0.2">
      <c r="A88" s="16">
        <v>42338</v>
      </c>
      <c r="B88" s="18">
        <v>6707.62</v>
      </c>
      <c r="C88" s="18">
        <v>-11730</v>
      </c>
      <c r="D88" s="18">
        <v>-9794.5</v>
      </c>
      <c r="E88" s="18">
        <v>-9785.09</v>
      </c>
      <c r="F88" s="19">
        <f t="shared" si="53"/>
        <v>19788.965820825761</v>
      </c>
      <c r="G88" s="18">
        <f t="shared" si="80"/>
        <v>-12744.683967012616</v>
      </c>
      <c r="H88" s="19"/>
      <c r="I88" s="18">
        <v>105589.15</v>
      </c>
      <c r="J88" s="18">
        <v>-112207.54</v>
      </c>
      <c r="K88" s="19">
        <f t="shared" si="81"/>
        <v>-19788.965820825761</v>
      </c>
      <c r="L88" s="19"/>
      <c r="M88" s="18">
        <f t="shared" si="82"/>
        <v>639685.79385076789</v>
      </c>
      <c r="N88" s="19"/>
      <c r="O88" s="18">
        <f t="shared" si="83"/>
        <v>112296.76999999999</v>
      </c>
      <c r="P88" s="18">
        <f t="shared" si="55"/>
        <v>-11730</v>
      </c>
      <c r="Q88" s="18">
        <f t="shared" si="84"/>
        <v>-131787.13</v>
      </c>
      <c r="R88" s="18">
        <f t="shared" si="85"/>
        <v>626941.10988375521</v>
      </c>
      <c r="S88" s="19">
        <f t="shared" si="86"/>
        <v>-31220.360000000015</v>
      </c>
    </row>
    <row r="89" spans="1:19" ht="12.75" hidden="1" outlineLevel="1" x14ac:dyDescent="0.2">
      <c r="A89" s="6">
        <v>42369</v>
      </c>
      <c r="B89" s="8">
        <f>646.47+16252.26</f>
        <v>16898.73</v>
      </c>
      <c r="C89" s="8">
        <v>-6640.2</v>
      </c>
      <c r="D89" s="8">
        <v>-8631.84</v>
      </c>
      <c r="E89" s="8">
        <v>-17755.04</v>
      </c>
      <c r="F89" s="9">
        <f t="shared" si="53"/>
        <v>25541.457979406201</v>
      </c>
      <c r="G89" s="8">
        <f t="shared" ref="G89" si="87">SUM(B89:F89)+G88</f>
        <v>-3331.5759876064167</v>
      </c>
      <c r="H89" s="9"/>
      <c r="I89" s="8">
        <v>204510.57</v>
      </c>
      <c r="J89" s="8">
        <v>-146267.47</v>
      </c>
      <c r="K89" s="9">
        <f t="shared" si="81"/>
        <v>-25541.457979406201</v>
      </c>
      <c r="L89" s="9"/>
      <c r="M89" s="8">
        <f t="shared" ref="M89" si="88">SUM(I89:K89)+M88</f>
        <v>672387.43587136175</v>
      </c>
      <c r="N89" s="9"/>
      <c r="O89" s="8">
        <f t="shared" si="83"/>
        <v>221409.30000000002</v>
      </c>
      <c r="P89" s="8">
        <f t="shared" si="55"/>
        <v>-6640.2</v>
      </c>
      <c r="Q89" s="8">
        <f t="shared" si="84"/>
        <v>-172654.35</v>
      </c>
      <c r="R89" s="8">
        <f t="shared" si="85"/>
        <v>669055.85988375533</v>
      </c>
      <c r="S89" s="9">
        <f t="shared" si="86"/>
        <v>42114.75</v>
      </c>
    </row>
    <row r="90" spans="1:19" ht="12.75" hidden="1" outlineLevel="1" x14ac:dyDescent="0.2">
      <c r="A90" s="16">
        <v>42400</v>
      </c>
      <c r="B90" s="18">
        <v>3449.91</v>
      </c>
      <c r="C90" s="18">
        <v>-7261.8</v>
      </c>
      <c r="D90" s="18">
        <v>-7856.74</v>
      </c>
      <c r="E90" s="18">
        <v>-17577.150000000001</v>
      </c>
      <c r="F90" s="19">
        <f t="shared" si="53"/>
        <v>25406.556994247658</v>
      </c>
      <c r="G90" s="18">
        <f t="shared" ref="G90" si="89">SUM(B90:F90)+G89</f>
        <v>-7170.7989933587614</v>
      </c>
      <c r="H90" s="19"/>
      <c r="I90" s="18">
        <v>66495.430000000008</v>
      </c>
      <c r="J90" s="18">
        <v>-174875.65</v>
      </c>
      <c r="K90" s="19">
        <v>-25406.556994247658</v>
      </c>
      <c r="L90" s="19"/>
      <c r="M90" s="18">
        <f t="shared" ref="M90:M94" si="90">SUM(I90:K90)+M89</f>
        <v>538600.65887711407</v>
      </c>
      <c r="N90" s="19"/>
      <c r="O90" s="18">
        <f t="shared" si="83"/>
        <v>69945.340000000011</v>
      </c>
      <c r="P90" s="18">
        <f t="shared" si="55"/>
        <v>-7261.8</v>
      </c>
      <c r="Q90" s="18">
        <f t="shared" si="84"/>
        <v>-200309.53999999998</v>
      </c>
      <c r="R90" s="18">
        <f t="shared" si="85"/>
        <v>531429.85988375521</v>
      </c>
      <c r="S90" s="19">
        <f t="shared" si="86"/>
        <v>-137625.99999999997</v>
      </c>
    </row>
    <row r="91" spans="1:19" ht="12.75" hidden="1" outlineLevel="1" x14ac:dyDescent="0.2">
      <c r="A91" s="16">
        <v>42429</v>
      </c>
      <c r="B91" s="18">
        <v>1154.02</v>
      </c>
      <c r="C91" s="18">
        <v>-7603.8</v>
      </c>
      <c r="D91" s="18">
        <f>-12149.76-8593.92</f>
        <v>-20743.68</v>
      </c>
      <c r="E91" s="18">
        <v>-15841.21</v>
      </c>
      <c r="F91" s="19">
        <f t="shared" si="53"/>
        <v>38071.593364712142</v>
      </c>
      <c r="G91" s="18">
        <f t="shared" ref="G91" si="91">SUM(B91:F91)+G90</f>
        <v>-12133.875628646618</v>
      </c>
      <c r="H91" s="19"/>
      <c r="I91" s="18">
        <v>82950.09</v>
      </c>
      <c r="J91" s="18">
        <v>-151615.25</v>
      </c>
      <c r="K91" s="19">
        <v>-38071.593364712142</v>
      </c>
      <c r="L91" s="19"/>
      <c r="M91" s="18">
        <f t="shared" si="90"/>
        <v>431863.90551240195</v>
      </c>
      <c r="N91" s="19"/>
      <c r="O91" s="18">
        <f t="shared" si="83"/>
        <v>84104.11</v>
      </c>
      <c r="P91" s="18">
        <f t="shared" si="55"/>
        <v>-7603.8</v>
      </c>
      <c r="Q91" s="18">
        <f t="shared" si="84"/>
        <v>-188200.13999999998</v>
      </c>
      <c r="R91" s="18">
        <f t="shared" si="85"/>
        <v>419730.0298837552</v>
      </c>
      <c r="S91" s="19">
        <f t="shared" si="86"/>
        <v>-111699.82999999999</v>
      </c>
    </row>
    <row r="92" spans="1:19" ht="12.75" hidden="1" outlineLevel="1" x14ac:dyDescent="0.2">
      <c r="A92" s="40">
        <v>42460</v>
      </c>
      <c r="B92" s="18">
        <v>1676.72</v>
      </c>
      <c r="C92" s="18">
        <v>-8675.4</v>
      </c>
      <c r="D92" s="18">
        <v>-18329.62</v>
      </c>
      <c r="E92" s="18">
        <v>-17660.849999999999</v>
      </c>
      <c r="F92" s="34">
        <f t="shared" si="53"/>
        <v>38691.448773917829</v>
      </c>
      <c r="G92" s="18">
        <f t="shared" ref="G92" si="92">SUM(B92:F92)+G91</f>
        <v>-16431.576854728781</v>
      </c>
      <c r="H92" s="34"/>
      <c r="I92" s="18">
        <v>85890.83</v>
      </c>
      <c r="J92" s="18">
        <v>-159616.59</v>
      </c>
      <c r="K92" s="34">
        <v>-38691.448773917829</v>
      </c>
      <c r="L92" s="34"/>
      <c r="M92" s="18">
        <f t="shared" si="90"/>
        <v>319446.69673848414</v>
      </c>
      <c r="N92" s="34"/>
      <c r="O92" s="18">
        <f t="shared" si="83"/>
        <v>87567.55</v>
      </c>
      <c r="P92" s="18">
        <f t="shared" si="55"/>
        <v>-8675.4</v>
      </c>
      <c r="Q92" s="18">
        <f t="shared" si="84"/>
        <v>-195607.06</v>
      </c>
      <c r="R92" s="18">
        <f t="shared" si="85"/>
        <v>303015.11988375516</v>
      </c>
      <c r="S92" s="34">
        <f t="shared" si="86"/>
        <v>-116714.90999999999</v>
      </c>
    </row>
    <row r="93" spans="1:19" ht="12.75" hidden="1" outlineLevel="1" x14ac:dyDescent="0.2">
      <c r="A93" s="16">
        <v>42490</v>
      </c>
      <c r="B93" s="18">
        <v>1452.03</v>
      </c>
      <c r="C93" s="18">
        <v>-12364.8</v>
      </c>
      <c r="D93" s="18">
        <v>-17071.349999999999</v>
      </c>
      <c r="E93" s="18">
        <v>-16765.490000000002</v>
      </c>
      <c r="F93" s="19">
        <f t="shared" si="53"/>
        <v>37066.603097358107</v>
      </c>
      <c r="G93" s="18">
        <f t="shared" ref="G93" si="93">SUM(B93:F93)+G92</f>
        <v>-24114.583757370674</v>
      </c>
      <c r="H93" s="19"/>
      <c r="I93" s="18">
        <v>69715.100000000006</v>
      </c>
      <c r="J93" s="18">
        <v>-150629.87</v>
      </c>
      <c r="K93" s="19">
        <v>-37066.603097358107</v>
      </c>
      <c r="L93" s="19"/>
      <c r="M93" s="18">
        <f t="shared" si="90"/>
        <v>201465.32364112604</v>
      </c>
      <c r="N93" s="19"/>
      <c r="O93" s="18">
        <f t="shared" si="83"/>
        <v>71167.13</v>
      </c>
      <c r="P93" s="18">
        <f t="shared" si="55"/>
        <v>-12364.8</v>
      </c>
      <c r="Q93" s="18">
        <f t="shared" si="84"/>
        <v>-184466.71</v>
      </c>
      <c r="R93" s="18">
        <f t="shared" si="85"/>
        <v>177350.73988375519</v>
      </c>
      <c r="S93" s="19">
        <f t="shared" si="86"/>
        <v>-125664.37999999999</v>
      </c>
    </row>
    <row r="94" spans="1:19" ht="12.75" hidden="1" outlineLevel="1" x14ac:dyDescent="0.2">
      <c r="A94" s="16">
        <v>42521</v>
      </c>
      <c r="B94" s="18">
        <v>8941.8700000000008</v>
      </c>
      <c r="C94" s="18">
        <v>-8467.2000000000007</v>
      </c>
      <c r="D94" s="18">
        <f>-18345.6-10326.05</f>
        <v>-28671.649999999998</v>
      </c>
      <c r="E94" s="18">
        <v>-14199.27</v>
      </c>
      <c r="F94" s="19">
        <f t="shared" si="53"/>
        <v>45958.19179050879</v>
      </c>
      <c r="G94" s="18">
        <f t="shared" ref="G94" si="94">SUM(B94:F94)+G93</f>
        <v>-20552.641966861884</v>
      </c>
      <c r="H94" s="19"/>
      <c r="I94" s="18">
        <v>45111.889999999992</v>
      </c>
      <c r="J94" s="18">
        <v>-122264.89</v>
      </c>
      <c r="K94" s="19">
        <v>-45958.19179050879</v>
      </c>
      <c r="L94" s="19"/>
      <c r="M94" s="18">
        <f t="shared" si="90"/>
        <v>78354.131850617254</v>
      </c>
      <c r="N94" s="19"/>
      <c r="O94" s="18">
        <f t="shared" si="83"/>
        <v>54053.759999999995</v>
      </c>
      <c r="P94" s="18">
        <f t="shared" si="55"/>
        <v>-8467.2000000000007</v>
      </c>
      <c r="Q94" s="18">
        <f t="shared" si="84"/>
        <v>-165135.81</v>
      </c>
      <c r="R94" s="18">
        <f t="shared" si="85"/>
        <v>57801.489883755174</v>
      </c>
      <c r="S94" s="19">
        <f t="shared" si="86"/>
        <v>-119549.25</v>
      </c>
    </row>
    <row r="95" spans="1:19" ht="12.75" hidden="1" outlineLevel="1" x14ac:dyDescent="0.2">
      <c r="A95" s="40">
        <v>42551</v>
      </c>
      <c r="B95" s="18">
        <v>3444.54</v>
      </c>
      <c r="C95" s="18">
        <v>-9479.0400000000009</v>
      </c>
      <c r="D95" s="18">
        <f>-16369.92-10326.05</f>
        <v>-26695.97</v>
      </c>
      <c r="E95" s="18">
        <v>-16319.35</v>
      </c>
      <c r="F95" s="19">
        <f t="shared" si="53"/>
        <v>46582.298058849599</v>
      </c>
      <c r="G95" s="18">
        <f>SUM(B95:F95)+G94</f>
        <v>-23020.163908012284</v>
      </c>
      <c r="H95" s="19"/>
      <c r="I95" s="18">
        <v>18681.169999999998</v>
      </c>
      <c r="J95" s="18">
        <v>-121868.73</v>
      </c>
      <c r="K95" s="19">
        <v>-46582.298058849599</v>
      </c>
      <c r="L95" s="19"/>
      <c r="M95" s="18">
        <f>SUM(I95:K95)+M94</f>
        <v>-71415.726208232329</v>
      </c>
      <c r="N95" s="19"/>
      <c r="O95" s="18">
        <f t="shared" si="83"/>
        <v>22125.71</v>
      </c>
      <c r="P95" s="18">
        <f t="shared" si="55"/>
        <v>-9479.0400000000009</v>
      </c>
      <c r="Q95" s="18">
        <f t="shared" si="84"/>
        <v>-164884.04999999999</v>
      </c>
      <c r="R95" s="18">
        <f>R94+O95+Q95+P95</f>
        <v>-94435.890116244816</v>
      </c>
      <c r="S95" s="19">
        <f t="shared" si="86"/>
        <v>-152237.38</v>
      </c>
    </row>
    <row r="96" spans="1:19" ht="12.75" hidden="1" outlineLevel="1" x14ac:dyDescent="0.2">
      <c r="A96" s="16">
        <v>42582</v>
      </c>
      <c r="B96" s="18">
        <f>3923.99-B95+29084.3</f>
        <v>29563.75</v>
      </c>
      <c r="C96" s="18">
        <v>-7824.6</v>
      </c>
      <c r="D96" s="18">
        <v>-17498.88</v>
      </c>
      <c r="E96" s="18">
        <v>-17460</v>
      </c>
      <c r="F96" s="19">
        <f t="shared" si="53"/>
        <v>33564.24458095376</v>
      </c>
      <c r="G96" s="18">
        <f>SUM(B96:F96)+G95</f>
        <v>-2675.6493270585233</v>
      </c>
      <c r="H96" s="19"/>
      <c r="I96" s="18">
        <v>19198.71</v>
      </c>
      <c r="J96" s="18">
        <v>-120776.69</v>
      </c>
      <c r="K96" s="19">
        <v>-33564.24458095376</v>
      </c>
      <c r="L96" s="19"/>
      <c r="M96" s="18">
        <f>SUM(I96:K96)+M95</f>
        <v>-206557.95078918611</v>
      </c>
      <c r="N96" s="19"/>
      <c r="O96" s="18">
        <f t="shared" si="83"/>
        <v>48762.46</v>
      </c>
      <c r="P96" s="18">
        <f t="shared" si="55"/>
        <v>-7824.6</v>
      </c>
      <c r="Q96" s="18">
        <f t="shared" si="84"/>
        <v>-155735.57</v>
      </c>
      <c r="R96" s="18">
        <f>R95+O96+Q96+P96</f>
        <v>-209233.60011624484</v>
      </c>
      <c r="S96" s="19">
        <f t="shared" ref="S96" si="95">SUM(O96:Q96)</f>
        <v>-114797.71</v>
      </c>
    </row>
    <row r="97" spans="1:25" ht="12.75" hidden="1" outlineLevel="1" x14ac:dyDescent="0.2">
      <c r="A97" s="16">
        <v>42613</v>
      </c>
      <c r="B97" s="18">
        <v>7093.88</v>
      </c>
      <c r="C97" s="18">
        <v>-12202.2</v>
      </c>
      <c r="D97" s="18">
        <v>-17357.759999999998</v>
      </c>
      <c r="E97" s="18">
        <v>-17472.330000000002</v>
      </c>
      <c r="F97" s="19">
        <f t="shared" si="53"/>
        <v>33918.877416365693</v>
      </c>
      <c r="G97" s="18">
        <f>SUM(B97:F97)+G96</f>
        <v>-8695.1819106928342</v>
      </c>
      <c r="H97" s="19"/>
      <c r="I97" s="18">
        <v>29279.030000000002</v>
      </c>
      <c r="J97" s="18">
        <v>-113193.63</v>
      </c>
      <c r="K97" s="19">
        <v>-33918.877416365693</v>
      </c>
      <c r="L97" s="19"/>
      <c r="M97" s="18">
        <f>SUM(I97:K97)+M96</f>
        <v>-324391.42820555181</v>
      </c>
      <c r="N97" s="19"/>
      <c r="O97" s="18">
        <f t="shared" si="83"/>
        <v>36372.910000000003</v>
      </c>
      <c r="P97" s="18">
        <f t="shared" si="55"/>
        <v>-12202.2</v>
      </c>
      <c r="Q97" s="18">
        <f t="shared" si="84"/>
        <v>-148023.72</v>
      </c>
      <c r="R97" s="18">
        <f>R96+O97+Q97+P97</f>
        <v>-333086.61011624482</v>
      </c>
      <c r="S97" s="19">
        <f t="shared" ref="S97" si="96">SUM(O97:Q97)</f>
        <v>-123853.01</v>
      </c>
    </row>
    <row r="98" spans="1:25" ht="12.75" hidden="1" outlineLevel="1" x14ac:dyDescent="0.2">
      <c r="A98" s="40">
        <v>42643</v>
      </c>
      <c r="B98" s="18">
        <v>36097.199999999997</v>
      </c>
      <c r="C98" s="18">
        <v>-6667.2</v>
      </c>
      <c r="D98" s="18">
        <v>-23590.560000000001</v>
      </c>
      <c r="E98" s="18">
        <v>-20734.28</v>
      </c>
      <c r="F98" s="34">
        <f t="shared" si="53"/>
        <v>37794.508047642026</v>
      </c>
      <c r="G98" s="18">
        <f>SUM(B98:F98)+G97</f>
        <v>14204.486136949188</v>
      </c>
      <c r="H98" s="34"/>
      <c r="I98" s="18">
        <v>20300.04</v>
      </c>
      <c r="J98" s="18">
        <v>-124480.55</v>
      </c>
      <c r="K98" s="34">
        <v>-37794.508047642026</v>
      </c>
      <c r="L98" s="34"/>
      <c r="M98" s="18">
        <f>SUM(I98:K98)+M97</f>
        <v>-466366.44625319383</v>
      </c>
      <c r="N98" s="34"/>
      <c r="O98" s="18">
        <f t="shared" si="83"/>
        <v>56397.24</v>
      </c>
      <c r="P98" s="18">
        <f t="shared" si="55"/>
        <v>-6667.2</v>
      </c>
      <c r="Q98" s="18">
        <f t="shared" si="84"/>
        <v>-168805.39</v>
      </c>
      <c r="R98" s="18">
        <f>R97+O98+Q98+P98</f>
        <v>-452161.96011624485</v>
      </c>
      <c r="S98" s="34">
        <f t="shared" ref="S98" si="97">SUM(O98:Q98)</f>
        <v>-119075.35</v>
      </c>
    </row>
    <row r="99" spans="1:25" ht="12.75" hidden="1" outlineLevel="1" x14ac:dyDescent="0.2">
      <c r="A99" s="16">
        <v>42674</v>
      </c>
      <c r="B99" s="18">
        <f>2663.64-9.52</f>
        <v>2654.12</v>
      </c>
      <c r="C99" s="18">
        <v>-3256.2</v>
      </c>
      <c r="D99" s="18">
        <v>-20603.52</v>
      </c>
      <c r="E99" s="18">
        <v>-19174.8</v>
      </c>
      <c r="F99" s="19">
        <f t="shared" si="53"/>
        <v>35275.166502544103</v>
      </c>
      <c r="G99" s="18">
        <f t="shared" ref="G99:G100" si="98">SUM(B99:F99)+G98</f>
        <v>9099.2526394932975</v>
      </c>
      <c r="H99" s="19"/>
      <c r="I99" s="18">
        <v>2393.7500000000005</v>
      </c>
      <c r="J99" s="18">
        <v>-134937.15</v>
      </c>
      <c r="K99" s="19">
        <v>-35275.166502544103</v>
      </c>
      <c r="L99" s="19"/>
      <c r="M99" s="18">
        <f t="shared" ref="M99:M101" si="99">SUM(I99:K99)+M98</f>
        <v>-634185.01275573787</v>
      </c>
      <c r="N99" s="19"/>
      <c r="O99" s="18">
        <f t="shared" si="83"/>
        <v>5047.8700000000008</v>
      </c>
      <c r="P99" s="18">
        <f t="shared" si="55"/>
        <v>-3256.2</v>
      </c>
      <c r="Q99" s="18">
        <f t="shared" si="84"/>
        <v>-174715.46999999997</v>
      </c>
      <c r="R99" s="18">
        <f t="shared" ref="R99:R101" si="100">R98+O99+Q99+P99</f>
        <v>-625085.76011624478</v>
      </c>
      <c r="S99" s="19">
        <f t="shared" ref="S99:S100" si="101">SUM(O99:Q99)</f>
        <v>-172923.79999999996</v>
      </c>
    </row>
    <row r="100" spans="1:25" ht="12.75" hidden="1" outlineLevel="1" x14ac:dyDescent="0.2">
      <c r="A100" s="16">
        <v>42704</v>
      </c>
      <c r="B100" s="18">
        <v>2942.68</v>
      </c>
      <c r="C100" s="18">
        <v>-20305.080000000002</v>
      </c>
      <c r="D100" s="18">
        <v>-19239.36</v>
      </c>
      <c r="E100" s="18">
        <v>-19437.78</v>
      </c>
      <c r="F100" s="19">
        <f t="shared" si="53"/>
        <v>34538.982530455076</v>
      </c>
      <c r="G100" s="18">
        <f t="shared" si="98"/>
        <v>-12401.304830051628</v>
      </c>
      <c r="H100" s="19"/>
      <c r="I100" s="18">
        <v>17766.12</v>
      </c>
      <c r="J100" s="18">
        <v>-152283.94</v>
      </c>
      <c r="K100" s="19">
        <v>-34538.982530455076</v>
      </c>
      <c r="L100" s="19"/>
      <c r="M100" s="18">
        <f t="shared" si="99"/>
        <v>-803241.81528619293</v>
      </c>
      <c r="N100" s="19"/>
      <c r="O100" s="18">
        <f t="shared" si="83"/>
        <v>20708.8</v>
      </c>
      <c r="P100" s="18">
        <f t="shared" si="55"/>
        <v>-20305.080000000002</v>
      </c>
      <c r="Q100" s="18">
        <f t="shared" si="84"/>
        <v>-190961.08000000002</v>
      </c>
      <c r="R100" s="18">
        <f t="shared" si="100"/>
        <v>-815643.12011624465</v>
      </c>
      <c r="S100" s="19">
        <f t="shared" si="101"/>
        <v>-190557.36000000002</v>
      </c>
    </row>
    <row r="101" spans="1:25" ht="12.75" collapsed="1" x14ac:dyDescent="0.2">
      <c r="A101" s="6">
        <v>42735</v>
      </c>
      <c r="B101" s="8">
        <v>53693.88</v>
      </c>
      <c r="C101" s="8">
        <v>-23933.88</v>
      </c>
      <c r="D101" s="8">
        <f>-18627.84+4163.04</f>
        <v>-14464.8</v>
      </c>
      <c r="E101" s="8">
        <f>-19920.88</f>
        <v>-19920.88</v>
      </c>
      <c r="F101" s="9">
        <f t="shared" si="53"/>
        <v>19027.435278649151</v>
      </c>
      <c r="G101" s="8">
        <f t="shared" ref="G101" si="102">SUM(B101:F101)+G100</f>
        <v>2000.4504485975194</v>
      </c>
      <c r="H101" s="9"/>
      <c r="I101" s="8">
        <v>11048.91</v>
      </c>
      <c r="J101" s="8">
        <v>-175390.37</v>
      </c>
      <c r="K101" s="9">
        <v>-19027.435278649151</v>
      </c>
      <c r="L101" s="9"/>
      <c r="M101" s="8">
        <f t="shared" si="99"/>
        <v>-986610.7105648421</v>
      </c>
      <c r="N101" s="9"/>
      <c r="O101" s="8">
        <f t="shared" si="83"/>
        <v>64742.789999999994</v>
      </c>
      <c r="P101" s="8">
        <f t="shared" si="55"/>
        <v>-23933.88</v>
      </c>
      <c r="Q101" s="8">
        <f t="shared" si="84"/>
        <v>-209776.05</v>
      </c>
      <c r="R101" s="8">
        <f t="shared" si="100"/>
        <v>-984610.26011624455</v>
      </c>
      <c r="S101" s="9">
        <f t="shared" ref="S101" si="103">SUM(O101:Q101)</f>
        <v>-168967.14</v>
      </c>
    </row>
    <row r="102" spans="1:25" s="28" customFormat="1" ht="12.75" x14ac:dyDescent="0.2">
      <c r="A102" s="40">
        <v>42766</v>
      </c>
      <c r="B102" s="18">
        <v>36517.69</v>
      </c>
      <c r="C102" s="18">
        <v>-7082.4</v>
      </c>
      <c r="D102" s="18">
        <v>-22767.360000000001</v>
      </c>
      <c r="E102" s="18">
        <v>-23956.48</v>
      </c>
      <c r="F102" s="19">
        <f t="shared" si="53"/>
        <v>27739.344842092105</v>
      </c>
      <c r="G102" s="18">
        <f t="shared" ref="G102:G108" si="104">SUM(B102:F102)+G101</f>
        <v>12451.245290689625</v>
      </c>
      <c r="H102" s="19"/>
      <c r="I102" s="18">
        <v>12224.82</v>
      </c>
      <c r="J102" s="18">
        <v>-215995.37</v>
      </c>
      <c r="K102" s="19">
        <v>-27739.344842092105</v>
      </c>
      <c r="L102" s="19"/>
      <c r="M102" s="18">
        <f>SUM(I102:K102)+M101</f>
        <v>-1218120.6054069342</v>
      </c>
      <c r="N102" s="19"/>
      <c r="O102" s="18">
        <f t="shared" si="83"/>
        <v>48742.51</v>
      </c>
      <c r="P102" s="18">
        <f t="shared" si="55"/>
        <v>-7082.4</v>
      </c>
      <c r="Q102" s="18">
        <f t="shared" si="84"/>
        <v>-262719.21000000002</v>
      </c>
      <c r="R102" s="18">
        <f>R101+O102+Q102+P102</f>
        <v>-1205669.3601162445</v>
      </c>
      <c r="S102" s="19">
        <f>SUM(O102:Q102)</f>
        <v>-221059.10000000003</v>
      </c>
      <c r="T102" s="29"/>
    </row>
    <row r="103" spans="1:25" s="28" customFormat="1" ht="12.75" x14ac:dyDescent="0.2">
      <c r="A103" s="40">
        <v>42794</v>
      </c>
      <c r="B103" s="18">
        <v>26965.439999999999</v>
      </c>
      <c r="C103" s="18">
        <v>-18321.599999999999</v>
      </c>
      <c r="D103" s="18">
        <v>-18957.12</v>
      </c>
      <c r="E103" s="18">
        <v>-20530.89</v>
      </c>
      <c r="F103" s="19">
        <f t="shared" si="53"/>
        <v>18138.348555498029</v>
      </c>
      <c r="G103" s="18">
        <f t="shared" si="104"/>
        <v>-254.57615381234427</v>
      </c>
      <c r="H103" s="19"/>
      <c r="I103" s="18">
        <v>8618.9600000000009</v>
      </c>
      <c r="J103" s="18">
        <v>-188879.6</v>
      </c>
      <c r="K103" s="19">
        <v>-18138.348555498029</v>
      </c>
      <c r="L103" s="19"/>
      <c r="M103" s="18">
        <f>SUM(I103:K103)+M102</f>
        <v>-1416519.5939624321</v>
      </c>
      <c r="N103" s="19"/>
      <c r="O103" s="18">
        <f>B103+I103</f>
        <v>35584.400000000001</v>
      </c>
      <c r="P103" s="18">
        <f t="shared" si="55"/>
        <v>-18321.599999999999</v>
      </c>
      <c r="Q103" s="18">
        <f t="shared" si="84"/>
        <v>-228367.61</v>
      </c>
      <c r="R103" s="18">
        <f>R102+O103+Q103+P103</f>
        <v>-1416774.1701162448</v>
      </c>
      <c r="S103" s="19">
        <f>SUM(O103:Q103)</f>
        <v>-211104.81</v>
      </c>
      <c r="T103" s="29"/>
    </row>
    <row r="104" spans="1:25" s="28" customFormat="1" ht="12.75" x14ac:dyDescent="0.2">
      <c r="A104" s="40">
        <v>42825</v>
      </c>
      <c r="B104" s="18">
        <v>46447.21</v>
      </c>
      <c r="C104" s="18">
        <v>-1004.7</v>
      </c>
      <c r="D104" s="18">
        <v>-21591.360000000001</v>
      </c>
      <c r="E104" s="18">
        <v>-20315.560000000001</v>
      </c>
      <c r="F104" s="19">
        <f t="shared" si="53"/>
        <v>13656.506082743668</v>
      </c>
      <c r="G104" s="18">
        <f t="shared" si="104"/>
        <v>16937.519928931324</v>
      </c>
      <c r="H104" s="19"/>
      <c r="I104" s="18">
        <v>26552.34</v>
      </c>
      <c r="J104" s="18">
        <v>-197986.46</v>
      </c>
      <c r="K104" s="19">
        <v>-13656.506082743668</v>
      </c>
      <c r="L104" s="19"/>
      <c r="M104" s="18">
        <f>SUM(I104:K104)+M103</f>
        <v>-1601610.2200451759</v>
      </c>
      <c r="N104" s="19"/>
      <c r="O104" s="18">
        <f t="shared" ref="O104:O118" si="105">B104+I104</f>
        <v>72999.55</v>
      </c>
      <c r="P104" s="18">
        <f t="shared" si="55"/>
        <v>-1004.7</v>
      </c>
      <c r="Q104" s="18">
        <f t="shared" si="84"/>
        <v>-239893.38</v>
      </c>
      <c r="R104" s="18">
        <f>R103+O104+Q104+P104</f>
        <v>-1584672.7001162448</v>
      </c>
      <c r="S104" s="19">
        <f>SUM(O104:Q104)</f>
        <v>-167898.53</v>
      </c>
      <c r="T104" s="29"/>
    </row>
    <row r="105" spans="1:25" ht="12.75" x14ac:dyDescent="0.2">
      <c r="A105" s="40">
        <v>42855</v>
      </c>
      <c r="B105" s="18">
        <v>870.83</v>
      </c>
      <c r="C105" s="18">
        <v>-18118.490000000002</v>
      </c>
      <c r="D105" s="18">
        <v>-16416.96</v>
      </c>
      <c r="E105" s="18">
        <v>-18244.05</v>
      </c>
      <c r="F105" s="19">
        <f>-K105</f>
        <v>19230.891222481936</v>
      </c>
      <c r="G105" s="18">
        <f t="shared" si="104"/>
        <v>-15740.258848586738</v>
      </c>
      <c r="H105" s="19"/>
      <c r="I105" s="18">
        <v>-30445.329999999998</v>
      </c>
      <c r="J105" s="18">
        <v>-161671.79999999999</v>
      </c>
      <c r="K105" s="19">
        <v>-19230.891222481936</v>
      </c>
      <c r="L105" s="19"/>
      <c r="M105" s="18">
        <f>SUM(I105:K105)+M104</f>
        <v>-1812958.2412676578</v>
      </c>
      <c r="N105" s="19"/>
      <c r="O105" s="18">
        <f t="shared" si="105"/>
        <v>-29574.499999999996</v>
      </c>
      <c r="P105" s="18">
        <f t="shared" si="55"/>
        <v>-18118.490000000002</v>
      </c>
      <c r="Q105" s="18">
        <f t="shared" si="84"/>
        <v>-196332.80999999997</v>
      </c>
      <c r="R105" s="18">
        <f>R104+O105+Q105+P105</f>
        <v>-1828698.5001162449</v>
      </c>
      <c r="S105" s="19">
        <f>SUM(O105:Q105)</f>
        <v>-244025.79999999996</v>
      </c>
    </row>
    <row r="106" spans="1:25" ht="12.75" x14ac:dyDescent="0.2">
      <c r="A106" s="40">
        <v>42886</v>
      </c>
      <c r="B106" s="18">
        <v>4595.3599999999997</v>
      </c>
      <c r="C106" s="18">
        <v>-20358.77</v>
      </c>
      <c r="D106" s="18">
        <v>-21120.959999999999</v>
      </c>
      <c r="E106" s="18">
        <v>-16484.419999999998</v>
      </c>
      <c r="F106" s="19">
        <f t="shared" si="53"/>
        <v>54687.927720827574</v>
      </c>
      <c r="G106" s="18">
        <f t="shared" si="104"/>
        <v>-14421.121127759157</v>
      </c>
      <c r="H106" s="19"/>
      <c r="I106" s="18">
        <v>5070.0699999999988</v>
      </c>
      <c r="J106" s="18">
        <v>-136621.90999999997</v>
      </c>
      <c r="K106" s="19">
        <v>-54687.927720827574</v>
      </c>
      <c r="L106" s="19"/>
      <c r="M106" s="18">
        <f>SUM(I106:K106)+M105</f>
        <v>-1999198.0089884854</v>
      </c>
      <c r="N106" s="19"/>
      <c r="O106" s="18">
        <f t="shared" si="105"/>
        <v>9665.4299999999985</v>
      </c>
      <c r="P106" s="18">
        <f t="shared" si="55"/>
        <v>-20358.77</v>
      </c>
      <c r="Q106" s="18">
        <f t="shared" si="84"/>
        <v>-174227.28999999995</v>
      </c>
      <c r="R106" s="18">
        <f>R105+O106+Q106+P106</f>
        <v>-2013619.130116245</v>
      </c>
      <c r="S106" s="19">
        <f>SUM(O106:Q106)</f>
        <v>-184920.62999999995</v>
      </c>
    </row>
    <row r="107" spans="1:25" ht="12.75" x14ac:dyDescent="0.2">
      <c r="A107" s="6" t="s">
        <v>25</v>
      </c>
      <c r="B107" s="18"/>
      <c r="C107" s="18"/>
      <c r="D107" s="18"/>
      <c r="E107" s="20"/>
      <c r="F107" s="19"/>
      <c r="G107" s="8">
        <f t="shared" si="104"/>
        <v>-14421.121127759157</v>
      </c>
      <c r="H107" s="19"/>
      <c r="I107" s="18"/>
      <c r="J107" s="18"/>
      <c r="K107" s="18"/>
      <c r="L107" s="9">
        <v>1658998.15</v>
      </c>
      <c r="M107" s="18">
        <f>SUM(I107:L107)+M106</f>
        <v>-340199.85898848553</v>
      </c>
      <c r="N107" s="19"/>
      <c r="O107" s="18">
        <f t="shared" si="105"/>
        <v>0</v>
      </c>
      <c r="P107" s="18">
        <f t="shared" si="55"/>
        <v>0</v>
      </c>
      <c r="Q107" s="18">
        <f t="shared" si="84"/>
        <v>0</v>
      </c>
      <c r="R107" s="8">
        <f>R106+O107+Q107+P107+L107</f>
        <v>-354620.9801162451</v>
      </c>
      <c r="S107" s="9">
        <f>SUM(O107:Q107)+L107</f>
        <v>1658998.15</v>
      </c>
    </row>
    <row r="108" spans="1:25" ht="12.75" x14ac:dyDescent="0.2">
      <c r="A108" s="6" t="s">
        <v>26</v>
      </c>
      <c r="B108" s="18"/>
      <c r="C108" s="18"/>
      <c r="D108" s="18"/>
      <c r="E108" s="20"/>
      <c r="F108" s="19"/>
      <c r="G108" s="8">
        <f t="shared" si="104"/>
        <v>-14421.121127759157</v>
      </c>
      <c r="H108" s="19"/>
      <c r="I108" s="18"/>
      <c r="J108" s="18"/>
      <c r="K108" s="18"/>
      <c r="L108" s="9">
        <v>823274.95</v>
      </c>
      <c r="M108" s="18">
        <f>SUM(I108:L108)+M107</f>
        <v>483075.09101151442</v>
      </c>
      <c r="N108" s="19"/>
      <c r="O108" s="18">
        <f t="shared" si="105"/>
        <v>0</v>
      </c>
      <c r="P108" s="18">
        <f t="shared" si="55"/>
        <v>0</v>
      </c>
      <c r="Q108" s="18">
        <f t="shared" si="84"/>
        <v>0</v>
      </c>
      <c r="R108" s="8">
        <f>R107+O108+Q108+P108+L108</f>
        <v>468653.96988375485</v>
      </c>
      <c r="S108" s="9">
        <f>SUM(O108:Q108)+L108</f>
        <v>823274.95</v>
      </c>
    </row>
    <row r="109" spans="1:25" ht="12.75" x14ac:dyDescent="0.2">
      <c r="A109" s="40">
        <v>42916</v>
      </c>
      <c r="B109" s="18">
        <v>7463.11</v>
      </c>
      <c r="C109" s="18">
        <v>-16006.73</v>
      </c>
      <c r="D109" s="18">
        <v>-18345.599999999999</v>
      </c>
      <c r="E109" s="18">
        <v>-16971.689999999999</v>
      </c>
      <c r="F109" s="19">
        <f>-K109</f>
        <v>37770.700603803765</v>
      </c>
      <c r="G109" s="18">
        <f>SUM(B109:F109)+G108</f>
        <v>-20511.330523955388</v>
      </c>
      <c r="H109" s="19"/>
      <c r="I109" s="18">
        <v>9663.44</v>
      </c>
      <c r="J109" s="18">
        <v>-135970.03</v>
      </c>
      <c r="K109" s="19">
        <f t="shared" ref="K109:K118" si="106">(((M108+I109)/(R108+O109))*Q109)-J109</f>
        <v>-37770.700603803765</v>
      </c>
      <c r="L109" s="19"/>
      <c r="M109" s="18">
        <f>SUM(I109:K109)+M108</f>
        <v>318997.80040771066</v>
      </c>
      <c r="N109" s="19"/>
      <c r="O109" s="18">
        <f t="shared" si="105"/>
        <v>17126.55</v>
      </c>
      <c r="P109" s="18">
        <f t="shared" si="55"/>
        <v>-16006.73</v>
      </c>
      <c r="Q109" s="18">
        <f t="shared" si="84"/>
        <v>-171287.32</v>
      </c>
      <c r="R109" s="18">
        <f>R108+O109+Q109+P109</f>
        <v>298486.46988375485</v>
      </c>
      <c r="S109" s="19">
        <f>SUM(O109:Q109)</f>
        <v>-170167.5</v>
      </c>
    </row>
    <row r="110" spans="1:25" ht="23.25" customHeight="1" x14ac:dyDescent="0.2">
      <c r="A110" s="40">
        <v>42947</v>
      </c>
      <c r="B110" s="18">
        <v>6386.25</v>
      </c>
      <c r="C110" s="18">
        <v>-23814.32</v>
      </c>
      <c r="D110" s="18">
        <v>-18721.919999999998</v>
      </c>
      <c r="E110" s="18">
        <v>-16844.43</v>
      </c>
      <c r="F110" s="19">
        <f>-K110</f>
        <v>42322.360693046008</v>
      </c>
      <c r="G110" s="18">
        <f>SUM(B110:F110)+G109</f>
        <v>-31183.389830909378</v>
      </c>
      <c r="H110" s="19"/>
      <c r="I110" s="18">
        <v>20778.05</v>
      </c>
      <c r="J110" s="18">
        <v>-120192.06</v>
      </c>
      <c r="K110" s="19">
        <f t="shared" si="106"/>
        <v>-42322.360693046008</v>
      </c>
      <c r="L110" s="19"/>
      <c r="M110" s="18">
        <f>SUM(I110:K110)+M109</f>
        <v>177261.42971466464</v>
      </c>
      <c r="N110" s="19"/>
      <c r="O110" s="18">
        <f t="shared" si="105"/>
        <v>27164.3</v>
      </c>
      <c r="P110" s="18">
        <f t="shared" si="55"/>
        <v>-23814.32</v>
      </c>
      <c r="Q110" s="18">
        <f t="shared" si="84"/>
        <v>-155758.40999999997</v>
      </c>
      <c r="R110" s="18">
        <f>R109+O110+Q110+P110</f>
        <v>146078.03988375486</v>
      </c>
      <c r="S110" s="19">
        <f>SUM(O110:Q110)</f>
        <v>-152408.42999999996</v>
      </c>
      <c r="U110" s="44"/>
      <c r="W110" s="18"/>
      <c r="X110" s="18"/>
      <c r="Y110" s="45"/>
    </row>
    <row r="111" spans="1:25" ht="12.75" x14ac:dyDescent="0.2">
      <c r="A111" s="40">
        <v>42978</v>
      </c>
      <c r="B111" s="18">
        <v>8985.64</v>
      </c>
      <c r="C111" s="18">
        <v>-16412.759999999998</v>
      </c>
      <c r="D111" s="18">
        <v>-380.69</v>
      </c>
      <c r="E111" s="18">
        <v>-13414.1</v>
      </c>
      <c r="F111" s="19">
        <f>-K111</f>
        <v>23838.571295594928</v>
      </c>
      <c r="G111" s="18">
        <f>SUM(B111:F111)+G110</f>
        <v>-28566.728535314451</v>
      </c>
      <c r="H111" s="19"/>
      <c r="I111" s="18">
        <v>20521.14</v>
      </c>
      <c r="J111" s="18">
        <v>-65651.8</v>
      </c>
      <c r="K111" s="19">
        <f t="shared" si="106"/>
        <v>-23838.571295594928</v>
      </c>
      <c r="L111" s="19"/>
      <c r="M111" s="18">
        <f>SUM(I111:K111)+M110</f>
        <v>108292.19841906971</v>
      </c>
      <c r="N111" s="19"/>
      <c r="O111" s="18">
        <f t="shared" si="105"/>
        <v>29506.78</v>
      </c>
      <c r="P111" s="18">
        <f t="shared" si="55"/>
        <v>-16412.759999999998</v>
      </c>
      <c r="Q111" s="18">
        <f t="shared" si="84"/>
        <v>-79446.590000000011</v>
      </c>
      <c r="R111" s="18">
        <f>R110+O111+Q111+P111</f>
        <v>79725.469883754849</v>
      </c>
      <c r="S111" s="19">
        <f>SUM(O111:Q111)</f>
        <v>-66352.570000000007</v>
      </c>
      <c r="U111" s="44"/>
      <c r="W111" s="18"/>
      <c r="X111" s="18"/>
      <c r="Y111" s="45"/>
    </row>
    <row r="112" spans="1:25" ht="12.75" x14ac:dyDescent="0.2">
      <c r="A112" s="40">
        <v>43008</v>
      </c>
      <c r="B112" s="18">
        <v>3980.56</v>
      </c>
      <c r="C112" s="18">
        <v>-16497.810000000001</v>
      </c>
      <c r="D112" s="18">
        <v>-373.3</v>
      </c>
      <c r="E112" s="18">
        <v>-336.83</v>
      </c>
      <c r="F112" s="19">
        <f>-K112</f>
        <v>1566.5758170751837</v>
      </c>
      <c r="G112" s="18">
        <f>SUM(B112:F112)+G111</f>
        <v>-40227.532718239265</v>
      </c>
      <c r="H112" s="19"/>
      <c r="I112" s="18">
        <v>2900.46</v>
      </c>
      <c r="J112" s="18">
        <v>-2306.7600000000002</v>
      </c>
      <c r="K112" s="19">
        <f t="shared" si="106"/>
        <v>-1566.5758170751837</v>
      </c>
      <c r="L112" s="19"/>
      <c r="M112" s="18">
        <f>SUM(I112:K112)+M111</f>
        <v>107319.32260199453</v>
      </c>
      <c r="N112" s="19"/>
      <c r="O112" s="18">
        <f t="shared" si="105"/>
        <v>6881.02</v>
      </c>
      <c r="P112" s="18">
        <f t="shared" si="55"/>
        <v>-16497.810000000001</v>
      </c>
      <c r="Q112" s="18">
        <f t="shared" si="84"/>
        <v>-3016.8900000000003</v>
      </c>
      <c r="R112" s="18">
        <f>R111+O112+Q112+P112</f>
        <v>67091.789883754856</v>
      </c>
      <c r="S112" s="19">
        <f>SUM(O112:Q112)</f>
        <v>-12633.68</v>
      </c>
      <c r="U112" s="44"/>
      <c r="W112" s="18"/>
      <c r="X112" s="18"/>
      <c r="Y112" s="45"/>
    </row>
    <row r="113" spans="1:19" ht="12.75" x14ac:dyDescent="0.2">
      <c r="A113" s="40">
        <v>43039</v>
      </c>
      <c r="B113" s="18">
        <v>2473.11</v>
      </c>
      <c r="C113" s="18">
        <v>-10781.51</v>
      </c>
      <c r="D113" s="18">
        <v>-439.82</v>
      </c>
      <c r="E113" s="18">
        <v>-311.24</v>
      </c>
      <c r="F113" s="19">
        <f t="shared" ref="F113:F118" si="107">-K113</f>
        <v>3010.3364826531001</v>
      </c>
      <c r="G113" s="18">
        <f t="shared" ref="G113:G114" si="108">SUM(B113:F113)+G112</f>
        <v>-46276.656235586168</v>
      </c>
      <c r="H113" s="19"/>
      <c r="I113" s="18">
        <v>-17051.900000000001</v>
      </c>
      <c r="J113" s="18">
        <v>-2391.39</v>
      </c>
      <c r="K113" s="19">
        <f t="shared" si="106"/>
        <v>-3010.3364826531001</v>
      </c>
      <c r="L113" s="19"/>
      <c r="M113" s="18">
        <f t="shared" ref="M113:M115" si="109">SUM(I113:K113)+M112</f>
        <v>84865.696119341432</v>
      </c>
      <c r="N113" s="19"/>
      <c r="O113" s="18">
        <f t="shared" si="105"/>
        <v>-14578.79</v>
      </c>
      <c r="P113" s="18">
        <f t="shared" si="55"/>
        <v>-10781.51</v>
      </c>
      <c r="Q113" s="18">
        <f t="shared" si="84"/>
        <v>-3142.4500000000003</v>
      </c>
      <c r="R113" s="18">
        <f t="shared" ref="R113:R118" si="110">R112+O113+Q113+P113</f>
        <v>38589.039883754856</v>
      </c>
      <c r="S113" s="19">
        <f t="shared" ref="S113:S118" si="111">SUM(O113:Q113)</f>
        <v>-28502.750000000004</v>
      </c>
    </row>
    <row r="114" spans="1:19" ht="12.75" x14ac:dyDescent="0.2">
      <c r="A114" s="40">
        <v>43069</v>
      </c>
      <c r="B114" s="18">
        <f>18268.98-1130.79</f>
        <v>17138.189999999999</v>
      </c>
      <c r="C114" s="18">
        <v>-16604.28</v>
      </c>
      <c r="D114" s="18">
        <v>-429.66</v>
      </c>
      <c r="E114" s="18">
        <v>-393.7</v>
      </c>
      <c r="F114" s="19">
        <f t="shared" si="107"/>
        <v>-8710.3251145171816</v>
      </c>
      <c r="G114" s="18">
        <f t="shared" si="108"/>
        <v>-55276.431350103347</v>
      </c>
      <c r="H114" s="19"/>
      <c r="I114" s="18">
        <v>-68082.91</v>
      </c>
      <c r="J114" s="18">
        <v>-3219.24</v>
      </c>
      <c r="K114" s="19">
        <f t="shared" si="106"/>
        <v>8710.3251145171816</v>
      </c>
      <c r="L114" s="19"/>
      <c r="M114" s="18">
        <f t="shared" si="109"/>
        <v>22273.871233858605</v>
      </c>
      <c r="N114" s="19"/>
      <c r="O114" s="18">
        <f t="shared" si="105"/>
        <v>-50944.72</v>
      </c>
      <c r="P114" s="18">
        <f t="shared" si="55"/>
        <v>-16604.28</v>
      </c>
      <c r="Q114" s="18">
        <f t="shared" si="84"/>
        <v>-4042.5999999999995</v>
      </c>
      <c r="R114" s="18">
        <f t="shared" si="110"/>
        <v>-33002.560116245142</v>
      </c>
      <c r="S114" s="19">
        <f t="shared" si="111"/>
        <v>-71591.600000000006</v>
      </c>
    </row>
    <row r="115" spans="1:19" s="39" customFormat="1" ht="12.75" x14ac:dyDescent="0.2">
      <c r="A115" s="6">
        <v>43100</v>
      </c>
      <c r="B115" s="8">
        <f>21165.21-1889.35</f>
        <v>19275.86</v>
      </c>
      <c r="C115" s="8">
        <v>-9368.73</v>
      </c>
      <c r="D115" s="8">
        <v>-414.88</v>
      </c>
      <c r="E115" s="8">
        <v>-528.74</v>
      </c>
      <c r="F115" s="9">
        <f t="shared" si="107"/>
        <v>-1254.0148699574156</v>
      </c>
      <c r="G115" s="8">
        <f t="shared" ref="G115" si="112">SUM(B115:F115)+G114</f>
        <v>-47566.936220060757</v>
      </c>
      <c r="H115" s="9"/>
      <c r="I115" s="8">
        <v>-62178.16</v>
      </c>
      <c r="J115" s="8">
        <v>-3689.95</v>
      </c>
      <c r="K115" s="9">
        <f t="shared" si="106"/>
        <v>1254.0148699574156</v>
      </c>
      <c r="L115" s="9"/>
      <c r="M115" s="8">
        <f t="shared" si="109"/>
        <v>-42340.223896183983</v>
      </c>
      <c r="N115" s="9"/>
      <c r="O115" s="8">
        <f t="shared" si="105"/>
        <v>-42902.3</v>
      </c>
      <c r="P115" s="8">
        <f t="shared" si="55"/>
        <v>-9368.73</v>
      </c>
      <c r="Q115" s="8">
        <f t="shared" si="84"/>
        <v>-4633.57</v>
      </c>
      <c r="R115" s="8">
        <f t="shared" si="110"/>
        <v>-89907.160116245141</v>
      </c>
      <c r="S115" s="9">
        <f t="shared" si="111"/>
        <v>-56904.6</v>
      </c>
    </row>
    <row r="116" spans="1:19" ht="12.75" x14ac:dyDescent="0.2">
      <c r="A116" s="40">
        <v>43131</v>
      </c>
      <c r="B116" s="18">
        <v>192982.49</v>
      </c>
      <c r="C116" s="18">
        <v>-79.8</v>
      </c>
      <c r="D116" s="18">
        <v>-499.88</v>
      </c>
      <c r="E116" s="18">
        <v>-400.57</v>
      </c>
      <c r="F116" s="19">
        <f t="shared" si="107"/>
        <v>10849.729891732521</v>
      </c>
      <c r="G116" s="18">
        <f t="shared" ref="G116" si="113">SUM(B116:F116)+G115</f>
        <v>155285.03367167176</v>
      </c>
      <c r="H116" s="19"/>
      <c r="I116" s="18">
        <v>-178174.38</v>
      </c>
      <c r="J116" s="18">
        <v>-4237.8</v>
      </c>
      <c r="K116" s="19">
        <f t="shared" si="106"/>
        <v>-10849.729891732521</v>
      </c>
      <c r="L116" s="19"/>
      <c r="M116" s="18">
        <f t="shared" ref="M116:M118" si="114">SUM(I116:K116)+M115</f>
        <v>-235602.13378791648</v>
      </c>
      <c r="N116" s="19"/>
      <c r="O116" s="18">
        <f t="shared" si="105"/>
        <v>14808.109999999986</v>
      </c>
      <c r="P116" s="18">
        <f t="shared" si="55"/>
        <v>-79.8</v>
      </c>
      <c r="Q116" s="18">
        <f t="shared" si="84"/>
        <v>-5138.25</v>
      </c>
      <c r="R116" s="18">
        <f t="shared" si="110"/>
        <v>-80317.100116245158</v>
      </c>
      <c r="S116" s="19">
        <f t="shared" si="111"/>
        <v>9590.0599999999868</v>
      </c>
    </row>
    <row r="117" spans="1:19" ht="12.75" x14ac:dyDescent="0.2">
      <c r="A117" s="40">
        <v>43159</v>
      </c>
      <c r="B117" s="18">
        <f>22810-192982.49+22384.87</f>
        <v>-147787.62</v>
      </c>
      <c r="C117" s="18">
        <v>-4.28</v>
      </c>
      <c r="D117" s="18">
        <v>-424.12</v>
      </c>
      <c r="E117" s="18">
        <v>-440.24</v>
      </c>
      <c r="F117" s="19">
        <f t="shared" si="107"/>
        <v>984.96471690428461</v>
      </c>
      <c r="G117" s="18">
        <f t="shared" ref="G117" si="115">SUM(B117:F117)+G116</f>
        <v>7613.7383885760501</v>
      </c>
      <c r="H117" s="19"/>
      <c r="I117" s="18">
        <v>-81494.649999999994</v>
      </c>
      <c r="J117" s="18">
        <v>-4115.91</v>
      </c>
      <c r="K117" s="19">
        <f t="shared" si="106"/>
        <v>-984.96471690428461</v>
      </c>
      <c r="L117" s="19"/>
      <c r="M117" s="18">
        <f t="shared" si="114"/>
        <v>-322197.65850482078</v>
      </c>
      <c r="N117" s="19"/>
      <c r="O117" s="18">
        <f t="shared" si="105"/>
        <v>-229282.27</v>
      </c>
      <c r="P117" s="18">
        <f t="shared" si="55"/>
        <v>-4.28</v>
      </c>
      <c r="Q117" s="18">
        <f t="shared" si="84"/>
        <v>-4980.2699999999995</v>
      </c>
      <c r="R117" s="18">
        <f t="shared" si="110"/>
        <v>-314583.92011624516</v>
      </c>
      <c r="S117" s="19">
        <f t="shared" si="111"/>
        <v>-234266.81999999998</v>
      </c>
    </row>
    <row r="118" spans="1:19" ht="12.75" x14ac:dyDescent="0.2">
      <c r="A118" s="40">
        <v>43190</v>
      </c>
      <c r="B118" s="18">
        <v>9384.68</v>
      </c>
      <c r="C118" s="18">
        <v>0</v>
      </c>
      <c r="D118" s="18">
        <v>-425.04</v>
      </c>
      <c r="E118" s="18">
        <v>-434.32499999999999</v>
      </c>
      <c r="F118" s="19">
        <f t="shared" si="107"/>
        <v>1055.3394079786904</v>
      </c>
      <c r="G118" s="18">
        <f t="shared" ref="G118" si="116">SUM(B118:F118)+G117</f>
        <v>17194.392796554741</v>
      </c>
      <c r="H118" s="19"/>
      <c r="I118" s="18">
        <v>-97040.63</v>
      </c>
      <c r="J118" s="18">
        <v>-3778.05</v>
      </c>
      <c r="K118" s="19">
        <f t="shared" si="106"/>
        <v>-1055.3394079786904</v>
      </c>
      <c r="L118" s="19"/>
      <c r="M118" s="18">
        <f t="shared" si="114"/>
        <v>-424071.67791279947</v>
      </c>
      <c r="N118" s="19"/>
      <c r="O118" s="18">
        <f t="shared" si="105"/>
        <v>-87655.950000000012</v>
      </c>
      <c r="P118" s="18">
        <f t="shared" si="55"/>
        <v>0</v>
      </c>
      <c r="Q118" s="18">
        <f t="shared" si="84"/>
        <v>-4637.415</v>
      </c>
      <c r="R118" s="18">
        <f t="shared" si="110"/>
        <v>-406877.28511624516</v>
      </c>
      <c r="S118" s="19">
        <f t="shared" si="111"/>
        <v>-92293.365000000005</v>
      </c>
    </row>
    <row r="119" spans="1:19" ht="12.75" x14ac:dyDescent="0.2">
      <c r="A119" s="40"/>
      <c r="B119" s="18"/>
      <c r="C119" s="18"/>
      <c r="D119" s="18"/>
      <c r="E119" s="18"/>
      <c r="F119" s="19"/>
      <c r="G119" s="18"/>
      <c r="H119" s="19"/>
      <c r="I119" s="18"/>
      <c r="J119" s="18"/>
      <c r="K119" s="19"/>
      <c r="L119" s="19"/>
      <c r="M119" s="18"/>
      <c r="N119" s="19"/>
      <c r="O119" s="18"/>
      <c r="P119" s="18"/>
      <c r="Q119" s="18"/>
      <c r="R119" s="18"/>
      <c r="S119" s="19"/>
    </row>
  </sheetData>
  <mergeCells count="5">
    <mergeCell ref="A1:S1"/>
    <mergeCell ref="A2:S2"/>
    <mergeCell ref="B4:G4"/>
    <mergeCell ref="I4:M4"/>
    <mergeCell ref="O4:S4"/>
  </mergeCells>
  <pageMargins left="0.1" right="0.1" top="0.51" bottom="1" header="0.28999999999999998" footer="0.5"/>
  <pageSetup scale="60" orientation="landscape" blackAndWhite="1"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6"/>
  <sheetViews>
    <sheetView zoomScaleNormal="100" workbookViewId="0">
      <pane xSplit="1" ySplit="18" topLeftCell="B19" activePane="bottomRight" state="frozen"/>
      <selection pane="topRight" activeCell="B1" sqref="B1"/>
      <selection pane="bottomLeft" activeCell="A19" sqref="A19"/>
      <selection pane="bottomRight" activeCell="G89" sqref="G89"/>
    </sheetView>
  </sheetViews>
  <sheetFormatPr defaultRowHeight="11.25" outlineLevelRow="3" outlineLevelCol="1" x14ac:dyDescent="0.2"/>
  <cols>
    <col min="1" max="1" width="10.140625" style="37" customWidth="1"/>
    <col min="2" max="2" width="2.7109375" style="37" customWidth="1"/>
    <col min="3" max="3" width="14.5703125" style="37" customWidth="1" outlineLevel="1"/>
    <col min="4" max="4" width="13.28515625" style="37" customWidth="1" outlineLevel="1"/>
    <col min="5" max="6" width="12.140625" style="37" customWidth="1" outlineLevel="1"/>
    <col min="7" max="7" width="12.85546875" style="37" customWidth="1" outlineLevel="1"/>
    <col min="8" max="8" width="13" style="37" customWidth="1" outlineLevel="1"/>
    <col min="9" max="9" width="3.42578125" style="37" customWidth="1" outlineLevel="1"/>
    <col min="10" max="10" width="14.140625" style="37" customWidth="1" outlineLevel="1"/>
    <col min="11" max="11" width="12.7109375" style="37" customWidth="1" outlineLevel="1"/>
    <col min="12" max="12" width="12.42578125" style="37" customWidth="1" outlineLevel="1"/>
    <col min="13" max="13" width="12.140625" style="37" customWidth="1" outlineLevel="1"/>
    <col min="14" max="14" width="3.140625" style="37" customWidth="1"/>
    <col min="15" max="15" width="11.140625" style="37" customWidth="1"/>
    <col min="16" max="16" width="13" style="37" customWidth="1"/>
    <col min="17" max="17" width="14.140625" style="37" customWidth="1"/>
    <col min="18" max="18" width="14.7109375" style="37" customWidth="1"/>
    <col min="19" max="19" width="14.42578125" style="37" customWidth="1"/>
    <col min="20" max="20" width="12.42578125" style="37" bestFit="1" customWidth="1"/>
    <col min="21" max="21" width="9.28515625" style="37" bestFit="1" customWidth="1"/>
    <col min="22" max="16384" width="9.140625" style="37"/>
  </cols>
  <sheetData>
    <row r="1" spans="1:20" s="1" customFormat="1" ht="15" x14ac:dyDescent="0.25">
      <c r="A1" s="46" t="s">
        <v>0</v>
      </c>
      <c r="B1" s="46"/>
      <c r="C1" s="46"/>
      <c r="D1" s="46"/>
      <c r="E1" s="46"/>
      <c r="F1" s="46"/>
      <c r="G1" s="46"/>
      <c r="H1" s="46"/>
      <c r="I1" s="46"/>
      <c r="J1" s="46"/>
      <c r="K1" s="46"/>
      <c r="L1" s="46"/>
      <c r="M1" s="46"/>
      <c r="N1" s="46"/>
      <c r="O1" s="46"/>
      <c r="P1" s="46"/>
      <c r="Q1" s="46"/>
      <c r="R1" s="46"/>
      <c r="S1" s="46"/>
    </row>
    <row r="2" spans="1:20" s="1" customFormat="1" ht="15" x14ac:dyDescent="0.25">
      <c r="A2" s="46" t="s">
        <v>1</v>
      </c>
      <c r="B2" s="46"/>
      <c r="C2" s="46"/>
      <c r="D2" s="46"/>
      <c r="E2" s="46"/>
      <c r="F2" s="46"/>
      <c r="G2" s="46"/>
      <c r="H2" s="46"/>
      <c r="I2" s="46"/>
      <c r="J2" s="46"/>
      <c r="K2" s="46"/>
      <c r="L2" s="46"/>
      <c r="M2" s="46"/>
      <c r="N2" s="46"/>
      <c r="O2" s="46"/>
      <c r="P2" s="46"/>
      <c r="Q2" s="46"/>
      <c r="R2" s="46"/>
      <c r="S2" s="46"/>
    </row>
    <row r="3" spans="1:20" s="1" customFormat="1" ht="15" x14ac:dyDescent="0.25"/>
    <row r="4" spans="1:20" s="2" customFormat="1" ht="12.75" x14ac:dyDescent="0.2">
      <c r="C4" s="47" t="s">
        <v>2</v>
      </c>
      <c r="D4" s="48"/>
      <c r="E4" s="48"/>
      <c r="F4" s="48"/>
      <c r="G4" s="48"/>
      <c r="H4" s="49"/>
      <c r="J4" s="47" t="s">
        <v>20</v>
      </c>
      <c r="K4" s="48"/>
      <c r="L4" s="48"/>
      <c r="M4" s="49"/>
      <c r="O4" s="47" t="s">
        <v>3</v>
      </c>
      <c r="P4" s="48"/>
      <c r="Q4" s="48"/>
      <c r="R4" s="48"/>
      <c r="S4" s="49"/>
    </row>
    <row r="5" spans="1:20" s="3" customFormat="1" ht="38.25" x14ac:dyDescent="0.2">
      <c r="C5" s="4" t="s">
        <v>4</v>
      </c>
      <c r="D5" s="4" t="s">
        <v>5</v>
      </c>
      <c r="E5" s="4" t="s">
        <v>6</v>
      </c>
      <c r="F5" s="4" t="s">
        <v>7</v>
      </c>
      <c r="G5" s="4" t="s">
        <v>8</v>
      </c>
      <c r="H5" s="4" t="s">
        <v>9</v>
      </c>
      <c r="J5" s="4" t="s">
        <v>4</v>
      </c>
      <c r="K5" s="4" t="s">
        <v>7</v>
      </c>
      <c r="L5" s="4" t="s">
        <v>8</v>
      </c>
      <c r="M5" s="4" t="s">
        <v>9</v>
      </c>
      <c r="O5" s="5" t="s">
        <v>4</v>
      </c>
      <c r="P5" s="5" t="s">
        <v>10</v>
      </c>
      <c r="Q5" s="5" t="s">
        <v>11</v>
      </c>
      <c r="R5" s="5" t="s">
        <v>12</v>
      </c>
      <c r="S5" s="5" t="s">
        <v>13</v>
      </c>
    </row>
    <row r="6" spans="1:20" s="10" customFormat="1" ht="12.75" hidden="1" outlineLevel="2" x14ac:dyDescent="0.2">
      <c r="A6" s="6">
        <v>40178</v>
      </c>
      <c r="B6" s="6"/>
      <c r="C6" s="7">
        <v>24083.263825699385</v>
      </c>
      <c r="D6" s="8">
        <v>-20377.499999999993</v>
      </c>
      <c r="E6" s="8">
        <v>-10734.7</v>
      </c>
      <c r="F6" s="8">
        <v>-9070.49</v>
      </c>
      <c r="G6" s="9">
        <v>74279.22</v>
      </c>
      <c r="H6" s="8">
        <v>-2.8001806203974411E-3</v>
      </c>
      <c r="I6" s="9"/>
      <c r="J6" s="8">
        <v>65665</v>
      </c>
      <c r="K6" s="8">
        <v>-97682.34</v>
      </c>
      <c r="L6" s="9">
        <v>-74279.22</v>
      </c>
      <c r="M6" s="8">
        <v>297045.90908019396</v>
      </c>
      <c r="O6" s="11">
        <v>89748.263825699381</v>
      </c>
      <c r="P6" s="11">
        <v>-20377.499999999993</v>
      </c>
      <c r="Q6" s="12">
        <v>-117487.53</v>
      </c>
      <c r="R6" s="13">
        <v>297045.90628001362</v>
      </c>
      <c r="S6" s="14">
        <v>-48116.766174300603</v>
      </c>
      <c r="T6" s="15"/>
    </row>
    <row r="7" spans="1:20" s="21" customFormat="1" ht="12.75" hidden="1" outlineLevel="3" x14ac:dyDescent="0.2">
      <c r="A7" s="16">
        <v>40209</v>
      </c>
      <c r="B7" s="16"/>
      <c r="C7" s="17">
        <v>9601.2099999999991</v>
      </c>
      <c r="D7" s="18">
        <v>-9968.8799999999992</v>
      </c>
      <c r="E7" s="18">
        <v>-7642.15</v>
      </c>
      <c r="F7" s="18">
        <v>-11823.41</v>
      </c>
      <c r="G7" s="19">
        <v>19833.23</v>
      </c>
      <c r="H7" s="20">
        <f t="shared" ref="H7:H41" si="0">SUM(C7:G7)+H6</f>
        <v>-2.8001806203974411E-3</v>
      </c>
      <c r="I7" s="19"/>
      <c r="J7" s="18">
        <v>52671</v>
      </c>
      <c r="K7" s="18">
        <v>-114166.15</v>
      </c>
      <c r="L7" s="19">
        <v>-19833.23</v>
      </c>
      <c r="M7" s="18">
        <f t="shared" ref="M7" si="1">SUM(J7:L7)+M6</f>
        <v>215717.52908019396</v>
      </c>
      <c r="O7" s="22">
        <f t="shared" ref="O7:O66" si="2">C7+J7</f>
        <v>62272.21</v>
      </c>
      <c r="P7" s="22">
        <f t="shared" ref="P7:P66" si="3">+D7</f>
        <v>-9968.8799999999992</v>
      </c>
      <c r="Q7" s="23">
        <f t="shared" ref="Q7:Q16" si="4">+F7+K7+E7</f>
        <v>-133631.71</v>
      </c>
      <c r="R7" s="24">
        <f t="shared" ref="R7:R16" si="5">R6+O7+Q7+P7</f>
        <v>215717.52628001364</v>
      </c>
      <c r="S7" s="14">
        <f t="shared" ref="S7:S13" si="6">SUM(O7:Q7)</f>
        <v>-81328.37999999999</v>
      </c>
      <c r="T7" s="25"/>
    </row>
    <row r="8" spans="1:20" s="28" customFormat="1" ht="12.75" hidden="1" outlineLevel="3" x14ac:dyDescent="0.2">
      <c r="A8" s="26">
        <v>40210</v>
      </c>
      <c r="B8" s="26"/>
      <c r="C8" s="27">
        <v>1685.83</v>
      </c>
      <c r="D8" s="24">
        <v>-10745.76</v>
      </c>
      <c r="E8" s="24">
        <v>-7731.36</v>
      </c>
      <c r="F8" s="24">
        <v>-10051.530000000001</v>
      </c>
      <c r="G8" s="22">
        <v>26842.82</v>
      </c>
      <c r="H8" s="23">
        <f t="shared" si="0"/>
        <v>-2.8001806203974411E-3</v>
      </c>
      <c r="I8" s="22"/>
      <c r="J8" s="24">
        <v>66639</v>
      </c>
      <c r="K8" s="24">
        <v>-90089.94</v>
      </c>
      <c r="L8" s="22">
        <v>-26842.82</v>
      </c>
      <c r="M8" s="24">
        <f t="shared" ref="M8:M12" si="7">SUM(J8:L8)+M7</f>
        <v>165423.76908019395</v>
      </c>
      <c r="O8" s="22">
        <f t="shared" si="2"/>
        <v>68324.83</v>
      </c>
      <c r="P8" s="22">
        <f t="shared" si="3"/>
        <v>-10745.76</v>
      </c>
      <c r="Q8" s="23">
        <f t="shared" si="4"/>
        <v>-107872.83</v>
      </c>
      <c r="R8" s="24">
        <f t="shared" si="5"/>
        <v>165423.7662800136</v>
      </c>
      <c r="S8" s="14">
        <f t="shared" si="6"/>
        <v>-50293.760000000002</v>
      </c>
      <c r="T8" s="29"/>
    </row>
    <row r="9" spans="1:20" s="28" customFormat="1" ht="12.75" hidden="1" outlineLevel="3" x14ac:dyDescent="0.2">
      <c r="A9" s="26">
        <v>40238</v>
      </c>
      <c r="B9" s="26"/>
      <c r="C9" s="27">
        <v>609.48</v>
      </c>
      <c r="D9" s="24">
        <v>-12814.88</v>
      </c>
      <c r="E9" s="24">
        <v>-9337.1</v>
      </c>
      <c r="F9" s="24">
        <v>-9138.0300000000007</v>
      </c>
      <c r="G9" s="22">
        <v>30680.53</v>
      </c>
      <c r="H9" s="23">
        <f t="shared" si="0"/>
        <v>-2.8001806203974411E-3</v>
      </c>
      <c r="I9" s="22"/>
      <c r="J9" s="24">
        <v>52622</v>
      </c>
      <c r="K9" s="24">
        <v>-85981.78</v>
      </c>
      <c r="L9" s="22">
        <v>-30680.53</v>
      </c>
      <c r="M9" s="24">
        <f t="shared" si="7"/>
        <v>101383.45908019395</v>
      </c>
      <c r="O9" s="22">
        <f t="shared" si="2"/>
        <v>53231.48</v>
      </c>
      <c r="P9" s="22">
        <f t="shared" si="3"/>
        <v>-12814.88</v>
      </c>
      <c r="Q9" s="23">
        <f t="shared" si="4"/>
        <v>-104456.91</v>
      </c>
      <c r="R9" s="24">
        <f t="shared" si="5"/>
        <v>101383.4562800136</v>
      </c>
      <c r="S9" s="14">
        <f t="shared" si="6"/>
        <v>-64040.31</v>
      </c>
      <c r="T9" s="29"/>
    </row>
    <row r="10" spans="1:20" s="28" customFormat="1" ht="12.75" hidden="1" outlineLevel="3" x14ac:dyDescent="0.2">
      <c r="A10" s="26">
        <v>40269</v>
      </c>
      <c r="B10" s="26"/>
      <c r="C10" s="27">
        <v>5088.0200000000004</v>
      </c>
      <c r="D10" s="24">
        <v>-9410.2199999999993</v>
      </c>
      <c r="E10" s="24">
        <v>-7404.26</v>
      </c>
      <c r="F10" s="24">
        <v>-9179.07</v>
      </c>
      <c r="G10" s="22">
        <v>20905.53</v>
      </c>
      <c r="H10" s="23">
        <f t="shared" si="0"/>
        <v>-2.8001806203974411E-3</v>
      </c>
      <c r="I10" s="22"/>
      <c r="J10" s="24">
        <v>44754</v>
      </c>
      <c r="K10" s="24">
        <v>-87487.73</v>
      </c>
      <c r="L10" s="22">
        <v>-20905.53</v>
      </c>
      <c r="M10" s="24">
        <f t="shared" si="7"/>
        <v>37744.199080193954</v>
      </c>
      <c r="O10" s="22">
        <f t="shared" si="2"/>
        <v>49842.020000000004</v>
      </c>
      <c r="P10" s="22">
        <f t="shared" si="3"/>
        <v>-9410.2199999999993</v>
      </c>
      <c r="Q10" s="23">
        <f t="shared" si="4"/>
        <v>-104071.05999999998</v>
      </c>
      <c r="R10" s="24">
        <f t="shared" si="5"/>
        <v>37744.196280013639</v>
      </c>
      <c r="S10" s="14">
        <f t="shared" si="6"/>
        <v>-63639.25999999998</v>
      </c>
      <c r="T10" s="29"/>
    </row>
    <row r="11" spans="1:20" s="28" customFormat="1" ht="12.75" hidden="1" outlineLevel="3" x14ac:dyDescent="0.2">
      <c r="A11" s="26">
        <v>40329</v>
      </c>
      <c r="B11" s="26"/>
      <c r="C11" s="27">
        <v>1419.64</v>
      </c>
      <c r="D11" s="24">
        <v>-7762.5</v>
      </c>
      <c r="E11" s="24">
        <v>-8207.14</v>
      </c>
      <c r="F11" s="24">
        <v>-8748.26</v>
      </c>
      <c r="G11" s="22">
        <v>23298.26</v>
      </c>
      <c r="H11" s="23">
        <f t="shared" si="0"/>
        <v>-2.8001806203974411E-3</v>
      </c>
      <c r="I11" s="22"/>
      <c r="J11" s="24">
        <v>46294</v>
      </c>
      <c r="K11" s="24">
        <v>-74918.460000000006</v>
      </c>
      <c r="L11" s="22">
        <v>-23298.26</v>
      </c>
      <c r="M11" s="24">
        <f t="shared" si="7"/>
        <v>-14178.520919806047</v>
      </c>
      <c r="O11" s="22">
        <f t="shared" si="2"/>
        <v>47713.64</v>
      </c>
      <c r="P11" s="22">
        <f t="shared" si="3"/>
        <v>-7762.5</v>
      </c>
      <c r="Q11" s="23">
        <f t="shared" si="4"/>
        <v>-91873.86</v>
      </c>
      <c r="R11" s="24">
        <f t="shared" si="5"/>
        <v>-14178.523719986362</v>
      </c>
      <c r="S11" s="14">
        <f t="shared" si="6"/>
        <v>-51922.720000000001</v>
      </c>
      <c r="T11" s="29"/>
    </row>
    <row r="12" spans="1:20" s="28" customFormat="1" ht="12.75" hidden="1" outlineLevel="3" x14ac:dyDescent="0.2">
      <c r="A12" s="26">
        <v>40359</v>
      </c>
      <c r="B12" s="26"/>
      <c r="C12" s="27">
        <v>1087.9000000000001</v>
      </c>
      <c r="D12" s="24">
        <v>-6411.06</v>
      </c>
      <c r="E12" s="24">
        <v>-6214.82</v>
      </c>
      <c r="F12" s="24">
        <v>-11551.4</v>
      </c>
      <c r="G12" s="22">
        <v>23089.38</v>
      </c>
      <c r="H12" s="23">
        <f t="shared" si="0"/>
        <v>-2.8001806203974411E-3</v>
      </c>
      <c r="I12" s="22"/>
      <c r="J12" s="24">
        <v>48878</v>
      </c>
      <c r="K12" s="24">
        <v>-71708.240000000005</v>
      </c>
      <c r="L12" s="22">
        <v>-23089.38</v>
      </c>
      <c r="M12" s="24">
        <f t="shared" si="7"/>
        <v>-60098.140919806057</v>
      </c>
      <c r="O12" s="22">
        <f t="shared" si="2"/>
        <v>49965.9</v>
      </c>
      <c r="P12" s="22">
        <f t="shared" si="3"/>
        <v>-6411.06</v>
      </c>
      <c r="Q12" s="23">
        <f t="shared" si="4"/>
        <v>-89474.459999999992</v>
      </c>
      <c r="R12" s="24">
        <f t="shared" si="5"/>
        <v>-60098.14371998635</v>
      </c>
      <c r="S12" s="14">
        <f t="shared" si="6"/>
        <v>-45919.619999999988</v>
      </c>
      <c r="T12" s="29"/>
    </row>
    <row r="13" spans="1:20" s="28" customFormat="1" ht="12.75" hidden="1" outlineLevel="3" x14ac:dyDescent="0.2">
      <c r="A13" s="26">
        <v>40390</v>
      </c>
      <c r="B13" s="26"/>
      <c r="C13" s="27">
        <v>11546.12</v>
      </c>
      <c r="D13" s="24">
        <v>-5049.7</v>
      </c>
      <c r="E13" s="24">
        <v>-2033.64</v>
      </c>
      <c r="F13" s="24">
        <v>-1205.1099999999999</v>
      </c>
      <c r="G13" s="22">
        <v>0</v>
      </c>
      <c r="H13" s="23">
        <f t="shared" si="0"/>
        <v>3257.6671998193806</v>
      </c>
      <c r="I13" s="22"/>
      <c r="J13" s="24">
        <v>50449</v>
      </c>
      <c r="K13" s="24">
        <v>-17329.419999999998</v>
      </c>
      <c r="L13" s="22">
        <v>0</v>
      </c>
      <c r="M13" s="24">
        <f>SUM(J13:L13)+M12</f>
        <v>-26978.560919806056</v>
      </c>
      <c r="O13" s="22">
        <f t="shared" si="2"/>
        <v>61995.12</v>
      </c>
      <c r="P13" s="22">
        <f t="shared" si="3"/>
        <v>-5049.7</v>
      </c>
      <c r="Q13" s="23">
        <f t="shared" si="4"/>
        <v>-20568.169999999998</v>
      </c>
      <c r="R13" s="24">
        <f t="shared" si="5"/>
        <v>-23720.893719986347</v>
      </c>
      <c r="S13" s="14">
        <f t="shared" si="6"/>
        <v>36377.250000000007</v>
      </c>
      <c r="T13" s="29"/>
    </row>
    <row r="14" spans="1:20" s="28" customFormat="1" ht="13.5" hidden="1" customHeight="1" outlineLevel="3" x14ac:dyDescent="0.2">
      <c r="A14" s="26">
        <v>40421</v>
      </c>
      <c r="B14" s="26"/>
      <c r="C14" s="27">
        <v>19174.099999999999</v>
      </c>
      <c r="D14" s="24">
        <v>-4249.3999999999996</v>
      </c>
      <c r="E14" s="24">
        <v>-2305.8000000000002</v>
      </c>
      <c r="F14" s="24">
        <v>-2564.8200000000002</v>
      </c>
      <c r="G14" s="22">
        <v>0</v>
      </c>
      <c r="H14" s="20">
        <f t="shared" si="0"/>
        <v>13311.74719981938</v>
      </c>
      <c r="I14" s="19"/>
      <c r="J14" s="18">
        <v>49234</v>
      </c>
      <c r="K14" s="18">
        <v>-16882.3</v>
      </c>
      <c r="L14" s="19">
        <v>0</v>
      </c>
      <c r="M14" s="18">
        <f>SUM(J14:L14)+M13</f>
        <v>5373.1390801939451</v>
      </c>
      <c r="N14" s="21"/>
      <c r="O14" s="19">
        <f t="shared" si="2"/>
        <v>68408.100000000006</v>
      </c>
      <c r="P14" s="22">
        <f t="shared" si="3"/>
        <v>-4249.3999999999996</v>
      </c>
      <c r="Q14" s="23">
        <f t="shared" si="4"/>
        <v>-21752.92</v>
      </c>
      <c r="R14" s="24">
        <f t="shared" si="5"/>
        <v>18684.886280013663</v>
      </c>
      <c r="S14" s="14">
        <f t="shared" ref="S14:S25" si="8">SUM(O14:Q14)</f>
        <v>42405.780000000006</v>
      </c>
      <c r="T14" s="29"/>
    </row>
    <row r="15" spans="1:20" s="28" customFormat="1" ht="15.75" hidden="1" customHeight="1" outlineLevel="3" x14ac:dyDescent="0.2">
      <c r="A15" s="26">
        <v>40451</v>
      </c>
      <c r="B15" s="26"/>
      <c r="C15" s="27">
        <v>4166.4399999999996</v>
      </c>
      <c r="D15" s="24">
        <v>-2537.5500000000002</v>
      </c>
      <c r="E15" s="24">
        <v>-2313.36</v>
      </c>
      <c r="F15" s="24">
        <v>-2844.91</v>
      </c>
      <c r="G15" s="22">
        <f t="shared" ref="G15:G18" si="9">-L15</f>
        <v>1036.5718182222809</v>
      </c>
      <c r="H15" s="20">
        <f t="shared" si="0"/>
        <v>10818.939018041659</v>
      </c>
      <c r="I15" s="19"/>
      <c r="J15" s="18">
        <v>43870</v>
      </c>
      <c r="K15" s="18">
        <v>-17725.23</v>
      </c>
      <c r="L15" s="19">
        <v>-1036.5718182222809</v>
      </c>
      <c r="M15" s="18">
        <f t="shared" ref="M15" si="10">SUM(J15:L15)+M14</f>
        <v>30481.337261971665</v>
      </c>
      <c r="N15" s="21"/>
      <c r="O15" s="19">
        <f t="shared" si="2"/>
        <v>48036.44</v>
      </c>
      <c r="P15" s="22">
        <f t="shared" si="3"/>
        <v>-2537.5500000000002</v>
      </c>
      <c r="Q15" s="23">
        <f t="shared" si="4"/>
        <v>-22883.5</v>
      </c>
      <c r="R15" s="24">
        <f t="shared" si="5"/>
        <v>41300.276280013655</v>
      </c>
      <c r="S15" s="14">
        <f t="shared" si="8"/>
        <v>22615.39</v>
      </c>
      <c r="T15" s="29"/>
    </row>
    <row r="16" spans="1:20" s="28" customFormat="1" ht="12.75" hidden="1" outlineLevel="3" x14ac:dyDescent="0.2">
      <c r="A16" s="26">
        <v>40482</v>
      </c>
      <c r="B16" s="26"/>
      <c r="C16" s="27">
        <v>6530.43</v>
      </c>
      <c r="D16" s="24">
        <v>0</v>
      </c>
      <c r="E16" s="24">
        <v>-2048.7600000000002</v>
      </c>
      <c r="F16" s="24">
        <v>-2468.6999999999998</v>
      </c>
      <c r="G16" s="22">
        <f t="shared" si="9"/>
        <v>-921.89386362853111</v>
      </c>
      <c r="H16" s="20">
        <f t="shared" si="0"/>
        <v>11910.015154413129</v>
      </c>
      <c r="I16" s="19"/>
      <c r="J16" s="18">
        <v>29792</v>
      </c>
      <c r="K16" s="18">
        <v>-19818.72</v>
      </c>
      <c r="L16" s="19">
        <v>921.89386362853111</v>
      </c>
      <c r="M16" s="18">
        <f t="shared" ref="M16" si="11">SUM(J16:L16)+M15</f>
        <v>41376.511125600198</v>
      </c>
      <c r="N16" s="21"/>
      <c r="O16" s="19">
        <f t="shared" si="2"/>
        <v>36322.43</v>
      </c>
      <c r="P16" s="22">
        <f t="shared" si="3"/>
        <v>0</v>
      </c>
      <c r="Q16" s="23">
        <f t="shared" si="4"/>
        <v>-24336.18</v>
      </c>
      <c r="R16" s="24">
        <f t="shared" si="5"/>
        <v>53286.526280013662</v>
      </c>
      <c r="S16" s="14">
        <f t="shared" si="8"/>
        <v>11986.25</v>
      </c>
      <c r="T16" s="29"/>
    </row>
    <row r="17" spans="1:20" s="28" customFormat="1" ht="12.75" hidden="1" outlineLevel="3" x14ac:dyDescent="0.2">
      <c r="A17" s="26">
        <v>40512</v>
      </c>
      <c r="B17" s="26"/>
      <c r="C17" s="27">
        <v>9740.57</v>
      </c>
      <c r="D17" s="24">
        <v>0</v>
      </c>
      <c r="E17" s="24">
        <f>-2570.4-18.94-680.58</f>
        <v>-3269.92</v>
      </c>
      <c r="F17" s="24">
        <v>-2349.06</v>
      </c>
      <c r="G17" s="22">
        <f t="shared" si="9"/>
        <v>-2200.53063002208</v>
      </c>
      <c r="H17" s="20">
        <f t="shared" si="0"/>
        <v>13831.07452439105</v>
      </c>
      <c r="I17" s="19"/>
      <c r="J17" s="18">
        <v>14004</v>
      </c>
      <c r="K17" s="18">
        <v>-22202.23</v>
      </c>
      <c r="L17" s="19">
        <v>2200.53063002208</v>
      </c>
      <c r="M17" s="18">
        <f t="shared" ref="M17:M18" si="12">SUM(J17:L17)+M16</f>
        <v>35378.811755622279</v>
      </c>
      <c r="N17" s="21"/>
      <c r="O17" s="19">
        <f t="shared" si="2"/>
        <v>23744.57</v>
      </c>
      <c r="P17" s="22">
        <f t="shared" si="3"/>
        <v>0</v>
      </c>
      <c r="Q17" s="23">
        <f>+F17+K17+E17</f>
        <v>-27821.21</v>
      </c>
      <c r="R17" s="24">
        <f>R16+O17+Q17+P17</f>
        <v>49209.886280013663</v>
      </c>
      <c r="S17" s="14">
        <f t="shared" si="8"/>
        <v>-4076.6399999999994</v>
      </c>
      <c r="T17" s="29"/>
    </row>
    <row r="18" spans="1:20" s="33" customFormat="1" ht="12.75" hidden="1" outlineLevel="2" collapsed="1" x14ac:dyDescent="0.2">
      <c r="A18" s="30">
        <v>40543</v>
      </c>
      <c r="B18" s="30"/>
      <c r="C18" s="13">
        <f>43849.7-3151.08</f>
        <v>40698.619999999995</v>
      </c>
      <c r="D18" s="13">
        <v>0</v>
      </c>
      <c r="E18" s="13">
        <f>-3465.92-1166.68</f>
        <v>-4632.6000000000004</v>
      </c>
      <c r="F18" s="13">
        <v>-2478.63</v>
      </c>
      <c r="G18" s="11">
        <f t="shared" si="9"/>
        <v>-9853.6763135498386</v>
      </c>
      <c r="H18" s="8">
        <f t="shared" si="0"/>
        <v>37564.788210841209</v>
      </c>
      <c r="I18" s="9"/>
      <c r="J18" s="8">
        <v>-10429</v>
      </c>
      <c r="K18" s="8">
        <v>-24105.09</v>
      </c>
      <c r="L18" s="9">
        <v>9853.6763135498386</v>
      </c>
      <c r="M18" s="8">
        <f t="shared" si="12"/>
        <v>10698.398069172123</v>
      </c>
      <c r="N18" s="10"/>
      <c r="O18" s="8">
        <f t="shared" si="2"/>
        <v>30269.619999999995</v>
      </c>
      <c r="P18" s="13">
        <f t="shared" si="3"/>
        <v>0</v>
      </c>
      <c r="Q18" s="13">
        <f t="shared" ref="Q18:Q29" si="13">+F18+K18+E18</f>
        <v>-31216.32</v>
      </c>
      <c r="R18" s="13">
        <f t="shared" ref="R18:R29" si="14">R17+O18+Q18+P18</f>
        <v>48263.186280013651</v>
      </c>
      <c r="S18" s="31">
        <f t="shared" si="8"/>
        <v>-946.70000000000437</v>
      </c>
      <c r="T18" s="32"/>
    </row>
    <row r="19" spans="1:20" s="28" customFormat="1" ht="12.75" hidden="1" outlineLevel="3" x14ac:dyDescent="0.2">
      <c r="A19" s="26">
        <v>40574</v>
      </c>
      <c r="B19" s="26"/>
      <c r="C19" s="24">
        <v>24419.58</v>
      </c>
      <c r="D19" s="24">
        <v>0</v>
      </c>
      <c r="E19" s="24">
        <f>-1249.93-3445.6</f>
        <v>-4695.53</v>
      </c>
      <c r="F19" s="24">
        <v>-2956.96</v>
      </c>
      <c r="G19" s="22">
        <f>-L19</f>
        <v>-24696.096216473536</v>
      </c>
      <c r="H19" s="18">
        <f t="shared" si="0"/>
        <v>29635.781994367677</v>
      </c>
      <c r="I19" s="19"/>
      <c r="J19" s="18">
        <v>-19115</v>
      </c>
      <c r="K19" s="18">
        <v>-31189.05</v>
      </c>
      <c r="L19" s="34">
        <v>24696.096216473536</v>
      </c>
      <c r="M19" s="18">
        <f t="shared" ref="M19:M24" si="15">SUM(J19:L19)+M18</f>
        <v>-14909.555714354345</v>
      </c>
      <c r="N19" s="21"/>
      <c r="O19" s="18">
        <f t="shared" si="2"/>
        <v>5304.5800000000017</v>
      </c>
      <c r="P19" s="24">
        <f t="shared" si="3"/>
        <v>0</v>
      </c>
      <c r="Q19" s="24">
        <f t="shared" si="13"/>
        <v>-38841.54</v>
      </c>
      <c r="R19" s="24">
        <f t="shared" si="14"/>
        <v>14726.226280013652</v>
      </c>
      <c r="S19" s="14">
        <f t="shared" si="8"/>
        <v>-33536.959999999999</v>
      </c>
      <c r="T19" s="29"/>
    </row>
    <row r="20" spans="1:20" s="28" customFormat="1" ht="12.75" hidden="1" outlineLevel="3" x14ac:dyDescent="0.2">
      <c r="A20" s="26">
        <v>40602</v>
      </c>
      <c r="B20" s="26"/>
      <c r="C20" s="24">
        <v>1858.17</v>
      </c>
      <c r="D20" s="24">
        <v>0</v>
      </c>
      <c r="E20" s="24">
        <f>-2252.88-812.88+1186.86+1203</f>
        <v>-675.90000000000032</v>
      </c>
      <c r="F20" s="24">
        <v>-2573.4</v>
      </c>
      <c r="G20" s="22">
        <f t="shared" ref="G20:G42" si="16">-L20</f>
        <v>-36667</v>
      </c>
      <c r="H20" s="18">
        <f t="shared" si="0"/>
        <v>-8422.3480056323206</v>
      </c>
      <c r="I20" s="19"/>
      <c r="J20" s="18">
        <v>-17713</v>
      </c>
      <c r="K20" s="18">
        <v>-24902.31</v>
      </c>
      <c r="L20" s="34">
        <v>36667</v>
      </c>
      <c r="M20" s="18">
        <f t="shared" si="15"/>
        <v>-20857.865714354342</v>
      </c>
      <c r="N20" s="21"/>
      <c r="O20" s="18">
        <f t="shared" si="2"/>
        <v>-15854.83</v>
      </c>
      <c r="P20" s="24">
        <f t="shared" si="3"/>
        <v>0</v>
      </c>
      <c r="Q20" s="24">
        <f t="shared" si="13"/>
        <v>-28151.610000000004</v>
      </c>
      <c r="R20" s="24">
        <f t="shared" si="14"/>
        <v>-29280.21371998635</v>
      </c>
      <c r="S20" s="14">
        <f t="shared" si="8"/>
        <v>-44006.44</v>
      </c>
      <c r="T20" s="29"/>
    </row>
    <row r="21" spans="1:20" s="28" customFormat="1" ht="12.75" hidden="1" outlineLevel="3" x14ac:dyDescent="0.2">
      <c r="A21" s="26">
        <v>40633</v>
      </c>
      <c r="B21" s="26"/>
      <c r="C21" s="24">
        <v>-32235</v>
      </c>
      <c r="D21" s="24">
        <v>0</v>
      </c>
      <c r="E21" s="24">
        <f>-897.39-2464.56</f>
        <v>-3361.95</v>
      </c>
      <c r="F21" s="24">
        <v>-2806.76</v>
      </c>
      <c r="G21" s="22">
        <f t="shared" si="16"/>
        <v>-7558.3446038733491</v>
      </c>
      <c r="H21" s="18">
        <f t="shared" si="0"/>
        <v>-54384.402609505662</v>
      </c>
      <c r="I21" s="19"/>
      <c r="J21" s="18">
        <v>-38574</v>
      </c>
      <c r="K21" s="18">
        <v>-27624.2</v>
      </c>
      <c r="L21" s="34">
        <f t="shared" ref="L21:L30" si="17">(((M20+J21)/(R20+O21))*Q21)-K21</f>
        <v>7558.3446038733491</v>
      </c>
      <c r="M21" s="18">
        <f t="shared" si="15"/>
        <v>-79497.721110480983</v>
      </c>
      <c r="N21" s="21"/>
      <c r="O21" s="18">
        <f t="shared" si="2"/>
        <v>-70809</v>
      </c>
      <c r="P21" s="24">
        <f t="shared" si="3"/>
        <v>0</v>
      </c>
      <c r="Q21" s="24">
        <f t="shared" si="13"/>
        <v>-33792.909999999996</v>
      </c>
      <c r="R21" s="24">
        <f t="shared" si="14"/>
        <v>-133882.12371998635</v>
      </c>
      <c r="S21" s="14">
        <f t="shared" si="8"/>
        <v>-104601.91</v>
      </c>
      <c r="T21" s="29"/>
    </row>
    <row r="22" spans="1:20" s="28" customFormat="1" ht="12.75" hidden="1" outlineLevel="3" x14ac:dyDescent="0.2">
      <c r="A22" s="26">
        <v>40663</v>
      </c>
      <c r="B22" s="26"/>
      <c r="C22" s="24">
        <v>-75704.460000000006</v>
      </c>
      <c r="D22" s="24">
        <v>0</v>
      </c>
      <c r="E22" s="24">
        <f>-840.69-2358.72</f>
        <v>-3199.41</v>
      </c>
      <c r="F22" s="24">
        <v>-2365.6799999999998</v>
      </c>
      <c r="G22" s="22">
        <f t="shared" si="16"/>
        <v>-8730.1229849145038</v>
      </c>
      <c r="H22" s="18">
        <f t="shared" si="0"/>
        <v>-144384.07559442017</v>
      </c>
      <c r="I22" s="19"/>
      <c r="J22" s="18">
        <v>-45860</v>
      </c>
      <c r="K22" s="18">
        <v>-22505.439999999999</v>
      </c>
      <c r="L22" s="34">
        <f t="shared" si="17"/>
        <v>8730.1229849145038</v>
      </c>
      <c r="M22" s="18">
        <f t="shared" si="15"/>
        <v>-139133.0381255665</v>
      </c>
      <c r="N22" s="21"/>
      <c r="O22" s="18">
        <f t="shared" si="2"/>
        <v>-121564.46</v>
      </c>
      <c r="P22" s="24">
        <f t="shared" si="3"/>
        <v>0</v>
      </c>
      <c r="Q22" s="24">
        <f t="shared" si="13"/>
        <v>-28070.53</v>
      </c>
      <c r="R22" s="24">
        <f t="shared" si="14"/>
        <v>-283517.1137199864</v>
      </c>
      <c r="S22" s="14">
        <f t="shared" si="8"/>
        <v>-149634.99</v>
      </c>
      <c r="T22" s="29"/>
    </row>
    <row r="23" spans="1:20" s="28" customFormat="1" ht="14.25" hidden="1" customHeight="1" outlineLevel="3" x14ac:dyDescent="0.2">
      <c r="A23" s="26">
        <v>40694</v>
      </c>
      <c r="B23" s="26"/>
      <c r="C23" s="24">
        <v>-26026.53</v>
      </c>
      <c r="D23" s="24">
        <v>0</v>
      </c>
      <c r="E23" s="24">
        <f>-881.73-2336.04</f>
        <v>-3217.77</v>
      </c>
      <c r="F23" s="24">
        <v>-2464.21</v>
      </c>
      <c r="G23" s="22">
        <f t="shared" si="16"/>
        <v>-7575.2188245764301</v>
      </c>
      <c r="H23" s="18">
        <f t="shared" si="0"/>
        <v>-183667.80441899659</v>
      </c>
      <c r="I23" s="19"/>
      <c r="J23" s="18">
        <v>-36872</v>
      </c>
      <c r="K23" s="18">
        <v>-21267.64</v>
      </c>
      <c r="L23" s="34">
        <f t="shared" si="17"/>
        <v>7575.2188245764301</v>
      </c>
      <c r="M23" s="18">
        <f t="shared" si="15"/>
        <v>-189697.45930099007</v>
      </c>
      <c r="N23" s="21"/>
      <c r="O23" s="18">
        <f t="shared" si="2"/>
        <v>-62898.53</v>
      </c>
      <c r="P23" s="24">
        <f t="shared" si="3"/>
        <v>0</v>
      </c>
      <c r="Q23" s="24">
        <f t="shared" si="13"/>
        <v>-26949.62</v>
      </c>
      <c r="R23" s="24">
        <f t="shared" si="14"/>
        <v>-373365.26371998643</v>
      </c>
      <c r="S23" s="14">
        <f t="shared" si="8"/>
        <v>-89848.15</v>
      </c>
      <c r="T23" s="29"/>
    </row>
    <row r="24" spans="1:20" s="28" customFormat="1" ht="12.75" hidden="1" outlineLevel="3" x14ac:dyDescent="0.2">
      <c r="A24" s="26">
        <v>40724</v>
      </c>
      <c r="B24" s="26"/>
      <c r="C24" s="24">
        <v>-3144.78</v>
      </c>
      <c r="D24" s="24">
        <v>0</v>
      </c>
      <c r="E24" s="24">
        <f>-773.91-2169.72</f>
        <v>-2943.6299999999997</v>
      </c>
      <c r="F24" s="24">
        <v>-2885.96</v>
      </c>
      <c r="G24" s="22">
        <f t="shared" si="16"/>
        <v>-5024.571782154022</v>
      </c>
      <c r="H24" s="18">
        <f t="shared" si="0"/>
        <v>-197666.74620115061</v>
      </c>
      <c r="I24" s="19"/>
      <c r="J24" s="18">
        <v>-47094</v>
      </c>
      <c r="K24" s="18">
        <v>-18782.599999999999</v>
      </c>
      <c r="L24" s="34">
        <f t="shared" si="17"/>
        <v>5024.571782154022</v>
      </c>
      <c r="M24" s="18">
        <f t="shared" si="15"/>
        <v>-250549.48751883605</v>
      </c>
      <c r="N24" s="21"/>
      <c r="O24" s="18">
        <f t="shared" si="2"/>
        <v>-50238.78</v>
      </c>
      <c r="P24" s="24">
        <f t="shared" si="3"/>
        <v>0</v>
      </c>
      <c r="Q24" s="24">
        <f t="shared" si="13"/>
        <v>-24612.19</v>
      </c>
      <c r="R24" s="24">
        <f t="shared" si="14"/>
        <v>-448216.23371998646</v>
      </c>
      <c r="S24" s="14">
        <f t="shared" si="8"/>
        <v>-74850.97</v>
      </c>
      <c r="T24" s="29"/>
    </row>
    <row r="25" spans="1:20" s="28" customFormat="1" ht="12.75" hidden="1" outlineLevel="3" x14ac:dyDescent="0.2">
      <c r="A25" s="26">
        <v>40755</v>
      </c>
      <c r="B25" s="26"/>
      <c r="C25" s="24">
        <v>2523.71</v>
      </c>
      <c r="D25" s="24">
        <v>0</v>
      </c>
      <c r="E25" s="24">
        <f>-826.02-2086.56</f>
        <v>-2912.58</v>
      </c>
      <c r="F25" s="24">
        <v>9545.4599999999991</v>
      </c>
      <c r="G25" s="22">
        <f t="shared" si="16"/>
        <v>23895.257966729892</v>
      </c>
      <c r="H25" s="18">
        <f t="shared" si="0"/>
        <v>-164614.89823442072</v>
      </c>
      <c r="I25" s="19"/>
      <c r="J25" s="18">
        <v>-49590</v>
      </c>
      <c r="K25" s="18">
        <v>70849.02</v>
      </c>
      <c r="L25" s="34">
        <f t="shared" si="17"/>
        <v>-23895.257966729892</v>
      </c>
      <c r="M25" s="18">
        <f t="shared" ref="M25:M29" si="18">SUM(J25:L25)+M24</f>
        <v>-253185.72548556593</v>
      </c>
      <c r="N25" s="21"/>
      <c r="O25" s="18">
        <f t="shared" si="2"/>
        <v>-47066.29</v>
      </c>
      <c r="P25" s="24">
        <f t="shared" si="3"/>
        <v>0</v>
      </c>
      <c r="Q25" s="24">
        <f t="shared" si="13"/>
        <v>77481.900000000009</v>
      </c>
      <c r="R25" s="24">
        <f t="shared" si="14"/>
        <v>-417800.62371998641</v>
      </c>
      <c r="S25" s="14">
        <f t="shared" si="8"/>
        <v>30415.610000000008</v>
      </c>
      <c r="T25" s="29"/>
    </row>
    <row r="26" spans="1:20" s="28" customFormat="1" ht="12.75" hidden="1" outlineLevel="3" x14ac:dyDescent="0.2">
      <c r="A26" s="26">
        <v>40786</v>
      </c>
      <c r="B26" s="26"/>
      <c r="C26" s="24">
        <v>-3340.97</v>
      </c>
      <c r="D26" s="24">
        <v>0</v>
      </c>
      <c r="E26" s="24">
        <f>-2472.12-853.29</f>
        <v>-3325.41</v>
      </c>
      <c r="F26" s="24">
        <v>10960.83</v>
      </c>
      <c r="G26" s="22">
        <f t="shared" si="16"/>
        <v>20541.431246861743</v>
      </c>
      <c r="H26" s="18">
        <f t="shared" si="0"/>
        <v>-139779.01698755898</v>
      </c>
      <c r="I26" s="19"/>
      <c r="J26" s="18">
        <v>-36728</v>
      </c>
      <c r="K26" s="18">
        <v>69178.350000000006</v>
      </c>
      <c r="L26" s="34">
        <f t="shared" si="17"/>
        <v>-20541.431246861743</v>
      </c>
      <c r="M26" s="18">
        <f t="shared" si="18"/>
        <v>-241276.80673242768</v>
      </c>
      <c r="N26" s="21"/>
      <c r="O26" s="18">
        <f t="shared" si="2"/>
        <v>-40068.97</v>
      </c>
      <c r="P26" s="24">
        <f t="shared" si="3"/>
        <v>0</v>
      </c>
      <c r="Q26" s="24">
        <f t="shared" si="13"/>
        <v>76813.77</v>
      </c>
      <c r="R26" s="24">
        <f t="shared" si="14"/>
        <v>-381055.82371998637</v>
      </c>
      <c r="S26" s="14">
        <f t="shared" ref="S26" si="19">SUM(O26:Q26)</f>
        <v>36744.800000000003</v>
      </c>
      <c r="T26" s="29"/>
    </row>
    <row r="27" spans="1:20" s="28" customFormat="1" ht="14.25" hidden="1" customHeight="1" outlineLevel="3" x14ac:dyDescent="0.2">
      <c r="A27" s="26">
        <v>40816</v>
      </c>
      <c r="B27" s="26"/>
      <c r="C27" s="24">
        <v>-10579.71</v>
      </c>
      <c r="D27" s="24">
        <v>-1766.06</v>
      </c>
      <c r="E27" s="24">
        <f>9284.35+22388.18+3010.66+8247.28</f>
        <v>42930.47</v>
      </c>
      <c r="F27" s="24">
        <v>10321.66</v>
      </c>
      <c r="G27" s="22">
        <f t="shared" si="16"/>
        <v>-9029.033917386434</v>
      </c>
      <c r="H27" s="18">
        <f t="shared" si="0"/>
        <v>-107901.69090494541</v>
      </c>
      <c r="I27" s="19"/>
      <c r="J27" s="18">
        <v>-43527</v>
      </c>
      <c r="K27" s="18">
        <v>74736.679999999993</v>
      </c>
      <c r="L27" s="34">
        <f t="shared" si="17"/>
        <v>9029.033917386434</v>
      </c>
      <c r="M27" s="18">
        <f t="shared" si="18"/>
        <v>-201038.09281504125</v>
      </c>
      <c r="N27" s="21"/>
      <c r="O27" s="18">
        <f t="shared" si="2"/>
        <v>-54106.71</v>
      </c>
      <c r="P27" s="24">
        <f t="shared" si="3"/>
        <v>-1766.06</v>
      </c>
      <c r="Q27" s="24">
        <f t="shared" si="13"/>
        <v>127988.81</v>
      </c>
      <c r="R27" s="24">
        <f t="shared" si="14"/>
        <v>-308939.78371998639</v>
      </c>
      <c r="S27" s="14">
        <f t="shared" ref="S27:S29" si="20">SUM(O27:Q27)</f>
        <v>72116.040000000008</v>
      </c>
      <c r="T27" s="29"/>
    </row>
    <row r="28" spans="1:20" s="28" customFormat="1" ht="14.25" hidden="1" customHeight="1" outlineLevel="3" x14ac:dyDescent="0.2">
      <c r="A28" s="26">
        <v>40847</v>
      </c>
      <c r="B28" s="26"/>
      <c r="C28" s="24">
        <f>-110846.93+7217.04</f>
        <v>-103629.89</v>
      </c>
      <c r="D28" s="24">
        <v>-3745.89</v>
      </c>
      <c r="E28" s="24">
        <f>3513.31+9136.51</f>
        <v>12649.82</v>
      </c>
      <c r="F28" s="24">
        <v>9796.7099999999991</v>
      </c>
      <c r="G28" s="22">
        <f t="shared" si="16"/>
        <v>22481.421854118154</v>
      </c>
      <c r="H28" s="18">
        <f t="shared" si="0"/>
        <v>-170349.51905082725</v>
      </c>
      <c r="I28" s="19"/>
      <c r="J28" s="18">
        <v>-68970</v>
      </c>
      <c r="K28" s="18">
        <v>79829.41</v>
      </c>
      <c r="L28" s="34">
        <f t="shared" si="17"/>
        <v>-22481.421854118154</v>
      </c>
      <c r="M28" s="18">
        <f t="shared" si="18"/>
        <v>-212660.10466915939</v>
      </c>
      <c r="N28" s="21"/>
      <c r="O28" s="18">
        <f t="shared" si="2"/>
        <v>-172599.89</v>
      </c>
      <c r="P28" s="24">
        <f t="shared" si="3"/>
        <v>-3745.89</v>
      </c>
      <c r="Q28" s="24">
        <f t="shared" si="13"/>
        <v>102275.94</v>
      </c>
      <c r="R28" s="24">
        <f t="shared" si="14"/>
        <v>-383009.62371998641</v>
      </c>
      <c r="S28" s="14">
        <f t="shared" si="20"/>
        <v>-74069.840000000026</v>
      </c>
      <c r="T28" s="29"/>
    </row>
    <row r="29" spans="1:20" s="28" customFormat="1" ht="18.75" hidden="1" customHeight="1" outlineLevel="3" x14ac:dyDescent="0.2">
      <c r="A29" s="26">
        <v>40877</v>
      </c>
      <c r="B29" s="26"/>
      <c r="C29" s="24">
        <v>-13197.01</v>
      </c>
      <c r="D29" s="24">
        <v>0</v>
      </c>
      <c r="E29" s="24">
        <f>3451.71+9313.92</f>
        <v>12765.630000000001</v>
      </c>
      <c r="F29" s="24">
        <v>8994.61</v>
      </c>
      <c r="G29" s="22">
        <f t="shared" si="16"/>
        <v>18735.15017504798</v>
      </c>
      <c r="H29" s="18">
        <f t="shared" si="0"/>
        <v>-143051.13887577926</v>
      </c>
      <c r="I29" s="19"/>
      <c r="J29" s="18">
        <v>-108048.5</v>
      </c>
      <c r="K29" s="18">
        <v>89492.25</v>
      </c>
      <c r="L29" s="34">
        <f t="shared" si="17"/>
        <v>-18735.15017504798</v>
      </c>
      <c r="M29" s="18">
        <f t="shared" si="18"/>
        <v>-249951.50484420737</v>
      </c>
      <c r="N29" s="21"/>
      <c r="O29" s="18">
        <f t="shared" si="2"/>
        <v>-121245.51</v>
      </c>
      <c r="P29" s="24">
        <f t="shared" si="3"/>
        <v>0</v>
      </c>
      <c r="Q29" s="24">
        <f t="shared" si="13"/>
        <v>111252.49</v>
      </c>
      <c r="R29" s="24">
        <f t="shared" si="14"/>
        <v>-393002.64371998643</v>
      </c>
      <c r="S29" s="14">
        <f t="shared" si="20"/>
        <v>-9993.0199999999895</v>
      </c>
      <c r="T29" s="29"/>
    </row>
    <row r="30" spans="1:20" s="33" customFormat="1" ht="14.25" hidden="1" customHeight="1" outlineLevel="2" collapsed="1" x14ac:dyDescent="0.2">
      <c r="A30" s="30">
        <v>40908</v>
      </c>
      <c r="B30" s="30"/>
      <c r="C30" s="13">
        <f>-4568.84+-5952.74</f>
        <v>-10521.58</v>
      </c>
      <c r="D30" s="13">
        <v>0</v>
      </c>
      <c r="E30" s="13">
        <f>11117.57+3634.75</f>
        <v>14752.32</v>
      </c>
      <c r="F30" s="13">
        <v>10810.7</v>
      </c>
      <c r="G30" s="11">
        <f t="shared" si="16"/>
        <v>13363.154055201652</v>
      </c>
      <c r="H30" s="8">
        <f t="shared" si="0"/>
        <v>-114646.5448205776</v>
      </c>
      <c r="I30" s="9"/>
      <c r="J30" s="8">
        <v>-98171.65</v>
      </c>
      <c r="K30" s="8">
        <v>101602.15</v>
      </c>
      <c r="L30" s="9">
        <f t="shared" si="17"/>
        <v>-13363.154055201652</v>
      </c>
      <c r="M30" s="8">
        <f t="shared" ref="M30:M39" si="21">SUM(J30:L30)+M29</f>
        <v>-259884.15889940903</v>
      </c>
      <c r="O30" s="13">
        <f t="shared" si="2"/>
        <v>-108693.23</v>
      </c>
      <c r="P30" s="13">
        <f t="shared" si="3"/>
        <v>0</v>
      </c>
      <c r="Q30" s="13">
        <f>+F30+K30+E30</f>
        <v>127165.16999999998</v>
      </c>
      <c r="R30" s="13">
        <f>R29+O30+Q30+P30</f>
        <v>-374530.70371998643</v>
      </c>
      <c r="S30" s="31">
        <f>SUM(O30:Q30)</f>
        <v>18471.939999999988</v>
      </c>
      <c r="T30" s="32"/>
    </row>
    <row r="31" spans="1:20" s="28" customFormat="1" ht="14.25" hidden="1" customHeight="1" outlineLevel="3" x14ac:dyDescent="0.2">
      <c r="A31" s="26">
        <v>40939</v>
      </c>
      <c r="B31" s="26"/>
      <c r="C31" s="24">
        <v>-2238</v>
      </c>
      <c r="D31" s="24">
        <v>0</v>
      </c>
      <c r="E31" s="24">
        <f>9461.76+3462.27</f>
        <v>12924.03</v>
      </c>
      <c r="F31" s="24">
        <v>12568.27</v>
      </c>
      <c r="G31" s="22">
        <f t="shared" si="16"/>
        <v>7699.4998685960891</v>
      </c>
      <c r="H31" s="8">
        <f t="shared" si="0"/>
        <v>-83692.744951981513</v>
      </c>
      <c r="I31" s="19"/>
      <c r="J31" s="18">
        <v>-97341.51</v>
      </c>
      <c r="K31" s="18">
        <v>89492.25</v>
      </c>
      <c r="L31" s="9">
        <v>-7699.4998685960891</v>
      </c>
      <c r="M31" s="8">
        <f>SUM(J31:L31)+M30</f>
        <v>-275432.9187680051</v>
      </c>
      <c r="O31" s="24">
        <f t="shared" si="2"/>
        <v>-99579.51</v>
      </c>
      <c r="P31" s="24">
        <f t="shared" si="3"/>
        <v>0</v>
      </c>
      <c r="Q31" s="24">
        <f t="shared" ref="Q31:Q41" si="22">+F31+K31+E31</f>
        <v>114984.55</v>
      </c>
      <c r="R31" s="24">
        <f>R30+O31+Q31+P31</f>
        <v>-359125.66371998645</v>
      </c>
      <c r="S31" s="14">
        <f t="shared" ref="S31:S41" si="23">SUM(O31:Q31)</f>
        <v>15405.040000000008</v>
      </c>
      <c r="T31" s="29"/>
    </row>
    <row r="32" spans="1:20" s="28" customFormat="1" ht="14.25" hidden="1" customHeight="1" outlineLevel="3" x14ac:dyDescent="0.2">
      <c r="A32" s="26">
        <v>40968</v>
      </c>
      <c r="B32" s="26"/>
      <c r="C32" s="24">
        <v>-23</v>
      </c>
      <c r="D32" s="24">
        <v>0</v>
      </c>
      <c r="E32" s="24">
        <f>3632.29+8633.86</f>
        <v>12266.150000000001</v>
      </c>
      <c r="F32" s="24">
        <v>11556.77</v>
      </c>
      <c r="G32" s="22">
        <f t="shared" si="16"/>
        <v>6553.3675095594663</v>
      </c>
      <c r="H32" s="8">
        <f t="shared" si="0"/>
        <v>-53339.457442422048</v>
      </c>
      <c r="I32" s="19"/>
      <c r="J32" s="18">
        <v>-81101.59</v>
      </c>
      <c r="K32" s="18">
        <v>102699.54</v>
      </c>
      <c r="L32" s="9">
        <v>-6553.3675095594663</v>
      </c>
      <c r="M32" s="8">
        <f t="shared" si="21"/>
        <v>-260388.33627756458</v>
      </c>
      <c r="O32" s="24">
        <f t="shared" si="2"/>
        <v>-81124.59</v>
      </c>
      <c r="P32" s="24">
        <f t="shared" si="3"/>
        <v>0</v>
      </c>
      <c r="Q32" s="24">
        <f t="shared" si="22"/>
        <v>126522.45999999999</v>
      </c>
      <c r="R32" s="24">
        <f t="shared" ref="R32:R41" si="24">R31+O32+Q32+P32</f>
        <v>-313727.79371998645</v>
      </c>
      <c r="S32" s="14">
        <f t="shared" si="23"/>
        <v>45397.869999999995</v>
      </c>
      <c r="T32" s="29"/>
    </row>
    <row r="33" spans="1:20" s="28" customFormat="1" ht="14.25" hidden="1" customHeight="1" outlineLevel="3" x14ac:dyDescent="0.2">
      <c r="A33" s="26">
        <v>40999</v>
      </c>
      <c r="B33" s="26"/>
      <c r="C33" s="24">
        <v>-380</v>
      </c>
      <c r="D33" s="24">
        <v>0</v>
      </c>
      <c r="E33" s="24">
        <f>3721.34+9609.6</f>
        <v>13330.94</v>
      </c>
      <c r="F33" s="24">
        <v>10351.879999999999</v>
      </c>
      <c r="G33" s="22">
        <f t="shared" si="16"/>
        <v>209.3221986519784</v>
      </c>
      <c r="H33" s="8">
        <f t="shared" si="0"/>
        <v>-29827.31524377007</v>
      </c>
      <c r="I33" s="19"/>
      <c r="J33" s="18">
        <v>-93323.42</v>
      </c>
      <c r="K33" s="18">
        <v>100521.25</v>
      </c>
      <c r="L33" s="9">
        <v>-209.3221986519784</v>
      </c>
      <c r="M33" s="8">
        <f t="shared" si="21"/>
        <v>-253399.82847621656</v>
      </c>
      <c r="O33" s="24">
        <f t="shared" si="2"/>
        <v>-93703.42</v>
      </c>
      <c r="P33" s="24">
        <f t="shared" si="3"/>
        <v>0</v>
      </c>
      <c r="Q33" s="24">
        <f t="shared" si="22"/>
        <v>124204.07</v>
      </c>
      <c r="R33" s="24">
        <f t="shared" si="24"/>
        <v>-283227.14371998643</v>
      </c>
      <c r="S33" s="14">
        <f t="shared" si="23"/>
        <v>30500.650000000009</v>
      </c>
      <c r="T33" s="29"/>
    </row>
    <row r="34" spans="1:20" s="28" customFormat="1" ht="14.25" hidden="1" customHeight="1" outlineLevel="3" x14ac:dyDescent="0.2">
      <c r="A34" s="26">
        <v>41029</v>
      </c>
      <c r="B34" s="26"/>
      <c r="C34" s="24">
        <v>-214</v>
      </c>
      <c r="D34" s="24">
        <v>0</v>
      </c>
      <c r="E34" s="24">
        <f>4050.11+9609.6</f>
        <v>13659.710000000001</v>
      </c>
      <c r="F34" s="24">
        <v>9915.9599999999991</v>
      </c>
      <c r="G34" s="22">
        <f t="shared" si="16"/>
        <v>-5715.8866774437047</v>
      </c>
      <c r="H34" s="8">
        <f t="shared" si="0"/>
        <v>-12181.531921213777</v>
      </c>
      <c r="I34" s="19"/>
      <c r="J34" s="18">
        <v>-86324.78</v>
      </c>
      <c r="K34" s="18">
        <v>90762.95</v>
      </c>
      <c r="L34" s="9">
        <v>5715.8866774437047</v>
      </c>
      <c r="M34" s="8">
        <f t="shared" si="21"/>
        <v>-243245.77179877285</v>
      </c>
      <c r="O34" s="24">
        <f t="shared" si="2"/>
        <v>-86538.78</v>
      </c>
      <c r="P34" s="24">
        <f t="shared" si="3"/>
        <v>0</v>
      </c>
      <c r="Q34" s="24">
        <f t="shared" si="22"/>
        <v>114338.62000000001</v>
      </c>
      <c r="R34" s="24">
        <f t="shared" si="24"/>
        <v>-255427.30371998646</v>
      </c>
      <c r="S34" s="14">
        <f t="shared" si="23"/>
        <v>27799.840000000011</v>
      </c>
      <c r="T34" s="29"/>
    </row>
    <row r="35" spans="1:20" s="28" customFormat="1" ht="14.25" hidden="1" customHeight="1" outlineLevel="3" x14ac:dyDescent="0.2">
      <c r="A35" s="26">
        <v>41060</v>
      </c>
      <c r="B35" s="26"/>
      <c r="C35" s="24">
        <v>-77</v>
      </c>
      <c r="D35" s="24">
        <v>0</v>
      </c>
      <c r="E35" s="24">
        <f>9964.42+3646.72</f>
        <v>13611.14</v>
      </c>
      <c r="F35" s="24">
        <v>10858.16</v>
      </c>
      <c r="G35" s="22">
        <f t="shared" si="16"/>
        <v>-8443.0878676400898</v>
      </c>
      <c r="H35" s="8">
        <f t="shared" si="0"/>
        <v>3767.6802111461329</v>
      </c>
      <c r="I35" s="19"/>
      <c r="J35" s="18">
        <v>-59194.080000000002</v>
      </c>
      <c r="K35" s="18">
        <v>98436.2</v>
      </c>
      <c r="L35" s="9">
        <v>8443.0878676400898</v>
      </c>
      <c r="M35" s="8">
        <f t="shared" si="21"/>
        <v>-195560.56393113278</v>
      </c>
      <c r="O35" s="24">
        <f t="shared" si="2"/>
        <v>-59271.08</v>
      </c>
      <c r="P35" s="24">
        <f t="shared" si="3"/>
        <v>0</v>
      </c>
      <c r="Q35" s="24">
        <f t="shared" si="22"/>
        <v>122905.5</v>
      </c>
      <c r="R35" s="24">
        <f t="shared" si="24"/>
        <v>-191792.88371998648</v>
      </c>
      <c r="S35" s="14">
        <f t="shared" si="23"/>
        <v>63634.42</v>
      </c>
      <c r="T35" s="29"/>
    </row>
    <row r="36" spans="1:20" s="28" customFormat="1" ht="14.25" hidden="1" customHeight="1" outlineLevel="3" x14ac:dyDescent="0.2">
      <c r="A36" s="26">
        <v>41090</v>
      </c>
      <c r="B36" s="26"/>
      <c r="C36" s="24">
        <v>-545</v>
      </c>
      <c r="D36" s="24">
        <v>0</v>
      </c>
      <c r="E36" s="24">
        <f>8515.58+3376.38</f>
        <v>11891.96</v>
      </c>
      <c r="F36" s="24">
        <v>11911.48</v>
      </c>
      <c r="G36" s="22">
        <f t="shared" si="16"/>
        <v>-10040.502197790498</v>
      </c>
      <c r="H36" s="8">
        <f t="shared" si="0"/>
        <v>16985.618013355634</v>
      </c>
      <c r="I36" s="19"/>
      <c r="J36" s="18">
        <v>-42909.41</v>
      </c>
      <c r="K36" s="18">
        <v>92896.24</v>
      </c>
      <c r="L36" s="9">
        <v>10040.502197790498</v>
      </c>
      <c r="M36" s="8">
        <f t="shared" si="21"/>
        <v>-135533.23173334228</v>
      </c>
      <c r="O36" s="24">
        <f t="shared" si="2"/>
        <v>-43454.41</v>
      </c>
      <c r="P36" s="24">
        <f t="shared" si="3"/>
        <v>0</v>
      </c>
      <c r="Q36" s="24">
        <f t="shared" si="22"/>
        <v>116699.68</v>
      </c>
      <c r="R36" s="24">
        <f t="shared" si="24"/>
        <v>-118547.61371998649</v>
      </c>
      <c r="S36" s="14">
        <f t="shared" si="23"/>
        <v>73245.26999999999</v>
      </c>
      <c r="T36" s="29"/>
    </row>
    <row r="37" spans="1:20" s="28" customFormat="1" ht="14.25" hidden="1" customHeight="1" outlineLevel="3" x14ac:dyDescent="0.2">
      <c r="A37" s="26">
        <v>41121</v>
      </c>
      <c r="B37" s="26"/>
      <c r="C37" s="24">
        <v>-365</v>
      </c>
      <c r="D37" s="24">
        <v>0</v>
      </c>
      <c r="E37" s="24">
        <f>9757.44+3982.18</f>
        <v>13739.62</v>
      </c>
      <c r="F37" s="24">
        <v>12235.89</v>
      </c>
      <c r="G37" s="22">
        <f t="shared" si="16"/>
        <v>-13375.364519008916</v>
      </c>
      <c r="H37" s="8">
        <f t="shared" si="0"/>
        <v>29220.76349434672</v>
      </c>
      <c r="I37" s="19"/>
      <c r="J37" s="18">
        <v>-27722.01</v>
      </c>
      <c r="K37" s="18">
        <v>88253.11</v>
      </c>
      <c r="L37" s="9">
        <v>13375.364519008916</v>
      </c>
      <c r="M37" s="8">
        <f t="shared" si="21"/>
        <v>-61626.767214333362</v>
      </c>
      <c r="O37" s="24">
        <f t="shared" si="2"/>
        <v>-28087.01</v>
      </c>
      <c r="P37" s="24">
        <f t="shared" si="3"/>
        <v>0</v>
      </c>
      <c r="Q37" s="24">
        <f t="shared" si="22"/>
        <v>114228.62</v>
      </c>
      <c r="R37" s="24">
        <f t="shared" si="24"/>
        <v>-32406.003719986504</v>
      </c>
      <c r="S37" s="14">
        <f t="shared" si="23"/>
        <v>86141.61</v>
      </c>
      <c r="T37" s="29"/>
    </row>
    <row r="38" spans="1:20" s="28" customFormat="1" ht="14.25" hidden="1" customHeight="1" outlineLevel="3" x14ac:dyDescent="0.2">
      <c r="A38" s="26">
        <v>41152</v>
      </c>
      <c r="B38" s="26"/>
      <c r="C38" s="24">
        <v>-40</v>
      </c>
      <c r="D38" s="18">
        <v>0</v>
      </c>
      <c r="E38" s="24">
        <f>9432.19+3641.11</f>
        <v>13073.300000000001</v>
      </c>
      <c r="F38" s="18">
        <v>12022.25</v>
      </c>
      <c r="G38" s="22">
        <f t="shared" si="16"/>
        <v>-14204.705775106166</v>
      </c>
      <c r="H38" s="8">
        <f t="shared" si="0"/>
        <v>40071.607719240557</v>
      </c>
      <c r="I38" s="19"/>
      <c r="J38" s="18">
        <v>-46530.87</v>
      </c>
      <c r="K38" s="18">
        <v>86379.91</v>
      </c>
      <c r="L38" s="9">
        <v>14204.705775106166</v>
      </c>
      <c r="M38" s="8">
        <f t="shared" si="21"/>
        <v>-7573.0214392271955</v>
      </c>
      <c r="O38" s="24">
        <f t="shared" si="2"/>
        <v>-46570.87</v>
      </c>
      <c r="P38" s="24">
        <f t="shared" si="3"/>
        <v>0</v>
      </c>
      <c r="Q38" s="24">
        <f t="shared" si="22"/>
        <v>111475.46</v>
      </c>
      <c r="R38" s="24">
        <f t="shared" si="24"/>
        <v>32498.586280013507</v>
      </c>
      <c r="S38" s="14">
        <f t="shared" si="23"/>
        <v>64904.590000000004</v>
      </c>
      <c r="T38" s="29"/>
    </row>
    <row r="39" spans="1:20" s="28" customFormat="1" ht="14.25" hidden="1" customHeight="1" outlineLevel="3" x14ac:dyDescent="0.2">
      <c r="A39" s="26">
        <v>41182</v>
      </c>
      <c r="B39" s="26"/>
      <c r="C39" s="24">
        <v>-474</v>
      </c>
      <c r="D39" s="18">
        <v>0</v>
      </c>
      <c r="E39" s="24">
        <f>7403.46+3722.05</f>
        <v>11125.51</v>
      </c>
      <c r="F39" s="18">
        <v>9018.9</v>
      </c>
      <c r="G39" s="22">
        <f t="shared" si="16"/>
        <v>-14545.552899071816</v>
      </c>
      <c r="H39" s="8">
        <f t="shared" si="0"/>
        <v>45196.464820168738</v>
      </c>
      <c r="I39" s="19"/>
      <c r="J39" s="18">
        <v>-60651.39</v>
      </c>
      <c r="K39" s="18">
        <v>85770.25</v>
      </c>
      <c r="L39" s="9">
        <v>14545.552899071816</v>
      </c>
      <c r="M39" s="8">
        <f t="shared" si="21"/>
        <v>32091.391459844621</v>
      </c>
      <c r="O39" s="24">
        <f t="shared" si="2"/>
        <v>-61125.39</v>
      </c>
      <c r="P39" s="24">
        <f t="shared" si="3"/>
        <v>0</v>
      </c>
      <c r="Q39" s="24">
        <f t="shared" si="22"/>
        <v>105914.65999999999</v>
      </c>
      <c r="R39" s="24">
        <f t="shared" si="24"/>
        <v>77287.856280013497</v>
      </c>
      <c r="S39" s="14">
        <f t="shared" si="23"/>
        <v>44789.26999999999</v>
      </c>
      <c r="T39" s="29"/>
    </row>
    <row r="40" spans="1:20" s="28" customFormat="1" ht="14.25" hidden="1" customHeight="1" outlineLevel="3" x14ac:dyDescent="0.2">
      <c r="A40" s="26">
        <v>41213</v>
      </c>
      <c r="B40" s="26"/>
      <c r="C40" s="24">
        <v>177</v>
      </c>
      <c r="D40" s="18">
        <v>-3512</v>
      </c>
      <c r="E40" s="24">
        <f>5335.94+2025.36</f>
        <v>7361.2999999999993</v>
      </c>
      <c r="F40" s="18">
        <v>9019.9</v>
      </c>
      <c r="G40" s="22">
        <f t="shared" si="16"/>
        <v>-13653.263042653227</v>
      </c>
      <c r="H40" s="8">
        <f t="shared" si="0"/>
        <v>44589.401777515508</v>
      </c>
      <c r="I40" s="19"/>
      <c r="J40" s="18">
        <v>-73857.66</v>
      </c>
      <c r="K40" s="18">
        <v>43402.9</v>
      </c>
      <c r="L40" s="9">
        <v>13653.263042653227</v>
      </c>
      <c r="M40" s="8">
        <f t="shared" ref="M40" si="25">SUM(J40:L40)+M39</f>
        <v>15289.894502497846</v>
      </c>
      <c r="O40" s="24">
        <f t="shared" si="2"/>
        <v>-73680.66</v>
      </c>
      <c r="P40" s="24">
        <f t="shared" si="3"/>
        <v>-3512</v>
      </c>
      <c r="Q40" s="24">
        <f t="shared" si="22"/>
        <v>59784.100000000006</v>
      </c>
      <c r="R40" s="24">
        <f t="shared" si="24"/>
        <v>59879.296280013499</v>
      </c>
      <c r="S40" s="14">
        <f t="shared" si="23"/>
        <v>-17408.559999999998</v>
      </c>
      <c r="T40" s="29"/>
    </row>
    <row r="41" spans="1:20" s="28" customFormat="1" ht="14.25" hidden="1" customHeight="1" outlineLevel="3" x14ac:dyDescent="0.2">
      <c r="A41" s="26">
        <v>41243</v>
      </c>
      <c r="B41" s="26"/>
      <c r="C41" s="24">
        <v>1202</v>
      </c>
      <c r="D41" s="18">
        <v>-4617</v>
      </c>
      <c r="E41" s="24">
        <f>13626.62+5584.51</f>
        <v>19211.13</v>
      </c>
      <c r="F41" s="18">
        <v>5155.0200000000004</v>
      </c>
      <c r="G41" s="22">
        <f t="shared" si="16"/>
        <v>-22418.58</v>
      </c>
      <c r="H41" s="8">
        <f t="shared" si="0"/>
        <v>43121.971777515508</v>
      </c>
      <c r="I41" s="19"/>
      <c r="J41" s="18">
        <v>-69399.320000000007</v>
      </c>
      <c r="K41" s="18">
        <f>51822.54-89492.25+123144.84</f>
        <v>85475.13</v>
      </c>
      <c r="L41" s="9">
        <v>22418.58</v>
      </c>
      <c r="M41" s="8">
        <f t="shared" ref="M41" si="26">SUM(J41:L41)+M40</f>
        <v>53784.284502497845</v>
      </c>
      <c r="O41" s="24">
        <f t="shared" si="2"/>
        <v>-68197.320000000007</v>
      </c>
      <c r="P41" s="24">
        <f t="shared" si="3"/>
        <v>-4617</v>
      </c>
      <c r="Q41" s="24">
        <f t="shared" si="22"/>
        <v>109841.28000000001</v>
      </c>
      <c r="R41" s="24">
        <f t="shared" si="24"/>
        <v>96906.256280013506</v>
      </c>
      <c r="S41" s="14">
        <f t="shared" si="23"/>
        <v>37026.960000000006</v>
      </c>
      <c r="T41" s="29"/>
    </row>
    <row r="42" spans="1:20" s="28" customFormat="1" ht="14.25" hidden="1" customHeight="1" outlineLevel="1" x14ac:dyDescent="0.2">
      <c r="A42" s="26">
        <v>41274</v>
      </c>
      <c r="B42" s="26"/>
      <c r="C42" s="24">
        <v>4706</v>
      </c>
      <c r="D42" s="18">
        <v>-1961</v>
      </c>
      <c r="E42" s="24">
        <f>4829.24+2860.23</f>
        <v>7689.4699999999993</v>
      </c>
      <c r="F42" s="18">
        <v>6455.15</v>
      </c>
      <c r="G42" s="22">
        <f t="shared" si="16"/>
        <v>2557.5946187424634</v>
      </c>
      <c r="H42" s="8">
        <f>SUM(C42:G42)+H41</f>
        <v>62569.186396257966</v>
      </c>
      <c r="I42" s="19"/>
      <c r="J42" s="18">
        <v>-114361.82</v>
      </c>
      <c r="K42" s="18">
        <v>61219.32</v>
      </c>
      <c r="L42" s="9">
        <v>-2557.5946187424634</v>
      </c>
      <c r="M42" s="8">
        <f>SUM(J42:L42)+M41</f>
        <v>-1915.8101162446255</v>
      </c>
      <c r="O42" s="24">
        <f t="shared" si="2"/>
        <v>-109655.82</v>
      </c>
      <c r="P42" s="24">
        <f t="shared" si="3"/>
        <v>-1961</v>
      </c>
      <c r="Q42" s="24">
        <f>+F42+K42+E42</f>
        <v>75363.94</v>
      </c>
      <c r="R42" s="24">
        <f>R41+O42+Q42+P42</f>
        <v>60653.376280013501</v>
      </c>
      <c r="S42" s="14">
        <f t="shared" ref="S42:S49" si="27">SUM(O42:Q42)</f>
        <v>-36252.880000000005</v>
      </c>
      <c r="T42" s="29"/>
    </row>
    <row r="43" spans="1:20" s="28" customFormat="1" ht="13.5" hidden="1" customHeight="1" outlineLevel="1" x14ac:dyDescent="0.2">
      <c r="A43" s="6" t="s">
        <v>14</v>
      </c>
      <c r="B43" s="35"/>
      <c r="C43" s="24"/>
      <c r="D43" s="36">
        <v>12140</v>
      </c>
      <c r="E43" s="24"/>
      <c r="F43" s="18"/>
      <c r="G43" s="22"/>
      <c r="H43" s="8">
        <f>SUM(C43:G43)+H42</f>
        <v>74709.186396257966</v>
      </c>
      <c r="I43" s="19"/>
      <c r="J43" s="18"/>
      <c r="K43" s="18"/>
      <c r="L43" s="9"/>
      <c r="M43" s="8">
        <f>SUM(J43:L43)+M42</f>
        <v>-1915.8101162446255</v>
      </c>
      <c r="O43" s="24">
        <f t="shared" si="2"/>
        <v>0</v>
      </c>
      <c r="P43" s="24">
        <f t="shared" si="3"/>
        <v>12140</v>
      </c>
      <c r="Q43" s="24">
        <f t="shared" ref="Q43:Q66" si="28">+F43+K43+E43</f>
        <v>0</v>
      </c>
      <c r="R43" s="24">
        <f>R42+O43+Q43+P43</f>
        <v>72793.376280013501</v>
      </c>
      <c r="S43" s="31">
        <f t="shared" si="27"/>
        <v>12140</v>
      </c>
      <c r="T43" s="29"/>
    </row>
    <row r="44" spans="1:20" s="28" customFormat="1" ht="14.25" hidden="1" customHeight="1" outlineLevel="1" x14ac:dyDescent="0.2">
      <c r="A44" s="30">
        <v>41255</v>
      </c>
      <c r="B44" s="30"/>
      <c r="C44" s="23"/>
      <c r="D44" s="20"/>
      <c r="E44" s="23"/>
      <c r="F44" s="20"/>
      <c r="G44" s="29"/>
      <c r="H44" s="8">
        <f>SUM(C43:G43)+H42</f>
        <v>74709.186396257966</v>
      </c>
      <c r="I44" s="25"/>
      <c r="J44" s="20"/>
      <c r="K44" s="20"/>
      <c r="L44" s="15"/>
      <c r="M44" s="8">
        <f t="shared" ref="M44:M48" si="29">SUM(J44:L44)+M43</f>
        <v>-1915.8101162446255</v>
      </c>
      <c r="N44" s="22"/>
      <c r="O44" s="24">
        <f t="shared" si="2"/>
        <v>0</v>
      </c>
      <c r="P44" s="24">
        <f t="shared" si="3"/>
        <v>0</v>
      </c>
      <c r="Q44" s="24">
        <f t="shared" si="28"/>
        <v>0</v>
      </c>
      <c r="R44" s="24">
        <f t="shared" ref="R44" si="30">R43+O44+Q44+P44</f>
        <v>72793.376280013501</v>
      </c>
      <c r="S44" s="14">
        <f t="shared" si="27"/>
        <v>0</v>
      </c>
      <c r="T44" s="29"/>
    </row>
    <row r="45" spans="1:20" s="28" customFormat="1" ht="14.25" hidden="1" customHeight="1" outlineLevel="1" x14ac:dyDescent="0.2">
      <c r="A45" s="6" t="s">
        <v>15</v>
      </c>
      <c r="B45" s="30"/>
      <c r="C45" s="23"/>
      <c r="D45" s="20"/>
      <c r="E45" s="23"/>
      <c r="F45" s="20"/>
      <c r="G45" s="29"/>
      <c r="H45" s="8">
        <v>-74709</v>
      </c>
      <c r="I45" s="25"/>
      <c r="J45" s="20"/>
      <c r="K45" s="20"/>
      <c r="L45" s="15"/>
      <c r="M45" s="8">
        <f t="shared" si="29"/>
        <v>-1915.8101162446255</v>
      </c>
      <c r="N45" s="22"/>
      <c r="O45" s="24">
        <f t="shared" si="2"/>
        <v>0</v>
      </c>
      <c r="P45" s="24">
        <f t="shared" si="3"/>
        <v>0</v>
      </c>
      <c r="Q45" s="24">
        <f t="shared" si="28"/>
        <v>0</v>
      </c>
      <c r="R45" s="18">
        <f>R44+O45+Q45+P45+H45</f>
        <v>-1915.6237199864991</v>
      </c>
      <c r="S45" s="31">
        <v>-74707</v>
      </c>
      <c r="T45" s="29"/>
    </row>
    <row r="46" spans="1:20" s="28" customFormat="1" ht="12.75" hidden="1" outlineLevel="1" x14ac:dyDescent="0.2">
      <c r="A46" s="30">
        <v>41255</v>
      </c>
      <c r="B46" s="30"/>
      <c r="C46" s="23"/>
      <c r="D46" s="20"/>
      <c r="E46" s="23"/>
      <c r="F46" s="20"/>
      <c r="G46" s="29"/>
      <c r="H46" s="8">
        <v>0</v>
      </c>
      <c r="I46" s="25"/>
      <c r="J46" s="20"/>
      <c r="K46" s="20"/>
      <c r="L46" s="15"/>
      <c r="M46" s="8">
        <f t="shared" si="29"/>
        <v>-1915.8101162446255</v>
      </c>
      <c r="N46" s="22"/>
      <c r="O46" s="24">
        <f t="shared" si="2"/>
        <v>0</v>
      </c>
      <c r="P46" s="24">
        <f t="shared" si="3"/>
        <v>0</v>
      </c>
      <c r="Q46" s="24">
        <f t="shared" si="28"/>
        <v>0</v>
      </c>
      <c r="R46" s="24">
        <f>R45+O46+Q46+P46+H46</f>
        <v>-1915.6237199864991</v>
      </c>
      <c r="S46" s="14">
        <f t="shared" ref="S46" si="31">SUM(O46:Q46)</f>
        <v>0</v>
      </c>
      <c r="T46" s="29"/>
    </row>
    <row r="47" spans="1:20" s="28" customFormat="1" ht="12.75" hidden="1" outlineLevel="1" collapsed="1" x14ac:dyDescent="0.2">
      <c r="A47" s="26">
        <v>41287</v>
      </c>
      <c r="B47" s="26"/>
      <c r="C47" s="23">
        <v>493</v>
      </c>
      <c r="D47" s="18">
        <v>-1725</v>
      </c>
      <c r="E47" s="24">
        <f>4716.94+2128.5-660.1</f>
        <v>6185.3399999999992</v>
      </c>
      <c r="F47" s="18">
        <v>7313.62</v>
      </c>
      <c r="G47" s="22">
        <f>-L47</f>
        <v>409.17</v>
      </c>
      <c r="H47" s="8">
        <f>SUM(C47:G47)</f>
        <v>12676.13</v>
      </c>
      <c r="I47" s="19"/>
      <c r="J47" s="18">
        <v>-96124.68</v>
      </c>
      <c r="K47" s="18">
        <v>72457.19</v>
      </c>
      <c r="L47" s="9">
        <v>-409.17</v>
      </c>
      <c r="M47" s="8">
        <f>SUM(J47:L47)+M43</f>
        <v>-25992.470116244614</v>
      </c>
      <c r="N47" s="22"/>
      <c r="O47" s="24">
        <f t="shared" si="2"/>
        <v>-95631.679999999993</v>
      </c>
      <c r="P47" s="24">
        <f t="shared" si="3"/>
        <v>-1725</v>
      </c>
      <c r="Q47" s="24">
        <f t="shared" si="28"/>
        <v>85956.15</v>
      </c>
      <c r="R47" s="24">
        <f>R45+O47+Q47+P47</f>
        <v>-13316.153719986498</v>
      </c>
      <c r="S47" s="14">
        <f t="shared" si="27"/>
        <v>-11400.529999999999</v>
      </c>
      <c r="T47" s="29"/>
    </row>
    <row r="48" spans="1:20" s="28" customFormat="1" ht="12.75" hidden="1" outlineLevel="1" x14ac:dyDescent="0.2">
      <c r="A48" s="26">
        <v>41333</v>
      </c>
      <c r="B48" s="26"/>
      <c r="C48" s="23">
        <v>-18</v>
      </c>
      <c r="D48" s="18">
        <v>-1098</v>
      </c>
      <c r="E48" s="24">
        <f>4267.7+1882.31</f>
        <v>6150.01</v>
      </c>
      <c r="F48" s="18">
        <v>6130.16</v>
      </c>
      <c r="G48" s="22">
        <f>-L48</f>
        <v>1391.37</v>
      </c>
      <c r="H48" s="8">
        <f>SUM(C48:G48)+H47</f>
        <v>25231.67</v>
      </c>
      <c r="I48" s="19"/>
      <c r="J48" s="18">
        <v>-101019</v>
      </c>
      <c r="K48" s="18">
        <v>57254.48</v>
      </c>
      <c r="L48" s="9">
        <v>-1391.37</v>
      </c>
      <c r="M48" s="8">
        <f t="shared" si="29"/>
        <v>-71148.360116244614</v>
      </c>
      <c r="N48" s="22"/>
      <c r="O48" s="24">
        <f t="shared" si="2"/>
        <v>-101037</v>
      </c>
      <c r="P48" s="24">
        <f t="shared" si="3"/>
        <v>-1098</v>
      </c>
      <c r="Q48" s="24">
        <f t="shared" si="28"/>
        <v>69534.649999999994</v>
      </c>
      <c r="R48" s="24">
        <f>R47+O48+Q48+P48</f>
        <v>-45916.503719986504</v>
      </c>
      <c r="S48" s="14">
        <f t="shared" si="27"/>
        <v>-32600.350000000006</v>
      </c>
      <c r="T48" s="29"/>
    </row>
    <row r="49" spans="1:20" s="28" customFormat="1" ht="12.75" hidden="1" outlineLevel="1" x14ac:dyDescent="0.2">
      <c r="A49" s="26">
        <v>41364</v>
      </c>
      <c r="B49" s="26"/>
      <c r="C49" s="23">
        <v>29</v>
      </c>
      <c r="D49" s="18">
        <v>-1224</v>
      </c>
      <c r="E49" s="24">
        <f>4460.23+1842.2</f>
        <v>6302.4299999999994</v>
      </c>
      <c r="F49" s="18">
        <v>5824.21</v>
      </c>
      <c r="G49" s="22">
        <f>-L49</f>
        <v>-42963</v>
      </c>
      <c r="H49" s="8">
        <f>SUM(C49:G49)+H48</f>
        <v>-6799.6900000000023</v>
      </c>
      <c r="I49" s="19"/>
      <c r="J49" s="18">
        <v>-90622.35</v>
      </c>
      <c r="K49" s="18">
        <f>55414.09</f>
        <v>55414.09</v>
      </c>
      <c r="L49" s="9">
        <v>42963</v>
      </c>
      <c r="M49" s="8">
        <f t="shared" ref="M49:M55" si="32">SUM(J49:L49)+M48</f>
        <v>-63393.620116244623</v>
      </c>
      <c r="N49" s="22"/>
      <c r="O49" s="24">
        <f t="shared" si="2"/>
        <v>-90593.35</v>
      </c>
      <c r="P49" s="24">
        <f t="shared" si="3"/>
        <v>-1224</v>
      </c>
      <c r="Q49" s="24">
        <f t="shared" si="28"/>
        <v>67540.73</v>
      </c>
      <c r="R49" s="24">
        <f>R48+O49+Q49+P49</f>
        <v>-70193.123719986514</v>
      </c>
      <c r="S49" s="14">
        <f t="shared" si="27"/>
        <v>-24276.62000000001</v>
      </c>
      <c r="T49" s="29"/>
    </row>
    <row r="50" spans="1:20" s="28" customFormat="1" ht="12.75" hidden="1" outlineLevel="1" x14ac:dyDescent="0.2">
      <c r="A50" s="6" t="s">
        <v>16</v>
      </c>
      <c r="B50" s="30"/>
      <c r="C50" s="23"/>
      <c r="D50" s="18"/>
      <c r="E50" s="24"/>
      <c r="F50" s="18"/>
      <c r="G50" s="22"/>
      <c r="H50" s="8">
        <v>6800</v>
      </c>
      <c r="I50" s="19"/>
      <c r="J50" s="18">
        <v>0</v>
      </c>
      <c r="K50" s="18">
        <v>0</v>
      </c>
      <c r="L50" s="9">
        <v>0</v>
      </c>
      <c r="M50" s="8">
        <f t="shared" si="32"/>
        <v>-63393.620116244623</v>
      </c>
      <c r="N50" s="22"/>
      <c r="O50" s="24">
        <f t="shared" si="2"/>
        <v>0</v>
      </c>
      <c r="P50" s="24">
        <f t="shared" si="3"/>
        <v>0</v>
      </c>
      <c r="Q50" s="24">
        <f t="shared" si="28"/>
        <v>0</v>
      </c>
      <c r="R50" s="24">
        <f>M50</f>
        <v>-63393.620116244623</v>
      </c>
      <c r="S50" s="31">
        <v>6800</v>
      </c>
      <c r="T50" s="29"/>
    </row>
    <row r="51" spans="1:20" ht="12.75" hidden="1" outlineLevel="1" x14ac:dyDescent="0.2">
      <c r="A51" s="30" t="s">
        <v>17</v>
      </c>
      <c r="B51" s="30"/>
      <c r="C51" s="23"/>
      <c r="D51" s="18"/>
      <c r="E51" s="24"/>
      <c r="F51" s="18"/>
      <c r="G51" s="22"/>
      <c r="H51" s="8">
        <v>0</v>
      </c>
      <c r="I51" s="19"/>
      <c r="J51" s="18">
        <v>0</v>
      </c>
      <c r="K51" s="18">
        <v>0</v>
      </c>
      <c r="L51" s="9">
        <v>0</v>
      </c>
      <c r="M51" s="8">
        <f t="shared" si="32"/>
        <v>-63393.620116244623</v>
      </c>
      <c r="N51" s="22"/>
      <c r="O51" s="24">
        <f t="shared" si="2"/>
        <v>0</v>
      </c>
      <c r="P51" s="24">
        <f t="shared" si="3"/>
        <v>0</v>
      </c>
      <c r="Q51" s="24">
        <f t="shared" si="28"/>
        <v>0</v>
      </c>
      <c r="R51" s="24">
        <f>M51</f>
        <v>-63393.620116244623</v>
      </c>
      <c r="S51" s="14">
        <v>0</v>
      </c>
    </row>
    <row r="52" spans="1:20" ht="12.75" hidden="1" outlineLevel="1" x14ac:dyDescent="0.2">
      <c r="A52" s="26">
        <v>41394</v>
      </c>
      <c r="B52" s="26"/>
      <c r="C52" s="23">
        <v>-110.34</v>
      </c>
      <c r="D52" s="18">
        <v>-391.2</v>
      </c>
      <c r="E52" s="24">
        <f>2294.1+5406.83</f>
        <v>7700.93</v>
      </c>
      <c r="F52" s="18">
        <v>6092.52</v>
      </c>
      <c r="G52" s="22">
        <f>-L52</f>
        <v>-13742.186180590383</v>
      </c>
      <c r="H52" s="8">
        <f>SUM(C52:G52)+H51</f>
        <v>-450.27618059038286</v>
      </c>
      <c r="I52" s="19"/>
      <c r="J52" s="18">
        <v>-87471.95</v>
      </c>
      <c r="K52" s="18">
        <v>56349.760000000002</v>
      </c>
      <c r="L52" s="9">
        <f>(((M50+J52)/(R50+O52))*Q52)-K52</f>
        <v>13742.186180590383</v>
      </c>
      <c r="M52" s="8">
        <f>SUM(J52:L52)+M50</f>
        <v>-80773.623935654236</v>
      </c>
      <c r="N52" s="22"/>
      <c r="O52" s="24">
        <f t="shared" si="2"/>
        <v>-87582.29</v>
      </c>
      <c r="P52" s="24">
        <f t="shared" si="3"/>
        <v>-391.2</v>
      </c>
      <c r="Q52" s="24">
        <f t="shared" si="28"/>
        <v>70143.209999999992</v>
      </c>
      <c r="R52" s="24">
        <f>R50+O52+Q52+P52</f>
        <v>-81223.900116244637</v>
      </c>
      <c r="S52" s="14">
        <f>SUM(O52:Q52)</f>
        <v>-17830.28</v>
      </c>
    </row>
    <row r="53" spans="1:20" ht="12.75" hidden="1" outlineLevel="1" x14ac:dyDescent="0.2">
      <c r="A53" s="26">
        <v>41425</v>
      </c>
      <c r="B53" s="26"/>
      <c r="C53" s="23">
        <v>-43.88</v>
      </c>
      <c r="D53" s="18">
        <v>-355.8</v>
      </c>
      <c r="E53" s="24">
        <f>1897.78+5358.7</f>
        <v>7256.48</v>
      </c>
      <c r="F53" s="18">
        <v>4801.3900000000003</v>
      </c>
      <c r="G53" s="22">
        <f>-L53</f>
        <v>-11870.721618759904</v>
      </c>
      <c r="H53" s="8">
        <f>SUM(C53:G53)+H52</f>
        <v>-662.80779935028841</v>
      </c>
      <c r="I53" s="19"/>
      <c r="J53" s="18">
        <v>-70156.740000000005</v>
      </c>
      <c r="K53" s="18">
        <v>45290.1</v>
      </c>
      <c r="L53" s="9">
        <f>(((M52+J53)/(R52+O53))*Q53)-K53</f>
        <v>11870.721618759904</v>
      </c>
      <c r="M53" s="8">
        <f t="shared" si="32"/>
        <v>-93769.542316894338</v>
      </c>
      <c r="N53" s="22"/>
      <c r="O53" s="24">
        <f t="shared" si="2"/>
        <v>-70200.62000000001</v>
      </c>
      <c r="P53" s="24">
        <f t="shared" si="3"/>
        <v>-355.8</v>
      </c>
      <c r="Q53" s="24">
        <f t="shared" si="28"/>
        <v>57347.97</v>
      </c>
      <c r="R53" s="24">
        <f>R52+O53+Q53+P53</f>
        <v>-94432.350116244648</v>
      </c>
      <c r="S53" s="14">
        <f>SUM(O53:Q53)</f>
        <v>-13208.450000000012</v>
      </c>
    </row>
    <row r="54" spans="1:20" ht="12.75" hidden="1" outlineLevel="1" x14ac:dyDescent="0.2">
      <c r="A54" s="26">
        <v>41455</v>
      </c>
      <c r="B54" s="26"/>
      <c r="C54" s="23">
        <v>23.49</v>
      </c>
      <c r="D54" s="18">
        <v>-250.8</v>
      </c>
      <c r="E54" s="24">
        <f>4123.31+1745.93</f>
        <v>5869.2400000000007</v>
      </c>
      <c r="F54" s="18">
        <v>5307.39</v>
      </c>
      <c r="G54" s="22">
        <f>-L54</f>
        <v>-10948.151585599604</v>
      </c>
      <c r="H54" s="8">
        <f>SUM(C54:G54)+H53</f>
        <v>-661.6393849498927</v>
      </c>
      <c r="I54" s="19"/>
      <c r="J54" s="18">
        <v>-57370.99</v>
      </c>
      <c r="K54" s="18">
        <v>43066.22</v>
      </c>
      <c r="L54" s="9">
        <f>(((M53+J54)/(R53+O54))*Q54)-K54</f>
        <v>10948.151585599604</v>
      </c>
      <c r="M54" s="8">
        <f t="shared" si="32"/>
        <v>-97126.160731294731</v>
      </c>
      <c r="N54" s="22"/>
      <c r="O54" s="24">
        <f t="shared" si="2"/>
        <v>-57347.5</v>
      </c>
      <c r="P54" s="24">
        <f t="shared" si="3"/>
        <v>-250.8</v>
      </c>
      <c r="Q54" s="24">
        <f t="shared" si="28"/>
        <v>54242.85</v>
      </c>
      <c r="R54" s="24">
        <f>R53+O54+Q54+P54</f>
        <v>-97787.800116244631</v>
      </c>
      <c r="S54" s="14">
        <f>SUM(O54:Q54)</f>
        <v>-3355.4500000000044</v>
      </c>
    </row>
    <row r="55" spans="1:20" s="28" customFormat="1" ht="12.75" hidden="1" outlineLevel="1" x14ac:dyDescent="0.2">
      <c r="A55" s="26">
        <v>41486</v>
      </c>
      <c r="C55" s="23">
        <v>-291.55</v>
      </c>
      <c r="D55" s="18">
        <v>-154.80000000000001</v>
      </c>
      <c r="E55" s="24">
        <f>2083.62+5214.3</f>
        <v>7297.92</v>
      </c>
      <c r="F55" s="18">
        <v>4902.28</v>
      </c>
      <c r="G55" s="22">
        <f t="shared" ref="G55:G59" si="33">-L55</f>
        <v>-11871.227227250696</v>
      </c>
      <c r="H55" s="8">
        <f t="shared" ref="H55:H57" si="34">SUM(C55:G55)+H54</f>
        <v>-779.01661220059032</v>
      </c>
      <c r="I55" s="22"/>
      <c r="J55" s="24">
        <v>-55901.35</v>
      </c>
      <c r="K55" s="18">
        <v>40942.92</v>
      </c>
      <c r="L55" s="9">
        <f t="shared" ref="L55:L60" si="35">(((M54+J55)/(R54+O55))*Q55)-K55</f>
        <v>11871.227227250696</v>
      </c>
      <c r="M55" s="8">
        <f t="shared" si="32"/>
        <v>-100213.36350404404</v>
      </c>
      <c r="N55" s="22"/>
      <c r="O55" s="24">
        <f t="shared" si="2"/>
        <v>-56192.9</v>
      </c>
      <c r="P55" s="24">
        <f t="shared" si="3"/>
        <v>-154.80000000000001</v>
      </c>
      <c r="Q55" s="24">
        <f t="shared" si="28"/>
        <v>53143.119999999995</v>
      </c>
      <c r="R55" s="24">
        <f t="shared" ref="R55:R66" si="36">R54+O55+Q55+P55</f>
        <v>-100992.38011624465</v>
      </c>
      <c r="S55" s="14">
        <f t="shared" ref="S55:S57" si="37">SUM(O55:Q55)</f>
        <v>-3204.580000000009</v>
      </c>
    </row>
    <row r="56" spans="1:20" s="28" customFormat="1" ht="12.75" hidden="1" outlineLevel="1" x14ac:dyDescent="0.2">
      <c r="A56" s="26">
        <v>41517</v>
      </c>
      <c r="C56" s="23">
        <v>-73.67</v>
      </c>
      <c r="D56" s="18">
        <v>-158.34</v>
      </c>
      <c r="E56" s="24">
        <f>5053.86+1912.1</f>
        <v>6965.9599999999991</v>
      </c>
      <c r="F56" s="18">
        <v>5475.3</v>
      </c>
      <c r="G56" s="22">
        <f t="shared" si="33"/>
        <v>-12148.613823348787</v>
      </c>
      <c r="H56" s="8">
        <f t="shared" si="34"/>
        <v>-718.38043554937758</v>
      </c>
      <c r="I56" s="22"/>
      <c r="J56" s="24">
        <f>-54221.88</f>
        <v>-54221.88</v>
      </c>
      <c r="K56" s="18">
        <v>40854.31</v>
      </c>
      <c r="L56" s="9">
        <f t="shared" si="35"/>
        <v>12148.613823348787</v>
      </c>
      <c r="M56" s="8">
        <f t="shared" ref="M56" si="38">SUM(J56:L56)+M55</f>
        <v>-101432.31968069525</v>
      </c>
      <c r="N56" s="22"/>
      <c r="O56" s="24">
        <f t="shared" si="2"/>
        <v>-54295.549999999996</v>
      </c>
      <c r="P56" s="24">
        <f t="shared" si="3"/>
        <v>-158.34</v>
      </c>
      <c r="Q56" s="24">
        <f t="shared" si="28"/>
        <v>53295.57</v>
      </c>
      <c r="R56" s="24">
        <f t="shared" si="36"/>
        <v>-102150.70011624464</v>
      </c>
      <c r="S56" s="14">
        <f t="shared" si="37"/>
        <v>-1158.3199999999924</v>
      </c>
    </row>
    <row r="57" spans="1:20" s="28" customFormat="1" ht="12.75" hidden="1" outlineLevel="1" x14ac:dyDescent="0.2">
      <c r="A57" s="26">
        <v>41547</v>
      </c>
      <c r="C57" s="23">
        <v>-73.98</v>
      </c>
      <c r="D57" s="18">
        <v>-78.599999999999994</v>
      </c>
      <c r="E57" s="24">
        <v>5519.14</v>
      </c>
      <c r="F57" s="18">
        <v>6117.57</v>
      </c>
      <c r="G57" s="22">
        <f t="shared" si="33"/>
        <v>-11418.283754076008</v>
      </c>
      <c r="H57" s="8">
        <f t="shared" si="34"/>
        <v>-652.5341896253849</v>
      </c>
      <c r="I57" s="22"/>
      <c r="J57" s="24">
        <v>-81295.47</v>
      </c>
      <c r="K57" s="18">
        <v>38953.42</v>
      </c>
      <c r="L57" s="9">
        <f t="shared" si="35"/>
        <v>11418.283754076008</v>
      </c>
      <c r="M57" s="8">
        <f t="shared" ref="M57" si="39">SUM(J57:L57)+M56</f>
        <v>-132356.08592661924</v>
      </c>
      <c r="N57" s="22"/>
      <c r="O57" s="24">
        <f t="shared" si="2"/>
        <v>-81369.45</v>
      </c>
      <c r="P57" s="24">
        <f t="shared" si="3"/>
        <v>-78.599999999999994</v>
      </c>
      <c r="Q57" s="24">
        <f t="shared" si="28"/>
        <v>50590.13</v>
      </c>
      <c r="R57" s="24">
        <f t="shared" si="36"/>
        <v>-133008.62011624462</v>
      </c>
      <c r="S57" s="14">
        <f t="shared" si="37"/>
        <v>-30857.920000000006</v>
      </c>
    </row>
    <row r="58" spans="1:20" s="28" customFormat="1" ht="12.75" hidden="1" outlineLevel="1" x14ac:dyDescent="0.2">
      <c r="A58" s="26">
        <v>41578</v>
      </c>
      <c r="B58" s="24"/>
      <c r="C58" s="24">
        <v>-166.33</v>
      </c>
      <c r="D58" s="18">
        <v>-1297.08</v>
      </c>
      <c r="E58" s="24">
        <v>5480.17</v>
      </c>
      <c r="F58" s="18">
        <v>5646.64</v>
      </c>
      <c r="G58" s="22">
        <f t="shared" si="33"/>
        <v>-10925.531187454333</v>
      </c>
      <c r="H58" s="8">
        <f>SUM(C58:G58)+H57</f>
        <v>-1914.6653770797166</v>
      </c>
      <c r="I58" s="19"/>
      <c r="J58" s="18">
        <v>-89489.32</v>
      </c>
      <c r="K58" s="18">
        <v>43604.61</v>
      </c>
      <c r="L58" s="9">
        <f t="shared" si="35"/>
        <v>10925.531187454333</v>
      </c>
      <c r="M58" s="8">
        <f t="shared" ref="M58" si="40">SUM(J58:L58)+M57</f>
        <v>-167315.26473916491</v>
      </c>
      <c r="N58" s="22"/>
      <c r="O58" s="24">
        <f t="shared" si="2"/>
        <v>-89655.650000000009</v>
      </c>
      <c r="P58" s="24">
        <f t="shared" si="3"/>
        <v>-1297.08</v>
      </c>
      <c r="Q58" s="24">
        <f t="shared" si="28"/>
        <v>54731.42</v>
      </c>
      <c r="R58" s="24">
        <f t="shared" si="36"/>
        <v>-169229.93011624462</v>
      </c>
      <c r="S58" s="14">
        <f t="shared" ref="S58" si="41">SUM(O58:Q58)</f>
        <v>-36221.310000000012</v>
      </c>
    </row>
    <row r="59" spans="1:20" s="28" customFormat="1" ht="12.75" hidden="1" outlineLevel="1" x14ac:dyDescent="0.2">
      <c r="A59" s="26">
        <v>41608</v>
      </c>
      <c r="B59" s="24"/>
      <c r="C59" s="24">
        <v>-219.84</v>
      </c>
      <c r="D59" s="18">
        <v>-1040.58</v>
      </c>
      <c r="E59" s="24">
        <v>5601.65</v>
      </c>
      <c r="F59" s="18">
        <v>4731.4799999999996</v>
      </c>
      <c r="G59" s="22">
        <f t="shared" si="33"/>
        <v>-9874.7926441503951</v>
      </c>
      <c r="H59" s="8">
        <f t="shared" ref="H59:H60" si="42">SUM(C59:G59)+H58</f>
        <v>-2716.7480212301125</v>
      </c>
      <c r="I59" s="19"/>
      <c r="J59" s="18">
        <v>-109186.52</v>
      </c>
      <c r="K59" s="18">
        <v>49497.79</v>
      </c>
      <c r="L59" s="9">
        <f t="shared" si="35"/>
        <v>9874.7926441503951</v>
      </c>
      <c r="M59" s="8">
        <f t="shared" ref="M59:M60" si="43">SUM(J59:L59)+M58</f>
        <v>-217129.20209501451</v>
      </c>
      <c r="N59" s="22"/>
      <c r="O59" s="24">
        <f t="shared" si="2"/>
        <v>-109406.36</v>
      </c>
      <c r="P59" s="24">
        <f t="shared" si="3"/>
        <v>-1040.58</v>
      </c>
      <c r="Q59" s="24">
        <f t="shared" si="28"/>
        <v>59830.920000000006</v>
      </c>
      <c r="R59" s="24">
        <f t="shared" si="36"/>
        <v>-219845.95011624461</v>
      </c>
      <c r="S59" s="14">
        <f t="shared" ref="S59:S60" si="44">SUM(O59:Q59)</f>
        <v>-50616.02</v>
      </c>
    </row>
    <row r="60" spans="1:20" s="28" customFormat="1" ht="12.75" collapsed="1" x14ac:dyDescent="0.2">
      <c r="A60" s="30">
        <v>41639</v>
      </c>
      <c r="B60" s="13"/>
      <c r="C60" s="24">
        <v>-3542.11</v>
      </c>
      <c r="D60" s="18">
        <v>-1324.8</v>
      </c>
      <c r="E60" s="24">
        <v>6390.1</v>
      </c>
      <c r="F60" s="18">
        <v>6544.81</v>
      </c>
      <c r="G60" s="38">
        <f>-L60</f>
        <v>-11779.763926766776</v>
      </c>
      <c r="H60" s="8">
        <f t="shared" si="42"/>
        <v>-6428.511947996888</v>
      </c>
      <c r="I60" s="9"/>
      <c r="J60" s="18">
        <v>-161264.57</v>
      </c>
      <c r="K60" s="18">
        <v>58057.27</v>
      </c>
      <c r="L60" s="9">
        <f t="shared" si="35"/>
        <v>11779.763926766776</v>
      </c>
      <c r="M60" s="8">
        <f t="shared" si="43"/>
        <v>-308556.73816824774</v>
      </c>
      <c r="N60" s="11"/>
      <c r="O60" s="24">
        <f t="shared" si="2"/>
        <v>-164806.68</v>
      </c>
      <c r="P60" s="24">
        <f t="shared" si="3"/>
        <v>-1324.8</v>
      </c>
      <c r="Q60" s="24">
        <f t="shared" si="28"/>
        <v>70992.179999999993</v>
      </c>
      <c r="R60" s="13">
        <f t="shared" si="36"/>
        <v>-314985.2501162446</v>
      </c>
      <c r="S60" s="31">
        <f t="shared" si="44"/>
        <v>-95139.299999999988</v>
      </c>
    </row>
    <row r="61" spans="1:20" s="28" customFormat="1" ht="12.75" x14ac:dyDescent="0.2">
      <c r="A61" s="16">
        <v>41670</v>
      </c>
      <c r="B61" s="13"/>
      <c r="C61" s="18">
        <f>-414+233.97</f>
        <v>-180.03</v>
      </c>
      <c r="D61" s="18">
        <v>-896.4</v>
      </c>
      <c r="E61" s="18">
        <v>5849.18</v>
      </c>
      <c r="F61" s="18">
        <v>5707.94</v>
      </c>
      <c r="G61" s="19">
        <f>-L61</f>
        <v>-10842.335928604807</v>
      </c>
      <c r="H61" s="18">
        <f t="shared" ref="H61" si="45">SUM(C61:G61)+H60</f>
        <v>-6790.1578766016964</v>
      </c>
      <c r="I61" s="19"/>
      <c r="J61" s="18">
        <v>-173382.44</v>
      </c>
      <c r="K61" s="18">
        <v>41284.51</v>
      </c>
      <c r="L61" s="19">
        <f>(((M60+J61)/(R60+O61))*Q61)-K61</f>
        <v>10842.335928604807</v>
      </c>
      <c r="M61" s="18">
        <f>SUM(J61:L61)+M60</f>
        <v>-429812.33223964291</v>
      </c>
      <c r="N61" s="19"/>
      <c r="O61" s="18">
        <f t="shared" si="2"/>
        <v>-173562.47</v>
      </c>
      <c r="P61" s="18">
        <f t="shared" si="3"/>
        <v>-896.4</v>
      </c>
      <c r="Q61" s="18">
        <f t="shared" si="28"/>
        <v>52841.630000000005</v>
      </c>
      <c r="R61" s="18">
        <f t="shared" si="36"/>
        <v>-436602.49011624465</v>
      </c>
      <c r="S61" s="19">
        <f t="shared" ref="S61:S63" si="46">SUM(O61:Q61)</f>
        <v>-121617.23999999999</v>
      </c>
    </row>
    <row r="62" spans="1:20" s="28" customFormat="1" ht="12.75" x14ac:dyDescent="0.2">
      <c r="A62" s="16">
        <v>41698</v>
      </c>
      <c r="B62" s="13"/>
      <c r="C62" s="18">
        <v>-2271.9299999999998</v>
      </c>
      <c r="D62" s="18">
        <v>-745.2</v>
      </c>
      <c r="E62" s="18">
        <v>-5849.18</v>
      </c>
      <c r="F62" s="18">
        <v>-21.92</v>
      </c>
      <c r="G62" s="19">
        <f>-L62</f>
        <v>5784.6463324995093</v>
      </c>
      <c r="H62" s="18">
        <f t="shared" ref="H62:H63" si="47">SUM(C62:G62)+H61</f>
        <v>-9893.7415441021876</v>
      </c>
      <c r="I62" s="19"/>
      <c r="J62" s="18">
        <v>-181217.58</v>
      </c>
      <c r="K62" s="18">
        <v>-44.67</v>
      </c>
      <c r="L62" s="19">
        <f>(((M61+J62)/(R61+O62))*Q62)-K62</f>
        <v>-5784.6463324995093</v>
      </c>
      <c r="M62" s="18">
        <f>SUM(J62:L62)+M61</f>
        <v>-616859.22857214243</v>
      </c>
      <c r="N62" s="19"/>
      <c r="O62" s="18">
        <f t="shared" si="2"/>
        <v>-183489.50999999998</v>
      </c>
      <c r="P62" s="18">
        <f t="shared" si="3"/>
        <v>-745.2</v>
      </c>
      <c r="Q62" s="18">
        <f t="shared" si="28"/>
        <v>-5915.77</v>
      </c>
      <c r="R62" s="18">
        <f t="shared" si="36"/>
        <v>-626752.97011624463</v>
      </c>
      <c r="S62" s="19">
        <f t="shared" si="46"/>
        <v>-190150.47999999998</v>
      </c>
    </row>
    <row r="63" spans="1:20" s="28" customFormat="1" ht="12.75" x14ac:dyDescent="0.2">
      <c r="A63" s="40">
        <v>41729</v>
      </c>
      <c r="B63" s="24"/>
      <c r="C63" s="18">
        <v>-889.43</v>
      </c>
      <c r="D63" s="18">
        <v>-721.2</v>
      </c>
      <c r="E63" s="18">
        <v>0</v>
      </c>
      <c r="F63" s="18">
        <v>-6.9</v>
      </c>
      <c r="G63" s="34">
        <f>-L63</f>
        <v>6.0322008987945921</v>
      </c>
      <c r="H63" s="18">
        <f t="shared" si="47"/>
        <v>-11505.239343203393</v>
      </c>
      <c r="I63" s="34"/>
      <c r="J63" s="18">
        <v>-169602.36</v>
      </c>
      <c r="K63" s="18">
        <v>-57.26</v>
      </c>
      <c r="L63" s="34">
        <f>(((M62+J63)/(R62+O63))*Q63)-K63</f>
        <v>-6.0322008987945921</v>
      </c>
      <c r="M63" s="18">
        <f>SUM(J63:L63)+M62</f>
        <v>-786524.88077304116</v>
      </c>
      <c r="N63" s="34"/>
      <c r="O63" s="18">
        <f t="shared" si="2"/>
        <v>-170491.78999999998</v>
      </c>
      <c r="P63" s="18">
        <f t="shared" si="3"/>
        <v>-721.2</v>
      </c>
      <c r="Q63" s="18">
        <f t="shared" si="28"/>
        <v>-64.16</v>
      </c>
      <c r="R63" s="18">
        <f t="shared" si="36"/>
        <v>-798030.12011624465</v>
      </c>
      <c r="S63" s="34">
        <f t="shared" si="46"/>
        <v>-171277.15</v>
      </c>
    </row>
    <row r="64" spans="1:20" s="28" customFormat="1" ht="12.75" x14ac:dyDescent="0.2">
      <c r="A64" s="16">
        <v>41759</v>
      </c>
      <c r="B64" s="13"/>
      <c r="C64" s="18">
        <v>-975.74</v>
      </c>
      <c r="D64" s="18">
        <v>418.2</v>
      </c>
      <c r="E64" s="18">
        <v>0</v>
      </c>
      <c r="F64" s="18">
        <v>-5.41</v>
      </c>
      <c r="G64" s="19">
        <f t="shared" ref="G64:G66" si="48">-L64</f>
        <v>5.5154224649464254</v>
      </c>
      <c r="H64" s="18">
        <f t="shared" ref="H64" si="49">SUM(C64:G64)+H63</f>
        <v>-12062.673920738447</v>
      </c>
      <c r="I64" s="19"/>
      <c r="J64" s="18">
        <v>-156402.49</v>
      </c>
      <c r="K64" s="18">
        <v>13.48</v>
      </c>
      <c r="L64" s="19">
        <f t="shared" ref="L64:L66" si="50">(((M63+J64)/(R63+O64))*Q64)-K64</f>
        <v>-5.5154224649464254</v>
      </c>
      <c r="M64" s="18">
        <f t="shared" ref="M64:M66" si="51">SUM(J64:L64)+M63</f>
        <v>-942919.4061955061</v>
      </c>
      <c r="N64" s="19"/>
      <c r="O64" s="18">
        <f t="shared" si="2"/>
        <v>-157378.22999999998</v>
      </c>
      <c r="P64" s="18">
        <f t="shared" si="3"/>
        <v>418.2</v>
      </c>
      <c r="Q64" s="18">
        <f t="shared" si="28"/>
        <v>8.07</v>
      </c>
      <c r="R64" s="18">
        <f t="shared" si="36"/>
        <v>-954982.08011624473</v>
      </c>
      <c r="S64" s="19">
        <f t="shared" ref="S64:S66" si="52">SUM(O64:Q64)</f>
        <v>-156951.95999999996</v>
      </c>
    </row>
    <row r="65" spans="1:19" s="28" customFormat="1" ht="12.75" x14ac:dyDescent="0.2">
      <c r="A65" s="16">
        <v>41790</v>
      </c>
      <c r="B65" s="13"/>
      <c r="C65" s="18">
        <f>-319.97+0.2</f>
        <v>-319.77000000000004</v>
      </c>
      <c r="D65" s="18">
        <v>405</v>
      </c>
      <c r="E65" s="18">
        <v>0</v>
      </c>
      <c r="F65" s="18">
        <v>-8.67</v>
      </c>
      <c r="G65" s="19">
        <f t="shared" si="48"/>
        <v>7.6126588676750515</v>
      </c>
      <c r="H65" s="18">
        <f t="shared" ref="H65" si="53">SUM(C65:G65)+H64</f>
        <v>-11978.501261870771</v>
      </c>
      <c r="I65" s="19"/>
      <c r="J65" s="18">
        <v>-75493.87</v>
      </c>
      <c r="K65" s="18">
        <v>-79.349999999999994</v>
      </c>
      <c r="L65" s="19">
        <f t="shared" si="50"/>
        <v>-7.6126588676750515</v>
      </c>
      <c r="M65" s="18">
        <f t="shared" si="51"/>
        <v>-1018500.2388543738</v>
      </c>
      <c r="N65" s="19"/>
      <c r="O65" s="18">
        <f t="shared" si="2"/>
        <v>-75813.64</v>
      </c>
      <c r="P65" s="18">
        <f t="shared" si="3"/>
        <v>405</v>
      </c>
      <c r="Q65" s="18">
        <f t="shared" si="28"/>
        <v>-88.02</v>
      </c>
      <c r="R65" s="18">
        <f t="shared" si="36"/>
        <v>-1030478.7401162448</v>
      </c>
      <c r="S65" s="19">
        <f t="shared" si="52"/>
        <v>-75496.66</v>
      </c>
    </row>
    <row r="66" spans="1:19" ht="12.75" x14ac:dyDescent="0.2">
      <c r="A66" s="6">
        <v>41820</v>
      </c>
      <c r="B66" s="39"/>
      <c r="C66" s="8">
        <v>-662.69</v>
      </c>
      <c r="D66" s="8">
        <v>261.60000000000002</v>
      </c>
      <c r="E66" s="8">
        <v>0</v>
      </c>
      <c r="F66" s="8">
        <v>-38.42</v>
      </c>
      <c r="G66" s="9">
        <f t="shared" si="48"/>
        <v>37.860264552099217</v>
      </c>
      <c r="H66" s="8">
        <f t="shared" ref="H66" si="54">SUM(C66:G66)+H65</f>
        <v>-12380.150997318673</v>
      </c>
      <c r="I66" s="9"/>
      <c r="J66" s="8">
        <v>-41157.57</v>
      </c>
      <c r="K66" s="8">
        <v>-9.06</v>
      </c>
      <c r="L66" s="9">
        <f t="shared" si="50"/>
        <v>-37.860264552099217</v>
      </c>
      <c r="M66" s="8">
        <f t="shared" si="51"/>
        <v>-1059704.729118926</v>
      </c>
      <c r="N66" s="9"/>
      <c r="O66" s="8">
        <f t="shared" si="2"/>
        <v>-41820.26</v>
      </c>
      <c r="P66" s="8">
        <f t="shared" si="3"/>
        <v>261.60000000000002</v>
      </c>
      <c r="Q66" s="8">
        <f t="shared" si="28"/>
        <v>-47.480000000000004</v>
      </c>
      <c r="R66" s="8">
        <f t="shared" si="36"/>
        <v>-1072084.8801162445</v>
      </c>
      <c r="S66" s="9">
        <f t="shared" si="52"/>
        <v>-41606.140000000007</v>
      </c>
    </row>
    <row r="69" spans="1:19" x14ac:dyDescent="0.2">
      <c r="C69" s="39" t="s">
        <v>18</v>
      </c>
    </row>
    <row r="70" spans="1:19" ht="41.25" customHeight="1" x14ac:dyDescent="0.2">
      <c r="C70" s="50" t="s">
        <v>19</v>
      </c>
      <c r="D70" s="50"/>
      <c r="E70" s="50"/>
      <c r="F70" s="50"/>
      <c r="G70" s="50"/>
      <c r="H70" s="50"/>
      <c r="I70" s="50"/>
      <c r="J70" s="50"/>
      <c r="K70" s="50"/>
      <c r="L70" s="50"/>
      <c r="M70" s="50"/>
    </row>
    <row r="71" spans="1:19" ht="14.25" x14ac:dyDescent="0.2">
      <c r="C71" s="35"/>
    </row>
    <row r="72" spans="1:19" ht="14.25" x14ac:dyDescent="0.2">
      <c r="C72" s="35"/>
    </row>
    <row r="73" spans="1:19" ht="14.25" x14ac:dyDescent="0.2">
      <c r="C73" s="35"/>
    </row>
    <row r="74" spans="1:19" ht="14.25" x14ac:dyDescent="0.2">
      <c r="C74" s="35"/>
    </row>
    <row r="75" spans="1:19" ht="14.25" x14ac:dyDescent="0.2">
      <c r="C75" s="35"/>
    </row>
    <row r="76" spans="1:19" ht="14.25" x14ac:dyDescent="0.2">
      <c r="C76" s="35"/>
    </row>
  </sheetData>
  <mergeCells count="6">
    <mergeCell ref="C70:M70"/>
    <mergeCell ref="A1:S1"/>
    <mergeCell ref="A2:S2"/>
    <mergeCell ref="C4:H4"/>
    <mergeCell ref="J4:M4"/>
    <mergeCell ref="O4:S4"/>
  </mergeCells>
  <pageMargins left="0.1" right="0.1" top="0.51" bottom="1" header="0.28999999999999998" footer="0.5"/>
  <pageSetup scale="63" orientation="landscape" blackAndWhite="1" horizontalDpi="1200" verticalDpi="1200" r:id="rId1"/>
  <headerFooter alignWithMargins="0">
    <oddFooter>&amp;L&amp;Z&amp;F &amp;A&amp;R&amp;D &amp;T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ebfaebbf-4320-422c-ac1d-4cb4d6876cbf">7UVQ43MC76ES-169-15809</_dlc_DocId>
    <_dlc_DocIdUrl xmlns="ebfaebbf-4320-422c-ac1d-4cb4d6876cbf">
      <Url>https://sharepoint.yec.yk.ca/Departments/Finance/Gnwkp/_layouts/15/DocIdRedir.aspx?ID=7UVQ43MC76ES-169-15809</Url>
      <Description>7UVQ43MC76ES-169-15809</Description>
    </_dlc_DocIdUrl>
    <_dlc_DocIdPersistId xmlns="ebfaebbf-4320-422c-ac1d-4cb4d6876cbf" xsi:nil="true"/>
  </documentManagement>
</p:properties>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file>

<file path=customXml/item4.xml><?xml version="1.0" encoding="utf-8"?>
<ct:contentTypeSchema xmlns:ct="http://schemas.microsoft.com/office/2006/metadata/contentType" xmlns:ma="http://schemas.microsoft.com/office/2006/metadata/properties/metaAttributes" ct:_="" ma:_="" ma:contentTypeName="Document" ma:contentTypeID="0x010100EECDA8F4F31E844098131B1C0D6B365E" ma:contentTypeVersion="19" ma:contentTypeDescription="Create a new document." ma:contentTypeScope="" ma:versionID="6934a8d2ed21ba08b114857171cac753">
  <xsd:schema xmlns:xsd="http://www.w3.org/2001/XMLSchema" xmlns:xs="http://www.w3.org/2001/XMLSchema" xmlns:p="http://schemas.microsoft.com/office/2006/metadata/properties" xmlns:ns2="ebfaebbf-4320-422c-ac1d-4cb4d6876cbf" targetNamespace="http://schemas.microsoft.com/office/2006/metadata/properties" ma:root="true" ma:fieldsID="7647ee3a04377f2c67844f7af7590b16" ns2:_="">
    <xsd:import namespace="ebfaebbf-4320-422c-ac1d-4cb4d6876cbf"/>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faebbf-4320-422c-ac1d-4cb4d6876c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5E796E-D6BE-445E-98C6-AD1D62D13A68}">
  <ds:schemaRefs>
    <ds:schemaRef ds:uri="http://schemas.microsoft.com/office/infopath/2007/PartnerControls"/>
    <ds:schemaRef ds:uri="http://purl.org/dc/dcmitype/"/>
    <ds:schemaRef ds:uri="http://www.w3.org/XML/1998/namespace"/>
    <ds:schemaRef ds:uri="http://purl.org/dc/terms/"/>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ebfaebbf-4320-422c-ac1d-4cb4d6876cbf"/>
  </ds:schemaRefs>
</ds:datastoreItem>
</file>

<file path=customXml/itemProps2.xml><?xml version="1.0" encoding="utf-8"?>
<ds:datastoreItem xmlns:ds="http://schemas.openxmlformats.org/officeDocument/2006/customXml" ds:itemID="{938881C0-6DF5-49E8-8DB4-E30FE6758C58}">
  <ds:schemaRefs>
    <ds:schemaRef ds:uri="http://schemas.microsoft.com/sharepoint/events"/>
  </ds:schemaRefs>
</ds:datastoreItem>
</file>

<file path=customXml/itemProps3.xml><?xml version="1.0" encoding="utf-8"?>
<ds:datastoreItem xmlns:ds="http://schemas.openxmlformats.org/officeDocument/2006/customXml" ds:itemID="{29A5C3DA-4AB2-4563-B37F-EC472EF22178}">
  <ds:schemaRefs>
    <ds:schemaRef ds:uri="http://schemas.microsoft.com/sharepoint/v3/contenttype/forms"/>
  </ds:schemaRefs>
</ds:datastoreItem>
</file>

<file path=customXml/itemProps4.xml><?xml version="1.0" encoding="utf-8"?>
<ds:datastoreItem xmlns:ds="http://schemas.openxmlformats.org/officeDocument/2006/customXml" ds:itemID="{063AF36B-BED9-46D6-B0FF-C9B696EC9E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faebbf-4320-422c-ac1d-4cb4d6876c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DFPVA-Continuity Table</vt:lpstr>
      <vt:lpstr>DFPVA-Continuity Table-pre comp</vt:lpstr>
      <vt:lpstr>'DFPVA-Continuity Table'!Print_Area</vt:lpstr>
      <vt:lpstr>'DFPVA-Continuity Table-pre comp'!Print_Area</vt:lpstr>
      <vt:lpstr>'DFPVA-Continuity Table'!Print_Titles</vt:lpstr>
      <vt:lpstr>'DFPVA-Continuity Table-pre comp'!Print_Titles</vt:lpstr>
      <vt:lpstr>'DFPVA-Continuity Table'!RiderFDetail</vt:lpstr>
      <vt:lpstr>'DFPVA-Continuity Table-pre comp'!RiderFDetail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Windows User</dc:creator>
  <cp:lastModifiedBy>Windows User</cp:lastModifiedBy>
  <cp:lastPrinted>2018-04-18T15:36:16Z</cp:lastPrinted>
  <dcterms:created xsi:type="dcterms:W3CDTF">2014-04-03T21:06:53Z</dcterms:created>
  <dcterms:modified xsi:type="dcterms:W3CDTF">2018-04-18T15:37:29Z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0x010100EECDA8F4F31E844098131B1C0D6B365E</vt:lpwstr>
  </property>
  <property fmtid="{D5CDD505-2E9C-101B-9397-08002B2CF9AE}" pid="3" name="_dlc_DocIdItemGuid">
    <vt:lpwstr>9c93a02d-0169-465a-8750-50f15527f8ee</vt:lpwstr>
  </property>
</Properties>
</file>