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6550" yWindow="-210" windowWidth="32790" windowHeight="14670" tabRatio="835" activeTab="2"/>
  </bookViews>
  <sheets>
    <sheet name="Total YEC" sheetId="15" r:id="rId1"/>
    <sheet name="WAF" sheetId="4" r:id="rId2"/>
    <sheet name="Mayo Dawson Combined" sheetId="21" r:id="rId3"/>
    <sheet name="Dawson with hydro" sheetId="18" r:id="rId4"/>
    <sheet name="Mayo" sheetId="5" r:id="rId5"/>
    <sheet name="N Klondike Hwy" sheetId="23" r:id="rId6"/>
    <sheet name="WAF Res &amp; Com" sheetId="6" r:id="rId7"/>
  </sheets>
  <externalReferences>
    <externalReference r:id="rId8"/>
    <externalReference r:id="rId9"/>
  </externalReferences>
  <definedNames>
    <definedName name="hcredit">[1]Rates!$C$5</definedName>
    <definedName name="optha">[1]Rates!$G$75</definedName>
    <definedName name="opthd">[1]Rates!$G$87</definedName>
    <definedName name="_xlnm.Print_Area" localSheetId="3">'Dawson with hydro'!$A$1:$I$73</definedName>
    <definedName name="_xlnm.Print_Area" localSheetId="2">'Mayo Dawson Combined'!$A$1:$I$35</definedName>
    <definedName name="_xlnm.Print_Area" localSheetId="0">'Total YEC'!$A$1:$I$45</definedName>
    <definedName name="ridera2">[1]Rates!$C$8</definedName>
    <definedName name="rt11dc1">[1]Rates!$B$16</definedName>
    <definedName name="rt11de1">[1]Rates!$C$16</definedName>
    <definedName name="rt11ge1">[1]Rates!$C$14</definedName>
    <definedName name="rt11sc1">[1]Rates!$B$17</definedName>
    <definedName name="rt11te1">[1]Rates!$C$15</definedName>
    <definedName name="rt21dc1">[1]Rates!$B$28</definedName>
    <definedName name="rt21dd1">[1]Rates!$C$28</definedName>
    <definedName name="rt21de1">[1]Rates!$D$28</definedName>
    <definedName name="rt21de2">[1]Rates!$E$28</definedName>
    <definedName name="rt21ge1">[1]Rates!$D$26</definedName>
    <definedName name="rt21ge2">[1]Rates!$E$26</definedName>
    <definedName name="rt21sc1">[1]Rates!$B$29</definedName>
    <definedName name="rt21sd1">[1]Rates!$C$29</definedName>
    <definedName name="rt21tc1">[1]Rates!$B$27</definedName>
    <definedName name="rt21td1">[1]Rates!$C$27</definedName>
    <definedName name="rt21te1">[1]Rates!$D$27</definedName>
    <definedName name="rt21te2">[1]Rates!$E$27</definedName>
    <definedName name="rt22dc1">[1]Rates!$B$40</definedName>
    <definedName name="rt22dd1">[1]Rates!$C$40</definedName>
    <definedName name="rt22de1">[1]Rates!$D$40</definedName>
    <definedName name="rt22de2">[1]Rates!$E$40</definedName>
    <definedName name="rt22ge1">[1]Rates!$D$38</definedName>
    <definedName name="rt22ge2">[1]Rates!$E$38</definedName>
    <definedName name="rt22sc1">[1]Rates!$B$41</definedName>
    <definedName name="rt22sd1">[1]Rates!$C$41</definedName>
    <definedName name="rt22tc1">[1]Rates!$B$39</definedName>
    <definedName name="rt22td1">[1]Rates!$C$39</definedName>
    <definedName name="rt22te1">[1]Rates!$D$39</definedName>
    <definedName name="rt22te2">[1]Rates!$E$39</definedName>
    <definedName name="rt25dc1">[1]Rates!$B$52</definedName>
    <definedName name="rt25dd1">[1]Rates!$C$52</definedName>
    <definedName name="rt25de1">[1]Rates!$D$52</definedName>
    <definedName name="rt25de2">[1]Rates!$E$52</definedName>
    <definedName name="rt25ge1">[1]Rates!$D$50</definedName>
    <definedName name="rt25ge2">[1]Rates!$E$50</definedName>
    <definedName name="rt25tc1">[1]Rates!$B$51</definedName>
    <definedName name="rt25td1">[1]Rates!$C$51</definedName>
    <definedName name="rt25te1">[1]Rates!$D$51</definedName>
    <definedName name="rt25te2">[1]Rates!$E$51</definedName>
    <definedName name="rt26dc1">[1]Rates!$B$64</definedName>
    <definedName name="rt26dd1">[1]Rates!$C$64</definedName>
    <definedName name="rt31ddd1">[1]Rates!$C$76</definedName>
    <definedName name="rt31ddd2">[1]Rates!$D$76</definedName>
    <definedName name="rt31dde1">[1]Rates!$E$76</definedName>
    <definedName name="rt31dde2">[1]Rates!$F$76</definedName>
    <definedName name="rt31dge1">[1]Rates!$E$74</definedName>
    <definedName name="rt31dge2">[1]Rates!$F$74</definedName>
    <definedName name="rt31dsd1">[1]Rates!$C$77</definedName>
    <definedName name="rt31dsd2">[1]Rates!$D$77</definedName>
    <definedName name="rt31dtd1">[1]Rates!$C$75</definedName>
    <definedName name="rt31dtd2">[1]Rates!$D$75</definedName>
    <definedName name="rt31dte1">[1]Rates!$E$75</definedName>
    <definedName name="rt31dte2">[1]Rates!$F$75</definedName>
    <definedName name="rt31tdd1">[1]Rates!$C$88</definedName>
    <definedName name="rt31tdd2">[1]Rates!$D$88</definedName>
    <definedName name="rt31tde1">[1]Rates!$E$88</definedName>
    <definedName name="rt31tde2">[1]Rates!$F$88</definedName>
    <definedName name="rt31tge1">[1]Rates!$E$86</definedName>
    <definedName name="rt31tge2">[1]Rates!$F$86</definedName>
    <definedName name="rt31tsd1">[1]Rates!$C$89</definedName>
    <definedName name="rt31tsd2">[1]Rates!$D$89</definedName>
    <definedName name="rt31ttd1">[1]Rates!$C$87</definedName>
    <definedName name="rt31ttd2">[1]Rates!$D$87</definedName>
    <definedName name="rt31tte1">[1]Rates!$E$87</definedName>
    <definedName name="rt31tte2">[1]Rates!$F$87</definedName>
    <definedName name="rt32dd1">[1]Rates!$C$100</definedName>
    <definedName name="rt32dd2">[1]Rates!$D$100</definedName>
    <definedName name="rt32de1">[1]Rates!$E$100</definedName>
    <definedName name="rt32de2">[1]Rates!$F$100</definedName>
    <definedName name="rt32ge1">[1]Rates!$E$98</definedName>
    <definedName name="rt32ge2">[1]Rates!$F$98</definedName>
    <definedName name="rt32sd1">[1]Rates!$C$101</definedName>
    <definedName name="rt32sd2">[1]Rates!$D$101</definedName>
    <definedName name="rt32td1">[1]Rates!$C$99</definedName>
    <definedName name="rt32td2">[1]Rates!$D$99</definedName>
    <definedName name="rt32te1">[1]Rates!$E$99</definedName>
    <definedName name="rt32te2">[1]Rates!$F$99</definedName>
    <definedName name="rt33ge1">[1]Rates!$E$110</definedName>
    <definedName name="rt33ge2">[1]Rates!$F$110</definedName>
    <definedName name="rt33sc1">[1]Rates!$B$113</definedName>
    <definedName name="rt33se1">[1]Rates!$E$113</definedName>
    <definedName name="rt33se2">[1]Rates!$F$113</definedName>
    <definedName name="rt33tc1">[1]Rates!$B$111</definedName>
    <definedName name="rt33te1">[1]Rates!$E$111</definedName>
    <definedName name="rt33te2">[1]Rates!$F$111</definedName>
    <definedName name="rt38ge1">[1]Rates!$E$122</definedName>
    <definedName name="rt38ge2">[1]Rates!$F$122</definedName>
    <definedName name="rt41dc1">[1]Rates!$B$136</definedName>
    <definedName name="rt41dd1">[1]Rates!$C$136</definedName>
    <definedName name="rt41de1">[1]Rates!$D$136</definedName>
    <definedName name="rt41de2">[1]Rates!$E$136</definedName>
    <definedName name="rt41ge1">[1]Rates!$D$134</definedName>
    <definedName name="rt41ge2">[1]Rates!$E$134</definedName>
    <definedName name="rt41sc1">[1]Rates!$B$137</definedName>
    <definedName name="rt41sd1">[1]Rates!$C$137</definedName>
    <definedName name="rt41tc1">[1]Rates!$B$135</definedName>
    <definedName name="rt41td1">[1]Rates!$C$135</definedName>
    <definedName name="rt41te1">[1]Rates!$D$135</definedName>
    <definedName name="rt41te2">[1]Rates!$E$135</definedName>
    <definedName name="rt51dc1">[1]Rates!$B$148</definedName>
    <definedName name="rt51dd1">[1]Rates!$C$148</definedName>
    <definedName name="rt51de1">[1]Rates!$D$148</definedName>
    <definedName name="rt51de2">[1]Rates!$E$148</definedName>
    <definedName name="rt51ge1">[1]Rates!$D$146</definedName>
    <definedName name="rt51ge2">[1]Rates!$E$146</definedName>
    <definedName name="rt51sc1">[1]Rates!$B$149</definedName>
    <definedName name="rt51sd1">[1]Rates!$C$149</definedName>
    <definedName name="rt51tc1">[1]Rates!$B$147</definedName>
    <definedName name="rt51td1">[1]Rates!$C$147</definedName>
    <definedName name="rt51te1">[1]Rates!$D$147</definedName>
    <definedName name="rt51te2">[1]Rates!$E$147</definedName>
    <definedName name="rt56dc1">[1]Rates!$B$160</definedName>
    <definedName name="rt56dd1">[1]Rates!$C$160</definedName>
    <definedName name="rt56de1">[1]Rates!$D$160</definedName>
    <definedName name="rt56de2">[1]Rates!$E$160</definedName>
    <definedName name="rt56ge1">[1]Rates!$D$158</definedName>
    <definedName name="rt56ge2">[1]Rates!$E$158</definedName>
    <definedName name="rt56sc1">[1]Rates!$B$161</definedName>
    <definedName name="rt56sd1">[1]Rates!$C$161</definedName>
    <definedName name="rt56tc1">[1]Rates!$B$159</definedName>
    <definedName name="rt56td1">[1]Rates!$C$159</definedName>
    <definedName name="rt56te1">[1]Rates!$D$159</definedName>
    <definedName name="rt56te2">[1]Rates!$E$159</definedName>
    <definedName name="rt61dabcd1">[1]Rates!$D$172</definedName>
    <definedName name="rt61gd1">[1]Rates!$D$170</definedName>
    <definedName name="rt61td1">[1]Rates!$D$171</definedName>
    <definedName name="rt63dabced1">[1]Rates!$D$184</definedName>
    <definedName name="rt63gd1">[1]Rates!$D$182</definedName>
    <definedName name="rt63td1">[1]Rates!$D$183</definedName>
    <definedName name="sencount" hidden="1">2</definedName>
    <definedName name="ttlannualsales">'Total YEC'!$C$38:$H$43</definedName>
    <definedName name="Z_3F66DE91_F17C_11D1_919B_00A0C92A9A63_.wvu.PrintArea" localSheetId="4" hidden="1">Mayo!#REF!</definedName>
    <definedName name="Z_3F66DE91_F17C_11D1_919B_00A0C92A9A63_.wvu.PrintArea" localSheetId="1" hidden="1">WAF!$B$7:$H$11</definedName>
    <definedName name="Z_3F66DE91_F17C_11D1_919B_00A0C92A9A63_.wvu.PrintTitles" localSheetId="4" hidden="1">Mayo!#REF!</definedName>
    <definedName name="Z_3F66DE91_F17C_11D1_919B_00A0C92A9A63_.wvu.PrintTitles" localSheetId="1" hidden="1">WAF!$B:$B</definedName>
    <definedName name="Z_418DF6FE_13EF_11D2_8C37_00A0C92A9A63_.wvu.Rows" hidden="1">[2]WAF!$A$8:$IV$103,[2]WAF!$A$342:$IV$352,[2]WAF!$A$354:$IV$359,[2]WAF!$A$373:$IV$396,[2]WAF!#REF!,[2]WAF!#REF!,[2]WAF!#REF!</definedName>
  </definedNames>
  <calcPr calcId="152511"/>
</workbook>
</file>

<file path=xl/calcChain.xml><?xml version="1.0" encoding="utf-8"?>
<calcChain xmlns="http://schemas.openxmlformats.org/spreadsheetml/2006/main">
  <c r="F61" i="23" l="1"/>
  <c r="F73" i="23" s="1"/>
  <c r="F60" i="23"/>
  <c r="F72" i="23" s="1"/>
  <c r="F59" i="23"/>
  <c r="F71" i="23" s="1"/>
  <c r="F58" i="23"/>
  <c r="F70" i="23" s="1"/>
  <c r="F57" i="23"/>
  <c r="F69" i="23" s="1"/>
  <c r="F56" i="23"/>
  <c r="F68" i="23" s="1"/>
  <c r="F55" i="23"/>
  <c r="F67" i="23" s="1"/>
  <c r="F54" i="23"/>
  <c r="F66" i="23" s="1"/>
  <c r="F53" i="23"/>
  <c r="F65" i="23" s="1"/>
  <c r="F52" i="23"/>
  <c r="F64" i="23" s="1"/>
  <c r="F51" i="23"/>
  <c r="F63" i="23" s="1"/>
  <c r="F50" i="23"/>
  <c r="F62" i="23" s="1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N14" i="5" l="1"/>
  <c r="P14" i="5" s="1"/>
  <c r="R14" i="5"/>
  <c r="N15" i="5"/>
  <c r="P15" i="5" s="1"/>
  <c r="R15" i="5"/>
  <c r="N16" i="5"/>
  <c r="R16" i="5"/>
  <c r="N17" i="5"/>
  <c r="R17" i="5"/>
  <c r="N18" i="5"/>
  <c r="P18" i="5" s="1"/>
  <c r="R18" i="5"/>
  <c r="N19" i="5"/>
  <c r="R19" i="5"/>
  <c r="N20" i="5"/>
  <c r="P20" i="5" s="1"/>
  <c r="R20" i="5"/>
  <c r="N21" i="5"/>
  <c r="R21" i="5"/>
  <c r="N22" i="5"/>
  <c r="P22" i="5" s="1"/>
  <c r="R22" i="5"/>
  <c r="N23" i="5"/>
  <c r="P23" i="5" s="1"/>
  <c r="R23" i="5"/>
  <c r="N24" i="5"/>
  <c r="R24" i="5"/>
  <c r="N25" i="5"/>
  <c r="R25" i="5"/>
  <c r="N26" i="5"/>
  <c r="P26" i="5" s="1"/>
  <c r="R26" i="5"/>
  <c r="N27" i="5"/>
  <c r="R27" i="5"/>
  <c r="N28" i="5"/>
  <c r="P28" i="5" s="1"/>
  <c r="R28" i="5"/>
  <c r="N29" i="5"/>
  <c r="R29" i="5"/>
  <c r="N30" i="5"/>
  <c r="R30" i="5"/>
  <c r="N31" i="5"/>
  <c r="P31" i="5" s="1"/>
  <c r="R31" i="5"/>
  <c r="N32" i="5"/>
  <c r="R32" i="5"/>
  <c r="N33" i="5"/>
  <c r="P33" i="5" s="1"/>
  <c r="R33" i="5"/>
  <c r="N34" i="5"/>
  <c r="P34" i="5" s="1"/>
  <c r="R34" i="5"/>
  <c r="N35" i="5"/>
  <c r="P35" i="5" s="1"/>
  <c r="R35" i="5"/>
  <c r="N36" i="5"/>
  <c r="P36" i="5" s="1"/>
  <c r="R36" i="5"/>
  <c r="N37" i="5"/>
  <c r="P37" i="5" s="1"/>
  <c r="R37" i="5"/>
  <c r="Q52" i="6"/>
  <c r="T18" i="5" l="1"/>
  <c r="V18" i="5" s="1"/>
  <c r="W18" i="5" s="1"/>
  <c r="Y18" i="5" s="1"/>
  <c r="T28" i="5"/>
  <c r="V28" i="5" s="1"/>
  <c r="W28" i="5" s="1"/>
  <c r="Y28" i="5" s="1"/>
  <c r="T25" i="5"/>
  <c r="T37" i="5"/>
  <c r="V37" i="5" s="1"/>
  <c r="W37" i="5" s="1"/>
  <c r="Y37" i="5" s="1"/>
  <c r="T19" i="5"/>
  <c r="P30" i="5"/>
  <c r="P29" i="5"/>
  <c r="T21" i="5"/>
  <c r="P32" i="5"/>
  <c r="T32" i="5"/>
  <c r="T15" i="5"/>
  <c r="V15" i="5" s="1"/>
  <c r="W15" i="5" s="1"/>
  <c r="Y15" i="5" s="1"/>
  <c r="T17" i="5"/>
  <c r="T29" i="5"/>
  <c r="P25" i="5"/>
  <c r="T23" i="5"/>
  <c r="V23" i="5" s="1"/>
  <c r="W23" i="5" s="1"/>
  <c r="T31" i="5"/>
  <c r="V31" i="5" s="1"/>
  <c r="W31" i="5" s="1"/>
  <c r="Y31" i="5" s="1"/>
  <c r="T27" i="5"/>
  <c r="T35" i="5"/>
  <c r="V35" i="5" s="1"/>
  <c r="W35" i="5" s="1"/>
  <c r="P21" i="5"/>
  <c r="P16" i="5"/>
  <c r="T33" i="5"/>
  <c r="V33" i="5" s="1"/>
  <c r="W33" i="5" s="1"/>
  <c r="P24" i="5"/>
  <c r="T30" i="5"/>
  <c r="T22" i="5"/>
  <c r="V22" i="5" s="1"/>
  <c r="W22" i="5" s="1"/>
  <c r="P19" i="5"/>
  <c r="P17" i="5"/>
  <c r="T26" i="5"/>
  <c r="P27" i="5"/>
  <c r="T36" i="5"/>
  <c r="V36" i="5" s="1"/>
  <c r="W36" i="5" s="1"/>
  <c r="T20" i="5"/>
  <c r="V20" i="5" s="1"/>
  <c r="W20" i="5" s="1"/>
  <c r="Y20" i="5" s="1"/>
  <c r="T34" i="5"/>
  <c r="V34" i="5" s="1"/>
  <c r="W34" i="5" s="1"/>
  <c r="N50" i="5"/>
  <c r="F50" i="5" s="1"/>
  <c r="T24" i="5"/>
  <c r="T16" i="5"/>
  <c r="Y34" i="5" l="1"/>
  <c r="V19" i="5"/>
  <c r="W19" i="5" s="1"/>
  <c r="Y19" i="5" s="1"/>
  <c r="V25" i="5"/>
  <c r="W25" i="5" s="1"/>
  <c r="Y25" i="5" s="1"/>
  <c r="V21" i="5"/>
  <c r="W21" i="5" s="1"/>
  <c r="Y21" i="5" s="1"/>
  <c r="V17" i="5"/>
  <c r="W17" i="5" s="1"/>
  <c r="Y17" i="5" s="1"/>
  <c r="Y35" i="5"/>
  <c r="V29" i="5"/>
  <c r="W29" i="5" s="1"/>
  <c r="Y29" i="5" s="1"/>
  <c r="Y23" i="5"/>
  <c r="V30" i="5"/>
  <c r="W30" i="5" s="1"/>
  <c r="Y30" i="5" s="1"/>
  <c r="Y22" i="5"/>
  <c r="Y33" i="5"/>
  <c r="Y36" i="5"/>
  <c r="V32" i="5"/>
  <c r="W32" i="5" s="1"/>
  <c r="Y32" i="5" s="1"/>
  <c r="V27" i="5"/>
  <c r="W27" i="5" s="1"/>
  <c r="Y27" i="5" s="1"/>
  <c r="V16" i="5"/>
  <c r="W16" i="5" s="1"/>
  <c r="Y16" i="5" s="1"/>
  <c r="T14" i="5"/>
  <c r="V24" i="5"/>
  <c r="W24" i="5" s="1"/>
  <c r="Y24" i="5" s="1"/>
  <c r="P50" i="5"/>
  <c r="V26" i="5"/>
  <c r="V14" i="5" l="1"/>
  <c r="V50" i="5" s="1"/>
  <c r="W50" i="5" s="1"/>
  <c r="Y50" i="5" s="1"/>
  <c r="W26" i="5"/>
  <c r="W14" i="5" l="1"/>
  <c r="Y26" i="5"/>
  <c r="Y14" i="5" l="1"/>
  <c r="X53" i="6" l="1"/>
  <c r="X65" i="6" s="1"/>
  <c r="AA65" i="6" s="1"/>
  <c r="X54" i="6"/>
  <c r="X66" i="6" s="1"/>
  <c r="X60" i="6"/>
  <c r="AA60" i="6" s="1"/>
  <c r="X61" i="6"/>
  <c r="X73" i="6" s="1"/>
  <c r="X62" i="6"/>
  <c r="X74" i="6" s="1"/>
  <c r="AA74" i="6" s="1"/>
  <c r="X63" i="6"/>
  <c r="X75" i="6" s="1"/>
  <c r="X72" i="6"/>
  <c r="X52" i="6"/>
  <c r="X64" i="6" s="1"/>
  <c r="R53" i="6"/>
  <c r="R54" i="6"/>
  <c r="R60" i="6"/>
  <c r="R61" i="6"/>
  <c r="R62" i="6"/>
  <c r="R63" i="6"/>
  <c r="R52" i="6"/>
  <c r="U52" i="6" s="1"/>
  <c r="Q64" i="6"/>
  <c r="U64" i="6" s="1"/>
  <c r="Q63" i="6"/>
  <c r="Q53" i="6"/>
  <c r="Q54" i="6"/>
  <c r="Q60" i="6"/>
  <c r="U60" i="6" s="1"/>
  <c r="Q61" i="6"/>
  <c r="Q62" i="6"/>
  <c r="U61" i="6" l="1"/>
  <c r="U54" i="6"/>
  <c r="AA52" i="6"/>
  <c r="AA72" i="6"/>
  <c r="AA62" i="6"/>
  <c r="AA53" i="6"/>
  <c r="AA75" i="6"/>
  <c r="AA66" i="6"/>
  <c r="AA61" i="6"/>
  <c r="Q73" i="6"/>
  <c r="U73" i="6" s="1"/>
  <c r="AA73" i="6"/>
  <c r="AA63" i="6"/>
  <c r="AA54" i="6"/>
  <c r="AA64" i="6"/>
  <c r="Q72" i="6"/>
  <c r="U72" i="6" s="1"/>
  <c r="Q66" i="6"/>
  <c r="U66" i="6" s="1"/>
  <c r="Q74" i="6"/>
  <c r="U74" i="6" s="1"/>
  <c r="U62" i="6"/>
  <c r="U53" i="6"/>
  <c r="Q65" i="6"/>
  <c r="U65" i="6" s="1"/>
  <c r="U63" i="6"/>
  <c r="Q75" i="6"/>
  <c r="U75" i="6" s="1"/>
  <c r="F58" i="18" l="1"/>
  <c r="F70" i="18" s="1"/>
  <c r="F59" i="18"/>
  <c r="F71" i="18" s="1"/>
  <c r="F60" i="18"/>
  <c r="F72" i="18" s="1"/>
  <c r="F61" i="18"/>
  <c r="F73" i="18" s="1"/>
  <c r="C58" i="5"/>
  <c r="N46" i="5"/>
  <c r="R46" i="5"/>
  <c r="T46" i="5" s="1"/>
  <c r="N47" i="5"/>
  <c r="R47" i="5"/>
  <c r="T47" i="5" s="1"/>
  <c r="N48" i="5"/>
  <c r="R48" i="5"/>
  <c r="T48" i="5" s="1"/>
  <c r="N49" i="5"/>
  <c r="R49" i="5"/>
  <c r="T49" i="5" s="1"/>
  <c r="D49" i="23"/>
  <c r="AC48" i="6"/>
  <c r="AD48" i="6"/>
  <c r="AE48" i="6"/>
  <c r="AF48" i="6"/>
  <c r="AC49" i="6"/>
  <c r="AD49" i="6"/>
  <c r="AE49" i="6"/>
  <c r="AF49" i="6"/>
  <c r="AC50" i="6"/>
  <c r="AD50" i="6"/>
  <c r="AE50" i="6"/>
  <c r="AF50" i="6"/>
  <c r="AC51" i="6"/>
  <c r="AD51" i="6"/>
  <c r="AE51" i="6"/>
  <c r="AF51" i="6"/>
  <c r="AL48" i="6"/>
  <c r="AL49" i="6"/>
  <c r="AL50" i="6"/>
  <c r="AL51" i="6"/>
  <c r="AJ48" i="6"/>
  <c r="AK48" i="6"/>
  <c r="AJ49" i="6"/>
  <c r="AK49" i="6"/>
  <c r="AJ50" i="6"/>
  <c r="AK50" i="6"/>
  <c r="AJ51" i="6"/>
  <c r="AK51" i="6"/>
  <c r="AI48" i="6"/>
  <c r="AI49" i="6"/>
  <c r="AI50" i="6"/>
  <c r="AI51" i="6"/>
  <c r="AA48" i="6"/>
  <c r="AA49" i="6"/>
  <c r="AA50" i="6"/>
  <c r="AA51" i="6"/>
  <c r="U48" i="6"/>
  <c r="U49" i="6"/>
  <c r="U50" i="6"/>
  <c r="U51" i="6"/>
  <c r="M48" i="6"/>
  <c r="M49" i="6"/>
  <c r="M50" i="6"/>
  <c r="M51" i="6"/>
  <c r="G49" i="6"/>
  <c r="G50" i="6"/>
  <c r="G51" i="6"/>
  <c r="AG49" i="6" l="1"/>
  <c r="AG51" i="6"/>
  <c r="AM51" i="6"/>
  <c r="N62" i="5"/>
  <c r="F62" i="5" s="1"/>
  <c r="P49" i="5"/>
  <c r="P48" i="5"/>
  <c r="V48" i="5" s="1"/>
  <c r="V61" i="5" s="1"/>
  <c r="N61" i="5"/>
  <c r="F61" i="5" s="1"/>
  <c r="N60" i="5"/>
  <c r="F60" i="5" s="1"/>
  <c r="P47" i="5"/>
  <c r="P46" i="5"/>
  <c r="N59" i="5"/>
  <c r="F59" i="5" s="1"/>
  <c r="AM49" i="6"/>
  <c r="AM50" i="6"/>
  <c r="D48" i="18"/>
  <c r="G48" i="5"/>
  <c r="D48" i="5"/>
  <c r="G47" i="5"/>
  <c r="D43" i="23"/>
  <c r="G49" i="5"/>
  <c r="D45" i="23"/>
  <c r="G49" i="23"/>
  <c r="D48" i="23"/>
  <c r="G46" i="23"/>
  <c r="G45" i="23"/>
  <c r="G47" i="23"/>
  <c r="D44" i="23"/>
  <c r="D47" i="5"/>
  <c r="D47" i="18"/>
  <c r="D46" i="23"/>
  <c r="D46" i="5"/>
  <c r="G48" i="23"/>
  <c r="D47" i="23"/>
  <c r="G46" i="5"/>
  <c r="D49" i="18"/>
  <c r="D49" i="5"/>
  <c r="D46" i="18"/>
  <c r="G46" i="18"/>
  <c r="G48" i="18"/>
  <c r="G47" i="18"/>
  <c r="G49" i="18"/>
  <c r="AG50" i="6"/>
  <c r="AM48" i="6"/>
  <c r="V49" i="5" l="1"/>
  <c r="P61" i="5"/>
  <c r="W61" i="5" s="1"/>
  <c r="Y61" i="5" s="1"/>
  <c r="P62" i="5"/>
  <c r="V46" i="5"/>
  <c r="V59" i="5" s="1"/>
  <c r="V72" i="5" s="1"/>
  <c r="W48" i="5"/>
  <c r="Y48" i="5" s="1"/>
  <c r="V47" i="5"/>
  <c r="V60" i="5" s="1"/>
  <c r="P59" i="5"/>
  <c r="N72" i="5"/>
  <c r="F72" i="5" s="1"/>
  <c r="P60" i="5"/>
  <c r="N73" i="5"/>
  <c r="F73" i="5" s="1"/>
  <c r="W59" i="5" l="1"/>
  <c r="Y59" i="5" s="1"/>
  <c r="V73" i="5"/>
  <c r="W46" i="5"/>
  <c r="Y46" i="5" s="1"/>
  <c r="P72" i="5"/>
  <c r="W72" i="5" s="1"/>
  <c r="Y72" i="5" s="1"/>
  <c r="P73" i="5"/>
  <c r="W47" i="5"/>
  <c r="Y47" i="5" s="1"/>
  <c r="W60" i="5"/>
  <c r="Y60" i="5" s="1"/>
  <c r="W49" i="5"/>
  <c r="Y49" i="5" s="1"/>
  <c r="W73" i="5" l="1"/>
  <c r="Y73" i="5" s="1"/>
  <c r="F50" i="18" l="1"/>
  <c r="F62" i="18" s="1"/>
  <c r="F51" i="18"/>
  <c r="F63" i="18" s="1"/>
  <c r="F52" i="18"/>
  <c r="F64" i="18" s="1"/>
  <c r="C50" i="18"/>
  <c r="C52" i="18"/>
  <c r="R38" i="5"/>
  <c r="R39" i="5"/>
  <c r="T39" i="5" s="1"/>
  <c r="R40" i="5"/>
  <c r="T40" i="5" s="1"/>
  <c r="N38" i="5"/>
  <c r="N39" i="5"/>
  <c r="N40" i="5"/>
  <c r="C50" i="5"/>
  <c r="C62" i="5" s="1"/>
  <c r="C52" i="5"/>
  <c r="C64" i="5" s="1"/>
  <c r="P40" i="5" l="1"/>
  <c r="V40" i="5" s="1"/>
  <c r="V53" i="5" s="1"/>
  <c r="N53" i="5"/>
  <c r="F53" i="5" s="1"/>
  <c r="N52" i="5"/>
  <c r="F52" i="5" s="1"/>
  <c r="P39" i="5"/>
  <c r="T38" i="5"/>
  <c r="P38" i="5"/>
  <c r="N51" i="5"/>
  <c r="F51" i="5" s="1"/>
  <c r="N63" i="5"/>
  <c r="F63" i="5" s="1"/>
  <c r="C51" i="5"/>
  <c r="C63" i="5" s="1"/>
  <c r="F54" i="18"/>
  <c r="F66" i="18" s="1"/>
  <c r="F55" i="18"/>
  <c r="F67" i="18" s="1"/>
  <c r="F56" i="18"/>
  <c r="F68" i="18" s="1"/>
  <c r="F57" i="18"/>
  <c r="F69" i="18" s="1"/>
  <c r="F53" i="18"/>
  <c r="F65" i="18" s="1"/>
  <c r="R42" i="5"/>
  <c r="T42" i="5" s="1"/>
  <c r="R43" i="5"/>
  <c r="T43" i="5" s="1"/>
  <c r="R44" i="5"/>
  <c r="T44" i="5" s="1"/>
  <c r="R45" i="5"/>
  <c r="T45" i="5" s="1"/>
  <c r="R41" i="5"/>
  <c r="T41" i="5" s="1"/>
  <c r="N42" i="5"/>
  <c r="N43" i="5"/>
  <c r="N44" i="5"/>
  <c r="N45" i="5"/>
  <c r="N41" i="5"/>
  <c r="C54" i="5"/>
  <c r="C66" i="5" s="1"/>
  <c r="C55" i="5"/>
  <c r="C67" i="5" s="1"/>
  <c r="C56" i="5"/>
  <c r="C68" i="5" s="1"/>
  <c r="C57" i="5"/>
  <c r="C69" i="5" s="1"/>
  <c r="C53" i="5"/>
  <c r="C65" i="5" s="1"/>
  <c r="N56" i="5" l="1"/>
  <c r="F56" i="5" s="1"/>
  <c r="P43" i="5"/>
  <c r="V43" i="5" s="1"/>
  <c r="V56" i="5" s="1"/>
  <c r="N66" i="5"/>
  <c r="F66" i="5" s="1"/>
  <c r="P53" i="5"/>
  <c r="W53" i="5" s="1"/>
  <c r="Y53" i="5" s="1"/>
  <c r="N54" i="5"/>
  <c r="F54" i="5" s="1"/>
  <c r="P41" i="5"/>
  <c r="N55" i="5"/>
  <c r="F55" i="5" s="1"/>
  <c r="P42" i="5"/>
  <c r="N64" i="5"/>
  <c r="F64" i="5" s="1"/>
  <c r="P51" i="5"/>
  <c r="V38" i="5"/>
  <c r="W38" i="5" s="1"/>
  <c r="N65" i="5"/>
  <c r="F65" i="5" s="1"/>
  <c r="P52" i="5"/>
  <c r="W40" i="5"/>
  <c r="Y40" i="5" s="1"/>
  <c r="N58" i="5"/>
  <c r="F58" i="5" s="1"/>
  <c r="P45" i="5"/>
  <c r="V39" i="5"/>
  <c r="P44" i="5"/>
  <c r="V44" i="5" s="1"/>
  <c r="V57" i="5" s="1"/>
  <c r="V70" i="5" s="1"/>
  <c r="N57" i="5"/>
  <c r="F57" i="5" s="1"/>
  <c r="P63" i="5"/>
  <c r="Y38" i="5" l="1"/>
  <c r="V45" i="5"/>
  <c r="V58" i="5" s="1"/>
  <c r="V71" i="5" s="1"/>
  <c r="V52" i="5"/>
  <c r="V63" i="5"/>
  <c r="P65" i="5"/>
  <c r="V51" i="5"/>
  <c r="V62" i="5"/>
  <c r="P64" i="5"/>
  <c r="P56" i="5"/>
  <c r="W56" i="5" s="1"/>
  <c r="Y56" i="5" s="1"/>
  <c r="N69" i="5"/>
  <c r="F69" i="5" s="1"/>
  <c r="N70" i="5"/>
  <c r="F70" i="5" s="1"/>
  <c r="P57" i="5"/>
  <c r="W57" i="5" s="1"/>
  <c r="Y57" i="5" s="1"/>
  <c r="V42" i="5"/>
  <c r="N71" i="5"/>
  <c r="F71" i="5" s="1"/>
  <c r="P58" i="5"/>
  <c r="N67" i="5"/>
  <c r="F67" i="5" s="1"/>
  <c r="P54" i="5"/>
  <c r="P66" i="5"/>
  <c r="W44" i="5"/>
  <c r="Y44" i="5" s="1"/>
  <c r="V41" i="5"/>
  <c r="V54" i="5" s="1"/>
  <c r="V67" i="5" s="1"/>
  <c r="N68" i="5"/>
  <c r="F68" i="5" s="1"/>
  <c r="P55" i="5"/>
  <c r="W39" i="5"/>
  <c r="Y39" i="5" s="1"/>
  <c r="W43" i="5"/>
  <c r="Y43" i="5" s="1"/>
  <c r="X56" i="6"/>
  <c r="X57" i="6"/>
  <c r="X58" i="6"/>
  <c r="X59" i="6"/>
  <c r="X55" i="6"/>
  <c r="Q56" i="6"/>
  <c r="R56" i="6"/>
  <c r="Q57" i="6"/>
  <c r="R57" i="6"/>
  <c r="Q58" i="6"/>
  <c r="R58" i="6"/>
  <c r="Q59" i="6"/>
  <c r="R59" i="6"/>
  <c r="R55" i="6"/>
  <c r="Q55" i="6"/>
  <c r="V64" i="5" l="1"/>
  <c r="W64" i="5" s="1"/>
  <c r="Y64" i="5" s="1"/>
  <c r="W63" i="5"/>
  <c r="Y63" i="5" s="1"/>
  <c r="P71" i="5"/>
  <c r="W71" i="5" s="1"/>
  <c r="Y71" i="5" s="1"/>
  <c r="W45" i="5"/>
  <c r="Y45" i="5" s="1"/>
  <c r="V69" i="5"/>
  <c r="W54" i="5"/>
  <c r="Y54" i="5" s="1"/>
  <c r="V55" i="5"/>
  <c r="V68" i="5" s="1"/>
  <c r="V66" i="5"/>
  <c r="W66" i="5" s="1"/>
  <c r="Y66" i="5" s="1"/>
  <c r="P70" i="5"/>
  <c r="W70" i="5" s="1"/>
  <c r="Y70" i="5" s="1"/>
  <c r="W41" i="5"/>
  <c r="W51" i="5"/>
  <c r="P68" i="5"/>
  <c r="P67" i="5"/>
  <c r="W67" i="5" s="1"/>
  <c r="Y67" i="5" s="1"/>
  <c r="W58" i="5"/>
  <c r="Y58" i="5" s="1"/>
  <c r="P69" i="5"/>
  <c r="W42" i="5"/>
  <c r="Y42" i="5" s="1"/>
  <c r="W62" i="5"/>
  <c r="V65" i="5"/>
  <c r="W52" i="5"/>
  <c r="Y52" i="5" s="1"/>
  <c r="AI47" i="6"/>
  <c r="U57" i="6"/>
  <c r="Q69" i="6"/>
  <c r="AA57" i="6"/>
  <c r="X69" i="6"/>
  <c r="Q67" i="6"/>
  <c r="U55" i="6"/>
  <c r="U58" i="6"/>
  <c r="Q70" i="6"/>
  <c r="X70" i="6"/>
  <c r="AA58" i="6"/>
  <c r="U56" i="6"/>
  <c r="Q68" i="6"/>
  <c r="X68" i="6"/>
  <c r="AA56" i="6"/>
  <c r="X67" i="6"/>
  <c r="AA55" i="6"/>
  <c r="Q71" i="6"/>
  <c r="U59" i="6"/>
  <c r="X71" i="6"/>
  <c r="AA59" i="6"/>
  <c r="AL47" i="6"/>
  <c r="AK47" i="6"/>
  <c r="AJ47" i="6"/>
  <c r="AC47" i="6"/>
  <c r="Y51" i="5" l="1"/>
  <c r="Y41" i="5"/>
  <c r="Y62" i="5"/>
  <c r="W55" i="5"/>
  <c r="Y55" i="5" s="1"/>
  <c r="W69" i="5"/>
  <c r="Y69" i="5" s="1"/>
  <c r="W68" i="5"/>
  <c r="Y68" i="5" s="1"/>
  <c r="W65" i="5"/>
  <c r="Y65" i="5" s="1"/>
  <c r="AA68" i="6"/>
  <c r="U67" i="6"/>
  <c r="AA69" i="6"/>
  <c r="U69" i="6"/>
  <c r="U71" i="6"/>
  <c r="AA70" i="6"/>
  <c r="AA67" i="6"/>
  <c r="U68" i="6"/>
  <c r="AA71" i="6"/>
  <c r="U70" i="6"/>
  <c r="G45" i="18"/>
  <c r="D45" i="18"/>
  <c r="G44" i="18"/>
  <c r="D44" i="18"/>
  <c r="G43" i="18"/>
  <c r="D43" i="18"/>
  <c r="G42" i="18"/>
  <c r="D42" i="18"/>
  <c r="G41" i="18"/>
  <c r="D41" i="18"/>
  <c r="G45" i="5"/>
  <c r="D45" i="5"/>
  <c r="G44" i="5"/>
  <c r="D44" i="5"/>
  <c r="G43" i="5"/>
  <c r="D43" i="5"/>
  <c r="G42" i="5"/>
  <c r="D42" i="5"/>
  <c r="G41" i="5"/>
  <c r="D41" i="5"/>
  <c r="G44" i="23"/>
  <c r="G43" i="23"/>
  <c r="G42" i="23"/>
  <c r="D42" i="23"/>
  <c r="G41" i="23"/>
  <c r="D41" i="23"/>
  <c r="G48" i="6"/>
  <c r="AF47" i="6"/>
  <c r="AE47" i="6"/>
  <c r="AD47" i="6"/>
  <c r="AA47" i="6"/>
  <c r="U47" i="6"/>
  <c r="M47" i="6"/>
  <c r="G47" i="6"/>
  <c r="AL46" i="6"/>
  <c r="AK46" i="6"/>
  <c r="AJ46" i="6"/>
  <c r="AI46" i="6"/>
  <c r="AF46" i="6"/>
  <c r="AE46" i="6"/>
  <c r="AD46" i="6"/>
  <c r="AC46" i="6"/>
  <c r="AA46" i="6"/>
  <c r="U46" i="6"/>
  <c r="M46" i="6"/>
  <c r="G46" i="6"/>
  <c r="AL45" i="6"/>
  <c r="AK45" i="6"/>
  <c r="AJ45" i="6"/>
  <c r="AI45" i="6"/>
  <c r="AF45" i="6"/>
  <c r="AE45" i="6"/>
  <c r="AD45" i="6"/>
  <c r="AC45" i="6"/>
  <c r="AA45" i="6"/>
  <c r="U45" i="6"/>
  <c r="M45" i="6"/>
  <c r="G45" i="6"/>
  <c r="AL44" i="6"/>
  <c r="AK44" i="6"/>
  <c r="AJ44" i="6"/>
  <c r="AI44" i="6"/>
  <c r="AF44" i="6"/>
  <c r="AE44" i="6"/>
  <c r="AD44" i="6"/>
  <c r="AC44" i="6"/>
  <c r="AA44" i="6"/>
  <c r="U44" i="6"/>
  <c r="M44" i="6"/>
  <c r="G44" i="6"/>
  <c r="AL43" i="6"/>
  <c r="AK43" i="6"/>
  <c r="AJ43" i="6"/>
  <c r="AI43" i="6"/>
  <c r="AF43" i="6"/>
  <c r="AE43" i="6"/>
  <c r="AD43" i="6"/>
  <c r="AC43" i="6"/>
  <c r="AA43" i="6"/>
  <c r="U43" i="6"/>
  <c r="M43" i="6"/>
  <c r="G43" i="6"/>
  <c r="AG48" i="6" l="1"/>
  <c r="AM46" i="6"/>
  <c r="AM47" i="6"/>
  <c r="AM43" i="6"/>
  <c r="AG43" i="6"/>
  <c r="AM44" i="6"/>
  <c r="AM45" i="6"/>
  <c r="AG44" i="6"/>
  <c r="AG45" i="6"/>
  <c r="AG46" i="6"/>
  <c r="AG47" i="6"/>
  <c r="G40" i="18" l="1"/>
  <c r="D40" i="18"/>
  <c r="G40" i="5"/>
  <c r="D40" i="5"/>
  <c r="G40" i="23"/>
  <c r="D40" i="23"/>
  <c r="AL42" i="6"/>
  <c r="AK42" i="6"/>
  <c r="AJ42" i="6"/>
  <c r="AI42" i="6"/>
  <c r="AF42" i="6"/>
  <c r="AE42" i="6"/>
  <c r="AD42" i="6"/>
  <c r="AC42" i="6"/>
  <c r="AA42" i="6"/>
  <c r="U42" i="6"/>
  <c r="M42" i="6"/>
  <c r="G42" i="6"/>
  <c r="AG42" i="6" l="1"/>
  <c r="AM42" i="6"/>
  <c r="AJ23" i="6" l="1"/>
  <c r="G39" i="18" l="1"/>
  <c r="D39" i="18"/>
  <c r="G38" i="18"/>
  <c r="D38" i="18"/>
  <c r="G37" i="18"/>
  <c r="D37" i="18"/>
  <c r="G36" i="18"/>
  <c r="D36" i="18"/>
  <c r="G35" i="18"/>
  <c r="D35" i="18"/>
  <c r="G39" i="5"/>
  <c r="D39" i="5"/>
  <c r="G38" i="5"/>
  <c r="D38" i="5"/>
  <c r="G37" i="5"/>
  <c r="D37" i="5"/>
  <c r="G36" i="5"/>
  <c r="D36" i="5"/>
  <c r="G35" i="5"/>
  <c r="D35" i="5"/>
  <c r="G39" i="23" l="1"/>
  <c r="D39" i="23"/>
  <c r="G38" i="23"/>
  <c r="D38" i="23"/>
  <c r="G37" i="23"/>
  <c r="D37" i="23"/>
  <c r="D61" i="23" s="1"/>
  <c r="D73" i="23" s="1"/>
  <c r="G36" i="23"/>
  <c r="D36" i="23"/>
  <c r="D60" i="23" s="1"/>
  <c r="D72" i="23" s="1"/>
  <c r="G35" i="23"/>
  <c r="D35" i="23"/>
  <c r="D59" i="23" s="1"/>
  <c r="D71" i="23" s="1"/>
  <c r="AL41" i="6"/>
  <c r="AK41" i="6"/>
  <c r="AJ41" i="6"/>
  <c r="AI41" i="6"/>
  <c r="AF41" i="6"/>
  <c r="AE41" i="6"/>
  <c r="AD41" i="6"/>
  <c r="AC41" i="6"/>
  <c r="AA41" i="6"/>
  <c r="U41" i="6"/>
  <c r="M41" i="6"/>
  <c r="G41" i="6"/>
  <c r="AL40" i="6"/>
  <c r="AK40" i="6"/>
  <c r="AJ40" i="6"/>
  <c r="AI40" i="6"/>
  <c r="AF40" i="6"/>
  <c r="AE40" i="6"/>
  <c r="AD40" i="6"/>
  <c r="AC40" i="6"/>
  <c r="AA40" i="6"/>
  <c r="U40" i="6"/>
  <c r="M40" i="6"/>
  <c r="G40" i="6"/>
  <c r="AL39" i="6"/>
  <c r="AK39" i="6"/>
  <c r="AJ39" i="6"/>
  <c r="AJ63" i="6" s="1"/>
  <c r="AI39" i="6"/>
  <c r="AF39" i="6"/>
  <c r="AE39" i="6"/>
  <c r="AD39" i="6"/>
  <c r="AC39" i="6"/>
  <c r="AA39" i="6"/>
  <c r="U39" i="6"/>
  <c r="M39" i="6"/>
  <c r="G39" i="6"/>
  <c r="AL38" i="6"/>
  <c r="AK38" i="6"/>
  <c r="AJ38" i="6"/>
  <c r="AJ62" i="6" s="1"/>
  <c r="AI38" i="6"/>
  <c r="AF38" i="6"/>
  <c r="AE38" i="6"/>
  <c r="AD38" i="6"/>
  <c r="AC38" i="6"/>
  <c r="AA38" i="6"/>
  <c r="U38" i="6"/>
  <c r="M38" i="6"/>
  <c r="G38" i="6"/>
  <c r="AL37" i="6"/>
  <c r="AK37" i="6"/>
  <c r="AJ37" i="6"/>
  <c r="AJ61" i="6" s="1"/>
  <c r="AI37" i="6"/>
  <c r="AF37" i="6"/>
  <c r="AE37" i="6"/>
  <c r="AD37" i="6"/>
  <c r="AC37" i="6"/>
  <c r="AA37" i="6"/>
  <c r="U37" i="6"/>
  <c r="M37" i="6"/>
  <c r="G37" i="6"/>
  <c r="AM37" i="6" l="1"/>
  <c r="AM38" i="6"/>
  <c r="AM39" i="6"/>
  <c r="AJ73" i="6"/>
  <c r="J61" i="6"/>
  <c r="J62" i="6"/>
  <c r="AJ74" i="6"/>
  <c r="J63" i="6"/>
  <c r="AJ75" i="6"/>
  <c r="AG37" i="6"/>
  <c r="AG40" i="6"/>
  <c r="AM40" i="6"/>
  <c r="AG38" i="6"/>
  <c r="AM41" i="6"/>
  <c r="AG41" i="6"/>
  <c r="AG39" i="6"/>
  <c r="J74" i="6" l="1"/>
  <c r="J73" i="6"/>
  <c r="J75" i="6"/>
  <c r="G34" i="18" l="1"/>
  <c r="D34" i="18"/>
  <c r="G34" i="5"/>
  <c r="D34" i="5"/>
  <c r="G34" i="23"/>
  <c r="D34" i="23"/>
  <c r="D58" i="23" s="1"/>
  <c r="D70" i="23" s="1"/>
  <c r="G22" i="6"/>
  <c r="G23" i="6"/>
  <c r="G24" i="6"/>
  <c r="G25" i="6"/>
  <c r="G26" i="6"/>
  <c r="G27" i="6"/>
  <c r="G28" i="6"/>
  <c r="G29" i="6"/>
  <c r="G30" i="6"/>
  <c r="G31" i="6"/>
  <c r="G32" i="6"/>
  <c r="G33" i="6"/>
  <c r="AG33" i="6" s="1"/>
  <c r="G34" i="6"/>
  <c r="AG34" i="6" s="1"/>
  <c r="G35" i="6"/>
  <c r="AG35" i="6" s="1"/>
  <c r="G36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AM36" i="6" s="1"/>
  <c r="AC35" i="6"/>
  <c r="AD35" i="6"/>
  <c r="AE35" i="6"/>
  <c r="AF35" i="6"/>
  <c r="AC36" i="6"/>
  <c r="AD36" i="6"/>
  <c r="AE36" i="6"/>
  <c r="AF36" i="6"/>
  <c r="AC34" i="6"/>
  <c r="AL31" i="6"/>
  <c r="AL32" i="6"/>
  <c r="AL33" i="6"/>
  <c r="AL34" i="6"/>
  <c r="AL35" i="6"/>
  <c r="AL36" i="6"/>
  <c r="AK28" i="6"/>
  <c r="AK29" i="6"/>
  <c r="AK30" i="6"/>
  <c r="AK31" i="6"/>
  <c r="AK32" i="6"/>
  <c r="AK33" i="6"/>
  <c r="AK34" i="6"/>
  <c r="AK35" i="6"/>
  <c r="AK36" i="6"/>
  <c r="AI32" i="6"/>
  <c r="AI33" i="6"/>
  <c r="AI34" i="6"/>
  <c r="AI35" i="6"/>
  <c r="AI36" i="6"/>
  <c r="AJ36" i="6" l="1"/>
  <c r="AJ60" i="6" s="1"/>
  <c r="U36" i="6"/>
  <c r="AG36" i="6" s="1"/>
  <c r="J60" i="6" l="1"/>
  <c r="AJ72" i="6"/>
  <c r="J72" i="6" l="1"/>
  <c r="AA19" i="6" l="1"/>
  <c r="AA20" i="6"/>
  <c r="AA21" i="6"/>
  <c r="AA22" i="6"/>
  <c r="AM22" i="6" s="1"/>
  <c r="AA23" i="6"/>
  <c r="AM23" i="6" s="1"/>
  <c r="AA24" i="6"/>
  <c r="AM24" i="6" s="1"/>
  <c r="AA25" i="6"/>
  <c r="AM25" i="6" s="1"/>
  <c r="AA26" i="6"/>
  <c r="AM26" i="6" s="1"/>
  <c r="AA27" i="6"/>
  <c r="AM27" i="6" s="1"/>
  <c r="AA28" i="6"/>
  <c r="AM28" i="6" s="1"/>
  <c r="AA29" i="6"/>
  <c r="AM29" i="6" s="1"/>
  <c r="AA30" i="6"/>
  <c r="AM30" i="6" s="1"/>
  <c r="AA31" i="6"/>
  <c r="AM31" i="6" s="1"/>
  <c r="AA32" i="6"/>
  <c r="AM32" i="6" s="1"/>
  <c r="AA33" i="6"/>
  <c r="AM33" i="6" s="1"/>
  <c r="AA34" i="6"/>
  <c r="AM34" i="6" s="1"/>
  <c r="AA35" i="6"/>
  <c r="AM35" i="6" s="1"/>
  <c r="AG24" i="6"/>
  <c r="AG25" i="6"/>
  <c r="AG26" i="6"/>
  <c r="AG27" i="6"/>
  <c r="AG28" i="6"/>
  <c r="AG29" i="6"/>
  <c r="AG30" i="6"/>
  <c r="AG31" i="6"/>
  <c r="AG32" i="6"/>
  <c r="AF22" i="6"/>
  <c r="AF23" i="6"/>
  <c r="AF24" i="6"/>
  <c r="AF60" i="6" s="1"/>
  <c r="AF25" i="6"/>
  <c r="AF61" i="6" s="1"/>
  <c r="AF26" i="6"/>
  <c r="AF62" i="6" s="1"/>
  <c r="AF27" i="6"/>
  <c r="AF28" i="6"/>
  <c r="AF29" i="6"/>
  <c r="AF30" i="6"/>
  <c r="AF31" i="6"/>
  <c r="AF32" i="6"/>
  <c r="AF33" i="6"/>
  <c r="AF34" i="6"/>
  <c r="AC23" i="6"/>
  <c r="AC59" i="6" s="1"/>
  <c r="AC24" i="6"/>
  <c r="AC60" i="6" s="1"/>
  <c r="AC25" i="6"/>
  <c r="AC61" i="6" s="1"/>
  <c r="AC26" i="6"/>
  <c r="AC62" i="6" s="1"/>
  <c r="AC27" i="6"/>
  <c r="AC63" i="6" s="1"/>
  <c r="AC28" i="6"/>
  <c r="AC29" i="6"/>
  <c r="AC30" i="6"/>
  <c r="AC31" i="6"/>
  <c r="AC32" i="6"/>
  <c r="AC33" i="6"/>
  <c r="AD21" i="6"/>
  <c r="AD22" i="6"/>
  <c r="AD23" i="6"/>
  <c r="AD59" i="6" s="1"/>
  <c r="AD24" i="6"/>
  <c r="AD60" i="6" s="1"/>
  <c r="AD25" i="6"/>
  <c r="AD61" i="6" s="1"/>
  <c r="AD26" i="6"/>
  <c r="AD62" i="6" s="1"/>
  <c r="AD27" i="6"/>
  <c r="AD63" i="6" s="1"/>
  <c r="AD28" i="6"/>
  <c r="AD29" i="6"/>
  <c r="AD30" i="6"/>
  <c r="AD31" i="6"/>
  <c r="AD32" i="6"/>
  <c r="AD33" i="6"/>
  <c r="AD57" i="6" s="1"/>
  <c r="AD34" i="6"/>
  <c r="AD58" i="6" s="1"/>
  <c r="AE21" i="6"/>
  <c r="AE22" i="6"/>
  <c r="AE23" i="6"/>
  <c r="AE24" i="6"/>
  <c r="AE60" i="6" s="1"/>
  <c r="AE25" i="6"/>
  <c r="AE61" i="6" s="1"/>
  <c r="AE26" i="6"/>
  <c r="AE62" i="6" s="1"/>
  <c r="AE27" i="6"/>
  <c r="AE28" i="6"/>
  <c r="AE29" i="6"/>
  <c r="AE30" i="6"/>
  <c r="AE31" i="6"/>
  <c r="AE32" i="6"/>
  <c r="AE33" i="6"/>
  <c r="AE34" i="6"/>
  <c r="AL16" i="6"/>
  <c r="AL17" i="6"/>
  <c r="AL18" i="6"/>
  <c r="AL19" i="6"/>
  <c r="AL55" i="6" s="1"/>
  <c r="AL20" i="6"/>
  <c r="AL56" i="6" s="1"/>
  <c r="AL21" i="6"/>
  <c r="AL57" i="6" s="1"/>
  <c r="AL22" i="6"/>
  <c r="AL58" i="6" s="1"/>
  <c r="AL23" i="6"/>
  <c r="AL59" i="6" s="1"/>
  <c r="AL24" i="6"/>
  <c r="AL60" i="6" s="1"/>
  <c r="AL25" i="6"/>
  <c r="AL61" i="6" s="1"/>
  <c r="AL26" i="6"/>
  <c r="AL62" i="6" s="1"/>
  <c r="AL27" i="6"/>
  <c r="AL63" i="6" s="1"/>
  <c r="AL28" i="6"/>
  <c r="AL52" i="6" s="1"/>
  <c r="AL29" i="6"/>
  <c r="AL53" i="6" s="1"/>
  <c r="AL30" i="6"/>
  <c r="AL54" i="6" s="1"/>
  <c r="AJ16" i="6"/>
  <c r="AJ17" i="6"/>
  <c r="AJ18" i="6"/>
  <c r="AJ19" i="6"/>
  <c r="AJ20" i="6"/>
  <c r="AJ21" i="6"/>
  <c r="AJ22" i="6"/>
  <c r="AJ24" i="6"/>
  <c r="AJ25" i="6"/>
  <c r="AJ26" i="6"/>
  <c r="AJ27" i="6"/>
  <c r="AJ28" i="6"/>
  <c r="AJ52" i="6" s="1"/>
  <c r="AJ29" i="6"/>
  <c r="AJ53" i="6" s="1"/>
  <c r="AJ30" i="6"/>
  <c r="AJ54" i="6" s="1"/>
  <c r="AJ31" i="6"/>
  <c r="AJ55" i="6" s="1"/>
  <c r="AJ32" i="6"/>
  <c r="AJ56" i="6" s="1"/>
  <c r="AJ33" i="6"/>
  <c r="AJ57" i="6" s="1"/>
  <c r="AJ34" i="6"/>
  <c r="AJ58" i="6" s="1"/>
  <c r="AJ35" i="6"/>
  <c r="AJ59" i="6" s="1"/>
  <c r="AI16" i="6"/>
  <c r="AI17" i="6"/>
  <c r="AI18" i="6"/>
  <c r="AI19" i="6"/>
  <c r="AI20" i="6"/>
  <c r="AI56" i="6" s="1"/>
  <c r="AI21" i="6"/>
  <c r="AI57" i="6" s="1"/>
  <c r="AI22" i="6"/>
  <c r="AI58" i="6" s="1"/>
  <c r="AI23" i="6"/>
  <c r="AI59" i="6" s="1"/>
  <c r="AI24" i="6"/>
  <c r="AI60" i="6" s="1"/>
  <c r="AI25" i="6"/>
  <c r="AI61" i="6" s="1"/>
  <c r="AI26" i="6"/>
  <c r="AI62" i="6" s="1"/>
  <c r="AI27" i="6"/>
  <c r="AI63" i="6" s="1"/>
  <c r="AI28" i="6"/>
  <c r="AI52" i="6" s="1"/>
  <c r="AI29" i="6"/>
  <c r="AI53" i="6" s="1"/>
  <c r="AI30" i="6"/>
  <c r="AI54" i="6" s="1"/>
  <c r="AI31" i="6"/>
  <c r="AI55" i="6" s="1"/>
  <c r="AK16" i="6"/>
  <c r="AK52" i="6" s="1"/>
  <c r="AK17" i="6"/>
  <c r="AK53" i="6" s="1"/>
  <c r="AK18" i="6"/>
  <c r="AK54" i="6" s="1"/>
  <c r="AK19" i="6"/>
  <c r="AK55" i="6" s="1"/>
  <c r="AK20" i="6"/>
  <c r="AK56" i="6" s="1"/>
  <c r="AK21" i="6"/>
  <c r="AK57" i="6" s="1"/>
  <c r="AK22" i="6"/>
  <c r="AK58" i="6" s="1"/>
  <c r="AK23" i="6"/>
  <c r="AK59" i="6" s="1"/>
  <c r="AK24" i="6"/>
  <c r="AK60" i="6" s="1"/>
  <c r="AK25" i="6"/>
  <c r="AK61" i="6" s="1"/>
  <c r="AK26" i="6"/>
  <c r="AK62" i="6" s="1"/>
  <c r="AK27" i="6"/>
  <c r="AK63" i="6" s="1"/>
  <c r="AF59" i="6" l="1"/>
  <c r="F59" i="6" s="1"/>
  <c r="J54" i="6"/>
  <c r="AJ66" i="6"/>
  <c r="AD69" i="6"/>
  <c r="D57" i="6"/>
  <c r="K59" i="6"/>
  <c r="AK71" i="6"/>
  <c r="I54" i="6"/>
  <c r="AI66" i="6"/>
  <c r="AL66" i="6"/>
  <c r="L54" i="6"/>
  <c r="AE59" i="6"/>
  <c r="D60" i="6"/>
  <c r="AD72" i="6"/>
  <c r="AF58" i="6"/>
  <c r="AF73" i="6"/>
  <c r="F61" i="6"/>
  <c r="AK68" i="6"/>
  <c r="K56" i="6"/>
  <c r="I59" i="6"/>
  <c r="AI71" i="6"/>
  <c r="AL75" i="6"/>
  <c r="L63" i="6"/>
  <c r="C62" i="6"/>
  <c r="AC74" i="6"/>
  <c r="F62" i="6"/>
  <c r="AF74" i="6"/>
  <c r="K55" i="6"/>
  <c r="AK67" i="6"/>
  <c r="AI70" i="6"/>
  <c r="I58" i="6"/>
  <c r="AL74" i="6"/>
  <c r="L62" i="6"/>
  <c r="E62" i="6"/>
  <c r="AE74" i="6"/>
  <c r="C61" i="6"/>
  <c r="AC73" i="6"/>
  <c r="I61" i="6"/>
  <c r="AI73" i="6"/>
  <c r="D63" i="6"/>
  <c r="AD75" i="6"/>
  <c r="AD71" i="6"/>
  <c r="D59" i="6"/>
  <c r="C60" i="6"/>
  <c r="AC72" i="6"/>
  <c r="F60" i="6"/>
  <c r="AF72" i="6"/>
  <c r="AK72" i="6"/>
  <c r="K60" i="6"/>
  <c r="K52" i="6"/>
  <c r="AK64" i="6"/>
  <c r="I55" i="6"/>
  <c r="AI67" i="6"/>
  <c r="I63" i="6"/>
  <c r="AI75" i="6"/>
  <c r="AJ70" i="6"/>
  <c r="J58" i="6"/>
  <c r="L59" i="6"/>
  <c r="AL71" i="6"/>
  <c r="L55" i="6"/>
  <c r="AL67" i="6"/>
  <c r="AE63" i="6"/>
  <c r="D61" i="6"/>
  <c r="AD73" i="6"/>
  <c r="AF71" i="6"/>
  <c r="K63" i="6"/>
  <c r="AK75" i="6"/>
  <c r="I62" i="6"/>
  <c r="AI74" i="6"/>
  <c r="AJ69" i="6"/>
  <c r="J57" i="6"/>
  <c r="J53" i="6"/>
  <c r="AJ65" i="6"/>
  <c r="L58" i="6"/>
  <c r="AL70" i="6"/>
  <c r="K62" i="6"/>
  <c r="AK74" i="6"/>
  <c r="K58" i="6"/>
  <c r="AK70" i="6"/>
  <c r="K54" i="6"/>
  <c r="AK66" i="6"/>
  <c r="AI65" i="6"/>
  <c r="I53" i="6"/>
  <c r="AI69" i="6"/>
  <c r="I57" i="6"/>
  <c r="J56" i="6"/>
  <c r="AJ68" i="6"/>
  <c r="J52" i="6"/>
  <c r="AJ64" i="6"/>
  <c r="L53" i="6"/>
  <c r="AL65" i="6"/>
  <c r="L61" i="6"/>
  <c r="AL73" i="6"/>
  <c r="L57" i="6"/>
  <c r="AL69" i="6"/>
  <c r="AE58" i="6"/>
  <c r="AE73" i="6"/>
  <c r="E61" i="6"/>
  <c r="K61" i="6"/>
  <c r="AK73" i="6"/>
  <c r="K57" i="6"/>
  <c r="AK69" i="6"/>
  <c r="K53" i="6"/>
  <c r="AK65" i="6"/>
  <c r="I52" i="6"/>
  <c r="AI64" i="6"/>
  <c r="I60" i="6"/>
  <c r="AI72" i="6"/>
  <c r="AI68" i="6"/>
  <c r="I56" i="6"/>
  <c r="AJ71" i="6"/>
  <c r="J59" i="6"/>
  <c r="AJ67" i="6"/>
  <c r="J55" i="6"/>
  <c r="L52" i="6"/>
  <c r="AL64" i="6"/>
  <c r="L60" i="6"/>
  <c r="AL72" i="6"/>
  <c r="L56" i="6"/>
  <c r="AL68" i="6"/>
  <c r="AE57" i="6"/>
  <c r="E60" i="6"/>
  <c r="AE72" i="6"/>
  <c r="D58" i="6"/>
  <c r="AD70" i="6"/>
  <c r="D62" i="6"/>
  <c r="AD74" i="6"/>
  <c r="AC75" i="6"/>
  <c r="C63" i="6"/>
  <c r="AC71" i="6"/>
  <c r="C59" i="6"/>
  <c r="AF63" i="6"/>
  <c r="G33" i="18"/>
  <c r="D33" i="18"/>
  <c r="G32" i="18"/>
  <c r="D32" i="18"/>
  <c r="G31" i="18"/>
  <c r="D31" i="18"/>
  <c r="G30" i="18"/>
  <c r="D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G23" i="18"/>
  <c r="D23" i="18"/>
  <c r="G22" i="18"/>
  <c r="D22" i="18"/>
  <c r="D70" i="6" l="1"/>
  <c r="L72" i="6"/>
  <c r="M56" i="6"/>
  <c r="AM56" i="6" s="1"/>
  <c r="I64" i="6"/>
  <c r="K69" i="6"/>
  <c r="L65" i="6"/>
  <c r="J68" i="6"/>
  <c r="M53" i="6"/>
  <c r="AM53" i="6" s="1"/>
  <c r="K70" i="6"/>
  <c r="J69" i="6"/>
  <c r="G60" i="6"/>
  <c r="D71" i="6"/>
  <c r="I73" i="6"/>
  <c r="E74" i="6"/>
  <c r="M58" i="6"/>
  <c r="AM58" i="6" s="1"/>
  <c r="F74" i="6"/>
  <c r="I71" i="6"/>
  <c r="E59" i="6"/>
  <c r="AE71" i="6"/>
  <c r="D69" i="6"/>
  <c r="I66" i="6"/>
  <c r="AF75" i="6"/>
  <c r="F63" i="6"/>
  <c r="C71" i="6"/>
  <c r="D74" i="6"/>
  <c r="E57" i="6"/>
  <c r="AE69" i="6"/>
  <c r="J67" i="6"/>
  <c r="I68" i="6"/>
  <c r="M52" i="6"/>
  <c r="AM52" i="6" s="1"/>
  <c r="E73" i="6"/>
  <c r="I65" i="6"/>
  <c r="J65" i="6"/>
  <c r="I74" i="6"/>
  <c r="D73" i="6"/>
  <c r="L67" i="6"/>
  <c r="I67" i="6"/>
  <c r="M60" i="6"/>
  <c r="M61" i="6"/>
  <c r="I70" i="6"/>
  <c r="M59" i="6"/>
  <c r="H19" i="4" s="1"/>
  <c r="F73" i="6"/>
  <c r="D72" i="6"/>
  <c r="K71" i="6"/>
  <c r="J66" i="6"/>
  <c r="C75" i="6"/>
  <c r="J71" i="6"/>
  <c r="E58" i="6"/>
  <c r="AE70" i="6"/>
  <c r="I69" i="6"/>
  <c r="L70" i="6"/>
  <c r="K75" i="6"/>
  <c r="F71" i="6"/>
  <c r="AE75" i="6"/>
  <c r="E63" i="6"/>
  <c r="L71" i="6"/>
  <c r="I75" i="6"/>
  <c r="K64" i="6"/>
  <c r="F72" i="6"/>
  <c r="C72" i="6"/>
  <c r="G61" i="6"/>
  <c r="L74" i="6"/>
  <c r="G62" i="6"/>
  <c r="L75" i="6"/>
  <c r="K68" i="6"/>
  <c r="L69" i="6"/>
  <c r="E72" i="6"/>
  <c r="L68" i="6"/>
  <c r="L64" i="6"/>
  <c r="I72" i="6"/>
  <c r="K65" i="6"/>
  <c r="K73" i="6"/>
  <c r="L73" i="6"/>
  <c r="J64" i="6"/>
  <c r="M57" i="6"/>
  <c r="AM57" i="6" s="1"/>
  <c r="K66" i="6"/>
  <c r="K74" i="6"/>
  <c r="M62" i="6"/>
  <c r="J70" i="6"/>
  <c r="M55" i="6"/>
  <c r="AM55" i="6" s="1"/>
  <c r="K72" i="6"/>
  <c r="C73" i="6"/>
  <c r="K67" i="6"/>
  <c r="C74" i="6"/>
  <c r="M63" i="6"/>
  <c r="AF70" i="6"/>
  <c r="F58" i="6"/>
  <c r="L66" i="6"/>
  <c r="M54" i="6"/>
  <c r="AM54" i="6" s="1"/>
  <c r="AM62" i="6" l="1"/>
  <c r="H22" i="4"/>
  <c r="AM63" i="6"/>
  <c r="H23" i="4"/>
  <c r="AM61" i="6"/>
  <c r="H21" i="4"/>
  <c r="AM60" i="6"/>
  <c r="H20" i="4"/>
  <c r="G59" i="6"/>
  <c r="M72" i="6"/>
  <c r="H32" i="4" s="1"/>
  <c r="G63" i="6"/>
  <c r="AG63" i="6" s="1"/>
  <c r="F70" i="6"/>
  <c r="M70" i="6"/>
  <c r="F75" i="6"/>
  <c r="M64" i="6"/>
  <c r="G74" i="6"/>
  <c r="M66" i="6"/>
  <c r="M65" i="6"/>
  <c r="AG62" i="6"/>
  <c r="AG61" i="6"/>
  <c r="M75" i="6"/>
  <c r="E75" i="6"/>
  <c r="M69" i="6"/>
  <c r="M73" i="6"/>
  <c r="AG60" i="6"/>
  <c r="G73" i="6"/>
  <c r="G72" i="6"/>
  <c r="AM59" i="6"/>
  <c r="M74" i="6"/>
  <c r="M71" i="6"/>
  <c r="E70" i="6"/>
  <c r="M67" i="6"/>
  <c r="M68" i="6"/>
  <c r="E69" i="6"/>
  <c r="E71" i="6"/>
  <c r="AG59" i="6" l="1"/>
  <c r="AM75" i="6"/>
  <c r="H35" i="4"/>
  <c r="AM72" i="6"/>
  <c r="G71" i="6"/>
  <c r="AG71" i="6" s="1"/>
  <c r="AG72" i="6"/>
  <c r="AG73" i="6"/>
  <c r="H30" i="4"/>
  <c r="AM70" i="6"/>
  <c r="AM71" i="6"/>
  <c r="H31" i="4"/>
  <c r="AM74" i="6"/>
  <c r="H34" i="4"/>
  <c r="AM73" i="6"/>
  <c r="H33" i="4"/>
  <c r="AM65" i="6"/>
  <c r="H25" i="4"/>
  <c r="AG74" i="6"/>
  <c r="AM68" i="6"/>
  <c r="H28" i="4"/>
  <c r="G75" i="6"/>
  <c r="AM69" i="6"/>
  <c r="H29" i="4"/>
  <c r="AM66" i="6"/>
  <c r="H26" i="4"/>
  <c r="AM67" i="6"/>
  <c r="H27" i="4"/>
  <c r="AM64" i="6"/>
  <c r="H24" i="4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AG75" i="6" l="1"/>
  <c r="G33" i="23"/>
  <c r="D33" i="23"/>
  <c r="D57" i="23" s="1"/>
  <c r="D69" i="23" s="1"/>
  <c r="G32" i="23"/>
  <c r="D32" i="23"/>
  <c r="D56" i="23" s="1"/>
  <c r="D68" i="23" s="1"/>
  <c r="G31" i="23"/>
  <c r="D31" i="23"/>
  <c r="D55" i="23" s="1"/>
  <c r="D67" i="23" s="1"/>
  <c r="G30" i="23"/>
  <c r="D30" i="23"/>
  <c r="D54" i="23" s="1"/>
  <c r="D66" i="23" s="1"/>
  <c r="G29" i="23"/>
  <c r="D29" i="23"/>
  <c r="G28" i="23"/>
  <c r="D28" i="23"/>
  <c r="G27" i="23"/>
  <c r="D27" i="23"/>
  <c r="D51" i="23" s="1"/>
  <c r="D63" i="23" s="1"/>
  <c r="G26" i="23"/>
  <c r="D26" i="23"/>
  <c r="D50" i="23" s="1"/>
  <c r="G25" i="23"/>
  <c r="G61" i="23" s="1"/>
  <c r="G73" i="23" s="1"/>
  <c r="D25" i="23"/>
  <c r="G24" i="23"/>
  <c r="G60" i="23" s="1"/>
  <c r="G72" i="23" s="1"/>
  <c r="D24" i="23"/>
  <c r="G23" i="23"/>
  <c r="G59" i="23" s="1"/>
  <c r="G71" i="23" s="1"/>
  <c r="D23" i="23"/>
  <c r="G22" i="23"/>
  <c r="G58" i="23" s="1"/>
  <c r="G70" i="23" s="1"/>
  <c r="D22" i="23"/>
  <c r="D52" i="23" l="1"/>
  <c r="D64" i="23" s="1"/>
  <c r="D53" i="23"/>
  <c r="E53" i="23" s="1"/>
  <c r="E50" i="23"/>
  <c r="D62" i="23"/>
  <c r="E59" i="23"/>
  <c r="E61" i="23"/>
  <c r="E57" i="23"/>
  <c r="E56" i="23"/>
  <c r="E51" i="23"/>
  <c r="E54" i="23"/>
  <c r="E55" i="23"/>
  <c r="E58" i="23"/>
  <c r="E52" i="23" l="1"/>
  <c r="D65" i="23"/>
  <c r="E60" i="23"/>
  <c r="E67" i="23"/>
  <c r="E68" i="23"/>
  <c r="E72" i="23"/>
  <c r="E69" i="23"/>
  <c r="E64" i="23"/>
  <c r="E73" i="23"/>
  <c r="E66" i="23"/>
  <c r="E63" i="23"/>
  <c r="E71" i="23"/>
  <c r="E62" i="23"/>
  <c r="E70" i="23"/>
  <c r="E65" i="23" l="1"/>
  <c r="AC16" i="6" l="1"/>
  <c r="AC52" i="6" s="1"/>
  <c r="AD16" i="6"/>
  <c r="AD52" i="6" s="1"/>
  <c r="AE16" i="6"/>
  <c r="AE52" i="6" s="1"/>
  <c r="AC17" i="6"/>
  <c r="AC53" i="6" s="1"/>
  <c r="AD17" i="6"/>
  <c r="AD53" i="6" s="1"/>
  <c r="AE17" i="6"/>
  <c r="AE53" i="6" s="1"/>
  <c r="AC18" i="6"/>
  <c r="AC54" i="6" s="1"/>
  <c r="AD18" i="6"/>
  <c r="AD54" i="6" s="1"/>
  <c r="AE18" i="6"/>
  <c r="AE54" i="6" s="1"/>
  <c r="AC19" i="6"/>
  <c r="AC55" i="6" s="1"/>
  <c r="AD19" i="6"/>
  <c r="AD55" i="6" s="1"/>
  <c r="AE19" i="6"/>
  <c r="AE55" i="6" s="1"/>
  <c r="AC20" i="6"/>
  <c r="AC56" i="6" s="1"/>
  <c r="AD20" i="6"/>
  <c r="AD56" i="6" s="1"/>
  <c r="AE20" i="6"/>
  <c r="AE56" i="6" s="1"/>
  <c r="AC21" i="6"/>
  <c r="AC57" i="6" s="1"/>
  <c r="AC22" i="6"/>
  <c r="AC58" i="6" s="1"/>
  <c r="AF16" i="6"/>
  <c r="AF52" i="6" s="1"/>
  <c r="AF17" i="6"/>
  <c r="AF53" i="6" s="1"/>
  <c r="AF18" i="6"/>
  <c r="AF54" i="6" s="1"/>
  <c r="AF19" i="6"/>
  <c r="AF55" i="6" s="1"/>
  <c r="AF20" i="6"/>
  <c r="AF56" i="6" s="1"/>
  <c r="AF21" i="6"/>
  <c r="AF57" i="6" s="1"/>
  <c r="G21" i="18"/>
  <c r="D21" i="18"/>
  <c r="G21" i="5"/>
  <c r="D21" i="5"/>
  <c r="C53" i="6" l="1"/>
  <c r="AC65" i="6"/>
  <c r="F56" i="6"/>
  <c r="AF68" i="6"/>
  <c r="AF64" i="6"/>
  <c r="F52" i="6"/>
  <c r="E56" i="6"/>
  <c r="AE68" i="6"/>
  <c r="D55" i="6"/>
  <c r="AD67" i="6"/>
  <c r="C54" i="6"/>
  <c r="AC66" i="6"/>
  <c r="E52" i="6"/>
  <c r="AE64" i="6"/>
  <c r="F54" i="6"/>
  <c r="AF66" i="6"/>
  <c r="AC70" i="6"/>
  <c r="C58" i="6"/>
  <c r="C56" i="6"/>
  <c r="AC68" i="6"/>
  <c r="E54" i="6"/>
  <c r="AE66" i="6"/>
  <c r="D53" i="6"/>
  <c r="AD65" i="6"/>
  <c r="AC64" i="6"/>
  <c r="C52" i="6"/>
  <c r="AF69" i="6"/>
  <c r="F57" i="6"/>
  <c r="F53" i="6"/>
  <c r="AF65" i="6"/>
  <c r="AC69" i="6"/>
  <c r="C57" i="6"/>
  <c r="E55" i="6"/>
  <c r="AE67" i="6"/>
  <c r="D54" i="6"/>
  <c r="AD66" i="6"/>
  <c r="AF67" i="6"/>
  <c r="F55" i="6"/>
  <c r="AD68" i="6"/>
  <c r="D56" i="6"/>
  <c r="AC67" i="6"/>
  <c r="C55" i="6"/>
  <c r="E53" i="6"/>
  <c r="AE65" i="6"/>
  <c r="D52" i="6"/>
  <c r="AD64" i="6"/>
  <c r="D64" i="6" l="1"/>
  <c r="G55" i="6"/>
  <c r="E67" i="6"/>
  <c r="F69" i="6"/>
  <c r="G54" i="6"/>
  <c r="F68" i="6"/>
  <c r="F67" i="6"/>
  <c r="G52" i="6"/>
  <c r="E66" i="6"/>
  <c r="G58" i="6"/>
  <c r="E64" i="6"/>
  <c r="D67" i="6"/>
  <c r="E65" i="6"/>
  <c r="D66" i="6"/>
  <c r="G57" i="6"/>
  <c r="C64" i="6"/>
  <c r="C70" i="6"/>
  <c r="C65" i="6"/>
  <c r="F65" i="6"/>
  <c r="G56" i="6"/>
  <c r="E68" i="6"/>
  <c r="C67" i="6"/>
  <c r="D68" i="6"/>
  <c r="C69" i="6"/>
  <c r="D65" i="6"/>
  <c r="C68" i="6"/>
  <c r="F66" i="6"/>
  <c r="C66" i="6"/>
  <c r="F64" i="6"/>
  <c r="G53" i="6"/>
  <c r="G14" i="18"/>
  <c r="G50" i="18" s="1"/>
  <c r="G15" i="18"/>
  <c r="G16" i="18"/>
  <c r="G17" i="18"/>
  <c r="G18" i="18"/>
  <c r="G19" i="18"/>
  <c r="G20" i="18"/>
  <c r="D14" i="18"/>
  <c r="D15" i="18"/>
  <c r="D16" i="18"/>
  <c r="D17" i="18"/>
  <c r="D18" i="18"/>
  <c r="D19" i="18"/>
  <c r="D20" i="18"/>
  <c r="G14" i="5"/>
  <c r="G15" i="5"/>
  <c r="G16" i="5"/>
  <c r="G17" i="5"/>
  <c r="G18" i="5"/>
  <c r="G19" i="5"/>
  <c r="G20" i="5"/>
  <c r="D14" i="5"/>
  <c r="D50" i="5" s="1"/>
  <c r="D15" i="5"/>
  <c r="D16" i="5"/>
  <c r="D17" i="5"/>
  <c r="D18" i="5"/>
  <c r="D19" i="5"/>
  <c r="D20" i="5"/>
  <c r="G15" i="23"/>
  <c r="G51" i="23" s="1"/>
  <c r="G63" i="23" s="1"/>
  <c r="G16" i="23"/>
  <c r="G52" i="23" s="1"/>
  <c r="G64" i="23" s="1"/>
  <c r="G17" i="23"/>
  <c r="G53" i="23" s="1"/>
  <c r="G65" i="23" s="1"/>
  <c r="G18" i="23"/>
  <c r="G54" i="23" s="1"/>
  <c r="G66" i="23" s="1"/>
  <c r="G19" i="23"/>
  <c r="G55" i="23" s="1"/>
  <c r="G67" i="23" s="1"/>
  <c r="G20" i="23"/>
  <c r="G56" i="23" s="1"/>
  <c r="G68" i="23" s="1"/>
  <c r="G21" i="23"/>
  <c r="G57" i="23" s="1"/>
  <c r="G69" i="23" s="1"/>
  <c r="D18" i="23"/>
  <c r="D19" i="23"/>
  <c r="D20" i="23"/>
  <c r="D21" i="23"/>
  <c r="U23" i="6"/>
  <c r="G70" i="6" l="1"/>
  <c r="AG57" i="6"/>
  <c r="G65" i="6"/>
  <c r="AG58" i="6"/>
  <c r="AG52" i="6"/>
  <c r="G66" i="6"/>
  <c r="G69" i="6"/>
  <c r="G67" i="6"/>
  <c r="AG56" i="6"/>
  <c r="G64" i="6"/>
  <c r="AG55" i="6"/>
  <c r="AG53" i="6"/>
  <c r="G68" i="6"/>
  <c r="AG54" i="6"/>
  <c r="AG23" i="6"/>
  <c r="AG67" i="6" l="1"/>
  <c r="AG64" i="6"/>
  <c r="AG68" i="6"/>
  <c r="AG69" i="6"/>
  <c r="AG66" i="6"/>
  <c r="AG70" i="6"/>
  <c r="AG65" i="6"/>
  <c r="C51" i="18" l="1"/>
  <c r="C64" i="18"/>
  <c r="C53" i="18"/>
  <c r="C54" i="18"/>
  <c r="C55" i="18"/>
  <c r="C56" i="18"/>
  <c r="C62" i="18"/>
  <c r="C63" i="18" l="1"/>
  <c r="C66" i="18"/>
  <c r="C68" i="18"/>
  <c r="C65" i="18"/>
  <c r="C67" i="18"/>
  <c r="C57" i="18"/>
  <c r="C58" i="18"/>
  <c r="C59" i="18"/>
  <c r="C60" i="18"/>
  <c r="C61" i="18"/>
  <c r="C71" i="18" l="1"/>
  <c r="C69" i="18"/>
  <c r="C73" i="18"/>
  <c r="C72" i="18"/>
  <c r="C70" i="18"/>
  <c r="C61" i="5" l="1"/>
  <c r="C73" i="5" s="1"/>
  <c r="C60" i="5" l="1"/>
  <c r="C72" i="5" s="1"/>
  <c r="C59" i="5"/>
  <c r="C71" i="5" s="1"/>
  <c r="C70" i="5" l="1"/>
  <c r="G14" i="23"/>
  <c r="G50" i="23" s="1"/>
  <c r="G62" i="23" l="1"/>
  <c r="C12" i="4" l="1"/>
  <c r="C17" i="4"/>
  <c r="C23" i="4" l="1"/>
  <c r="C22" i="4"/>
  <c r="C20" i="4"/>
  <c r="C30" i="4"/>
  <c r="C18" i="4"/>
  <c r="C15" i="4"/>
  <c r="C21" i="4"/>
  <c r="C14" i="4"/>
  <c r="C19" i="4"/>
  <c r="C32" i="4"/>
  <c r="C24" i="4"/>
  <c r="C35" i="4"/>
  <c r="C34" i="4"/>
  <c r="C27" i="4"/>
  <c r="C33" i="4"/>
  <c r="C29" i="4"/>
  <c r="C26" i="4"/>
  <c r="C13" i="4" l="1"/>
  <c r="C28" i="4"/>
  <c r="C16" i="4"/>
  <c r="C25" i="4" l="1"/>
  <c r="C31" i="4"/>
  <c r="AA16" i="6" l="1"/>
  <c r="AA17" i="6"/>
  <c r="AA18" i="6"/>
  <c r="F19" i="4"/>
  <c r="F20" i="4"/>
  <c r="F21" i="4"/>
  <c r="F22" i="4"/>
  <c r="F23" i="4"/>
  <c r="F24" i="4"/>
  <c r="F25" i="4"/>
  <c r="F29" i="4"/>
  <c r="F30" i="4"/>
  <c r="F31" i="4"/>
  <c r="F32" i="4"/>
  <c r="F33" i="4"/>
  <c r="F34" i="4"/>
  <c r="F35" i="4"/>
  <c r="U21" i="6"/>
  <c r="U22" i="6"/>
  <c r="AG22" i="6" s="1"/>
  <c r="U16" i="6"/>
  <c r="U17" i="6"/>
  <c r="U18" i="6"/>
  <c r="U19" i="6"/>
  <c r="U20" i="6"/>
  <c r="F13" i="4" l="1"/>
  <c r="F17" i="4"/>
  <c r="F12" i="4"/>
  <c r="F18" i="4"/>
  <c r="F16" i="4"/>
  <c r="D17" i="23" l="1"/>
  <c r="G50" i="5" l="1"/>
  <c r="G16" i="6" l="1"/>
  <c r="G17" i="6"/>
  <c r="G18" i="6"/>
  <c r="G19" i="6"/>
  <c r="G20" i="6"/>
  <c r="G21" i="6"/>
  <c r="AG21" i="6" l="1"/>
  <c r="AG18" i="6"/>
  <c r="AG19" i="6"/>
  <c r="AG17" i="6"/>
  <c r="AG16" i="6"/>
  <c r="AG20" i="6"/>
  <c r="M16" i="6"/>
  <c r="AM16" i="6" s="1"/>
  <c r="M17" i="6"/>
  <c r="AM17" i="6" s="1"/>
  <c r="M18" i="6"/>
  <c r="AM18" i="6" s="1"/>
  <c r="M19" i="6"/>
  <c r="AM19" i="6" s="1"/>
  <c r="M20" i="6"/>
  <c r="AM20" i="6" s="1"/>
  <c r="M21" i="6"/>
  <c r="AM21" i="6" s="1"/>
  <c r="C33" i="21" l="1"/>
  <c r="C32" i="21"/>
  <c r="C31" i="21"/>
  <c r="C30" i="21"/>
  <c r="C29" i="21"/>
  <c r="C28" i="21"/>
  <c r="C27" i="21"/>
  <c r="C26" i="21"/>
  <c r="C25" i="21"/>
  <c r="C24" i="21"/>
  <c r="C23" i="21"/>
  <c r="C22" i="21"/>
  <c r="C36" i="15" l="1"/>
  <c r="C35" i="15"/>
  <c r="C34" i="15"/>
  <c r="C33" i="15"/>
  <c r="C32" i="15"/>
  <c r="C31" i="15"/>
  <c r="C30" i="15"/>
  <c r="C29" i="15"/>
  <c r="C28" i="15"/>
  <c r="C27" i="15"/>
  <c r="C25" i="15"/>
  <c r="C26" i="15" l="1"/>
  <c r="C43" i="15" s="1"/>
  <c r="D61" i="18" l="1"/>
  <c r="D61" i="5" l="1"/>
  <c r="D73" i="18"/>
  <c r="E61" i="18"/>
  <c r="E61" i="5" l="1"/>
  <c r="D73" i="5"/>
  <c r="E73" i="18"/>
  <c r="E73" i="5" l="1"/>
  <c r="E33" i="21" l="1"/>
  <c r="D33" i="21" s="1"/>
  <c r="F28" i="4" l="1"/>
  <c r="F14" i="4" l="1"/>
  <c r="F26" i="4"/>
  <c r="E21" i="4"/>
  <c r="E18" i="4"/>
  <c r="E12" i="4"/>
  <c r="E22" i="4" l="1"/>
  <c r="E34" i="4"/>
  <c r="E20" i="4"/>
  <c r="E17" i="4"/>
  <c r="E16" i="4"/>
  <c r="F15" i="4"/>
  <c r="E33" i="4"/>
  <c r="E14" i="4"/>
  <c r="D21" i="4"/>
  <c r="D18" i="4"/>
  <c r="D12" i="4"/>
  <c r="F27" i="4" l="1"/>
  <c r="D22" i="4"/>
  <c r="D17" i="4"/>
  <c r="E29" i="4"/>
  <c r="E28" i="4"/>
  <c r="E32" i="4"/>
  <c r="E30" i="4"/>
  <c r="E24" i="4"/>
  <c r="E27" i="4"/>
  <c r="D20" i="4"/>
  <c r="E25" i="4"/>
  <c r="E13" i="4"/>
  <c r="E23" i="4"/>
  <c r="D14" i="4"/>
  <c r="D34" i="4"/>
  <c r="D16" i="4"/>
  <c r="D33" i="4"/>
  <c r="E15" i="4"/>
  <c r="E19" i="4"/>
  <c r="D32" i="4" l="1"/>
  <c r="D30" i="4"/>
  <c r="E35" i="4"/>
  <c r="D24" i="4"/>
  <c r="E26" i="4"/>
  <c r="D25" i="4"/>
  <c r="D29" i="4"/>
  <c r="D13" i="4"/>
  <c r="D23" i="4"/>
  <c r="D15" i="4"/>
  <c r="D28" i="4"/>
  <c r="D27" i="4"/>
  <c r="E31" i="4"/>
  <c r="D19" i="4"/>
  <c r="E36" i="15" l="1"/>
  <c r="D36" i="15" s="1"/>
  <c r="D35" i="4"/>
  <c r="D26" i="4"/>
  <c r="D31" i="4"/>
  <c r="G62" i="18" l="1"/>
  <c r="H50" i="18"/>
  <c r="H62" i="18" l="1"/>
  <c r="E21" i="21"/>
  <c r="C21" i="21"/>
  <c r="C20" i="21"/>
  <c r="C19" i="21"/>
  <c r="C18" i="21"/>
  <c r="C17" i="21"/>
  <c r="C16" i="21"/>
  <c r="C15" i="21"/>
  <c r="C14" i="21"/>
  <c r="C13" i="21"/>
  <c r="C12" i="21"/>
  <c r="C11" i="21"/>
  <c r="D21" i="21" l="1"/>
  <c r="C23" i="15" l="1"/>
  <c r="C22" i="15"/>
  <c r="C20" i="15"/>
  <c r="C19" i="15"/>
  <c r="C18" i="15"/>
  <c r="C16" i="15"/>
  <c r="C14" i="15"/>
  <c r="E24" i="15" l="1"/>
  <c r="C15" i="15"/>
  <c r="C17" i="15"/>
  <c r="C21" i="15"/>
  <c r="C24" i="15"/>
  <c r="D24" i="15" l="1"/>
  <c r="G51" i="18" l="1"/>
  <c r="G54" i="18"/>
  <c r="G53" i="18"/>
  <c r="G52" i="18"/>
  <c r="D50" i="18"/>
  <c r="D52" i="5"/>
  <c r="D57" i="5"/>
  <c r="D54" i="5"/>
  <c r="D51" i="5"/>
  <c r="D55" i="5"/>
  <c r="D58" i="5"/>
  <c r="D53" i="5"/>
  <c r="D60" i="5"/>
  <c r="D56" i="5"/>
  <c r="D59" i="5"/>
  <c r="D52" i="18"/>
  <c r="E52" i="18" s="1"/>
  <c r="D60" i="18"/>
  <c r="D58" i="18"/>
  <c r="D51" i="18"/>
  <c r="D59" i="18"/>
  <c r="D54" i="18"/>
  <c r="D55" i="18"/>
  <c r="D57" i="18"/>
  <c r="D56" i="18"/>
  <c r="D53" i="18"/>
  <c r="G66" i="18" l="1"/>
  <c r="H54" i="18"/>
  <c r="G65" i="18"/>
  <c r="H53" i="18"/>
  <c r="G63" i="18"/>
  <c r="H51" i="18"/>
  <c r="G64" i="18"/>
  <c r="H52" i="18"/>
  <c r="D62" i="18"/>
  <c r="E50" i="18"/>
  <c r="E56" i="5"/>
  <c r="D68" i="5"/>
  <c r="E55" i="5"/>
  <c r="D67" i="5"/>
  <c r="D69" i="5"/>
  <c r="E57" i="5"/>
  <c r="E53" i="5"/>
  <c r="D65" i="5"/>
  <c r="E54" i="5"/>
  <c r="D66" i="5"/>
  <c r="D62" i="5"/>
  <c r="E50" i="5"/>
  <c r="E60" i="5"/>
  <c r="D72" i="5"/>
  <c r="E59" i="5"/>
  <c r="D71" i="5"/>
  <c r="D70" i="5"/>
  <c r="E58" i="5"/>
  <c r="E51" i="5"/>
  <c r="D63" i="5"/>
  <c r="D64" i="5"/>
  <c r="E52" i="5"/>
  <c r="D63" i="18"/>
  <c r="E51" i="18"/>
  <c r="D68" i="18"/>
  <c r="E56" i="18"/>
  <c r="D72" i="18"/>
  <c r="E60" i="18"/>
  <c r="D69" i="18"/>
  <c r="E57" i="18"/>
  <c r="D70" i="18"/>
  <c r="E58" i="18"/>
  <c r="D66" i="18"/>
  <c r="E54" i="18"/>
  <c r="D67" i="18"/>
  <c r="E55" i="18"/>
  <c r="D65" i="18"/>
  <c r="E53" i="18"/>
  <c r="D71" i="18"/>
  <c r="E59" i="18"/>
  <c r="D64" i="18"/>
  <c r="E15" i="21" l="1"/>
  <c r="D15" i="21" s="1"/>
  <c r="E17" i="21"/>
  <c r="D17" i="21" s="1"/>
  <c r="E14" i="21"/>
  <c r="D14" i="21" s="1"/>
  <c r="E16" i="21"/>
  <c r="E19" i="15" s="1"/>
  <c r="H65" i="18"/>
  <c r="H64" i="18"/>
  <c r="H63" i="18"/>
  <c r="H66" i="18"/>
  <c r="E62" i="18"/>
  <c r="E64" i="5"/>
  <c r="E20" i="21"/>
  <c r="E23" i="15" s="1"/>
  <c r="E63" i="5"/>
  <c r="E67" i="5"/>
  <c r="E66" i="5"/>
  <c r="E70" i="5"/>
  <c r="E72" i="5"/>
  <c r="E69" i="5"/>
  <c r="E62" i="5"/>
  <c r="E12" i="21"/>
  <c r="E68" i="5"/>
  <c r="E19" i="21"/>
  <c r="E22" i="15" s="1"/>
  <c r="E18" i="21"/>
  <c r="D18" i="21" s="1"/>
  <c r="E71" i="5"/>
  <c r="E65" i="5"/>
  <c r="E11" i="21"/>
  <c r="D11" i="21" s="1"/>
  <c r="E69" i="18"/>
  <c r="E64" i="18"/>
  <c r="E68" i="18"/>
  <c r="E13" i="21"/>
  <c r="E70" i="18"/>
  <c r="E67" i="18"/>
  <c r="E72" i="18"/>
  <c r="E66" i="18"/>
  <c r="E71" i="18"/>
  <c r="E65" i="18"/>
  <c r="E63" i="18"/>
  <c r="E20" i="15" l="1"/>
  <c r="D20" i="15" s="1"/>
  <c r="D12" i="21"/>
  <c r="D16" i="21"/>
  <c r="E17" i="15"/>
  <c r="D17" i="15" s="1"/>
  <c r="E26" i="21"/>
  <c r="E29" i="15" s="1"/>
  <c r="E18" i="15"/>
  <c r="D18" i="15" s="1"/>
  <c r="E22" i="21"/>
  <c r="D22" i="21" s="1"/>
  <c r="D20" i="21"/>
  <c r="E30" i="21"/>
  <c r="E33" i="15" s="1"/>
  <c r="E25" i="21"/>
  <c r="D25" i="21" s="1"/>
  <c r="E15" i="15"/>
  <c r="E32" i="21"/>
  <c r="D32" i="21" s="1"/>
  <c r="E24" i="21"/>
  <c r="D24" i="21" s="1"/>
  <c r="E28" i="21"/>
  <c r="E31" i="15" s="1"/>
  <c r="E27" i="21"/>
  <c r="D27" i="21" s="1"/>
  <c r="E21" i="15"/>
  <c r="D21" i="15" s="1"/>
  <c r="E14" i="15"/>
  <c r="D14" i="15" s="1"/>
  <c r="D19" i="21"/>
  <c r="E31" i="21"/>
  <c r="D31" i="21" s="1"/>
  <c r="E29" i="21"/>
  <c r="D29" i="21" s="1"/>
  <c r="E23" i="21"/>
  <c r="D23" i="21" s="1"/>
  <c r="D13" i="21"/>
  <c r="E16" i="15"/>
  <c r="D19" i="15"/>
  <c r="D23" i="15"/>
  <c r="D22" i="15"/>
  <c r="D26" i="21" l="1"/>
  <c r="E25" i="15"/>
  <c r="D15" i="15"/>
  <c r="E27" i="15"/>
  <c r="E28" i="15"/>
  <c r="D30" i="21"/>
  <c r="E35" i="15"/>
  <c r="E34" i="15"/>
  <c r="E26" i="15"/>
  <c r="D28" i="21"/>
  <c r="E32" i="15"/>
  <c r="D32" i="15" s="1"/>
  <c r="E30" i="15"/>
  <c r="D31" i="15"/>
  <c r="D29" i="15"/>
  <c r="D16" i="15"/>
  <c r="D33" i="15"/>
  <c r="D25" i="15" l="1"/>
  <c r="D27" i="15"/>
  <c r="D28" i="15"/>
  <c r="D34" i="15"/>
  <c r="D35" i="15"/>
  <c r="E43" i="15"/>
  <c r="D30" i="15"/>
  <c r="D26" i="15"/>
  <c r="G58" i="18" l="1"/>
  <c r="G70" i="18" l="1"/>
  <c r="H58" i="18"/>
  <c r="G59" i="18"/>
  <c r="G60" i="18"/>
  <c r="G61" i="18"/>
  <c r="G55" i="18"/>
  <c r="G56" i="18"/>
  <c r="G57" i="18"/>
  <c r="G72" i="18" l="1"/>
  <c r="H60" i="18"/>
  <c r="G71" i="18"/>
  <c r="H59" i="18"/>
  <c r="H70" i="18"/>
  <c r="G67" i="18"/>
  <c r="H55" i="18"/>
  <c r="G73" i="18"/>
  <c r="H61" i="18"/>
  <c r="G68" i="18"/>
  <c r="H56" i="18"/>
  <c r="G69" i="18"/>
  <c r="H57" i="18"/>
  <c r="H71" i="18" l="1"/>
  <c r="H72" i="18"/>
  <c r="H68" i="18"/>
  <c r="H73" i="18"/>
  <c r="H67" i="18"/>
  <c r="H69" i="18"/>
  <c r="B43" i="15" l="1"/>
  <c r="C10" i="21" l="1"/>
  <c r="C13" i="15" l="1"/>
  <c r="C42" i="15" s="1"/>
  <c r="E10" i="21"/>
  <c r="D10" i="21" l="1"/>
  <c r="E13" i="15"/>
  <c r="E42" i="15" s="1"/>
  <c r="D13" i="15" l="1"/>
  <c r="D43" i="15" l="1"/>
  <c r="D42" i="15"/>
  <c r="H57" i="23" l="1"/>
  <c r="H68" i="23"/>
  <c r="H60" i="23"/>
  <c r="H54" i="23"/>
  <c r="H67" i="23"/>
  <c r="H69" i="23"/>
  <c r="H63" i="23"/>
  <c r="H65" i="23"/>
  <c r="H73" i="23"/>
  <c r="H53" i="23"/>
  <c r="H66" i="23"/>
  <c r="H56" i="23"/>
  <c r="H70" i="23"/>
  <c r="H61" i="23"/>
  <c r="H58" i="23"/>
  <c r="H55" i="23"/>
  <c r="H72" i="23"/>
  <c r="H59" i="23"/>
  <c r="H62" i="23"/>
  <c r="H52" i="23"/>
  <c r="H71" i="23"/>
  <c r="H51" i="23"/>
  <c r="H50" i="23"/>
  <c r="H64" i="23"/>
  <c r="H58" i="5" l="1"/>
  <c r="H60" i="5"/>
  <c r="F14" i="21"/>
  <c r="F15" i="21"/>
  <c r="F27" i="21"/>
  <c r="F20" i="21"/>
  <c r="R60" i="5" l="1"/>
  <c r="T60" i="5" s="1"/>
  <c r="R58" i="5"/>
  <c r="T58" i="5" s="1"/>
  <c r="H20" i="21"/>
  <c r="G20" i="21" s="1"/>
  <c r="G58" i="5"/>
  <c r="G60" i="5"/>
  <c r="F17" i="21"/>
  <c r="F20" i="15" s="1"/>
  <c r="F29" i="21"/>
  <c r="F32" i="15" s="1"/>
  <c r="F13" i="21"/>
  <c r="F16" i="15" s="1"/>
  <c r="F30" i="21"/>
  <c r="F33" i="15" s="1"/>
  <c r="F26" i="21"/>
  <c r="F29" i="15" s="1"/>
  <c r="F18" i="21"/>
  <c r="F21" i="15" s="1"/>
  <c r="F16" i="21"/>
  <c r="F19" i="15" s="1"/>
  <c r="F19" i="21"/>
  <c r="F22" i="15" s="1"/>
  <c r="F28" i="21"/>
  <c r="F31" i="15" s="1"/>
  <c r="F21" i="21"/>
  <c r="F24" i="15" s="1"/>
  <c r="F32" i="21"/>
  <c r="F35" i="15" s="1"/>
  <c r="F22" i="21"/>
  <c r="F25" i="15" s="1"/>
  <c r="F10" i="21"/>
  <c r="F13" i="15" s="1"/>
  <c r="F31" i="21"/>
  <c r="F34" i="15" s="1"/>
  <c r="H18" i="21"/>
  <c r="H50" i="5"/>
  <c r="F33" i="21"/>
  <c r="F36" i="15" s="1"/>
  <c r="F17" i="15"/>
  <c r="F30" i="15"/>
  <c r="F18" i="15"/>
  <c r="F23" i="15"/>
  <c r="R50" i="5" l="1"/>
  <c r="T50" i="5" s="1"/>
  <c r="G18" i="21"/>
  <c r="G71" i="5"/>
  <c r="H71" i="5"/>
  <c r="G73" i="5"/>
  <c r="H73" i="5"/>
  <c r="R71" i="5" l="1"/>
  <c r="T71" i="5" s="1"/>
  <c r="R73" i="5"/>
  <c r="T73" i="5" s="1"/>
  <c r="H33" i="21"/>
  <c r="G59" i="5"/>
  <c r="H59" i="5"/>
  <c r="H31" i="21"/>
  <c r="G31" i="21" s="1"/>
  <c r="G61" i="5"/>
  <c r="H61" i="5"/>
  <c r="H10" i="21"/>
  <c r="R59" i="5" l="1"/>
  <c r="T59" i="5" s="1"/>
  <c r="R61" i="5"/>
  <c r="T61" i="5" s="1"/>
  <c r="G72" i="5"/>
  <c r="H72" i="5"/>
  <c r="G33" i="21"/>
  <c r="H21" i="21"/>
  <c r="H19" i="21"/>
  <c r="G10" i="21"/>
  <c r="R72" i="5" l="1"/>
  <c r="T72" i="5" s="1"/>
  <c r="G19" i="21"/>
  <c r="H32" i="21"/>
  <c r="G21" i="21"/>
  <c r="G32" i="21" l="1"/>
  <c r="G55" i="5" l="1"/>
  <c r="H55" i="5"/>
  <c r="G57" i="5"/>
  <c r="H57" i="5"/>
  <c r="R55" i="5" l="1"/>
  <c r="T55" i="5" s="1"/>
  <c r="R57" i="5"/>
  <c r="T57" i="5" s="1"/>
  <c r="G56" i="5"/>
  <c r="H56" i="5"/>
  <c r="G68" i="5"/>
  <c r="H68" i="5"/>
  <c r="G54" i="5"/>
  <c r="H54" i="5"/>
  <c r="G70" i="5"/>
  <c r="H70" i="5"/>
  <c r="H15" i="21"/>
  <c r="H17" i="21"/>
  <c r="R70" i="5" l="1"/>
  <c r="T70" i="5" s="1"/>
  <c r="R68" i="5"/>
  <c r="T68" i="5" s="1"/>
  <c r="R54" i="5"/>
  <c r="T54" i="5" s="1"/>
  <c r="R56" i="5"/>
  <c r="T56" i="5" s="1"/>
  <c r="H30" i="21"/>
  <c r="H16" i="21"/>
  <c r="G15" i="21"/>
  <c r="G17" i="21"/>
  <c r="G69" i="5"/>
  <c r="H69" i="5"/>
  <c r="H14" i="21"/>
  <c r="H28" i="21"/>
  <c r="G67" i="5"/>
  <c r="H67" i="5"/>
  <c r="R67" i="5" l="1"/>
  <c r="T67" i="5" s="1"/>
  <c r="R69" i="5"/>
  <c r="T69" i="5" s="1"/>
  <c r="H27" i="21"/>
  <c r="G14" i="21"/>
  <c r="H29" i="21"/>
  <c r="G16" i="21"/>
  <c r="G30" i="21"/>
  <c r="G28" i="21"/>
  <c r="G27" i="21" l="1"/>
  <c r="G53" i="5"/>
  <c r="H53" i="5"/>
  <c r="G29" i="21"/>
  <c r="R53" i="5" l="1"/>
  <c r="T53" i="5" s="1"/>
  <c r="H13" i="21"/>
  <c r="G66" i="5"/>
  <c r="H66" i="5"/>
  <c r="R66" i="5" l="1"/>
  <c r="T66" i="5" s="1"/>
  <c r="G13" i="21"/>
  <c r="H26" i="21"/>
  <c r="G26" i="21" l="1"/>
  <c r="H24" i="15" l="1"/>
  <c r="H16" i="4"/>
  <c r="H15" i="4"/>
  <c r="H17" i="4"/>
  <c r="H14" i="4"/>
  <c r="G26" i="4"/>
  <c r="G22" i="4"/>
  <c r="H23" i="15"/>
  <c r="H12" i="4"/>
  <c r="H17" i="15" l="1"/>
  <c r="G16" i="4"/>
  <c r="G23" i="4"/>
  <c r="G32" i="4"/>
  <c r="H34" i="15"/>
  <c r="G33" i="4"/>
  <c r="H33" i="15"/>
  <c r="G14" i="4"/>
  <c r="H18" i="4"/>
  <c r="H20" i="15"/>
  <c r="G19" i="4"/>
  <c r="G15" i="4"/>
  <c r="H16" i="15"/>
  <c r="H29" i="15"/>
  <c r="G29" i="15" s="1"/>
  <c r="G28" i="4"/>
  <c r="H13" i="4"/>
  <c r="G17" i="4"/>
  <c r="H18" i="15"/>
  <c r="G24" i="15"/>
  <c r="G12" i="4"/>
  <c r="H13" i="15"/>
  <c r="G25" i="4"/>
  <c r="G23" i="15"/>
  <c r="G17" i="15" l="1"/>
  <c r="G34" i="15"/>
  <c r="G33" i="15"/>
  <c r="H35" i="15"/>
  <c r="H21" i="15"/>
  <c r="G21" i="15" s="1"/>
  <c r="G30" i="4"/>
  <c r="G34" i="4"/>
  <c r="G21" i="4"/>
  <c r="G20" i="4"/>
  <c r="G16" i="15"/>
  <c r="G13" i="4"/>
  <c r="H36" i="15"/>
  <c r="G36" i="15" s="1"/>
  <c r="G35" i="4"/>
  <c r="G20" i="15"/>
  <c r="H22" i="15"/>
  <c r="G22" i="15" s="1"/>
  <c r="H19" i="15"/>
  <c r="G18" i="4"/>
  <c r="H31" i="15"/>
  <c r="G18" i="15"/>
  <c r="G24" i="4"/>
  <c r="G13" i="15"/>
  <c r="G29" i="4"/>
  <c r="H30" i="15"/>
  <c r="G35" i="15" l="1"/>
  <c r="G31" i="15"/>
  <c r="G19" i="15"/>
  <c r="G27" i="4"/>
  <c r="G31" i="4"/>
  <c r="H32" i="15"/>
  <c r="G30" i="15"/>
  <c r="G32" i="15" l="1"/>
  <c r="F23" i="21" l="1"/>
  <c r="H52" i="5" l="1"/>
  <c r="F12" i="21"/>
  <c r="F15" i="15" s="1"/>
  <c r="F25" i="21"/>
  <c r="F28" i="15" s="1"/>
  <c r="F24" i="21"/>
  <c r="F27" i="15" s="1"/>
  <c r="F26" i="15"/>
  <c r="R52" i="5" l="1"/>
  <c r="T52" i="5" s="1"/>
  <c r="H12" i="21"/>
  <c r="G12" i="21" s="1"/>
  <c r="G63" i="5"/>
  <c r="G52" i="5"/>
  <c r="H63" i="5"/>
  <c r="F11" i="21"/>
  <c r="F14" i="15" s="1"/>
  <c r="F42" i="15" s="1"/>
  <c r="F43" i="15"/>
  <c r="R63" i="5" l="1"/>
  <c r="T63" i="5" s="1"/>
  <c r="H15" i="15"/>
  <c r="G65" i="5"/>
  <c r="H65" i="5"/>
  <c r="H23" i="21"/>
  <c r="R65" i="5" l="1"/>
  <c r="T65" i="5" s="1"/>
  <c r="G15" i="15"/>
  <c r="H25" i="21"/>
  <c r="H26" i="15"/>
  <c r="G23" i="21"/>
  <c r="H28" i="15" l="1"/>
  <c r="G25" i="21"/>
  <c r="G26" i="15"/>
  <c r="G28" i="15" l="1"/>
  <c r="G51" i="5"/>
  <c r="G62" i="5"/>
  <c r="G64" i="5" l="1"/>
  <c r="H64" i="5"/>
  <c r="R64" i="5" l="1"/>
  <c r="T64" i="5" s="1"/>
  <c r="H62" i="5"/>
  <c r="H51" i="5"/>
  <c r="H24" i="21"/>
  <c r="R51" i="5" l="1"/>
  <c r="R62" i="5"/>
  <c r="T62" i="5" s="1"/>
  <c r="H11" i="21"/>
  <c r="H22" i="21"/>
  <c r="G24" i="21"/>
  <c r="H27" i="15"/>
  <c r="T51" i="5" l="1"/>
  <c r="G11" i="21"/>
  <c r="H14" i="15"/>
  <c r="G27" i="15"/>
  <c r="G22" i="21"/>
  <c r="H25" i="15"/>
  <c r="H42" i="15" l="1"/>
  <c r="G14" i="15"/>
  <c r="G25" i="15"/>
  <c r="H43" i="15"/>
  <c r="G43" i="15" s="1"/>
  <c r="G42" i="15" l="1"/>
</calcChain>
</file>

<file path=xl/sharedStrings.xml><?xml version="1.0" encoding="utf-8"?>
<sst xmlns="http://schemas.openxmlformats.org/spreadsheetml/2006/main" count="522" uniqueCount="64">
  <si>
    <t>MAYO</t>
  </si>
  <si>
    <t>Sales</t>
  </si>
  <si>
    <t>Use</t>
  </si>
  <si>
    <t>Residential</t>
  </si>
  <si>
    <t>Cust</t>
  </si>
  <si>
    <t>Commercial</t>
  </si>
  <si>
    <t>ST Lites</t>
  </si>
  <si>
    <t>SP Lites</t>
  </si>
  <si>
    <t>Total</t>
  </si>
  <si>
    <t>KWh</t>
  </si>
  <si>
    <t>KWh/Cust</t>
  </si>
  <si>
    <t>WAF</t>
  </si>
  <si>
    <t>Faro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</si>
  <si>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</si>
  <si>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</si>
  <si>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</si>
  <si>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</si>
  <si>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</si>
  <si>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</si>
  <si>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</si>
  <si>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</si>
  <si>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</si>
  <si>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</si>
  <si>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</si>
  <si>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</si>
  <si>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Residential Sales</t>
  </si>
  <si>
    <t>JC</t>
  </si>
  <si>
    <t>SUMMARY</t>
  </si>
  <si>
    <t>Braeburn</t>
  </si>
  <si>
    <t>ANNUAL</t>
  </si>
  <si>
    <t>Champagne</t>
  </si>
  <si>
    <t>Growth Factors</t>
  </si>
  <si>
    <t>Ttl Sales &amp; Gen Actual</t>
  </si>
  <si>
    <t>Sls &amp; Gen-Actual</t>
  </si>
  <si>
    <t>Dawson City - On Hydro</t>
  </si>
  <si>
    <t>Mayo Dawson Combined</t>
  </si>
  <si>
    <t>WAF Residential and General Service Customer - Sales Forecast</t>
  </si>
  <si>
    <t>N.Klondike Hwy</t>
  </si>
  <si>
    <t>General Service - Use Per Customer</t>
  </si>
  <si>
    <t>Customers</t>
  </si>
  <si>
    <t>CIS Sales</t>
  </si>
  <si>
    <t>CIS Sls</t>
  </si>
  <si>
    <t>kWh/Cust</t>
  </si>
  <si>
    <t>Combined</t>
  </si>
  <si>
    <t>Residential - Use Per Customer</t>
  </si>
  <si>
    <t>General Service Sales</t>
  </si>
  <si>
    <t>General Service - Customers</t>
  </si>
  <si>
    <t>Residential - Customers</t>
  </si>
  <si>
    <t>kWh</t>
  </si>
  <si>
    <t>Forecast Section - General service</t>
  </si>
  <si>
    <t>BP2017-18</t>
  </si>
  <si>
    <t>BP2017-18 Forecast</t>
  </si>
  <si>
    <t>BP2017-18 Fcst.</t>
  </si>
  <si>
    <t>Yukon Energy Corporation</t>
  </si>
  <si>
    <t>2017 – 2018 General Rate Application</t>
  </si>
  <si>
    <t>CW-YEC-1-13 Attachment 1</t>
  </si>
  <si>
    <t>Annual changes</t>
  </si>
  <si>
    <t>2017F</t>
  </si>
  <si>
    <t>2018F</t>
  </si>
  <si>
    <t>YEC Residential and Commercial 2017 and 2018 Sales Forecast Working papers</t>
  </si>
  <si>
    <t>One Large customer Accts</t>
  </si>
  <si>
    <t>CIS net of large customer</t>
  </si>
  <si>
    <t>Large customer Sls</t>
  </si>
  <si>
    <t>CIS net of Large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</si>
</sst>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_-;\-* #,##0_-;_-* &quot;-&quot;??_-;_-@_-"/>
    <numFmt numFmtId="169" formatCode="#,##0;\(#,##0\)"/>
    <numFmt numFmtId="170" formatCode="_-* #,##0.000_-;\-* #,##0.000_-;_-* &quot;-&quot;??_-;_-@_-"/>
    <numFmt numFmtId="171" formatCode="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17"/>
      <name val="Arial"/>
      <family val="2"/>
    </font>
    <font>
      <b/>
      <sz val="8"/>
      <color indexed="8"/>
      <name val="Arial"/>
      <family val="2"/>
    </font>
    <font>
      <b/>
      <sz val="8"/>
      <color indexed="14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0"/>
      <name val="Helv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2">
    <xf numFmtId="0" fontId="0" fillId="0" borderId="0"/>
    <xf numFmtId="43" fontId="13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6" fillId="0" borderId="0"/>
    <xf numFmtId="0" fontId="11" fillId="0" borderId="0"/>
    <xf numFmtId="166" fontId="11" fillId="0" borderId="0" applyFont="0" applyFill="0" applyBorder="0" applyAlignment="0" applyProtection="0"/>
    <xf numFmtId="0" fontId="13" fillId="0" borderId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27" fillId="0" borderId="0"/>
    <xf numFmtId="43" fontId="13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3" fillId="0" borderId="0"/>
    <xf numFmtId="9" fontId="9" fillId="0" borderId="0" applyFont="0" applyFill="0" applyBorder="0" applyAlignment="0" applyProtection="0"/>
    <xf numFmtId="0" fontId="8" fillId="0" borderId="0"/>
    <xf numFmtId="0" fontId="27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8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8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3" fillId="0" borderId="0"/>
    <xf numFmtId="166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5" xfId="0" applyFont="1" applyFill="1" applyBorder="1"/>
    <xf numFmtId="0" fontId="14" fillId="0" borderId="0" xfId="0" applyFont="1" applyFill="1"/>
    <xf numFmtId="0" fontId="15" fillId="0" borderId="0" xfId="0" quotePrefix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6" xfId="0" applyFont="1" applyFill="1" applyBorder="1"/>
    <xf numFmtId="0" fontId="14" fillId="0" borderId="0" xfId="0" applyFont="1" applyFill="1" applyBorder="1" applyAlignment="1">
      <alignment horizontal="left"/>
    </xf>
    <xf numFmtId="0" fontId="15" fillId="0" borderId="6" xfId="0" quotePrefix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8" fontId="14" fillId="0" borderId="0" xfId="1" applyNumberFormat="1" applyFont="1"/>
    <xf numFmtId="168" fontId="14" fillId="0" borderId="0" xfId="1" applyNumberFormat="1" applyFont="1" applyFill="1"/>
    <xf numFmtId="169" fontId="14" fillId="0" borderId="0" xfId="1" applyNumberFormat="1" applyFont="1" applyFill="1" applyBorder="1"/>
    <xf numFmtId="169" fontId="14" fillId="0" borderId="0" xfId="0" applyNumberFormat="1" applyFont="1" applyFill="1"/>
    <xf numFmtId="0" fontId="20" fillId="0" borderId="9" xfId="0" applyFont="1" applyFill="1" applyBorder="1" applyAlignment="1">
      <alignment horizontal="center"/>
    </xf>
    <xf numFmtId="0" fontId="20" fillId="0" borderId="6" xfId="0" quotePrefix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/>
    <xf numFmtId="168" fontId="14" fillId="0" borderId="0" xfId="0" applyNumberFormat="1" applyFont="1" applyFill="1"/>
    <xf numFmtId="171" fontId="15" fillId="0" borderId="0" xfId="0" applyNumberFormat="1" applyFont="1" applyFill="1"/>
    <xf numFmtId="0" fontId="16" fillId="0" borderId="5" xfId="0" applyFont="1" applyFill="1" applyBorder="1" applyAlignment="1">
      <alignment horizontal="center"/>
    </xf>
    <xf numFmtId="0" fontId="16" fillId="0" borderId="0" xfId="0" quotePrefix="1" applyFont="1" applyFill="1" applyBorder="1" applyAlignment="1">
      <alignment horizontal="center"/>
    </xf>
    <xf numFmtId="0" fontId="16" fillId="0" borderId="8" xfId="0" quotePrefix="1" applyFont="1" applyFill="1" applyBorder="1" applyAlignment="1">
      <alignment horizontal="center"/>
    </xf>
    <xf numFmtId="0" fontId="15" fillId="0" borderId="8" xfId="0" quotePrefix="1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4" xfId="0" quotePrefix="1" applyFont="1" applyFill="1" applyBorder="1" applyAlignment="1">
      <alignment horizontal="center"/>
    </xf>
    <xf numFmtId="168" fontId="14" fillId="0" borderId="0" xfId="1" applyNumberFormat="1" applyFont="1" applyFill="1" applyBorder="1"/>
    <xf numFmtId="0" fontId="15" fillId="0" borderId="2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4" fillId="0" borderId="4" xfId="0" applyFont="1" applyFill="1" applyBorder="1"/>
    <xf numFmtId="0" fontId="14" fillId="0" borderId="2" xfId="0" applyFont="1" applyFill="1" applyBorder="1"/>
    <xf numFmtId="37" fontId="14" fillId="0" borderId="0" xfId="1" applyNumberFormat="1" applyFont="1" applyFill="1"/>
    <xf numFmtId="0" fontId="20" fillId="0" borderId="14" xfId="0" applyFont="1" applyFill="1" applyBorder="1" applyAlignment="1">
      <alignment horizontal="left"/>
    </xf>
    <xf numFmtId="167" fontId="15" fillId="0" borderId="0" xfId="0" applyNumberFormat="1" applyFont="1" applyFill="1"/>
    <xf numFmtId="0" fontId="15" fillId="0" borderId="2" xfId="0" applyFont="1" applyFill="1" applyBorder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3" xfId="0" quotePrefix="1" applyFont="1" applyFill="1" applyBorder="1" applyAlignment="1">
      <alignment horizontal="center"/>
    </xf>
    <xf numFmtId="0" fontId="20" fillId="0" borderId="9" xfId="0" applyFont="1" applyFill="1" applyBorder="1" applyAlignment="1">
      <alignment horizontal="left"/>
    </xf>
    <xf numFmtId="0" fontId="23" fillId="0" borderId="0" xfId="0" applyFont="1" applyFill="1"/>
    <xf numFmtId="169" fontId="23" fillId="0" borderId="0" xfId="0" applyNumberFormat="1" applyFont="1" applyFill="1" applyBorder="1"/>
    <xf numFmtId="0" fontId="15" fillId="0" borderId="11" xfId="0" applyFont="1" applyFill="1" applyBorder="1" applyAlignment="1">
      <alignment horizontal="left"/>
    </xf>
    <xf numFmtId="169" fontId="23" fillId="0" borderId="11" xfId="1" applyNumberFormat="1" applyFont="1" applyFill="1" applyBorder="1"/>
    <xf numFmtId="168" fontId="23" fillId="0" borderId="11" xfId="1" applyNumberFormat="1" applyFont="1" applyFill="1" applyBorder="1"/>
    <xf numFmtId="169" fontId="23" fillId="0" borderId="2" xfId="0" applyNumberFormat="1" applyFont="1" applyFill="1" applyBorder="1"/>
    <xf numFmtId="0" fontId="14" fillId="0" borderId="7" xfId="0" applyFont="1" applyFill="1" applyBorder="1"/>
    <xf numFmtId="37" fontId="23" fillId="0" borderId="0" xfId="1" applyNumberFormat="1" applyFont="1" applyFill="1"/>
    <xf numFmtId="0" fontId="18" fillId="0" borderId="14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8" fillId="0" borderId="9" xfId="0" applyFont="1" applyFill="1" applyBorder="1" applyAlignment="1">
      <alignment horizontal="left"/>
    </xf>
    <xf numFmtId="0" fontId="14" fillId="0" borderId="0" xfId="0" applyFont="1" applyFill="1" applyAlignment="1">
      <alignment horizontal="center" wrapText="1"/>
    </xf>
    <xf numFmtId="0" fontId="15" fillId="0" borderId="0" xfId="0" quotePrefix="1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37" fontId="14" fillId="0" borderId="0" xfId="1" applyNumberFormat="1" applyFont="1" applyFill="1" applyAlignment="1">
      <alignment horizontal="center" wrapText="1"/>
    </xf>
    <xf numFmtId="0" fontId="14" fillId="0" borderId="0" xfId="0" applyFont="1" applyAlignment="1"/>
    <xf numFmtId="168" fontId="22" fillId="0" borderId="0" xfId="1" applyNumberFormat="1" applyFont="1" applyFill="1"/>
    <xf numFmtId="168" fontId="22" fillId="0" borderId="0" xfId="1" applyNumberFormat="1" applyFont="1" applyFill="1" applyBorder="1"/>
    <xf numFmtId="37" fontId="22" fillId="0" borderId="0" xfId="1" applyNumberFormat="1" applyFont="1" applyFill="1"/>
    <xf numFmtId="169" fontId="22" fillId="0" borderId="0" xfId="1" applyNumberFormat="1" applyFont="1" applyFill="1" applyBorder="1"/>
    <xf numFmtId="169" fontId="22" fillId="0" borderId="0" xfId="0" applyNumberFormat="1" applyFont="1" applyFill="1"/>
    <xf numFmtId="168" fontId="25" fillId="0" borderId="0" xfId="1" applyNumberFormat="1" applyFont="1" applyFill="1"/>
    <xf numFmtId="37" fontId="25" fillId="0" borderId="0" xfId="1" applyNumberFormat="1" applyFont="1" applyFill="1"/>
    <xf numFmtId="169" fontId="25" fillId="0" borderId="0" xfId="0" applyNumberFormat="1" applyFont="1" applyFill="1"/>
    <xf numFmtId="168" fontId="25" fillId="0" borderId="0" xfId="1" applyNumberFormat="1" applyFont="1" applyFill="1" applyBorder="1"/>
    <xf numFmtId="168" fontId="19" fillId="0" borderId="0" xfId="1" applyNumberFormat="1" applyFont="1" applyFill="1" applyAlignment="1"/>
    <xf numFmtId="168" fontId="14" fillId="0" borderId="0" xfId="1" applyNumberFormat="1" applyFont="1" applyFill="1" applyAlignment="1"/>
    <xf numFmtId="164" fontId="14" fillId="0" borderId="0" xfId="1" applyNumberFormat="1" applyFont="1" applyFill="1"/>
    <xf numFmtId="164" fontId="25" fillId="0" borderId="0" xfId="1" applyNumberFormat="1" applyFont="1" applyFill="1"/>
    <xf numFmtId="168" fontId="14" fillId="0" borderId="0" xfId="14" applyNumberFormat="1" applyFont="1" applyFill="1"/>
    <xf numFmtId="169" fontId="14" fillId="0" borderId="0" xfId="14" applyNumberFormat="1" applyFont="1" applyFill="1" applyBorder="1"/>
    <xf numFmtId="168" fontId="25" fillId="0" borderId="0" xfId="14" applyNumberFormat="1" applyFont="1" applyFill="1"/>
    <xf numFmtId="170" fontId="15" fillId="0" borderId="0" xfId="1" applyNumberFormat="1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4" fillId="0" borderId="0" xfId="0" applyFont="1" applyFill="1"/>
    <xf numFmtId="0" fontId="16" fillId="0" borderId="0" xfId="0" applyFont="1" applyFill="1"/>
    <xf numFmtId="0" fontId="15" fillId="0" borderId="0" xfId="0" quotePrefix="1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5" fillId="0" borderId="0" xfId="0" quotePrefix="1" applyFont="1" applyFill="1" applyAlignment="1"/>
    <xf numFmtId="0" fontId="15" fillId="0" borderId="0" xfId="0" quotePrefix="1" applyFont="1" applyFill="1" applyAlignment="1">
      <alignment horizontal="left"/>
    </xf>
    <xf numFmtId="0" fontId="15" fillId="0" borderId="0" xfId="0" applyFont="1" applyFill="1" applyAlignment="1">
      <alignment horizontal="center"/>
    </xf>
    <xf numFmtId="168" fontId="15" fillId="0" borderId="0" xfId="1" quotePrefix="1" applyNumberFormat="1" applyFont="1" applyFill="1" applyAlignment="1">
      <alignment horizontal="center"/>
    </xf>
    <xf numFmtId="14" fontId="21" fillId="0" borderId="0" xfId="0" applyNumberFormat="1" applyFont="1" applyFill="1"/>
    <xf numFmtId="168" fontId="15" fillId="0" borderId="0" xfId="1" applyNumberFormat="1" applyFont="1" applyFill="1" applyAlignment="1">
      <alignment horizontal="center"/>
    </xf>
    <xf numFmtId="17" fontId="14" fillId="0" borderId="0" xfId="0" applyNumberFormat="1" applyFont="1" applyFill="1"/>
    <xf numFmtId="168" fontId="22" fillId="0" borderId="0" xfId="14" applyNumberFormat="1" applyFont="1" applyFill="1"/>
    <xf numFmtId="0" fontId="14" fillId="0" borderId="0" xfId="0" applyFont="1" applyFill="1" applyAlignment="1"/>
    <xf numFmtId="17" fontId="14" fillId="0" borderId="0" xfId="0" applyNumberFormat="1" applyFont="1" applyFill="1" applyAlignment="1"/>
    <xf numFmtId="0" fontId="20" fillId="0" borderId="9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17" fillId="0" borderId="0" xfId="0" applyFont="1" applyFill="1"/>
    <xf numFmtId="0" fontId="16" fillId="0" borderId="9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7" fontId="16" fillId="0" borderId="6" xfId="0" quotePrefix="1" applyNumberFormat="1" applyFont="1" applyFill="1" applyBorder="1" applyAlignment="1">
      <alignment horizontal="center"/>
    </xf>
    <xf numFmtId="17" fontId="16" fillId="0" borderId="2" xfId="0" quotePrefix="1" applyNumberFormat="1" applyFont="1" applyFill="1" applyBorder="1" applyAlignment="1">
      <alignment horizontal="center"/>
    </xf>
    <xf numFmtId="0" fontId="15" fillId="0" borderId="14" xfId="0" applyFont="1" applyFill="1" applyBorder="1"/>
    <xf numFmtId="17" fontId="15" fillId="0" borderId="3" xfId="0" applyNumberFormat="1" applyFont="1" applyFill="1" applyBorder="1"/>
    <xf numFmtId="0" fontId="14" fillId="0" borderId="1" xfId="0" applyFont="1" applyFill="1" applyBorder="1"/>
    <xf numFmtId="0" fontId="16" fillId="0" borderId="6" xfId="0" quotePrefix="1" applyFont="1" applyFill="1" applyBorder="1" applyAlignment="1">
      <alignment horizontal="center"/>
    </xf>
    <xf numFmtId="0" fontId="16" fillId="0" borderId="2" xfId="0" quotePrefix="1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3" xfId="0" applyFont="1" applyFill="1" applyBorder="1"/>
    <xf numFmtId="0" fontId="14" fillId="0" borderId="13" xfId="0" applyFont="1" applyFill="1" applyBorder="1"/>
    <xf numFmtId="0" fontId="14" fillId="0" borderId="12" xfId="0" applyFont="1" applyFill="1" applyBorder="1"/>
    <xf numFmtId="0" fontId="14" fillId="0" borderId="11" xfId="0" applyFont="1" applyFill="1" applyBorder="1"/>
    <xf numFmtId="0" fontId="16" fillId="0" borderId="0" xfId="0" applyFont="1" applyFill="1" applyBorder="1" applyAlignment="1">
      <alignment horizontal="center"/>
    </xf>
    <xf numFmtId="168" fontId="16" fillId="0" borderId="4" xfId="0" applyNumberFormat="1" applyFont="1" applyFill="1" applyBorder="1"/>
    <xf numFmtId="168" fontId="16" fillId="0" borderId="0" xfId="1" applyNumberFormat="1" applyFont="1" applyFill="1" applyBorder="1"/>
    <xf numFmtId="168" fontId="16" fillId="0" borderId="2" xfId="0" applyNumberFormat="1" applyFont="1" applyFill="1" applyBorder="1"/>
    <xf numFmtId="0" fontId="13" fillId="0" borderId="0" xfId="0" applyFont="1" applyFill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right"/>
    </xf>
    <xf numFmtId="0" fontId="14" fillId="0" borderId="16" xfId="0" applyFont="1" applyFill="1" applyBorder="1"/>
    <xf numFmtId="0" fontId="14" fillId="0" borderId="17" xfId="0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8" xfId="0" quotePrefix="1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right"/>
    </xf>
    <xf numFmtId="168" fontId="22" fillId="0" borderId="17" xfId="1" applyNumberFormat="1" applyFont="1" applyFill="1" applyBorder="1" applyAlignment="1">
      <alignment horizontal="right"/>
    </xf>
    <xf numFmtId="0" fontId="14" fillId="0" borderId="19" xfId="0" applyFont="1" applyFill="1" applyBorder="1"/>
    <xf numFmtId="1" fontId="25" fillId="0" borderId="0" xfId="0" applyNumberFormat="1" applyFont="1" applyFill="1" applyBorder="1" applyAlignment="1">
      <alignment horizontal="right"/>
    </xf>
    <xf numFmtId="168" fontId="25" fillId="0" borderId="17" xfId="1" applyNumberFormat="1" applyFont="1" applyFill="1" applyBorder="1"/>
    <xf numFmtId="0" fontId="15" fillId="0" borderId="12" xfId="0" applyFont="1" applyFill="1" applyBorder="1" applyAlignment="1">
      <alignment horizontal="left"/>
    </xf>
    <xf numFmtId="1" fontId="25" fillId="0" borderId="11" xfId="0" applyNumberFormat="1" applyFont="1" applyFill="1" applyBorder="1" applyAlignment="1">
      <alignment horizontal="right"/>
    </xf>
    <xf numFmtId="168" fontId="22" fillId="0" borderId="11" xfId="1" applyNumberFormat="1" applyFont="1" applyFill="1" applyBorder="1"/>
    <xf numFmtId="168" fontId="25" fillId="0" borderId="11" xfId="1" applyNumberFormat="1" applyFont="1" applyFill="1" applyBorder="1"/>
    <xf numFmtId="168" fontId="25" fillId="0" borderId="19" xfId="1" applyNumberFormat="1" applyFont="1" applyFill="1" applyBorder="1"/>
    <xf numFmtId="0" fontId="15" fillId="0" borderId="17" xfId="0" quotePrefix="1" applyFont="1" applyFill="1" applyBorder="1" applyAlignment="1">
      <alignment horizontal="center"/>
    </xf>
    <xf numFmtId="169" fontId="23" fillId="0" borderId="17" xfId="0" applyNumberFormat="1" applyFont="1" applyFill="1" applyBorder="1"/>
    <xf numFmtId="0" fontId="15" fillId="0" borderId="13" xfId="0" applyFont="1" applyFill="1" applyBorder="1" applyAlignment="1">
      <alignment horizontal="center"/>
    </xf>
    <xf numFmtId="169" fontId="23" fillId="0" borderId="11" xfId="0" applyNumberFormat="1" applyFont="1" applyFill="1" applyBorder="1"/>
    <xf numFmtId="169" fontId="23" fillId="0" borderId="12" xfId="0" applyNumberFormat="1" applyFont="1" applyFill="1" applyBorder="1"/>
    <xf numFmtId="169" fontId="23" fillId="0" borderId="19" xfId="0" applyNumberFormat="1" applyFont="1" applyFill="1" applyBorder="1"/>
    <xf numFmtId="169" fontId="14" fillId="0" borderId="17" xfId="1" applyNumberFormat="1" applyFont="1" applyFill="1" applyBorder="1"/>
    <xf numFmtId="169" fontId="14" fillId="0" borderId="17" xfId="14" applyNumberFormat="1" applyFont="1" applyFill="1" applyBorder="1"/>
    <xf numFmtId="169" fontId="23" fillId="0" borderId="17" xfId="1" applyNumberFormat="1" applyFont="1" applyFill="1" applyBorder="1"/>
    <xf numFmtId="169" fontId="22" fillId="0" borderId="11" xfId="1" applyNumberFormat="1" applyFont="1" applyFill="1" applyBorder="1"/>
    <xf numFmtId="169" fontId="23" fillId="0" borderId="19" xfId="1" applyNumberFormat="1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17" xfId="0" quotePrefix="1" applyFont="1" applyFill="1" applyBorder="1" applyAlignment="1">
      <alignment horizontal="center" wrapText="1"/>
    </xf>
    <xf numFmtId="168" fontId="14" fillId="0" borderId="17" xfId="1" applyNumberFormat="1" applyFont="1" applyFill="1" applyBorder="1"/>
    <xf numFmtId="168" fontId="14" fillId="0" borderId="0" xfId="14" applyNumberFormat="1" applyFont="1" applyFill="1" applyBorder="1"/>
    <xf numFmtId="168" fontId="14" fillId="0" borderId="17" xfId="14" applyNumberFormat="1" applyFont="1" applyFill="1" applyBorder="1"/>
    <xf numFmtId="168" fontId="25" fillId="0" borderId="0" xfId="14" applyNumberFormat="1" applyFont="1" applyFill="1" applyBorder="1"/>
    <xf numFmtId="168" fontId="25" fillId="0" borderId="17" xfId="14" applyNumberFormat="1" applyFont="1" applyFill="1" applyBorder="1"/>
    <xf numFmtId="168" fontId="23" fillId="0" borderId="19" xfId="1" applyNumberFormat="1" applyFont="1" applyFill="1" applyBorder="1"/>
    <xf numFmtId="37" fontId="14" fillId="0" borderId="0" xfId="0" applyNumberFormat="1" applyFont="1" applyFill="1" applyBorder="1"/>
    <xf numFmtId="37" fontId="14" fillId="0" borderId="0" xfId="15" applyNumberFormat="1" applyFont="1" applyFill="1" applyBorder="1"/>
    <xf numFmtId="37" fontId="22" fillId="0" borderId="0" xfId="0" applyNumberFormat="1" applyFont="1" applyFill="1" applyBorder="1"/>
    <xf numFmtId="169" fontId="22" fillId="0" borderId="17" xfId="1" applyNumberFormat="1" applyFont="1" applyFill="1" applyBorder="1"/>
    <xf numFmtId="37" fontId="22" fillId="0" borderId="11" xfId="0" applyNumberFormat="1" applyFont="1" applyFill="1" applyBorder="1"/>
    <xf numFmtId="169" fontId="22" fillId="0" borderId="19" xfId="1" applyNumberFormat="1" applyFont="1" applyFill="1" applyBorder="1"/>
  </cellXfs>
  <cellStyles count="222">
    <cellStyle name="Comma" xfId="1" builtinId="3"/>
    <cellStyle name="Comma 10" xfId="14"/>
    <cellStyle name="Comma 11" xfId="76"/>
    <cellStyle name="Comma 11 2" xfId="220"/>
    <cellStyle name="Comma 12" xfId="13"/>
    <cellStyle name="Comma 13" xfId="31"/>
    <cellStyle name="Comma 14" xfId="117"/>
    <cellStyle name="Comma 14 2" xfId="210"/>
    <cellStyle name="Comma 15" xfId="119"/>
    <cellStyle name="Comma 15 2" xfId="212"/>
    <cellStyle name="Comma 15 3" xfId="125"/>
    <cellStyle name="Comma 16" xfId="121"/>
    <cellStyle name="Comma 16 2" xfId="214"/>
    <cellStyle name="Comma 17" xfId="216"/>
    <cellStyle name="Comma 18" xfId="218"/>
    <cellStyle name="Comma 2" xfId="4"/>
    <cellStyle name="Comma 2 2" xfId="59"/>
    <cellStyle name="Comma 2 3" xfId="72"/>
    <cellStyle name="Comma 2 3 2" xfId="109"/>
    <cellStyle name="Comma 2 3 2 2" xfId="204"/>
    <cellStyle name="Comma 2 3 3" xfId="171"/>
    <cellStyle name="Comma 2 4" xfId="65"/>
    <cellStyle name="Comma 2 5" xfId="52"/>
    <cellStyle name="Comma 2 5 2" xfId="95"/>
    <cellStyle name="Comma 2 5 2 2" xfId="190"/>
    <cellStyle name="Comma 2 5 3" xfId="157"/>
    <cellStyle name="Comma 3" xfId="11"/>
    <cellStyle name="Comma 3 2" xfId="73"/>
    <cellStyle name="Comma 3 2 2" xfId="110"/>
    <cellStyle name="Comma 3 2 2 2" xfId="205"/>
    <cellStyle name="Comma 3 2 3" xfId="172"/>
    <cellStyle name="Comma 3 3" xfId="21"/>
    <cellStyle name="Comma 3 3 2" xfId="105"/>
    <cellStyle name="Comma 3 3 2 2" xfId="200"/>
    <cellStyle name="Comma 3 3 3" xfId="68"/>
    <cellStyle name="Comma 3 3 3 2" xfId="167"/>
    <cellStyle name="Comma 3 3 4" xfId="132"/>
    <cellStyle name="Comma 3 4" xfId="54"/>
    <cellStyle name="Comma 3 4 2" xfId="97"/>
    <cellStyle name="Comma 3 4 2 2" xfId="192"/>
    <cellStyle name="Comma 3 4 3" xfId="159"/>
    <cellStyle name="Comma 3 5" xfId="42"/>
    <cellStyle name="Comma 3 5 2" xfId="85"/>
    <cellStyle name="Comma 3 5 2 2" xfId="180"/>
    <cellStyle name="Comma 3 5 3" xfId="147"/>
    <cellStyle name="Comma 3 6" xfId="81"/>
    <cellStyle name="Comma 3 6 2" xfId="176"/>
    <cellStyle name="Comma 3 7" xfId="36"/>
    <cellStyle name="Comma 3 7 2" xfId="143"/>
    <cellStyle name="Comma 3 8" xfId="130"/>
    <cellStyle name="Comma 4" xfId="19"/>
    <cellStyle name="Comma 4 2" xfId="99"/>
    <cellStyle name="Comma 4 2 2" xfId="194"/>
    <cellStyle name="Comma 4 3" xfId="114"/>
    <cellStyle name="Comma 4 4" xfId="56"/>
    <cellStyle name="Comma 4 4 2" xfId="161"/>
    <cellStyle name="Comma 5" xfId="26"/>
    <cellStyle name="Comma 5 2" xfId="101"/>
    <cellStyle name="Comma 5 2 2" xfId="196"/>
    <cellStyle name="Comma 5 3" xfId="113"/>
    <cellStyle name="Comma 5 3 2" xfId="207"/>
    <cellStyle name="Comma 5 4" xfId="58"/>
    <cellStyle name="Comma 5 4 2" xfId="163"/>
    <cellStyle name="Comma 5 5" xfId="137"/>
    <cellStyle name="Comma 6" xfId="50"/>
    <cellStyle name="Comma 6 2" xfId="93"/>
    <cellStyle name="Comma 6 2 2" xfId="188"/>
    <cellStyle name="Comma 6 3" xfId="155"/>
    <cellStyle name="Comma 7" xfId="70"/>
    <cellStyle name="Comma 7 2" xfId="107"/>
    <cellStyle name="Comma 7 2 2" xfId="202"/>
    <cellStyle name="Comma 7 3" xfId="169"/>
    <cellStyle name="Comma 8" xfId="62"/>
    <cellStyle name="Comma 9" xfId="24"/>
    <cellStyle name="Comma 9 2" xfId="87"/>
    <cellStyle name="Comma 9 2 2" xfId="182"/>
    <cellStyle name="Comma 9 3" xfId="44"/>
    <cellStyle name="Comma 9 3 2" xfId="149"/>
    <cellStyle name="Comma 9 4" xfId="135"/>
    <cellStyle name="Currency 10" xfId="17"/>
    <cellStyle name="Currency 11" xfId="38"/>
    <cellStyle name="Currency 12" xfId="77"/>
    <cellStyle name="Currency 13" xfId="32"/>
    <cellStyle name="Currency 14" xfId="126"/>
    <cellStyle name="Currency 2" xfId="5"/>
    <cellStyle name="Currency 2 2" xfId="71"/>
    <cellStyle name="Currency 2 2 2" xfId="108"/>
    <cellStyle name="Currency 2 2 2 2" xfId="203"/>
    <cellStyle name="Currency 2 2 3" xfId="170"/>
    <cellStyle name="Currency 2 3" xfId="66"/>
    <cellStyle name="Currency 2 4" xfId="47"/>
    <cellStyle name="Currency 2 4 2" xfId="90"/>
    <cellStyle name="Currency 2 4 2 2" xfId="185"/>
    <cellStyle name="Currency 2 4 3" xfId="152"/>
    <cellStyle name="Currency 3" xfId="49"/>
    <cellStyle name="Currency 3 2" xfId="92"/>
    <cellStyle name="Currency 3 2 2" xfId="187"/>
    <cellStyle name="Currency 3 3" xfId="154"/>
    <cellStyle name="Currency 4" xfId="48"/>
    <cellStyle name="Currency 4 2" xfId="91"/>
    <cellStyle name="Currency 4 2 2" xfId="186"/>
    <cellStyle name="Currency 4 3" xfId="153"/>
    <cellStyle name="Currency 5" xfId="51"/>
    <cellStyle name="Currency 5 2" xfId="94"/>
    <cellStyle name="Currency 5 2 2" xfId="189"/>
    <cellStyle name="Currency 5 3" xfId="156"/>
    <cellStyle name="Currency 6" xfId="53"/>
    <cellStyle name="Currency 6 2" xfId="96"/>
    <cellStyle name="Currency 6 2 2" xfId="191"/>
    <cellStyle name="Currency 6 3" xfId="158"/>
    <cellStyle name="Currency 7" xfId="55"/>
    <cellStyle name="Currency 7 2" xfId="98"/>
    <cellStyle name="Currency 7 2 2" xfId="193"/>
    <cellStyle name="Currency 7 3" xfId="160"/>
    <cellStyle name="Currency 8" xfId="57"/>
    <cellStyle name="Currency 8 2" xfId="100"/>
    <cellStyle name="Currency 8 2 2" xfId="195"/>
    <cellStyle name="Currency 8 3" xfId="162"/>
    <cellStyle name="Currency 9" xfId="46"/>
    <cellStyle name="Currency 9 2" xfId="89"/>
    <cellStyle name="Currency 9 2 2" xfId="184"/>
    <cellStyle name="Currency 9 3" xfId="151"/>
    <cellStyle name="Normal" xfId="0" builtinId="0"/>
    <cellStyle name="Normal 10" xfId="25"/>
    <cellStyle name="Normal 10 2" xfId="15"/>
    <cellStyle name="Normal 10 3" xfId="111"/>
    <cellStyle name="Normal 10 3 2" xfId="206"/>
    <cellStyle name="Normal 10 4" xfId="136"/>
    <cellStyle name="Normal 11" xfId="37"/>
    <cellStyle name="Normal 11 2" xfId="82"/>
    <cellStyle name="Normal 11 2 2" xfId="177"/>
    <cellStyle name="Normal 11 3" xfId="144"/>
    <cellStyle name="Normal 12" xfId="16"/>
    <cellStyle name="Normal 12 2" xfId="219"/>
    <cellStyle name="Normal 13" xfId="75"/>
    <cellStyle name="Normal 13 2" xfId="173"/>
    <cellStyle name="Normal 14" xfId="30"/>
    <cellStyle name="Normal 14 2" xfId="140"/>
    <cellStyle name="Normal 15" xfId="29"/>
    <cellStyle name="Normal 15 2" xfId="139"/>
    <cellStyle name="Normal 16" xfId="12"/>
    <cellStyle name="Normal 16 3" xfId="27"/>
    <cellStyle name="Normal 17" xfId="116"/>
    <cellStyle name="Normal 17 2" xfId="209"/>
    <cellStyle name="Normal 18" xfId="118"/>
    <cellStyle name="Normal 18 2" xfId="211"/>
    <cellStyle name="Normal 18 3" xfId="124"/>
    <cellStyle name="Normal 19" xfId="120"/>
    <cellStyle name="Normal 19 2" xfId="213"/>
    <cellStyle name="Normal 2" xfId="3"/>
    <cellStyle name="Normal 2 2" xfId="20"/>
    <cellStyle name="Normal 2 2 2" xfId="102"/>
    <cellStyle name="Normal 2 2 2 2" xfId="197"/>
    <cellStyle name="Normal 2 2 3" xfId="60"/>
    <cellStyle name="Normal 2 2 3 2" xfId="164"/>
    <cellStyle name="Normal 2 2 4" xfId="131"/>
    <cellStyle name="Normal 20" xfId="122"/>
    <cellStyle name="Normal 21" xfId="215"/>
    <cellStyle name="Normal 22" xfId="217"/>
    <cellStyle name="Normal 3" xfId="2"/>
    <cellStyle name="Normal 3 2" xfId="74"/>
    <cellStyle name="Normal 3 3" xfId="64"/>
    <cellStyle name="Normal 3 3 2" xfId="103"/>
    <cellStyle name="Normal 3 3 2 2" xfId="198"/>
    <cellStyle name="Normal 3 3 3" xfId="165"/>
    <cellStyle name="Normal 3 4" xfId="61"/>
    <cellStyle name="Normal 3 5" xfId="40"/>
    <cellStyle name="Normal 3 5 2" xfId="83"/>
    <cellStyle name="Normal 3 5 2 2" xfId="178"/>
    <cellStyle name="Normal 3 5 3" xfId="145"/>
    <cellStyle name="Normal 3 6" xfId="79"/>
    <cellStyle name="Normal 3 6 2" xfId="174"/>
    <cellStyle name="Normal 3 7" xfId="34"/>
    <cellStyle name="Normal 3 7 2" xfId="141"/>
    <cellStyle name="Normal 3 8" xfId="128"/>
    <cellStyle name="Normal 4" xfId="7"/>
    <cellStyle name="Normal 5" xfId="8"/>
    <cellStyle name="Normal 6" xfId="9"/>
    <cellStyle name="Normal 7" xfId="10"/>
    <cellStyle name="Normal 7 2" xfId="67"/>
    <cellStyle name="Normal 7 2 2" xfId="104"/>
    <cellStyle name="Normal 7 2 2 2" xfId="199"/>
    <cellStyle name="Normal 7 2 3" xfId="166"/>
    <cellStyle name="Normal 7 3" xfId="41"/>
    <cellStyle name="Normal 7 3 2" xfId="84"/>
    <cellStyle name="Normal 7 3 2 2" xfId="179"/>
    <cellStyle name="Normal 7 3 3" xfId="146"/>
    <cellStyle name="Normal 7 4" xfId="80"/>
    <cellStyle name="Normal 7 4 2" xfId="175"/>
    <cellStyle name="Normal 7 5" xfId="35"/>
    <cellStyle name="Normal 7 5 2" xfId="142"/>
    <cellStyle name="Normal 7 6" xfId="129"/>
    <cellStyle name="Normal 8" xfId="18"/>
    <cellStyle name="Normal 8 2" xfId="106"/>
    <cellStyle name="Normal 8 2 2" xfId="201"/>
    <cellStyle name="Normal 8 3" xfId="112"/>
    <cellStyle name="Normal 8 4" xfId="69"/>
    <cellStyle name="Normal 8 4 2" xfId="168"/>
    <cellStyle name="Normal 9" xfId="23"/>
    <cellStyle name="Normal 9 2" xfId="86"/>
    <cellStyle name="Normal 9 2 2" xfId="181"/>
    <cellStyle name="Normal 9 3" xfId="43"/>
    <cellStyle name="Normal 9 3 2" xfId="148"/>
    <cellStyle name="Normal 9 4" xfId="134"/>
    <cellStyle name="Percent 12" xfId="221"/>
    <cellStyle name="Percent 2" xfId="6"/>
    <cellStyle name="Percent 3" xfId="28"/>
    <cellStyle name="Percent 3 2" xfId="115"/>
    <cellStyle name="Percent 3 2 2" xfId="208"/>
    <cellStyle name="Percent 3 3" xfId="63"/>
    <cellStyle name="Percent 3 4" xfId="138"/>
    <cellStyle name="Percent 4" xfId="22"/>
    <cellStyle name="Percent 4 2" xfId="88"/>
    <cellStyle name="Percent 4 2 2" xfId="183"/>
    <cellStyle name="Percent 4 3" xfId="45"/>
    <cellStyle name="Percent 4 3 2" xfId="150"/>
    <cellStyle name="Percent 4 4" xfId="133"/>
    <cellStyle name="Percent 5" xfId="39"/>
    <cellStyle name="Percent 6" xfId="78"/>
    <cellStyle name="Percent 7" xfId="33"/>
    <cellStyle name="Percent 8" xfId="127"/>
    <cellStyle name="Percent 9" xfId="123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GTA-98\Phase%20II%20Refiling%20-%2010_99\Rate%20Redesign\Final%20Board%20Redesign\98%20GTA%20Phase%20II%20Rate%20Redesig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H43"/>
  <sheetViews>
    <sheetView view="pageBreakPreview" zoomScaleNormal="100" zoomScaleSheetLayoutView="100" workbookViewId="0"/>
  </sheetViews>
  <sheetFormatPr defaultColWidth="9.140625" defaultRowHeight="11.25" x14ac:dyDescent="0.2"/>
  <cols>
    <col min="1" max="1" width="8.28515625" style="4" customWidth="1"/>
    <col min="2" max="2" width="9" style="4" customWidth="1"/>
    <col min="3" max="3" width="5.7109375" style="4" customWidth="1"/>
    <col min="4" max="4" width="10.140625" style="4" bestFit="1" customWidth="1"/>
    <col min="5" max="5" width="11.140625" style="4" customWidth="1"/>
    <col min="6" max="6" width="5.140625" style="4" customWidth="1"/>
    <col min="7" max="7" width="10.140625" style="4" bestFit="1" customWidth="1"/>
    <col min="8" max="8" width="10.7109375" style="4" bestFit="1" customWidth="1"/>
    <col min="9" max="16384" width="9.140625" style="4"/>
  </cols>
  <sheetData>
    <row r="1" spans="1:8" ht="12.75" x14ac:dyDescent="0.2">
      <c r="A1" s="120"/>
      <c r="B1" s="120"/>
      <c r="C1" s="120"/>
      <c r="D1" s="120"/>
      <c r="E1" s="120"/>
      <c r="F1" s="120"/>
      <c r="G1" s="120"/>
      <c r="H1" s="121" t="s">
        <v>53</v>
      </c>
    </row>
    <row r="2" spans="1:8" ht="12.75" x14ac:dyDescent="0.2">
      <c r="A2" s="120"/>
      <c r="B2" s="120"/>
      <c r="C2" s="120"/>
      <c r="D2" s="120"/>
      <c r="E2" s="120"/>
      <c r="F2" s="120"/>
      <c r="G2" s="120"/>
      <c r="H2" s="121" t="s">
        <v>54</v>
      </c>
    </row>
    <row r="3" spans="1:8" ht="12.75" x14ac:dyDescent="0.2">
      <c r="A3" s="120"/>
      <c r="B3" s="120"/>
      <c r="C3" s="120"/>
      <c r="D3" s="120"/>
      <c r="E3" s="120"/>
      <c r="F3" s="120"/>
      <c r="G3" s="120"/>
      <c r="H3" s="122" t="s">
        <v>55</v>
      </c>
    </row>
    <row r="4" spans="1:8" ht="12.75" x14ac:dyDescent="0.2">
      <c r="A4" s="120"/>
      <c r="B4" s="120"/>
      <c r="C4" s="120"/>
      <c r="D4" s="120"/>
      <c r="E4" s="120"/>
      <c r="F4" s="120"/>
      <c r="G4" s="120"/>
      <c r="H4" s="122"/>
    </row>
    <row r="5" spans="1:8" ht="12.75" x14ac:dyDescent="0.2">
      <c r="A5" s="120" t="s">
        <v>59</v>
      </c>
      <c r="C5" s="120"/>
      <c r="D5" s="120"/>
      <c r="E5" s="120"/>
      <c r="F5" s="120"/>
      <c r="G5" s="120"/>
      <c r="H5" s="122"/>
    </row>
    <row r="7" spans="1:8" ht="13.5" customHeight="1" thickBot="1" x14ac:dyDescent="0.25"/>
    <row r="8" spans="1:8" ht="12.75" customHeight="1" x14ac:dyDescent="0.2">
      <c r="A8" s="100"/>
      <c r="B8" s="101"/>
      <c r="C8" s="3"/>
      <c r="D8" s="3"/>
      <c r="E8" s="3"/>
      <c r="F8" s="3"/>
      <c r="G8" s="3"/>
      <c r="H8" s="123"/>
    </row>
    <row r="9" spans="1:8" ht="12.75" customHeight="1" x14ac:dyDescent="0.2">
      <c r="A9" s="102"/>
      <c r="B9" s="103"/>
      <c r="C9" s="7"/>
      <c r="D9" s="7"/>
      <c r="E9" s="7"/>
      <c r="F9" s="7"/>
      <c r="G9" s="7"/>
      <c r="H9" s="124"/>
    </row>
    <row r="10" spans="1:8" x14ac:dyDescent="0.2">
      <c r="A10" s="102"/>
      <c r="B10" s="103"/>
      <c r="C10" s="77" t="s">
        <v>3</v>
      </c>
      <c r="D10" s="77"/>
      <c r="E10" s="77"/>
      <c r="F10" s="77" t="s">
        <v>5</v>
      </c>
      <c r="G10" s="77"/>
      <c r="H10" s="125"/>
    </row>
    <row r="11" spans="1:8" x14ac:dyDescent="0.2">
      <c r="A11" s="109"/>
      <c r="B11" s="110"/>
      <c r="C11" s="5" t="s">
        <v>4</v>
      </c>
      <c r="D11" s="6" t="s">
        <v>2</v>
      </c>
      <c r="E11" s="6" t="s">
        <v>1</v>
      </c>
      <c r="F11" s="5" t="s">
        <v>4</v>
      </c>
      <c r="G11" s="6" t="s">
        <v>2</v>
      </c>
      <c r="H11" s="126" t="s">
        <v>1</v>
      </c>
    </row>
    <row r="12" spans="1:8" x14ac:dyDescent="0.2">
      <c r="A12" s="111"/>
      <c r="B12" s="112"/>
      <c r="C12" s="108"/>
      <c r="D12" s="37" t="s">
        <v>10</v>
      </c>
      <c r="E12" s="37" t="s">
        <v>9</v>
      </c>
      <c r="F12" s="108"/>
      <c r="G12" s="37" t="s">
        <v>9</v>
      </c>
      <c r="H12" s="127" t="s">
        <v>9</v>
      </c>
    </row>
    <row r="13" spans="1:8" ht="11.25" customHeight="1" x14ac:dyDescent="0.2">
      <c r="A13" s="10" t="s">
        <v>57</v>
      </c>
      <c r="B13" s="29" t="s">
        <v>13</v>
      </c>
      <c r="C13" s="128">
        <f>+WAF!C12+'Mayo Dawson Combined'!C10</f>
        <v>1599.25</v>
      </c>
      <c r="D13" s="58">
        <f t="shared" ref="D13:D22" si="0">E13/C13</f>
        <v>1105.6161147947455</v>
      </c>
      <c r="E13" s="128">
        <f>+WAF!E12+'Mayo Dawson Combined'!E10</f>
        <v>1768156.5715854967</v>
      </c>
      <c r="F13" s="128">
        <f>+WAF!F12+'Mayo Dawson Combined'!F10</f>
        <v>455.33333333333331</v>
      </c>
      <c r="G13" s="58">
        <f t="shared" ref="G13:G22" si="1">H13/F13</f>
        <v>4643.9583133800215</v>
      </c>
      <c r="H13" s="129">
        <f>+WAF!H12+'Mayo Dawson Combined'!H10</f>
        <v>2114549.0186923696</v>
      </c>
    </row>
    <row r="14" spans="1:8" ht="11.25" customHeight="1" x14ac:dyDescent="0.2">
      <c r="A14" s="8"/>
      <c r="B14" s="29" t="s">
        <v>14</v>
      </c>
      <c r="C14" s="128">
        <f>+WAF!C13+'Mayo Dawson Combined'!C11</f>
        <v>1596.75</v>
      </c>
      <c r="D14" s="58">
        <f t="shared" si="0"/>
        <v>884.84710794819762</v>
      </c>
      <c r="E14" s="128">
        <f>+WAF!E13+'Mayo Dawson Combined'!E11</f>
        <v>1412879.6196162845</v>
      </c>
      <c r="F14" s="128">
        <f>+WAF!F13+'Mayo Dawson Combined'!F11</f>
        <v>454</v>
      </c>
      <c r="G14" s="58">
        <f t="shared" si="1"/>
        <v>4236.9264307333769</v>
      </c>
      <c r="H14" s="129">
        <f>+WAF!H13+'Mayo Dawson Combined'!H11</f>
        <v>1923564.5995529532</v>
      </c>
    </row>
    <row r="15" spans="1:8" ht="11.25" customHeight="1" x14ac:dyDescent="0.2">
      <c r="A15" s="8"/>
      <c r="B15" s="29" t="s">
        <v>15</v>
      </c>
      <c r="C15" s="128">
        <f>+WAF!C14+'Mayo Dawson Combined'!C12</f>
        <v>1594.625</v>
      </c>
      <c r="D15" s="58">
        <f t="shared" si="0"/>
        <v>866.82021745304701</v>
      </c>
      <c r="E15" s="128">
        <f>+WAF!E14+'Mayo Dawson Combined'!E12</f>
        <v>1382253.1892560651</v>
      </c>
      <c r="F15" s="128">
        <f>+WAF!F14+'Mayo Dawson Combined'!F12</f>
        <v>455.66666666666669</v>
      </c>
      <c r="G15" s="58">
        <f t="shared" si="1"/>
        <v>4204.386100832784</v>
      </c>
      <c r="H15" s="129">
        <f>+WAF!H14+'Mayo Dawson Combined'!H12</f>
        <v>1915798.5999461384</v>
      </c>
    </row>
    <row r="16" spans="1:8" ht="11.25" customHeight="1" x14ac:dyDescent="0.2">
      <c r="A16" s="8"/>
      <c r="B16" s="29" t="s">
        <v>16</v>
      </c>
      <c r="C16" s="128">
        <f>+WAF!C15+'Mayo Dawson Combined'!C13</f>
        <v>1611.5</v>
      </c>
      <c r="D16" s="58">
        <f t="shared" si="0"/>
        <v>737.49325469758787</v>
      </c>
      <c r="E16" s="128">
        <f>+WAF!E15+'Mayo Dawson Combined'!E13</f>
        <v>1188470.3799451629</v>
      </c>
      <c r="F16" s="128">
        <f>+WAF!F15+'Mayo Dawson Combined'!F13</f>
        <v>467.33333333333337</v>
      </c>
      <c r="G16" s="58">
        <f t="shared" si="1"/>
        <v>4014.0044866450653</v>
      </c>
      <c r="H16" s="129">
        <f>+WAF!H15+'Mayo Dawson Combined'!H13</f>
        <v>1875878.096758794</v>
      </c>
    </row>
    <row r="17" spans="1:8" ht="11.25" customHeight="1" x14ac:dyDescent="0.2">
      <c r="A17" s="8"/>
      <c r="B17" s="29" t="s">
        <v>17</v>
      </c>
      <c r="C17" s="128">
        <f>+WAF!C16+'Mayo Dawson Combined'!C14</f>
        <v>1635.5</v>
      </c>
      <c r="D17" s="58">
        <f t="shared" si="0"/>
        <v>567.70465328416697</v>
      </c>
      <c r="E17" s="128">
        <f>+WAF!E16+'Mayo Dawson Combined'!E14</f>
        <v>928480.96044625505</v>
      </c>
      <c r="F17" s="128">
        <f>+WAF!F16+'Mayo Dawson Combined'!F14</f>
        <v>509.66666666666663</v>
      </c>
      <c r="G17" s="58">
        <f t="shared" si="1"/>
        <v>3420.9958454631128</v>
      </c>
      <c r="H17" s="129">
        <f>+WAF!H16+'Mayo Dawson Combined'!H14</f>
        <v>1743567.5492376997</v>
      </c>
    </row>
    <row r="18" spans="1:8" ht="11.25" customHeight="1" x14ac:dyDescent="0.2">
      <c r="A18" s="8"/>
      <c r="B18" s="29" t="s">
        <v>18</v>
      </c>
      <c r="C18" s="128">
        <f>+WAF!C17+'Mayo Dawson Combined'!C15</f>
        <v>1636</v>
      </c>
      <c r="D18" s="58">
        <f t="shared" si="0"/>
        <v>521.06875468628596</v>
      </c>
      <c r="E18" s="128">
        <f>+WAF!E17+'Mayo Dawson Combined'!E15</f>
        <v>852468.48266676383</v>
      </c>
      <c r="F18" s="128">
        <f>+WAF!F17+'Mayo Dawson Combined'!F15</f>
        <v>518.5</v>
      </c>
      <c r="G18" s="58">
        <f t="shared" si="1"/>
        <v>4039.8240920259454</v>
      </c>
      <c r="H18" s="129">
        <f>+WAF!H17+'Mayo Dawson Combined'!H15</f>
        <v>2094648.7917154527</v>
      </c>
    </row>
    <row r="19" spans="1:8" ht="11.25" customHeight="1" x14ac:dyDescent="0.2">
      <c r="A19" s="8"/>
      <c r="B19" s="29" t="s">
        <v>19</v>
      </c>
      <c r="C19" s="128">
        <f>+WAF!C18+'Mayo Dawson Combined'!C16</f>
        <v>1644.75</v>
      </c>
      <c r="D19" s="58">
        <f t="shared" si="0"/>
        <v>496.37793326278961</v>
      </c>
      <c r="E19" s="128">
        <f>+WAF!E18+'Mayo Dawson Combined'!E16</f>
        <v>816417.60573397321</v>
      </c>
      <c r="F19" s="128">
        <f>+WAF!F18+'Mayo Dawson Combined'!F16</f>
        <v>520.83333333333326</v>
      </c>
      <c r="G19" s="58">
        <f t="shared" si="1"/>
        <v>4560.1538505578947</v>
      </c>
      <c r="H19" s="129">
        <f>+WAF!H18+'Mayo Dawson Combined'!H16</f>
        <v>2375080.1304989033</v>
      </c>
    </row>
    <row r="20" spans="1:8" ht="11.25" customHeight="1" x14ac:dyDescent="0.2">
      <c r="A20" s="8"/>
      <c r="B20" s="29" t="s">
        <v>20</v>
      </c>
      <c r="C20" s="128">
        <f>+WAF!C19+'Mayo Dawson Combined'!C17</f>
        <v>1647.75</v>
      </c>
      <c r="D20" s="58">
        <f t="shared" si="0"/>
        <v>456.22499145701465</v>
      </c>
      <c r="E20" s="128">
        <f>+WAF!E19+'Mayo Dawson Combined'!E17</f>
        <v>751744.72967329586</v>
      </c>
      <c r="F20" s="128">
        <f>+WAF!F19+'Mayo Dawson Combined'!F17</f>
        <v>523.5</v>
      </c>
      <c r="G20" s="58">
        <f t="shared" si="1"/>
        <v>4381.2083620991589</v>
      </c>
      <c r="H20" s="129">
        <f>+WAF!H19+'Mayo Dawson Combined'!H17</f>
        <v>2293562.5775589095</v>
      </c>
    </row>
    <row r="21" spans="1:8" ht="11.25" customHeight="1" x14ac:dyDescent="0.2">
      <c r="A21" s="8"/>
      <c r="B21" s="29" t="s">
        <v>21</v>
      </c>
      <c r="C21" s="128">
        <f>+WAF!C20+'Mayo Dawson Combined'!C18</f>
        <v>1646.72</v>
      </c>
      <c r="D21" s="58">
        <f t="shared" si="0"/>
        <v>570.23235871545626</v>
      </c>
      <c r="E21" s="128">
        <f>+WAF!E20+'Mayo Dawson Combined'!E18</f>
        <v>939013.02974391612</v>
      </c>
      <c r="F21" s="128">
        <f>+WAF!F20+'Mayo Dawson Combined'!F18</f>
        <v>523.83333333333326</v>
      </c>
      <c r="G21" s="58">
        <f t="shared" si="1"/>
        <v>5121.0220027078294</v>
      </c>
      <c r="H21" s="129">
        <f>+WAF!H20+'Mayo Dawson Combined'!H18</f>
        <v>2682562.0257517844</v>
      </c>
    </row>
    <row r="22" spans="1:8" ht="11.25" customHeight="1" x14ac:dyDescent="0.2">
      <c r="A22" s="8"/>
      <c r="B22" s="29" t="s">
        <v>22</v>
      </c>
      <c r="C22" s="128">
        <f>+WAF!C21+'Mayo Dawson Combined'!C19</f>
        <v>1636.345</v>
      </c>
      <c r="D22" s="58">
        <f t="shared" si="0"/>
        <v>613.93117664862814</v>
      </c>
      <c r="E22" s="128">
        <f>+WAF!E21+'Mayo Dawson Combined'!E19</f>
        <v>1004603.2112530994</v>
      </c>
      <c r="F22" s="128">
        <f>+WAF!F21+'Mayo Dawson Combined'!F19</f>
        <v>501.16666666666669</v>
      </c>
      <c r="G22" s="58">
        <f t="shared" si="1"/>
        <v>4758.3261335217139</v>
      </c>
      <c r="H22" s="129">
        <f>+WAF!H21+'Mayo Dawson Combined'!H19</f>
        <v>2384714.4472499657</v>
      </c>
    </row>
    <row r="23" spans="1:8" ht="11.25" customHeight="1" x14ac:dyDescent="0.2">
      <c r="A23" s="8"/>
      <c r="B23" s="29" t="s">
        <v>23</v>
      </c>
      <c r="C23" s="128">
        <f>+WAF!C22+'Mayo Dawson Combined'!C20</f>
        <v>1618.2682353533332</v>
      </c>
      <c r="D23" s="58">
        <f>E23/C23</f>
        <v>716.88223695266845</v>
      </c>
      <c r="E23" s="128">
        <f>+WAF!E22+'Mayo Dawson Combined'!E20</f>
        <v>1160107.7525495449</v>
      </c>
      <c r="F23" s="128">
        <f>+WAF!F22+'Mayo Dawson Combined'!F20</f>
        <v>475.33333333333331</v>
      </c>
      <c r="G23" s="58">
        <f>H23/F23</f>
        <v>3616.9210049935277</v>
      </c>
      <c r="H23" s="129">
        <f>+WAF!H22+'Mayo Dawson Combined'!H20</f>
        <v>1719243.1177069235</v>
      </c>
    </row>
    <row r="24" spans="1:8" ht="11.25" customHeight="1" x14ac:dyDescent="0.2">
      <c r="A24" s="8"/>
      <c r="B24" s="29" t="s">
        <v>24</v>
      </c>
      <c r="C24" s="128">
        <f>+WAF!C23+'Mayo Dawson Combined'!C21</f>
        <v>1618.0766666666666</v>
      </c>
      <c r="D24" s="58">
        <f>E24/C24</f>
        <v>875.92013833091062</v>
      </c>
      <c r="E24" s="128">
        <f>+WAF!E23+'Mayo Dawson Combined'!E21</f>
        <v>1417305.9376966853</v>
      </c>
      <c r="F24" s="128">
        <f>+WAF!F23+'Mayo Dawson Combined'!F21</f>
        <v>471.33333333333331</v>
      </c>
      <c r="G24" s="58">
        <f>H24/F24</f>
        <v>4656.7459476685572</v>
      </c>
      <c r="H24" s="129">
        <f>+WAF!H23+'Mayo Dawson Combined'!H21</f>
        <v>2194879.5900011132</v>
      </c>
    </row>
    <row r="25" spans="1:8" ht="11.25" customHeight="1" x14ac:dyDescent="0.2">
      <c r="A25" s="10" t="s">
        <v>58</v>
      </c>
      <c r="B25" s="29" t="s">
        <v>13</v>
      </c>
      <c r="C25" s="128">
        <f>+WAF!C24+'Mayo Dawson Combined'!C22</f>
        <v>1610.1790000000001</v>
      </c>
      <c r="D25" s="58">
        <f t="shared" ref="D25:D34" si="2">E25/C25</f>
        <v>1079.7901654102932</v>
      </c>
      <c r="E25" s="128">
        <f>+WAF!E24+'Mayo Dawson Combined'!E22</f>
        <v>1738655.4487501807</v>
      </c>
      <c r="F25" s="128">
        <f>+WAF!F24+'Mayo Dawson Combined'!F22</f>
        <v>456.66666666666669</v>
      </c>
      <c r="G25" s="58">
        <f t="shared" ref="G25:G34" si="3">H25/F25</f>
        <v>4683.3633154381405</v>
      </c>
      <c r="H25" s="129">
        <f>+WAF!H24+'Mayo Dawson Combined'!H22</f>
        <v>2138735.9140500841</v>
      </c>
    </row>
    <row r="26" spans="1:8" ht="11.25" customHeight="1" x14ac:dyDescent="0.2">
      <c r="A26" s="8"/>
      <c r="B26" s="29" t="s">
        <v>14</v>
      </c>
      <c r="C26" s="128">
        <f>+WAF!C25+'Mayo Dawson Combined'!C23</f>
        <v>1606.1790000000001</v>
      </c>
      <c r="D26" s="58">
        <f t="shared" si="2"/>
        <v>904.36025786264895</v>
      </c>
      <c r="E26" s="128">
        <f>+WAF!E25+'Mayo Dawson Combined'!E23</f>
        <v>1452564.4546135718</v>
      </c>
      <c r="F26" s="128">
        <f>+WAF!F25+'Mayo Dawson Combined'!F23</f>
        <v>454.44444444444446</v>
      </c>
      <c r="G26" s="58">
        <f t="shared" si="3"/>
        <v>4220.1309196992333</v>
      </c>
      <c r="H26" s="129">
        <f>+WAF!H25+'Mayo Dawson Combined'!H23</f>
        <v>1917815.0512855407</v>
      </c>
    </row>
    <row r="27" spans="1:8" ht="11.25" customHeight="1" x14ac:dyDescent="0.2">
      <c r="A27" s="8"/>
      <c r="B27" s="29" t="s">
        <v>15</v>
      </c>
      <c r="C27" s="128">
        <f>+WAF!C26+'Mayo Dawson Combined'!C24</f>
        <v>1604.4895000000001</v>
      </c>
      <c r="D27" s="58">
        <f t="shared" si="2"/>
        <v>844.53234901905205</v>
      </c>
      <c r="E27" s="128">
        <f>+WAF!E26+'Mayo Dawson Combined'!E24</f>
        <v>1355043.2864114044</v>
      </c>
      <c r="F27" s="128">
        <f>+WAF!F26+'Mayo Dawson Combined'!F24</f>
        <v>457</v>
      </c>
      <c r="G27" s="58">
        <f t="shared" si="3"/>
        <v>4169.9814102375321</v>
      </c>
      <c r="H27" s="129">
        <f>+WAF!H26+'Mayo Dawson Combined'!H24</f>
        <v>1905681.5044785524</v>
      </c>
    </row>
    <row r="28" spans="1:8" ht="11.25" customHeight="1" x14ac:dyDescent="0.2">
      <c r="A28" s="8"/>
      <c r="B28" s="29" t="s">
        <v>16</v>
      </c>
      <c r="C28" s="128">
        <f>+WAF!C27+'Mayo Dawson Combined'!C25</f>
        <v>1621.5520000000001</v>
      </c>
      <c r="D28" s="58">
        <f t="shared" si="2"/>
        <v>737.97558123267549</v>
      </c>
      <c r="E28" s="128">
        <f>+WAF!E27+'Mayo Dawson Combined'!E25</f>
        <v>1196665.7796990075</v>
      </c>
      <c r="F28" s="128">
        <f>+WAF!F27+'Mayo Dawson Combined'!F25</f>
        <v>468.22222222222223</v>
      </c>
      <c r="G28" s="58">
        <f t="shared" si="3"/>
        <v>4052.1946109969945</v>
      </c>
      <c r="H28" s="129">
        <f>+WAF!H27+'Mayo Dawson Combined'!H25</f>
        <v>1897327.5656379261</v>
      </c>
    </row>
    <row r="29" spans="1:8" ht="11.25" customHeight="1" x14ac:dyDescent="0.2">
      <c r="A29" s="8"/>
      <c r="B29" s="29" t="s">
        <v>17</v>
      </c>
      <c r="C29" s="128">
        <f>+WAF!C28+'Mayo Dawson Combined'!C26</f>
        <v>1646.3040000000001</v>
      </c>
      <c r="D29" s="58">
        <f t="shared" si="2"/>
        <v>558.02164980027203</v>
      </c>
      <c r="E29" s="128">
        <f>+WAF!E28+'Mayo Dawson Combined'!E26</f>
        <v>918673.27415278717</v>
      </c>
      <c r="F29" s="128">
        <f>+WAF!F28+'Mayo Dawson Combined'!F26</f>
        <v>509.72222222222223</v>
      </c>
      <c r="G29" s="58">
        <f t="shared" si="3"/>
        <v>3347.8464763053967</v>
      </c>
      <c r="H29" s="129">
        <f>+WAF!H28+'Mayo Dawson Combined'!H26</f>
        <v>1706471.745561223</v>
      </c>
    </row>
    <row r="30" spans="1:8" ht="11.25" customHeight="1" x14ac:dyDescent="0.2">
      <c r="A30" s="8"/>
      <c r="B30" s="29" t="s">
        <v>18</v>
      </c>
      <c r="C30" s="128">
        <f>+WAF!C29+'Mayo Dawson Combined'!C27</f>
        <v>1647.05</v>
      </c>
      <c r="D30" s="58">
        <f t="shared" si="2"/>
        <v>518.48361673020065</v>
      </c>
      <c r="E30" s="128">
        <f>+WAF!E29+'Mayo Dawson Combined'!E27</f>
        <v>853968.44093547692</v>
      </c>
      <c r="F30" s="128">
        <f>+WAF!F29+'Mayo Dawson Combined'!F27</f>
        <v>520.19444444444446</v>
      </c>
      <c r="G30" s="58">
        <f t="shared" si="3"/>
        <v>4105.579242712568</v>
      </c>
      <c r="H30" s="129">
        <f>+WAF!H29+'Mayo Dawson Combined'!H27</f>
        <v>2135699.5132855074</v>
      </c>
    </row>
    <row r="31" spans="1:8" ht="11.25" customHeight="1" x14ac:dyDescent="0.2">
      <c r="A31" s="8"/>
      <c r="B31" s="29" t="s">
        <v>19</v>
      </c>
      <c r="C31" s="128">
        <f>+WAF!C30+'Mayo Dawson Combined'!C28</f>
        <v>1655.933</v>
      </c>
      <c r="D31" s="58">
        <f t="shared" si="2"/>
        <v>488.96625785497372</v>
      </c>
      <c r="E31" s="128">
        <f>+WAF!E30+'Mayo Dawson Combined'!E28</f>
        <v>809695.36226856022</v>
      </c>
      <c r="F31" s="128">
        <f>+WAF!F30+'Mayo Dawson Combined'!F28</f>
        <v>521.75</v>
      </c>
      <c r="G31" s="58">
        <f t="shared" si="3"/>
        <v>4500.6853408125435</v>
      </c>
      <c r="H31" s="129">
        <f>+WAF!H30+'Mayo Dawson Combined'!H28</f>
        <v>2348232.5765689444</v>
      </c>
    </row>
    <row r="32" spans="1:8" ht="11.25" customHeight="1" x14ac:dyDescent="0.2">
      <c r="A32" s="8"/>
      <c r="B32" s="29" t="s">
        <v>20</v>
      </c>
      <c r="C32" s="128">
        <f>+WAF!C31+'Mayo Dawson Combined'!C29</f>
        <v>1658.683</v>
      </c>
      <c r="D32" s="58">
        <f t="shared" si="2"/>
        <v>459.03293141416214</v>
      </c>
      <c r="E32" s="128">
        <f>+WAF!E31+'Mayo Dawson Combined'!E29</f>
        <v>761390.11977683671</v>
      </c>
      <c r="F32" s="128">
        <f>+WAF!F31+'Mayo Dawson Combined'!F29</f>
        <v>523.52777777777783</v>
      </c>
      <c r="G32" s="58">
        <f t="shared" si="3"/>
        <v>4409.0839481097473</v>
      </c>
      <c r="H32" s="129">
        <f>+WAF!H31+'Mayo Dawson Combined'!H29</f>
        <v>2308277.9213895672</v>
      </c>
    </row>
    <row r="33" spans="1:8" ht="11.25" customHeight="1" x14ac:dyDescent="0.2">
      <c r="A33" s="8"/>
      <c r="B33" s="29" t="s">
        <v>21</v>
      </c>
      <c r="C33" s="128">
        <f>+WAF!C32+'Mayo Dawson Combined'!C30</f>
        <v>1660.28872</v>
      </c>
      <c r="D33" s="58">
        <f t="shared" si="2"/>
        <v>572.35346681316423</v>
      </c>
      <c r="E33" s="128">
        <f>+WAF!E32+'Mayo Dawson Combined'!E30</f>
        <v>950272.00480279094</v>
      </c>
      <c r="F33" s="128">
        <f>+WAF!F32+'Mayo Dawson Combined'!F30</f>
        <v>522.75</v>
      </c>
      <c r="G33" s="58">
        <f t="shared" si="3"/>
        <v>5176.4845679715645</v>
      </c>
      <c r="H33" s="129">
        <f>+WAF!H32+'Mayo Dawson Combined'!H30</f>
        <v>2706007.3079071352</v>
      </c>
    </row>
    <row r="34" spans="1:8" ht="11.25" customHeight="1" x14ac:dyDescent="0.2">
      <c r="A34" s="8"/>
      <c r="B34" s="29" t="s">
        <v>22</v>
      </c>
      <c r="C34" s="128">
        <f>+WAF!C33+'Mayo Dawson Combined'!C31</f>
        <v>1650.5357200000001</v>
      </c>
      <c r="D34" s="58">
        <f t="shared" si="2"/>
        <v>623.51013525591668</v>
      </c>
      <c r="E34" s="128">
        <f>+WAF!E33+'Mayo Dawson Combined'!E31</f>
        <v>1029125.7500219218</v>
      </c>
      <c r="F34" s="128">
        <f>+WAF!F33+'Mayo Dawson Combined'!F31</f>
        <v>501.19444444444446</v>
      </c>
      <c r="G34" s="58">
        <f t="shared" si="3"/>
        <v>4805.3427071541591</v>
      </c>
      <c r="H34" s="129">
        <f>+WAF!H33+'Mayo Dawson Combined'!H31</f>
        <v>2408411.0684772916</v>
      </c>
    </row>
    <row r="35" spans="1:8" ht="11.25" customHeight="1" x14ac:dyDescent="0.2">
      <c r="A35" s="8"/>
      <c r="B35" s="29" t="s">
        <v>23</v>
      </c>
      <c r="C35" s="128">
        <f>+WAF!C34+'Mayo Dawson Combined'!C32</f>
        <v>1630.31551091202</v>
      </c>
      <c r="D35" s="58">
        <f>E35/C35</f>
        <v>729.76912526348156</v>
      </c>
      <c r="E35" s="128">
        <f>+WAF!E34+'Mayo Dawson Combined'!E32</f>
        <v>1189753.924301751</v>
      </c>
      <c r="F35" s="128">
        <f>+WAF!F34+'Mayo Dawson Combined'!F32</f>
        <v>474.72222222222223</v>
      </c>
      <c r="G35" s="58">
        <f>H35/F35</f>
        <v>3668.5596094067646</v>
      </c>
      <c r="H35" s="129">
        <f>+WAF!H34+'Mayo Dawson Combined'!H32</f>
        <v>1741546.7701322669</v>
      </c>
    </row>
    <row r="36" spans="1:8" ht="11.25" customHeight="1" x14ac:dyDescent="0.2">
      <c r="A36" s="8"/>
      <c r="B36" s="29" t="s">
        <v>24</v>
      </c>
      <c r="C36" s="128">
        <f>+WAF!C35+'Mayo Dawson Combined'!C33</f>
        <v>1634.28791</v>
      </c>
      <c r="D36" s="58">
        <f>E36/C36</f>
        <v>895.15960122755143</v>
      </c>
      <c r="E36" s="128">
        <f>+WAF!E35+'Mayo Dawson Combined'!E33</f>
        <v>1462948.5138066085</v>
      </c>
      <c r="F36" s="128">
        <f>+WAF!F35+'Mayo Dawson Combined'!F33</f>
        <v>471.27777777777777</v>
      </c>
      <c r="G36" s="58">
        <f>H36/F36</f>
        <v>4714.9759190368231</v>
      </c>
      <c r="H36" s="129">
        <f>+WAF!H35+'Mayo Dawson Combined'!H33</f>
        <v>2222063.3733994095</v>
      </c>
    </row>
    <row r="37" spans="1:8" ht="12" thickBot="1" x14ac:dyDescent="0.25">
      <c r="A37" s="113"/>
      <c r="B37" s="114"/>
      <c r="C37" s="115"/>
      <c r="D37" s="115"/>
      <c r="E37" s="115"/>
      <c r="F37" s="115"/>
      <c r="G37" s="115"/>
      <c r="H37" s="130"/>
    </row>
    <row r="38" spans="1:8" x14ac:dyDescent="0.2">
      <c r="A38" s="111"/>
      <c r="B38" s="74" t="s">
        <v>29</v>
      </c>
      <c r="C38" s="78" t="s">
        <v>3</v>
      </c>
      <c r="D38" s="77"/>
      <c r="E38" s="79"/>
      <c r="F38" s="78" t="s">
        <v>5</v>
      </c>
      <c r="G38" s="77"/>
      <c r="H38" s="79"/>
    </row>
    <row r="39" spans="1:8" x14ac:dyDescent="0.2">
      <c r="A39" s="8"/>
      <c r="B39" s="6" t="s">
        <v>27</v>
      </c>
      <c r="C39" s="27" t="s">
        <v>4</v>
      </c>
      <c r="D39" s="6" t="s">
        <v>2</v>
      </c>
      <c r="E39" s="36" t="s">
        <v>1</v>
      </c>
      <c r="F39" s="27" t="s">
        <v>4</v>
      </c>
      <c r="G39" s="6" t="s">
        <v>2</v>
      </c>
      <c r="H39" s="36" t="s">
        <v>1</v>
      </c>
    </row>
    <row r="40" spans="1:8" x14ac:dyDescent="0.2">
      <c r="A40" s="111"/>
      <c r="B40" s="49"/>
      <c r="C40" s="46"/>
      <c r="D40" s="37" t="s">
        <v>10</v>
      </c>
      <c r="E40" s="38" t="s">
        <v>9</v>
      </c>
      <c r="F40" s="46"/>
      <c r="G40" s="37" t="s">
        <v>9</v>
      </c>
      <c r="H40" s="38" t="s">
        <v>9</v>
      </c>
    </row>
    <row r="41" spans="1:8" x14ac:dyDescent="0.2">
      <c r="A41" s="8"/>
      <c r="B41" s="9"/>
      <c r="C41" s="30"/>
      <c r="D41" s="7"/>
      <c r="E41" s="32"/>
      <c r="F41" s="31"/>
      <c r="G41" s="7"/>
      <c r="H41" s="32"/>
    </row>
    <row r="42" spans="1:8" ht="12.75" customHeight="1" x14ac:dyDescent="0.2">
      <c r="A42" s="8"/>
      <c r="B42" s="116">
        <v>2017</v>
      </c>
      <c r="C42" s="117">
        <f>AVERAGE(C13:C24)</f>
        <v>1623.7945751683335</v>
      </c>
      <c r="D42" s="118">
        <f t="shared" ref="D42:D43" si="4">E42/C42</f>
        <v>8388.9315055473726</v>
      </c>
      <c r="E42" s="119">
        <f>SUM(E13:E24)</f>
        <v>13621901.470166543</v>
      </c>
      <c r="F42" s="117">
        <f>AVERAGE(F13:F24)</f>
        <v>489.70833333333326</v>
      </c>
      <c r="G42" s="118">
        <f>H42/F42</f>
        <v>51700.260790615524</v>
      </c>
      <c r="H42" s="119">
        <f>SUM(H13:H24)</f>
        <v>25318048.544671007</v>
      </c>
    </row>
    <row r="43" spans="1:8" ht="12.75" customHeight="1" x14ac:dyDescent="0.2">
      <c r="A43" s="8"/>
      <c r="B43" s="116">
        <f t="shared" ref="B43" si="5">+B42+1</f>
        <v>2018</v>
      </c>
      <c r="C43" s="117">
        <f>AVERAGE(C25:C36)</f>
        <v>1635.4831134093349</v>
      </c>
      <c r="D43" s="118">
        <f t="shared" si="4"/>
        <v>8388.1981092074511</v>
      </c>
      <c r="E43" s="119">
        <f>SUM(E25:E36)</f>
        <v>13718756.359540898</v>
      </c>
      <c r="F43" s="117">
        <f>AVERAGE(F25:F36)</f>
        <v>490.12268518518516</v>
      </c>
      <c r="G43" s="118">
        <f>H43/F43</f>
        <v>51897.761685041682</v>
      </c>
      <c r="H43" s="119">
        <f>SUM(H25:H36)</f>
        <v>25436270.312173449</v>
      </c>
    </row>
  </sheetData>
  <mergeCells count="8">
    <mergeCell ref="F10:H10"/>
    <mergeCell ref="C38:E38"/>
    <mergeCell ref="F38:H38"/>
    <mergeCell ref="A11:B11"/>
    <mergeCell ref="A8:B8"/>
    <mergeCell ref="A9:B9"/>
    <mergeCell ref="A10:B10"/>
    <mergeCell ref="C10:E10"/>
  </mergeCells>
  <phoneticPr fontId="0" type="noConversion"/>
  <printOptions horizontalCentered="1"/>
  <pageMargins left="0" right="0" top="0.51181102362204722" bottom="0.23622047244094491" header="0.51181102362204722" footer="0.51181102362204722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H35"/>
  <sheetViews>
    <sheetView view="pageBreakPreview" zoomScale="115" zoomScaleNormal="100" zoomScaleSheetLayoutView="115" workbookViewId="0">
      <selection activeCell="C13" sqref="C13"/>
    </sheetView>
  </sheetViews>
  <sheetFormatPr defaultColWidth="9.140625" defaultRowHeight="11.25" x14ac:dyDescent="0.2"/>
  <cols>
    <col min="1" max="1" width="9.7109375" style="4" customWidth="1"/>
    <col min="2" max="2" width="10.5703125" style="4" customWidth="1"/>
    <col min="3" max="3" width="5.140625" style="4" customWidth="1"/>
    <col min="4" max="4" width="8.5703125" style="4" bestFit="1" customWidth="1"/>
    <col min="5" max="5" width="11.140625" style="4" bestFit="1" customWidth="1"/>
    <col min="6" max="6" width="5.140625" style="4" bestFit="1" customWidth="1"/>
    <col min="7" max="7" width="7.7109375" style="4" bestFit="1" customWidth="1"/>
    <col min="8" max="8" width="10" style="4" customWidth="1"/>
    <col min="9" max="16384" width="9.140625" style="4"/>
  </cols>
  <sheetData>
    <row r="1" spans="1:8" ht="12.75" x14ac:dyDescent="0.2">
      <c r="B1" s="120"/>
      <c r="C1" s="120"/>
      <c r="D1" s="120"/>
      <c r="E1" s="120"/>
      <c r="F1" s="120"/>
      <c r="G1" s="120"/>
      <c r="H1" s="121" t="s">
        <v>53</v>
      </c>
    </row>
    <row r="2" spans="1:8" ht="12.75" x14ac:dyDescent="0.2">
      <c r="B2" s="120"/>
      <c r="C2" s="120"/>
      <c r="D2" s="120"/>
      <c r="E2" s="120"/>
      <c r="F2" s="120"/>
      <c r="G2" s="120"/>
      <c r="H2" s="121" t="s">
        <v>54</v>
      </c>
    </row>
    <row r="3" spans="1:8" ht="12.75" x14ac:dyDescent="0.2">
      <c r="B3" s="120"/>
      <c r="C3" s="120"/>
      <c r="D3" s="120"/>
      <c r="E3" s="120"/>
      <c r="F3" s="120"/>
      <c r="G3" s="120"/>
      <c r="H3" s="122" t="s">
        <v>55</v>
      </c>
    </row>
    <row r="4" spans="1:8" ht="12.75" x14ac:dyDescent="0.2">
      <c r="B4" s="120"/>
      <c r="C4" s="120"/>
      <c r="D4" s="120"/>
      <c r="E4" s="120"/>
      <c r="F4" s="120"/>
      <c r="G4" s="120"/>
      <c r="H4" s="122"/>
    </row>
    <row r="5" spans="1:8" ht="12.75" x14ac:dyDescent="0.2">
      <c r="A5" s="120" t="s">
        <v>59</v>
      </c>
      <c r="B5" s="120"/>
      <c r="C5" s="120"/>
      <c r="D5" s="120"/>
      <c r="E5" s="120"/>
      <c r="F5" s="120"/>
      <c r="G5" s="120"/>
      <c r="H5" s="122"/>
    </row>
    <row r="6" spans="1:8" ht="14.25" customHeight="1" thickBot="1" x14ac:dyDescent="0.25">
      <c r="A6" s="99"/>
    </row>
    <row r="7" spans="1:8" ht="16.5" customHeight="1" x14ac:dyDescent="0.2">
      <c r="A7" s="100"/>
      <c r="B7" s="101"/>
      <c r="C7" s="3"/>
      <c r="D7" s="3"/>
      <c r="E7" s="3"/>
      <c r="F7" s="3"/>
      <c r="G7" s="3"/>
      <c r="H7" s="123"/>
    </row>
    <row r="8" spans="1:8" ht="12.75" customHeight="1" x14ac:dyDescent="0.2">
      <c r="A8" s="102" t="s">
        <v>11</v>
      </c>
      <c r="B8" s="103"/>
      <c r="C8" s="7"/>
      <c r="D8" s="7"/>
      <c r="E8" s="7"/>
      <c r="F8" s="7"/>
      <c r="G8" s="7"/>
      <c r="H8" s="124"/>
    </row>
    <row r="9" spans="1:8" x14ac:dyDescent="0.2">
      <c r="A9" s="102" t="s">
        <v>33</v>
      </c>
      <c r="B9" s="103"/>
      <c r="C9" s="78" t="s">
        <v>3</v>
      </c>
      <c r="D9" s="77"/>
      <c r="E9" s="77"/>
      <c r="F9" s="77" t="s">
        <v>5</v>
      </c>
      <c r="G9" s="77"/>
      <c r="H9" s="125"/>
    </row>
    <row r="10" spans="1:8" x14ac:dyDescent="0.2">
      <c r="A10" s="104"/>
      <c r="B10" s="105"/>
      <c r="C10" s="5" t="s">
        <v>4</v>
      </c>
      <c r="D10" s="6" t="s">
        <v>2</v>
      </c>
      <c r="E10" s="6" t="s">
        <v>1</v>
      </c>
      <c r="F10" s="5" t="s">
        <v>4</v>
      </c>
      <c r="G10" s="6" t="s">
        <v>2</v>
      </c>
      <c r="H10" s="126" t="s">
        <v>1</v>
      </c>
    </row>
    <row r="11" spans="1:8" x14ac:dyDescent="0.2">
      <c r="A11" s="106"/>
      <c r="B11" s="107"/>
      <c r="C11" s="108"/>
      <c r="D11" s="37" t="s">
        <v>10</v>
      </c>
      <c r="E11" s="37" t="s">
        <v>9</v>
      </c>
      <c r="F11" s="108"/>
      <c r="G11" s="37" t="s">
        <v>9</v>
      </c>
      <c r="H11" s="127" t="s">
        <v>9</v>
      </c>
    </row>
    <row r="12" spans="1:8" ht="11.25" customHeight="1" x14ac:dyDescent="0.2">
      <c r="A12" s="11" t="s">
        <v>57</v>
      </c>
      <c r="B12" s="29" t="s">
        <v>13</v>
      </c>
      <c r="C12" s="131">
        <f>'WAF Res &amp; Com'!U52</f>
        <v>384.25</v>
      </c>
      <c r="D12" s="58">
        <f t="shared" ref="D12:D33" si="0">E12/C12</f>
        <v>1127.8855535487098</v>
      </c>
      <c r="E12" s="58">
        <f>'WAF Res &amp; Com'!G52</f>
        <v>433390.02395109175</v>
      </c>
      <c r="F12" s="65">
        <f>'WAF Res &amp; Com'!AA52</f>
        <v>92</v>
      </c>
      <c r="G12" s="58">
        <f t="shared" ref="G12:G33" si="1">H12/F12</f>
        <v>7495.0717636566324</v>
      </c>
      <c r="H12" s="132">
        <f>'WAF Res &amp; Com'!M52</f>
        <v>689546.60225641017</v>
      </c>
    </row>
    <row r="13" spans="1:8" ht="11.25" customHeight="1" x14ac:dyDescent="0.2">
      <c r="A13" s="8"/>
      <c r="B13" s="29" t="s">
        <v>14</v>
      </c>
      <c r="C13" s="131">
        <f>'WAF Res &amp; Com'!U53</f>
        <v>383.75</v>
      </c>
      <c r="D13" s="58">
        <f t="shared" si="0"/>
        <v>927.7151148266405</v>
      </c>
      <c r="E13" s="58">
        <f>'WAF Res &amp; Com'!G53</f>
        <v>356010.67531472328</v>
      </c>
      <c r="F13" s="65">
        <f>'WAF Res &amp; Com'!AA53</f>
        <v>92</v>
      </c>
      <c r="G13" s="58">
        <f t="shared" si="1"/>
        <v>7100.7532084726854</v>
      </c>
      <c r="H13" s="132">
        <f>'WAF Res &amp; Com'!M53</f>
        <v>653269.29517948709</v>
      </c>
    </row>
    <row r="14" spans="1:8" ht="11.25" customHeight="1" x14ac:dyDescent="0.2">
      <c r="A14" s="8"/>
      <c r="B14" s="29" t="s">
        <v>15</v>
      </c>
      <c r="C14" s="131">
        <f>'WAF Res &amp; Com'!U54</f>
        <v>382.625</v>
      </c>
      <c r="D14" s="58">
        <f t="shared" si="0"/>
        <v>922.88755728873582</v>
      </c>
      <c r="E14" s="58">
        <f>'WAF Res &amp; Com'!G54</f>
        <v>353119.85160760256</v>
      </c>
      <c r="F14" s="65">
        <f>'WAF Res &amp; Com'!AA54</f>
        <v>91</v>
      </c>
      <c r="G14" s="58">
        <f t="shared" si="1"/>
        <v>6802.1307536630038</v>
      </c>
      <c r="H14" s="132">
        <f>'WAF Res &amp; Com'!M54</f>
        <v>618993.89858333336</v>
      </c>
    </row>
    <row r="15" spans="1:8" ht="11.25" customHeight="1" x14ac:dyDescent="0.2">
      <c r="A15" s="8"/>
      <c r="B15" s="29" t="s">
        <v>16</v>
      </c>
      <c r="C15" s="131">
        <f>'WAF Res &amp; Com'!U55</f>
        <v>383.5</v>
      </c>
      <c r="D15" s="58">
        <f t="shared" si="0"/>
        <v>799.87095094707172</v>
      </c>
      <c r="E15" s="58">
        <f>'WAF Res &amp; Com'!G55</f>
        <v>306750.509688202</v>
      </c>
      <c r="F15" s="65">
        <f>'WAF Res &amp; Com'!AA55</f>
        <v>93</v>
      </c>
      <c r="G15" s="58">
        <f t="shared" si="1"/>
        <v>6672.1651845878132</v>
      </c>
      <c r="H15" s="132">
        <f>'WAF Res &amp; Com'!M55</f>
        <v>620511.36216666666</v>
      </c>
    </row>
    <row r="16" spans="1:8" ht="11.25" customHeight="1" x14ac:dyDescent="0.2">
      <c r="A16" s="8"/>
      <c r="B16" s="29" t="s">
        <v>17</v>
      </c>
      <c r="C16" s="131">
        <f>'WAF Res &amp; Com'!U56</f>
        <v>386.5</v>
      </c>
      <c r="D16" s="58">
        <f t="shared" si="0"/>
        <v>616.96295498152381</v>
      </c>
      <c r="E16" s="58">
        <f>'WAF Res &amp; Com'!G56</f>
        <v>238456.18210035894</v>
      </c>
      <c r="F16" s="65">
        <f>'WAF Res &amp; Com'!AA56</f>
        <v>89</v>
      </c>
      <c r="G16" s="58">
        <f t="shared" si="1"/>
        <v>6618.6879005788214</v>
      </c>
      <c r="H16" s="132">
        <f>'WAF Res &amp; Com'!M56</f>
        <v>589063.22315151512</v>
      </c>
    </row>
    <row r="17" spans="1:8" ht="11.25" customHeight="1" x14ac:dyDescent="0.2">
      <c r="A17" s="8"/>
      <c r="B17" s="29" t="s">
        <v>18</v>
      </c>
      <c r="C17" s="131">
        <f>'WAF Res &amp; Com'!U57</f>
        <v>386</v>
      </c>
      <c r="D17" s="58">
        <f t="shared" si="0"/>
        <v>523.21225278486145</v>
      </c>
      <c r="E17" s="58">
        <f>'WAF Res &amp; Com'!G57</f>
        <v>201959.92957495654</v>
      </c>
      <c r="F17" s="65">
        <f>'WAF Res &amp; Com'!AA57</f>
        <v>89</v>
      </c>
      <c r="G17" s="58">
        <f t="shared" si="1"/>
        <v>9764.2114606741579</v>
      </c>
      <c r="H17" s="132">
        <f>'WAF Res &amp; Com'!M57</f>
        <v>869014.82000000007</v>
      </c>
    </row>
    <row r="18" spans="1:8" ht="11.25" customHeight="1" x14ac:dyDescent="0.2">
      <c r="A18" s="8"/>
      <c r="B18" s="29" t="s">
        <v>19</v>
      </c>
      <c r="C18" s="131">
        <f>'WAF Res &amp; Com'!U58</f>
        <v>387.75</v>
      </c>
      <c r="D18" s="58">
        <f t="shared" si="0"/>
        <v>498.02154650104609</v>
      </c>
      <c r="E18" s="58">
        <f>'WAF Res &amp; Com'!G58</f>
        <v>193107.85465578063</v>
      </c>
      <c r="F18" s="65">
        <f>'WAF Res &amp; Com'!AA58</f>
        <v>89</v>
      </c>
      <c r="G18" s="58">
        <f t="shared" si="1"/>
        <v>11820.295580524344</v>
      </c>
      <c r="H18" s="132">
        <f>'WAF Res &amp; Com'!M58</f>
        <v>1052006.3066666666</v>
      </c>
    </row>
    <row r="19" spans="1:8" ht="11.25" customHeight="1" x14ac:dyDescent="0.2">
      <c r="A19" s="8"/>
      <c r="B19" s="29" t="s">
        <v>20</v>
      </c>
      <c r="C19" s="131">
        <f>'WAF Res &amp; Com'!U59</f>
        <v>387.75</v>
      </c>
      <c r="D19" s="58">
        <f t="shared" si="0"/>
        <v>426.26805847347907</v>
      </c>
      <c r="E19" s="58">
        <f>'WAF Res &amp; Com'!G59</f>
        <v>165285.43967309152</v>
      </c>
      <c r="F19" s="65">
        <f>'WAF Res &amp; Com'!AA59+2</f>
        <v>91</v>
      </c>
      <c r="G19" s="58">
        <f t="shared" si="1"/>
        <v>11835.758666666667</v>
      </c>
      <c r="H19" s="132">
        <f>'WAF Res &amp; Com'!M59</f>
        <v>1077054.0386666667</v>
      </c>
    </row>
    <row r="20" spans="1:8" ht="11.25" customHeight="1" x14ac:dyDescent="0.2">
      <c r="A20" s="8"/>
      <c r="B20" s="29" t="s">
        <v>21</v>
      </c>
      <c r="C20" s="131">
        <f>'WAF Res &amp; Com'!U60</f>
        <v>390</v>
      </c>
      <c r="D20" s="58">
        <f t="shared" si="0"/>
        <v>498.65553225167901</v>
      </c>
      <c r="E20" s="58">
        <f>'WAF Res &amp; Com'!G60</f>
        <v>194475.65757815482</v>
      </c>
      <c r="F20" s="65">
        <f>'WAF Res &amp; Com'!AA60+2</f>
        <v>91</v>
      </c>
      <c r="G20" s="58">
        <f t="shared" si="1"/>
        <v>14414.490240426245</v>
      </c>
      <c r="H20" s="132">
        <f>'WAF Res &amp; Com'!M60</f>
        <v>1311718.6118787883</v>
      </c>
    </row>
    <row r="21" spans="1:8" ht="11.25" customHeight="1" x14ac:dyDescent="0.2">
      <c r="A21" s="8"/>
      <c r="B21" s="29" t="s">
        <v>22</v>
      </c>
      <c r="C21" s="131">
        <f>'WAF Res &amp; Com'!U61</f>
        <v>386.625</v>
      </c>
      <c r="D21" s="58">
        <f t="shared" si="0"/>
        <v>604.68840288396075</v>
      </c>
      <c r="E21" s="58">
        <f>'WAF Res &amp; Com'!G61</f>
        <v>233787.65376501132</v>
      </c>
      <c r="F21" s="65">
        <f>'WAF Res &amp; Com'!AA61+2</f>
        <v>91</v>
      </c>
      <c r="G21" s="58">
        <f t="shared" si="1"/>
        <v>13830.00396232339</v>
      </c>
      <c r="H21" s="132">
        <f>'WAF Res &amp; Com'!M61</f>
        <v>1258530.3605714284</v>
      </c>
    </row>
    <row r="22" spans="1:8" ht="11.25" customHeight="1" x14ac:dyDescent="0.2">
      <c r="A22" s="8"/>
      <c r="B22" s="29" t="s">
        <v>23</v>
      </c>
      <c r="C22" s="131">
        <f>'WAF Res &amp; Com'!U62</f>
        <v>386.875</v>
      </c>
      <c r="D22" s="58">
        <f t="shared" si="0"/>
        <v>702.92874035011096</v>
      </c>
      <c r="E22" s="58">
        <f>'WAF Res &amp; Com'!G62</f>
        <v>271945.55642294919</v>
      </c>
      <c r="F22" s="65">
        <f>'WAF Res &amp; Com'!AA62+2</f>
        <v>95</v>
      </c>
      <c r="G22" s="58">
        <f t="shared" si="1"/>
        <v>5777.4834385964896</v>
      </c>
      <c r="H22" s="132">
        <f>'WAF Res &amp; Com'!M62</f>
        <v>548860.92666666652</v>
      </c>
    </row>
    <row r="23" spans="1:8" ht="11.25" customHeight="1" x14ac:dyDescent="0.2">
      <c r="A23" s="8"/>
      <c r="B23" s="29" t="s">
        <v>24</v>
      </c>
      <c r="C23" s="131">
        <f>'WAF Res &amp; Com'!U63</f>
        <v>385</v>
      </c>
      <c r="D23" s="58">
        <f t="shared" si="0"/>
        <v>913.20366168381383</v>
      </c>
      <c r="E23" s="58">
        <f>'WAF Res &amp; Com'!G63</f>
        <v>351583.40974826831</v>
      </c>
      <c r="F23" s="65">
        <f>'WAF Res &amp; Com'!AA63+2</f>
        <v>95</v>
      </c>
      <c r="G23" s="58">
        <f t="shared" si="1"/>
        <v>9560.3445995552283</v>
      </c>
      <c r="H23" s="132">
        <f>'WAF Res &amp; Com'!M63</f>
        <v>908232.73695774667</v>
      </c>
    </row>
    <row r="24" spans="1:8" x14ac:dyDescent="0.2">
      <c r="A24" s="11" t="s">
        <v>58</v>
      </c>
      <c r="B24" s="29" t="s">
        <v>13</v>
      </c>
      <c r="C24" s="131">
        <f>'WAF Res &amp; Com'!U64</f>
        <v>385.625</v>
      </c>
      <c r="D24" s="58">
        <f t="shared" si="0"/>
        <v>1098.9624482632812</v>
      </c>
      <c r="E24" s="58">
        <f>'WAF Res &amp; Com'!G64</f>
        <v>423787.39411152783</v>
      </c>
      <c r="F24" s="65">
        <f>'WAF Res &amp; Com'!AA64+1</f>
        <v>93</v>
      </c>
      <c r="G24" s="58">
        <f t="shared" si="1"/>
        <v>7405.6381980737069</v>
      </c>
      <c r="H24" s="132">
        <f>'WAF Res &amp; Com'!M64</f>
        <v>688724.35242085473</v>
      </c>
    </row>
    <row r="25" spans="1:8" ht="11.25" customHeight="1" x14ac:dyDescent="0.2">
      <c r="A25" s="8"/>
      <c r="B25" s="29" t="s">
        <v>14</v>
      </c>
      <c r="C25" s="131">
        <f>'WAF Res &amp; Com'!U65</f>
        <v>383.625</v>
      </c>
      <c r="D25" s="58">
        <f t="shared" si="0"/>
        <v>973.23379920377681</v>
      </c>
      <c r="E25" s="58">
        <f>'WAF Res &amp; Com'!G65</f>
        <v>373356.81621954887</v>
      </c>
      <c r="F25" s="65">
        <f>'WAF Res &amp; Com'!AA65+1</f>
        <v>93</v>
      </c>
      <c r="G25" s="58">
        <f t="shared" si="1"/>
        <v>7044.3394621689195</v>
      </c>
      <c r="H25" s="132">
        <f>'WAF Res &amp; Com'!M65</f>
        <v>655123.56998170947</v>
      </c>
    </row>
    <row r="26" spans="1:8" ht="11.25" customHeight="1" x14ac:dyDescent="0.2">
      <c r="A26" s="8"/>
      <c r="B26" s="29" t="s">
        <v>15</v>
      </c>
      <c r="C26" s="131">
        <f>'WAF Res &amp; Com'!U66</f>
        <v>382.9375</v>
      </c>
      <c r="D26" s="58">
        <f t="shared" si="0"/>
        <v>931.81281053868918</v>
      </c>
      <c r="E26" s="58">
        <f>'WAF Res &amp; Com'!G66</f>
        <v>356826.06813565927</v>
      </c>
      <c r="F26" s="65">
        <f>'WAF Res &amp; Com'!AA66+1</f>
        <v>92</v>
      </c>
      <c r="G26" s="58">
        <f t="shared" si="1"/>
        <v>6750.3079407125606</v>
      </c>
      <c r="H26" s="132">
        <f>'WAF Res &amp; Com'!M66</f>
        <v>621028.33054555557</v>
      </c>
    </row>
    <row r="27" spans="1:8" ht="11.25" customHeight="1" x14ac:dyDescent="0.2">
      <c r="A27" s="8"/>
      <c r="B27" s="29" t="s">
        <v>16</v>
      </c>
      <c r="C27" s="131">
        <f>'WAF Res &amp; Com'!U67</f>
        <v>384</v>
      </c>
      <c r="D27" s="58">
        <f t="shared" si="0"/>
        <v>777.26931920319976</v>
      </c>
      <c r="E27" s="58">
        <f>'WAF Res &amp; Com'!G67</f>
        <v>298471.41857402871</v>
      </c>
      <c r="F27" s="65">
        <f>'WAF Res &amp; Com'!AA67+1</f>
        <v>94</v>
      </c>
      <c r="G27" s="58">
        <f t="shared" si="1"/>
        <v>6552.8228681087485</v>
      </c>
      <c r="H27" s="132">
        <f>'WAF Res &amp; Com'!M67</f>
        <v>615965.34960222233</v>
      </c>
    </row>
    <row r="28" spans="1:8" ht="11.25" customHeight="1" x14ac:dyDescent="0.2">
      <c r="A28" s="8"/>
      <c r="B28" s="29" t="s">
        <v>17</v>
      </c>
      <c r="C28" s="131">
        <f>'WAF Res &amp; Com'!U68</f>
        <v>386.75</v>
      </c>
      <c r="D28" s="58">
        <f t="shared" si="0"/>
        <v>612.35160669348602</v>
      </c>
      <c r="E28" s="58">
        <f>'WAF Res &amp; Com'!G68</f>
        <v>236826.98388870573</v>
      </c>
      <c r="F28" s="65">
        <f>'WAF Res &amp; Com'!AA68+1</f>
        <v>90</v>
      </c>
      <c r="G28" s="58">
        <f t="shared" si="1"/>
        <v>6563.6999930662168</v>
      </c>
      <c r="H28" s="132">
        <f>'WAF Res &amp; Com'!M68</f>
        <v>590732.99937595951</v>
      </c>
    </row>
    <row r="29" spans="1:8" ht="11.25" customHeight="1" x14ac:dyDescent="0.2">
      <c r="A29" s="8"/>
      <c r="B29" s="29" t="s">
        <v>18</v>
      </c>
      <c r="C29" s="131">
        <f>'WAF Res &amp; Com'!U69</f>
        <v>386.5</v>
      </c>
      <c r="D29" s="58">
        <f t="shared" si="0"/>
        <v>528.9081209098149</v>
      </c>
      <c r="E29" s="58">
        <f>'WAF Res &amp; Com'!G69</f>
        <v>204422.98873164348</v>
      </c>
      <c r="F29" s="65">
        <f>'WAF Res &amp; Com'!AA69+1</f>
        <v>90</v>
      </c>
      <c r="G29" s="58">
        <f t="shared" si="1"/>
        <v>9652.9110546913598</v>
      </c>
      <c r="H29" s="132">
        <f>'WAF Res &amp; Com'!M69</f>
        <v>868761.99492222245</v>
      </c>
    </row>
    <row r="30" spans="1:8" ht="11.25" customHeight="1" x14ac:dyDescent="0.2">
      <c r="A30" s="8"/>
      <c r="B30" s="29" t="s">
        <v>19</v>
      </c>
      <c r="C30" s="131">
        <f>'WAF Res &amp; Com'!U70</f>
        <v>388.375</v>
      </c>
      <c r="D30" s="58">
        <f t="shared" si="0"/>
        <v>489.32456779961046</v>
      </c>
      <c r="E30" s="58">
        <f>'WAF Res &amp; Com'!G70</f>
        <v>190041.42901917372</v>
      </c>
      <c r="F30" s="65">
        <f>'WAF Res &amp; Com'!AA70+1</f>
        <v>90</v>
      </c>
      <c r="G30" s="58">
        <f t="shared" si="1"/>
        <v>11691.539582222222</v>
      </c>
      <c r="H30" s="132">
        <f>'WAF Res &amp; Com'!M70</f>
        <v>1052238.5623999999</v>
      </c>
    </row>
    <row r="31" spans="1:8" ht="11.25" customHeight="1" x14ac:dyDescent="0.2">
      <c r="A31" s="8"/>
      <c r="B31" s="29" t="s">
        <v>20</v>
      </c>
      <c r="C31" s="131">
        <f>'WAF Res &amp; Com'!U71</f>
        <v>388.125</v>
      </c>
      <c r="D31" s="58">
        <f t="shared" si="0"/>
        <v>428.78832940597351</v>
      </c>
      <c r="E31" s="58">
        <f>'WAF Res &amp; Com'!G71</f>
        <v>166423.47035069347</v>
      </c>
      <c r="F31" s="65">
        <f>'WAF Res &amp; Com'!AA71+1</f>
        <v>90</v>
      </c>
      <c r="G31" s="58">
        <f t="shared" si="1"/>
        <v>11963.712392814814</v>
      </c>
      <c r="H31" s="132">
        <f>'WAF Res &amp; Com'!M71</f>
        <v>1076734.1153533333</v>
      </c>
    </row>
    <row r="32" spans="1:8" ht="11.25" customHeight="1" x14ac:dyDescent="0.2">
      <c r="A32" s="8"/>
      <c r="B32" s="29" t="s">
        <v>21</v>
      </c>
      <c r="C32" s="131">
        <f>'WAF Res &amp; Com'!U72</f>
        <v>390.875</v>
      </c>
      <c r="D32" s="58">
        <f t="shared" si="0"/>
        <v>485.48060184918523</v>
      </c>
      <c r="E32" s="58">
        <f>'WAF Res &amp; Com'!G72</f>
        <v>189762.23024780027</v>
      </c>
      <c r="F32" s="65">
        <f>'WAF Res &amp; Com'!AA72+1</f>
        <v>90</v>
      </c>
      <c r="G32" s="58">
        <f t="shared" si="1"/>
        <v>14560.792683048261</v>
      </c>
      <c r="H32" s="132">
        <f>'WAF Res &amp; Com'!M72</f>
        <v>1310471.3414743436</v>
      </c>
    </row>
    <row r="33" spans="1:8" ht="11.25" customHeight="1" x14ac:dyDescent="0.2">
      <c r="A33" s="8"/>
      <c r="B33" s="29" t="s">
        <v>22</v>
      </c>
      <c r="C33" s="131">
        <f>'WAF Res &amp; Com'!U73</f>
        <v>389.625</v>
      </c>
      <c r="D33" s="58">
        <f t="shared" si="0"/>
        <v>622.16959570982885</v>
      </c>
      <c r="E33" s="58">
        <f>'WAF Res &amp; Com'!G73</f>
        <v>242412.82872844208</v>
      </c>
      <c r="F33" s="65">
        <f>'WAF Res &amp; Com'!AA73+1</f>
        <v>90</v>
      </c>
      <c r="G33" s="58">
        <f t="shared" si="1"/>
        <v>13984.076414102296</v>
      </c>
      <c r="H33" s="132">
        <f>'WAF Res &amp; Com'!M73</f>
        <v>1258566.8772692066</v>
      </c>
    </row>
    <row r="34" spans="1:8" ht="11.25" customHeight="1" x14ac:dyDescent="0.2">
      <c r="A34" s="8"/>
      <c r="B34" s="29" t="s">
        <v>23</v>
      </c>
      <c r="C34" s="131">
        <f>'WAF Res &amp; Com'!U74</f>
        <v>386.5625</v>
      </c>
      <c r="D34" s="58">
        <f t="shared" ref="D34:D35" si="2">E34/C34</f>
        <v>704.69487557516879</v>
      </c>
      <c r="E34" s="58">
        <f>'WAF Res &amp; Com'!G74</f>
        <v>272408.61283952621</v>
      </c>
      <c r="F34" s="65">
        <f>'WAF Res &amp; Com'!AA74+1</f>
        <v>94</v>
      </c>
      <c r="G34" s="58">
        <f t="shared" ref="G34:G35" si="3">H34/F34</f>
        <v>5847.7785695035445</v>
      </c>
      <c r="H34" s="132">
        <f>'WAF Res &amp; Com'!M74</f>
        <v>549691.18553333322</v>
      </c>
    </row>
    <row r="35" spans="1:8" ht="11.25" customHeight="1" thickBot="1" x14ac:dyDescent="0.25">
      <c r="A35" s="113"/>
      <c r="B35" s="133" t="s">
        <v>24</v>
      </c>
      <c r="C35" s="134">
        <f>'WAF Res &amp; Com'!U75</f>
        <v>386.6875</v>
      </c>
      <c r="D35" s="135">
        <f t="shared" si="2"/>
        <v>929.37540643746104</v>
      </c>
      <c r="E35" s="135">
        <f>'WAF Res &amp; Com'!G75</f>
        <v>359377.85247678572</v>
      </c>
      <c r="F35" s="136">
        <f>'WAF Res &amp; Com'!AA75+1</f>
        <v>94</v>
      </c>
      <c r="G35" s="135">
        <f t="shared" si="3"/>
        <v>9670.0790690067606</v>
      </c>
      <c r="H35" s="137">
        <f>'WAF Res &amp; Com'!M75</f>
        <v>908987.43248663552</v>
      </c>
    </row>
  </sheetData>
  <mergeCells count="6">
    <mergeCell ref="A10:B10"/>
    <mergeCell ref="C9:E9"/>
    <mergeCell ref="F9:H9"/>
    <mergeCell ref="A7:B7"/>
    <mergeCell ref="A8:B8"/>
    <mergeCell ref="A9:B9"/>
  </mergeCells>
  <phoneticPr fontId="0" type="noConversion"/>
  <printOptions horizontalCentered="1"/>
  <pageMargins left="0" right="0.15748031496062992" top="0.98425196850393704" bottom="0.98425196850393704" header="0.51181102362204722" footer="0.51181102362204722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H33"/>
  <sheetViews>
    <sheetView tabSelected="1" view="pageBreakPreview" zoomScale="115" zoomScaleNormal="100" zoomScaleSheetLayoutView="115" workbookViewId="0">
      <selection activeCell="G13" sqref="G13"/>
    </sheetView>
  </sheetViews>
  <sheetFormatPr defaultColWidth="9.140625" defaultRowHeight="11.25" x14ac:dyDescent="0.2"/>
  <cols>
    <col min="1" max="1" width="7.7109375" style="4" customWidth="1"/>
    <col min="2" max="2" width="11.42578125" style="4" customWidth="1"/>
    <col min="3" max="3" width="7.28515625" style="4" customWidth="1"/>
    <col min="4" max="4" width="9" style="4" customWidth="1"/>
    <col min="5" max="5" width="11.28515625" style="4" customWidth="1"/>
    <col min="6" max="6" width="5.7109375" style="4" customWidth="1"/>
    <col min="7" max="7" width="10" style="4" customWidth="1"/>
    <col min="8" max="8" width="11" style="4" customWidth="1"/>
    <col min="9" max="9" width="5.7109375" style="4" customWidth="1"/>
    <col min="10" max="16384" width="9.140625" style="4"/>
  </cols>
  <sheetData>
    <row r="1" spans="1:8" ht="12.75" x14ac:dyDescent="0.2">
      <c r="B1" s="120"/>
      <c r="C1" s="120"/>
      <c r="D1" s="120"/>
      <c r="E1" s="120"/>
      <c r="F1" s="120"/>
      <c r="G1" s="120"/>
      <c r="H1" s="121" t="s">
        <v>53</v>
      </c>
    </row>
    <row r="2" spans="1:8" ht="12.75" x14ac:dyDescent="0.2">
      <c r="B2" s="120"/>
      <c r="C2" s="120"/>
      <c r="D2" s="120"/>
      <c r="E2" s="120"/>
      <c r="F2" s="120"/>
      <c r="G2" s="120"/>
      <c r="H2" s="121" t="s">
        <v>54</v>
      </c>
    </row>
    <row r="3" spans="1:8" ht="12.75" x14ac:dyDescent="0.2">
      <c r="B3" s="120"/>
      <c r="C3" s="120"/>
      <c r="D3" s="120"/>
      <c r="E3" s="120"/>
      <c r="F3" s="120"/>
      <c r="G3" s="120"/>
      <c r="H3" s="122" t="s">
        <v>55</v>
      </c>
    </row>
    <row r="4" spans="1:8" ht="12.75" x14ac:dyDescent="0.2">
      <c r="B4" s="120"/>
      <c r="C4" s="120"/>
      <c r="D4" s="120"/>
      <c r="E4" s="120"/>
      <c r="F4" s="120"/>
      <c r="G4" s="120"/>
      <c r="H4" s="122"/>
    </row>
    <row r="5" spans="1:8" ht="13.5" thickBot="1" x14ac:dyDescent="0.25">
      <c r="A5" s="120" t="s">
        <v>59</v>
      </c>
      <c r="B5" s="120"/>
      <c r="C5" s="120"/>
      <c r="D5" s="120"/>
      <c r="E5" s="120"/>
      <c r="F5" s="120"/>
      <c r="G5" s="120"/>
      <c r="H5" s="122"/>
    </row>
    <row r="6" spans="1:8" ht="12.75" customHeight="1" x14ac:dyDescent="0.2">
      <c r="A6" s="97" t="s">
        <v>35</v>
      </c>
      <c r="B6" s="98"/>
      <c r="C6" s="98"/>
      <c r="D6" s="3"/>
      <c r="E6" s="3"/>
      <c r="F6" s="3"/>
      <c r="G6" s="3"/>
      <c r="H6" s="123"/>
    </row>
    <row r="7" spans="1:8" ht="12.75" x14ac:dyDescent="0.2">
      <c r="A7" s="34"/>
      <c r="B7" s="23"/>
      <c r="C7" s="76" t="s">
        <v>3</v>
      </c>
      <c r="D7" s="76"/>
      <c r="E7" s="76"/>
      <c r="F7" s="77" t="s">
        <v>5</v>
      </c>
      <c r="G7" s="77"/>
      <c r="H7" s="125"/>
    </row>
    <row r="8" spans="1:8" x14ac:dyDescent="0.2">
      <c r="A8" s="17"/>
      <c r="B8" s="24"/>
      <c r="C8" s="25" t="s">
        <v>4</v>
      </c>
      <c r="D8" s="26" t="s">
        <v>2</v>
      </c>
      <c r="E8" s="26" t="s">
        <v>1</v>
      </c>
      <c r="F8" s="5" t="s">
        <v>4</v>
      </c>
      <c r="G8" s="6" t="s">
        <v>2</v>
      </c>
      <c r="H8" s="126" t="s">
        <v>1</v>
      </c>
    </row>
    <row r="9" spans="1:8" x14ac:dyDescent="0.2">
      <c r="A9" s="8"/>
      <c r="B9" s="7"/>
      <c r="C9" s="7"/>
      <c r="D9" s="5" t="s">
        <v>10</v>
      </c>
      <c r="E9" s="5" t="s">
        <v>9</v>
      </c>
      <c r="F9" s="7"/>
      <c r="G9" s="5" t="s">
        <v>9</v>
      </c>
      <c r="H9" s="138" t="s">
        <v>9</v>
      </c>
    </row>
    <row r="10" spans="1:8" collapsed="1" x14ac:dyDescent="0.2">
      <c r="A10" s="10" t="s">
        <v>57</v>
      </c>
      <c r="B10" s="18" t="s">
        <v>13</v>
      </c>
      <c r="C10" s="41">
        <f>+Mayo!C50+'Dawson with hydro'!C50+'N Klondike Hwy'!C50</f>
        <v>1215</v>
      </c>
      <c r="D10" s="41">
        <f t="shared" ref="D10:D21" si="0">E10/C10</f>
        <v>1098.5732902340781</v>
      </c>
      <c r="E10" s="45">
        <f>+Mayo!E50+'Dawson with hydro'!E50+'N Klondike Hwy'!E50</f>
        <v>1334766.5476344049</v>
      </c>
      <c r="F10" s="41">
        <f>+Mayo!F50+'Dawson with hydro'!F50+'N Klondike Hwy'!F50</f>
        <v>363.33333333333331</v>
      </c>
      <c r="G10" s="41">
        <f t="shared" ref="G10:G21" si="1">H10/F10</f>
        <v>3922.0249993650264</v>
      </c>
      <c r="H10" s="139">
        <f>+Mayo!H50+'Dawson with hydro'!H50+'N Klondike Hwy'!H50</f>
        <v>1425002.4164359595</v>
      </c>
    </row>
    <row r="11" spans="1:8" x14ac:dyDescent="0.2">
      <c r="A11" s="11"/>
      <c r="B11" s="18" t="s">
        <v>14</v>
      </c>
      <c r="C11" s="41">
        <f>+Mayo!C51+'Dawson with hydro'!C51+'N Klondike Hwy'!C51</f>
        <v>1213</v>
      </c>
      <c r="D11" s="41">
        <f t="shared" si="0"/>
        <v>871.28519728075946</v>
      </c>
      <c r="E11" s="45">
        <f>+Mayo!E51+'Dawson with hydro'!E51+'N Klondike Hwy'!E51</f>
        <v>1056868.9443015612</v>
      </c>
      <c r="F11" s="41">
        <f>+Mayo!F51+'Dawson with hydro'!F51+'N Klondike Hwy'!F51</f>
        <v>362</v>
      </c>
      <c r="G11" s="41">
        <f t="shared" si="1"/>
        <v>3509.1030507554306</v>
      </c>
      <c r="H11" s="139">
        <f>+Mayo!H51+'Dawson with hydro'!H51+'N Klondike Hwy'!H51</f>
        <v>1270295.3043734659</v>
      </c>
    </row>
    <row r="12" spans="1:8" x14ac:dyDescent="0.2">
      <c r="A12" s="11"/>
      <c r="B12" s="18" t="s">
        <v>15</v>
      </c>
      <c r="C12" s="41">
        <f>+Mayo!C52+'Dawson with hydro'!C52+'N Klondike Hwy'!C52</f>
        <v>1212</v>
      </c>
      <c r="D12" s="41">
        <f t="shared" si="0"/>
        <v>849.11991555153668</v>
      </c>
      <c r="E12" s="45">
        <f>+Mayo!E52+'Dawson with hydro'!E52+'N Klondike Hwy'!E52</f>
        <v>1029133.3376484624</v>
      </c>
      <c r="F12" s="41">
        <f>+Mayo!F52+'Dawson with hydro'!F52+'N Klondike Hwy'!F52</f>
        <v>364.66666666666669</v>
      </c>
      <c r="G12" s="41">
        <f t="shared" si="1"/>
        <v>3556.1372066621707</v>
      </c>
      <c r="H12" s="139">
        <f>+Mayo!H52+'Dawson with hydro'!H52+'N Klondike Hwy'!H52</f>
        <v>1296804.701362805</v>
      </c>
    </row>
    <row r="13" spans="1:8" x14ac:dyDescent="0.2">
      <c r="A13" s="11"/>
      <c r="B13" s="18" t="s">
        <v>16</v>
      </c>
      <c r="C13" s="41">
        <f>+Mayo!C53+'Dawson with hydro'!C53+'N Klondike Hwy'!C53</f>
        <v>1228</v>
      </c>
      <c r="D13" s="41">
        <f t="shared" si="0"/>
        <v>718.01292366202028</v>
      </c>
      <c r="E13" s="45">
        <f>+Mayo!E53+'Dawson with hydro'!E53+'N Klondike Hwy'!E53</f>
        <v>881719.87025696097</v>
      </c>
      <c r="F13" s="41">
        <f>+Mayo!F53+'Dawson with hydro'!F53+'N Klondike Hwy'!F53</f>
        <v>374.33333333333337</v>
      </c>
      <c r="G13" s="41">
        <f t="shared" si="1"/>
        <v>3353.606592855193</v>
      </c>
      <c r="H13" s="139">
        <f>+Mayo!H53+'Dawson with hydro'!H53+'N Klondike Hwy'!H53</f>
        <v>1255366.7345921274</v>
      </c>
    </row>
    <row r="14" spans="1:8" x14ac:dyDescent="0.2">
      <c r="A14" s="11"/>
      <c r="B14" s="18" t="s">
        <v>17</v>
      </c>
      <c r="C14" s="41">
        <f>+Mayo!C54+'Dawson with hydro'!C54+'N Klondike Hwy'!C54</f>
        <v>1249</v>
      </c>
      <c r="D14" s="41">
        <f t="shared" si="0"/>
        <v>552.46179211040521</v>
      </c>
      <c r="E14" s="45">
        <f>+Mayo!E54+'Dawson with hydro'!E54+'N Klondike Hwy'!E54</f>
        <v>690024.77834589616</v>
      </c>
      <c r="F14" s="41">
        <f>+Mayo!F54+'Dawson with hydro'!F54+'N Klondike Hwy'!F54</f>
        <v>420.66666666666663</v>
      </c>
      <c r="G14" s="41">
        <f t="shared" si="1"/>
        <v>2744.4635326929902</v>
      </c>
      <c r="H14" s="139">
        <f>+Mayo!H54+'Dawson with hydro'!H54+'N Klondike Hwy'!H54</f>
        <v>1154504.3260861845</v>
      </c>
    </row>
    <row r="15" spans="1:8" x14ac:dyDescent="0.2">
      <c r="A15" s="11"/>
      <c r="B15" s="18" t="s">
        <v>18</v>
      </c>
      <c r="C15" s="41">
        <f>+Mayo!C55+'Dawson with hydro'!C55+'N Klondike Hwy'!C55</f>
        <v>1250</v>
      </c>
      <c r="D15" s="41">
        <f t="shared" si="0"/>
        <v>520.40684247344586</v>
      </c>
      <c r="E15" s="45">
        <f>+Mayo!E55+'Dawson with hydro'!E55+'N Klondike Hwy'!E55</f>
        <v>650508.55309180729</v>
      </c>
      <c r="F15" s="41">
        <f>+Mayo!F55+'Dawson with hydro'!F55+'N Klondike Hwy'!F55</f>
        <v>429.5</v>
      </c>
      <c r="G15" s="41">
        <f t="shared" si="1"/>
        <v>2853.6297362408677</v>
      </c>
      <c r="H15" s="139">
        <f>+Mayo!H55+'Dawson with hydro'!H55+'N Klondike Hwy'!H55</f>
        <v>1225633.9717154526</v>
      </c>
    </row>
    <row r="16" spans="1:8" x14ac:dyDescent="0.2">
      <c r="A16" s="11"/>
      <c r="B16" s="18" t="s">
        <v>19</v>
      </c>
      <c r="C16" s="41">
        <f>+Mayo!C56+'Dawson with hydro'!C56+'N Klondike Hwy'!C56</f>
        <v>1257</v>
      </c>
      <c r="D16" s="41">
        <f t="shared" si="0"/>
        <v>495.87092368989067</v>
      </c>
      <c r="E16" s="45">
        <f>+Mayo!E56+'Dawson with hydro'!E56+'N Klondike Hwy'!E56</f>
        <v>623309.75107819261</v>
      </c>
      <c r="F16" s="41">
        <f>+Mayo!F56+'Dawson with hydro'!F56+'N Klondike Hwy'!F56</f>
        <v>431.83333333333331</v>
      </c>
      <c r="G16" s="41">
        <f t="shared" si="1"/>
        <v>3063.8529305262141</v>
      </c>
      <c r="H16" s="139">
        <f>+Mayo!H56+'Dawson with hydro'!H56+'N Klondike Hwy'!H56</f>
        <v>1323073.8238322367</v>
      </c>
    </row>
    <row r="17" spans="1:8" x14ac:dyDescent="0.2">
      <c r="A17" s="11"/>
      <c r="B17" s="18" t="s">
        <v>20</v>
      </c>
      <c r="C17" s="41">
        <f>+Mayo!C57+'Dawson with hydro'!C57+'N Klondike Hwy'!C57</f>
        <v>1260</v>
      </c>
      <c r="D17" s="41">
        <f t="shared" si="0"/>
        <v>465.44388095254311</v>
      </c>
      <c r="E17" s="45">
        <f>+Mayo!E57+'Dawson with hydro'!E57+'N Klondike Hwy'!E57</f>
        <v>586459.29000020435</v>
      </c>
      <c r="F17" s="41">
        <f>+Mayo!F57+'Dawson with hydro'!F57+'N Klondike Hwy'!F57</f>
        <v>432.5</v>
      </c>
      <c r="G17" s="41">
        <f>H17/F17</f>
        <v>2812.7365061092314</v>
      </c>
      <c r="H17" s="139">
        <f>+Mayo!H57+'Dawson with hydro'!H57+'N Klondike Hwy'!H57</f>
        <v>1216508.5388922426</v>
      </c>
    </row>
    <row r="18" spans="1:8" x14ac:dyDescent="0.2">
      <c r="A18" s="11"/>
      <c r="B18" s="18" t="s">
        <v>21</v>
      </c>
      <c r="C18" s="41">
        <f>+Mayo!C58+'Dawson with hydro'!C58+'N Klondike Hwy'!C58</f>
        <v>1256.72</v>
      </c>
      <c r="D18" s="41">
        <f t="shared" si="0"/>
        <v>592.44491387561368</v>
      </c>
      <c r="E18" s="45">
        <f>+Mayo!E58+'Dawson with hydro'!E58+'N Klondike Hwy'!E58</f>
        <v>744537.37216576131</v>
      </c>
      <c r="F18" s="41">
        <f>+Mayo!F58+'Dawson with hydro'!F58+'N Klondike Hwy'!F58</f>
        <v>432.83333333333331</v>
      </c>
      <c r="G18" s="41">
        <f t="shared" si="1"/>
        <v>3167.1391926214778</v>
      </c>
      <c r="H18" s="139">
        <f>+Mayo!H58+'Dawson with hydro'!H58+'N Klondike Hwy'!H58</f>
        <v>1370843.4138729963</v>
      </c>
    </row>
    <row r="19" spans="1:8" x14ac:dyDescent="0.2">
      <c r="A19" s="11"/>
      <c r="B19" s="18" t="s">
        <v>22</v>
      </c>
      <c r="C19" s="41">
        <f>+Mayo!C59+'Dawson with hydro'!C59+'N Klondike Hwy'!C59</f>
        <v>1249.72</v>
      </c>
      <c r="D19" s="41">
        <f t="shared" si="0"/>
        <v>616.79060708645773</v>
      </c>
      <c r="E19" s="45">
        <f>+Mayo!E59+'Dawson with hydro'!E59+'N Klondike Hwy'!E59</f>
        <v>770815.55748808803</v>
      </c>
      <c r="F19" s="41">
        <f>+Mayo!F59+'Dawson with hydro'!F59+'N Klondike Hwy'!F59</f>
        <v>410.16666666666669</v>
      </c>
      <c r="G19" s="41">
        <f t="shared" si="1"/>
        <v>2745.6743275380836</v>
      </c>
      <c r="H19" s="139">
        <f>+Mayo!H59+'Dawson with hydro'!H59+'N Klondike Hwy'!H59</f>
        <v>1126184.0866785373</v>
      </c>
    </row>
    <row r="20" spans="1:8" x14ac:dyDescent="0.2">
      <c r="A20" s="11"/>
      <c r="B20" s="18" t="s">
        <v>23</v>
      </c>
      <c r="C20" s="41">
        <f>+Mayo!C60+'Dawson with hydro'!C60+'N Klondike Hwy'!C60</f>
        <v>1231.3932353533332</v>
      </c>
      <c r="D20" s="41">
        <f t="shared" si="0"/>
        <v>721.26609975386828</v>
      </c>
      <c r="E20" s="45">
        <f>+Mayo!E60+'Dawson with hydro'!E60+'N Klondike Hwy'!E60</f>
        <v>888162.19612659584</v>
      </c>
      <c r="F20" s="41">
        <f>+Mayo!F60+'Dawson with hydro'!F60+'N Klondike Hwy'!F60</f>
        <v>380.33333333333331</v>
      </c>
      <c r="G20" s="41">
        <f t="shared" si="1"/>
        <v>3077.2537888876172</v>
      </c>
      <c r="H20" s="139">
        <f>+Mayo!H60+'Dawson with hydro'!H60+'N Klondike Hwy'!H60</f>
        <v>1170382.191040257</v>
      </c>
    </row>
    <row r="21" spans="1:8" x14ac:dyDescent="0.2">
      <c r="A21" s="11"/>
      <c r="B21" s="18" t="s">
        <v>24</v>
      </c>
      <c r="C21" s="41">
        <f>+Mayo!C61+'Dawson with hydro'!C61+'N Klondike Hwy'!C61</f>
        <v>1233.0766666666666</v>
      </c>
      <c r="D21" s="41">
        <f t="shared" si="0"/>
        <v>864.27921049657664</v>
      </c>
      <c r="E21" s="45">
        <f>+Mayo!E61+'Dawson with hydro'!E61+'N Klondike Hwy'!E61</f>
        <v>1065722.527948417</v>
      </c>
      <c r="F21" s="41">
        <f>+Mayo!F61+'Dawson with hydro'!F61+'N Klondike Hwy'!F61</f>
        <v>376.33333333333331</v>
      </c>
      <c r="G21" s="41">
        <f t="shared" si="1"/>
        <v>3418.9021781488923</v>
      </c>
      <c r="H21" s="139">
        <f>+Mayo!H61+'Dawson with hydro'!H61+'N Klondike Hwy'!H61</f>
        <v>1286646.8530433665</v>
      </c>
    </row>
    <row r="22" spans="1:8" x14ac:dyDescent="0.2">
      <c r="A22" s="10" t="s">
        <v>58</v>
      </c>
      <c r="B22" s="18" t="s">
        <v>13</v>
      </c>
      <c r="C22" s="41">
        <f>+Mayo!C62+'Dawson with hydro'!C62+'N Klondike Hwy'!C62</f>
        <v>1224.5540000000001</v>
      </c>
      <c r="D22" s="41">
        <f t="shared" ref="D22:D33" si="2">E22/C22</f>
        <v>1073.7526108596703</v>
      </c>
      <c r="E22" s="45">
        <f>+Mayo!E62+'Dawson with hydro'!E62+'N Klondike Hwy'!E62</f>
        <v>1314868.0546386528</v>
      </c>
      <c r="F22" s="41">
        <f>+Mayo!F62+'Dawson with hydro'!F62+'N Klondike Hwy'!F62</f>
        <v>363.66666666666669</v>
      </c>
      <c r="G22" s="41">
        <f t="shared" ref="G22:G33" si="3">H22/F22</f>
        <v>3987.199527853059</v>
      </c>
      <c r="H22" s="139">
        <f>+Mayo!H62+'Dawson with hydro'!H62+'N Klondike Hwy'!H62</f>
        <v>1450011.5616292292</v>
      </c>
    </row>
    <row r="23" spans="1:8" x14ac:dyDescent="0.2">
      <c r="A23" s="11"/>
      <c r="B23" s="18" t="s">
        <v>14</v>
      </c>
      <c r="C23" s="41">
        <f>+Mayo!C63+'Dawson with hydro'!C63+'N Klondike Hwy'!C63</f>
        <v>1222.5540000000001</v>
      </c>
      <c r="D23" s="41">
        <f t="shared" si="2"/>
        <v>882.74844169993537</v>
      </c>
      <c r="E23" s="45">
        <f>+Mayo!E63+'Dawson with hydro'!E63+'N Klondike Hwy'!E63</f>
        <v>1079207.6383940228</v>
      </c>
      <c r="F23" s="41">
        <f>+Mayo!F63+'Dawson with hydro'!F63+'N Klondike Hwy'!F63</f>
        <v>361.44444444444446</v>
      </c>
      <c r="G23" s="41">
        <f t="shared" si="3"/>
        <v>3493.4593703456744</v>
      </c>
      <c r="H23" s="139">
        <f>+Mayo!H63+'Dawson with hydro'!H63+'N Klondike Hwy'!H63</f>
        <v>1262691.4813038311</v>
      </c>
    </row>
    <row r="24" spans="1:8" x14ac:dyDescent="0.2">
      <c r="A24" s="11"/>
      <c r="B24" s="18" t="s">
        <v>15</v>
      </c>
      <c r="C24" s="41">
        <f>+Mayo!C64+'Dawson with hydro'!C64+'N Klondike Hwy'!C64</f>
        <v>1221.5520000000001</v>
      </c>
      <c r="D24" s="41">
        <f t="shared" si="2"/>
        <v>817.17128560695323</v>
      </c>
      <c r="E24" s="45">
        <f>+Mayo!E64+'Dawson with hydro'!E64+'N Klondike Hwy'!E64</f>
        <v>998217.21827574505</v>
      </c>
      <c r="F24" s="41">
        <f>+Mayo!F64+'Dawson with hydro'!F64+'N Klondike Hwy'!F64</f>
        <v>365</v>
      </c>
      <c r="G24" s="41">
        <f t="shared" si="3"/>
        <v>3519.5977368027311</v>
      </c>
      <c r="H24" s="139">
        <f>+Mayo!H64+'Dawson with hydro'!H64+'N Klondike Hwy'!H64</f>
        <v>1284653.1739329968</v>
      </c>
    </row>
    <row r="25" spans="1:8" x14ac:dyDescent="0.2">
      <c r="A25" s="11"/>
      <c r="B25" s="18" t="s">
        <v>16</v>
      </c>
      <c r="C25" s="41">
        <f>+Mayo!C65+'Dawson with hydro'!C65+'N Klondike Hwy'!C65</f>
        <v>1237.5520000000001</v>
      </c>
      <c r="D25" s="41">
        <f t="shared" si="2"/>
        <v>725.78312759785342</v>
      </c>
      <c r="E25" s="45">
        <f>+Mayo!E65+'Dawson with hydro'!E65+'N Klondike Hwy'!E65</f>
        <v>898194.36112497887</v>
      </c>
      <c r="F25" s="41">
        <f>+Mayo!F65+'Dawson with hydro'!F65+'N Klondike Hwy'!F65</f>
        <v>374.22222222222223</v>
      </c>
      <c r="G25" s="41">
        <f t="shared" si="3"/>
        <v>3424.0676794303249</v>
      </c>
      <c r="H25" s="139">
        <f>+Mayo!H65+'Dawson with hydro'!H65+'N Klondike Hwy'!H65</f>
        <v>1281362.2160357039</v>
      </c>
    </row>
    <row r="26" spans="1:8" x14ac:dyDescent="0.2">
      <c r="A26" s="11"/>
      <c r="B26" s="18" t="s">
        <v>17</v>
      </c>
      <c r="C26" s="41">
        <f>+Mayo!C66+'Dawson with hydro'!C66+'N Klondike Hwy'!C66</f>
        <v>1259.5540000000001</v>
      </c>
      <c r="D26" s="41">
        <f t="shared" si="2"/>
        <v>541.33946640166391</v>
      </c>
      <c r="E26" s="45">
        <f>+Mayo!E66+'Dawson with hydro'!E66+'N Klondike Hwy'!E66</f>
        <v>681846.29026408144</v>
      </c>
      <c r="F26" s="41">
        <f>+Mayo!F66+'Dawson with hydro'!F66+'N Klondike Hwy'!F66</f>
        <v>419.72222222222223</v>
      </c>
      <c r="G26" s="41">
        <f t="shared" si="3"/>
        <v>2658.2789452461602</v>
      </c>
      <c r="H26" s="139">
        <f>+Mayo!H66+'Dawson with hydro'!H66+'N Klondike Hwy'!H66</f>
        <v>1115738.7461852634</v>
      </c>
    </row>
    <row r="27" spans="1:8" x14ac:dyDescent="0.2">
      <c r="A27" s="11"/>
      <c r="B27" s="18" t="s">
        <v>18</v>
      </c>
      <c r="C27" s="41">
        <f>+Mayo!C67+'Dawson with hydro'!C67+'N Klondike Hwy'!C67</f>
        <v>1260.55</v>
      </c>
      <c r="D27" s="41">
        <f t="shared" si="2"/>
        <v>515.28733664180982</v>
      </c>
      <c r="E27" s="45">
        <f>+Mayo!E67+'Dawson with hydro'!E67+'N Klondike Hwy'!E67</f>
        <v>649545.45220383338</v>
      </c>
      <c r="F27" s="41">
        <f>+Mayo!F67+'Dawson with hydro'!F67+'N Klondike Hwy'!F67</f>
        <v>430.19444444444446</v>
      </c>
      <c r="G27" s="41">
        <f t="shared" si="3"/>
        <v>2945.0345877883556</v>
      </c>
      <c r="H27" s="139">
        <f>+Mayo!H67+'Dawson with hydro'!H67+'N Klondike Hwy'!H67</f>
        <v>1266937.5183632851</v>
      </c>
    </row>
    <row r="28" spans="1:8" x14ac:dyDescent="0.2">
      <c r="A28" s="11"/>
      <c r="B28" s="18" t="s">
        <v>19</v>
      </c>
      <c r="C28" s="41">
        <f>+Mayo!C68+'Dawson with hydro'!C68+'N Klondike Hwy'!C68</f>
        <v>1267.558</v>
      </c>
      <c r="D28" s="41">
        <f t="shared" si="2"/>
        <v>488.85647303664723</v>
      </c>
      <c r="E28" s="45">
        <f>+Mayo!E68+'Dawson with hydro'!E68+'N Klondike Hwy'!E68</f>
        <v>619653.93324938649</v>
      </c>
      <c r="F28" s="41">
        <f>+Mayo!F68+'Dawson with hydro'!F68+'N Klondike Hwy'!F68</f>
        <v>431.75</v>
      </c>
      <c r="G28" s="41">
        <f t="shared" si="3"/>
        <v>3001.7232522731783</v>
      </c>
      <c r="H28" s="139">
        <f>+Mayo!H68+'Dawson with hydro'!H68+'N Klondike Hwy'!H68</f>
        <v>1295994.0141689447</v>
      </c>
    </row>
    <row r="29" spans="1:8" x14ac:dyDescent="0.2">
      <c r="A29" s="11"/>
      <c r="B29" s="18" t="s">
        <v>20</v>
      </c>
      <c r="C29" s="41">
        <f>+Mayo!C69+'Dawson with hydro'!C69+'N Klondike Hwy'!C69</f>
        <v>1270.558</v>
      </c>
      <c r="D29" s="41">
        <f t="shared" si="2"/>
        <v>468.27193203784736</v>
      </c>
      <c r="E29" s="45">
        <f>+Mayo!E69+'Dawson with hydro'!E69+'N Klondike Hwy'!E69</f>
        <v>594966.64942614327</v>
      </c>
      <c r="F29" s="41">
        <f>+Mayo!F69+'Dawson with hydro'!F69+'N Klondike Hwy'!F69</f>
        <v>433.52777777777777</v>
      </c>
      <c r="G29" s="41">
        <f t="shared" si="3"/>
        <v>2840.7494724998028</v>
      </c>
      <c r="H29" s="139">
        <f>+Mayo!H69+'Dawson with hydro'!H69+'N Klondike Hwy'!H69</f>
        <v>1231543.8060362339</v>
      </c>
    </row>
    <row r="30" spans="1:8" x14ac:dyDescent="0.2">
      <c r="A30" s="11"/>
      <c r="B30" s="18" t="s">
        <v>21</v>
      </c>
      <c r="C30" s="41">
        <f>+Mayo!C70+'Dawson with hydro'!C70+'N Klondike Hwy'!C70</f>
        <v>1269.41372</v>
      </c>
      <c r="D30" s="41">
        <f t="shared" si="2"/>
        <v>599.10316280100608</v>
      </c>
      <c r="E30" s="45">
        <f>+Mayo!E70+'Dawson with hydro'!E70+'N Klondike Hwy'!E70</f>
        <v>760509.7745549907</v>
      </c>
      <c r="F30" s="41">
        <f>+Mayo!F70+'Dawson with hydro'!F70+'N Klondike Hwy'!F70</f>
        <v>432.75</v>
      </c>
      <c r="G30" s="41">
        <f t="shared" si="3"/>
        <v>3224.8087034842088</v>
      </c>
      <c r="H30" s="139">
        <f>+Mayo!H70+'Dawson with hydro'!H70+'N Klondike Hwy'!H70</f>
        <v>1395535.9664327914</v>
      </c>
    </row>
    <row r="31" spans="1:8" x14ac:dyDescent="0.2">
      <c r="A31" s="11"/>
      <c r="B31" s="18" t="s">
        <v>22</v>
      </c>
      <c r="C31" s="41">
        <f>+Mayo!C71+'Dawson with hydro'!C71+'N Klondike Hwy'!C71</f>
        <v>1260.9107200000001</v>
      </c>
      <c r="D31" s="41">
        <f t="shared" si="2"/>
        <v>623.92436578973627</v>
      </c>
      <c r="E31" s="45">
        <f>+Mayo!E71+'Dawson with hydro'!E71+'N Klondike Hwy'!E71</f>
        <v>786712.92129347974</v>
      </c>
      <c r="F31" s="41">
        <f>+Mayo!F71+'Dawson with hydro'!F71+'N Klondike Hwy'!F71</f>
        <v>411.19444444444446</v>
      </c>
      <c r="G31" s="41">
        <f t="shared" si="3"/>
        <v>2796.3514749369092</v>
      </c>
      <c r="H31" s="139">
        <f>+Mayo!H71+'Dawson with hydro'!H71+'N Klondike Hwy'!H71</f>
        <v>1149844.1912080853</v>
      </c>
    </row>
    <row r="32" spans="1:8" x14ac:dyDescent="0.2">
      <c r="A32" s="11"/>
      <c r="B32" s="18" t="s">
        <v>23</v>
      </c>
      <c r="C32" s="41">
        <f>+Mayo!C72+'Dawson with hydro'!C72+'N Klondike Hwy'!C72</f>
        <v>1243.75301091202</v>
      </c>
      <c r="D32" s="41">
        <f t="shared" si="2"/>
        <v>737.56228400167095</v>
      </c>
      <c r="E32" s="45">
        <f>+Mayo!E72+'Dawson with hydro'!E72+'N Klondike Hwy'!E72</f>
        <v>917345.31146222469</v>
      </c>
      <c r="F32" s="41">
        <f>+Mayo!F72+'Dawson with hydro'!F72+'N Klondike Hwy'!F72</f>
        <v>380.72222222222223</v>
      </c>
      <c r="G32" s="41">
        <f t="shared" si="3"/>
        <v>3130.5122607297249</v>
      </c>
      <c r="H32" s="139">
        <f>+Mayo!H72+'Dawson with hydro'!H72+'N Klondike Hwy'!H72</f>
        <v>1191855.5845989336</v>
      </c>
    </row>
    <row r="33" spans="1:8" ht="12" thickBot="1" x14ac:dyDescent="0.25">
      <c r="A33" s="140"/>
      <c r="B33" s="42" t="s">
        <v>24</v>
      </c>
      <c r="C33" s="141">
        <f>+Mayo!C73+'Dawson with hydro'!C73+'N Klondike Hwy'!C73</f>
        <v>1247.60041</v>
      </c>
      <c r="D33" s="141">
        <f t="shared" si="2"/>
        <v>884.55458373071781</v>
      </c>
      <c r="E33" s="142">
        <f>+Mayo!E73+'Dawson with hydro'!E73+'N Klondike Hwy'!E73</f>
        <v>1103570.6613298228</v>
      </c>
      <c r="F33" s="141">
        <f>+Mayo!F73+'Dawson with hydro'!F73+'N Klondike Hwy'!F73</f>
        <v>377.27777777777777</v>
      </c>
      <c r="G33" s="141">
        <f t="shared" si="3"/>
        <v>3480.3956613797568</v>
      </c>
      <c r="H33" s="143">
        <f>+Mayo!H73+'Dawson with hydro'!H73+'N Klondike Hwy'!H73</f>
        <v>1313075.9409127738</v>
      </c>
    </row>
  </sheetData>
  <mergeCells count="3">
    <mergeCell ref="C7:E7"/>
    <mergeCell ref="F7:H7"/>
    <mergeCell ref="A6:C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H73"/>
  <sheetViews>
    <sheetView view="pageBreakPreview" zoomScale="115" zoomScaleNormal="100" zoomScaleSheetLayoutView="115" workbookViewId="0">
      <selection activeCell="B24" sqref="B24"/>
    </sheetView>
  </sheetViews>
  <sheetFormatPr defaultColWidth="9.140625" defaultRowHeight="11.25" x14ac:dyDescent="0.2"/>
  <cols>
    <col min="1" max="1" width="7.7109375" style="4" customWidth="1"/>
    <col min="2" max="2" width="9.7109375" style="4" customWidth="1"/>
    <col min="3" max="3" width="7.28515625" style="4" customWidth="1"/>
    <col min="4" max="4" width="10" style="4" customWidth="1"/>
    <col min="5" max="5" width="11.140625" style="4" customWidth="1"/>
    <col min="6" max="6" width="8.140625" style="4" customWidth="1"/>
    <col min="7" max="7" width="10.85546875" style="4" customWidth="1"/>
    <col min="8" max="8" width="12.28515625" style="4" customWidth="1"/>
    <col min="9" max="9" width="4.5703125" style="4" customWidth="1"/>
    <col min="10" max="16384" width="9.140625" style="4"/>
  </cols>
  <sheetData>
    <row r="1" spans="1:8" ht="12.75" x14ac:dyDescent="0.2">
      <c r="B1" s="120"/>
      <c r="C1" s="120"/>
      <c r="D1" s="120"/>
      <c r="E1" s="120"/>
      <c r="F1" s="120"/>
      <c r="G1" s="120"/>
      <c r="H1" s="121" t="s">
        <v>53</v>
      </c>
    </row>
    <row r="2" spans="1:8" ht="12.75" x14ac:dyDescent="0.2">
      <c r="B2" s="120"/>
      <c r="C2" s="120"/>
      <c r="D2" s="120"/>
      <c r="E2" s="120"/>
      <c r="F2" s="120"/>
      <c r="G2" s="120"/>
      <c r="H2" s="121" t="s">
        <v>54</v>
      </c>
    </row>
    <row r="3" spans="1:8" ht="12.75" x14ac:dyDescent="0.2">
      <c r="B3" s="120"/>
      <c r="C3" s="120"/>
      <c r="D3" s="120"/>
      <c r="E3" s="120"/>
      <c r="F3" s="120"/>
      <c r="G3" s="120"/>
      <c r="H3" s="122" t="s">
        <v>55</v>
      </c>
    </row>
    <row r="4" spans="1:8" ht="12.75" x14ac:dyDescent="0.2">
      <c r="B4" s="120"/>
      <c r="C4" s="120"/>
      <c r="D4" s="120"/>
      <c r="E4" s="120"/>
      <c r="F4" s="120"/>
      <c r="G4" s="120"/>
      <c r="H4" s="122"/>
    </row>
    <row r="5" spans="1:8" ht="12.75" x14ac:dyDescent="0.2">
      <c r="A5" s="120" t="s">
        <v>59</v>
      </c>
      <c r="B5" s="120"/>
      <c r="C5" s="120"/>
      <c r="D5" s="120"/>
      <c r="E5" s="120"/>
      <c r="F5" s="120"/>
      <c r="G5" s="120"/>
      <c r="H5" s="122"/>
    </row>
    <row r="7" spans="1:8" x14ac:dyDescent="0.2">
      <c r="A7" s="4" t="s">
        <v>56</v>
      </c>
    </row>
    <row r="8" spans="1:8" x14ac:dyDescent="0.2">
      <c r="A8" s="10">
        <v>2017</v>
      </c>
      <c r="B8" s="2"/>
      <c r="C8" s="21">
        <v>1.016</v>
      </c>
      <c r="D8" s="21">
        <v>1.002</v>
      </c>
      <c r="F8" s="35">
        <v>1.006</v>
      </c>
      <c r="G8" s="21">
        <v>0.98699999999999999</v>
      </c>
    </row>
    <row r="9" spans="1:8" ht="12" thickBot="1" x14ac:dyDescent="0.25">
      <c r="A9" s="10">
        <v>2018</v>
      </c>
      <c r="B9" s="2"/>
      <c r="C9" s="21">
        <v>1.01</v>
      </c>
      <c r="D9" s="21">
        <v>1.0043</v>
      </c>
      <c r="F9" s="35">
        <v>1</v>
      </c>
      <c r="G9" s="21">
        <v>1</v>
      </c>
    </row>
    <row r="10" spans="1:8" ht="12.75" customHeight="1" x14ac:dyDescent="0.2">
      <c r="A10" s="39" t="s">
        <v>34</v>
      </c>
      <c r="B10" s="22"/>
      <c r="C10" s="3"/>
      <c r="D10" s="3"/>
      <c r="E10" s="3"/>
      <c r="F10" s="3"/>
      <c r="G10" s="3"/>
      <c r="H10" s="123"/>
    </row>
    <row r="11" spans="1:8" ht="12.75" x14ac:dyDescent="0.2">
      <c r="A11" s="34" t="s">
        <v>52</v>
      </c>
      <c r="B11" s="23"/>
      <c r="C11" s="76" t="s">
        <v>3</v>
      </c>
      <c r="D11" s="76"/>
      <c r="E11" s="76"/>
      <c r="F11" s="77" t="s">
        <v>5</v>
      </c>
      <c r="G11" s="77"/>
      <c r="H11" s="125"/>
    </row>
    <row r="12" spans="1:8" x14ac:dyDescent="0.2">
      <c r="A12" s="17"/>
      <c r="B12" s="24"/>
      <c r="C12" s="25" t="s">
        <v>4</v>
      </c>
      <c r="D12" s="26" t="s">
        <v>2</v>
      </c>
      <c r="E12" s="26" t="s">
        <v>1</v>
      </c>
      <c r="F12" s="5" t="s">
        <v>4</v>
      </c>
      <c r="G12" s="6" t="s">
        <v>2</v>
      </c>
      <c r="H12" s="126" t="s">
        <v>1</v>
      </c>
    </row>
    <row r="13" spans="1:8" x14ac:dyDescent="0.2">
      <c r="A13" s="8"/>
      <c r="B13" s="7"/>
      <c r="C13" s="7"/>
      <c r="D13" s="5" t="s">
        <v>10</v>
      </c>
      <c r="E13" s="5" t="s">
        <v>9</v>
      </c>
      <c r="F13" s="7"/>
      <c r="G13" s="5" t="s">
        <v>9</v>
      </c>
      <c r="H13" s="138" t="s">
        <v>9</v>
      </c>
    </row>
    <row r="14" spans="1:8" x14ac:dyDescent="0.2">
      <c r="A14" s="10">
        <v>2014</v>
      </c>
      <c r="B14" s="18" t="s">
        <v>13</v>
      </c>
      <c r="C14" s="14">
        <v>896</v>
      </c>
      <c r="D14" s="14">
        <f t="shared" ref="D14:D44" si="0">+E14/C14</f>
        <v>1052.2488839285713</v>
      </c>
      <c r="E14" s="14">
        <v>942815</v>
      </c>
      <c r="F14" s="14">
        <v>281</v>
      </c>
      <c r="G14" s="14">
        <f t="shared" ref="G14:G45" si="1">+H14/F14</f>
        <v>3769.5302491103203</v>
      </c>
      <c r="H14" s="144">
        <v>1059238</v>
      </c>
    </row>
    <row r="15" spans="1:8" x14ac:dyDescent="0.2">
      <c r="A15" s="11"/>
      <c r="B15" s="18" t="s">
        <v>14</v>
      </c>
      <c r="C15" s="14">
        <v>898</v>
      </c>
      <c r="D15" s="14">
        <f t="shared" si="0"/>
        <v>735.13251670378622</v>
      </c>
      <c r="E15" s="14">
        <v>660149</v>
      </c>
      <c r="F15" s="14">
        <v>278</v>
      </c>
      <c r="G15" s="14">
        <f t="shared" si="1"/>
        <v>3120.2086330935253</v>
      </c>
      <c r="H15" s="144">
        <v>867418</v>
      </c>
    </row>
    <row r="16" spans="1:8" x14ac:dyDescent="0.2">
      <c r="A16" s="11"/>
      <c r="B16" s="18" t="s">
        <v>15</v>
      </c>
      <c r="C16" s="14">
        <v>893</v>
      </c>
      <c r="D16" s="14">
        <f t="shared" si="0"/>
        <v>867.38409854423287</v>
      </c>
      <c r="E16" s="14">
        <v>774574</v>
      </c>
      <c r="F16" s="14">
        <v>278</v>
      </c>
      <c r="G16" s="14">
        <f t="shared" si="1"/>
        <v>3634.6007194244603</v>
      </c>
      <c r="H16" s="144">
        <v>1010419</v>
      </c>
    </row>
    <row r="17" spans="1:8" x14ac:dyDescent="0.2">
      <c r="A17" s="11"/>
      <c r="B17" s="18" t="s">
        <v>16</v>
      </c>
      <c r="C17" s="14">
        <v>905</v>
      </c>
      <c r="D17" s="14">
        <f t="shared" si="0"/>
        <v>629.68397790055246</v>
      </c>
      <c r="E17" s="14">
        <v>569864</v>
      </c>
      <c r="F17" s="14">
        <v>281</v>
      </c>
      <c r="G17" s="14">
        <f t="shared" si="1"/>
        <v>2884.3523131672596</v>
      </c>
      <c r="H17" s="144">
        <v>810503</v>
      </c>
    </row>
    <row r="18" spans="1:8" x14ac:dyDescent="0.2">
      <c r="A18" s="11"/>
      <c r="B18" s="18" t="s">
        <v>17</v>
      </c>
      <c r="C18" s="14">
        <v>920</v>
      </c>
      <c r="D18" s="14">
        <f t="shared" si="0"/>
        <v>548.97826086956525</v>
      </c>
      <c r="E18" s="14">
        <v>505060</v>
      </c>
      <c r="F18" s="14">
        <v>329</v>
      </c>
      <c r="G18" s="14">
        <f t="shared" si="1"/>
        <v>2480.0547112462004</v>
      </c>
      <c r="H18" s="144">
        <v>815938</v>
      </c>
    </row>
    <row r="19" spans="1:8" x14ac:dyDescent="0.2">
      <c r="A19" s="11"/>
      <c r="B19" s="18" t="s">
        <v>18</v>
      </c>
      <c r="C19" s="14">
        <v>926</v>
      </c>
      <c r="D19" s="14">
        <f t="shared" si="0"/>
        <v>510.63930885529157</v>
      </c>
      <c r="E19" s="14">
        <v>472852</v>
      </c>
      <c r="F19" s="14">
        <v>342</v>
      </c>
      <c r="G19" s="14">
        <f t="shared" si="1"/>
        <v>2723.6023391812864</v>
      </c>
      <c r="H19" s="144">
        <v>931472</v>
      </c>
    </row>
    <row r="20" spans="1:8" x14ac:dyDescent="0.2">
      <c r="A20" s="11"/>
      <c r="B20" s="18" t="s">
        <v>19</v>
      </c>
      <c r="C20" s="14">
        <v>930</v>
      </c>
      <c r="D20" s="14">
        <f t="shared" si="0"/>
        <v>504.04193548387099</v>
      </c>
      <c r="E20" s="14">
        <v>468759</v>
      </c>
      <c r="F20" s="14">
        <v>343</v>
      </c>
      <c r="G20" s="14">
        <f t="shared" si="1"/>
        <v>2937.3002915451893</v>
      </c>
      <c r="H20" s="144">
        <v>1007494</v>
      </c>
    </row>
    <row r="21" spans="1:8" x14ac:dyDescent="0.2">
      <c r="A21" s="11"/>
      <c r="B21" s="18" t="s">
        <v>20</v>
      </c>
      <c r="C21" s="14">
        <v>941</v>
      </c>
      <c r="D21" s="14">
        <f t="shared" si="0"/>
        <v>445.51859723698192</v>
      </c>
      <c r="E21" s="14">
        <v>419233</v>
      </c>
      <c r="F21" s="14">
        <v>342</v>
      </c>
      <c r="G21" s="14">
        <f t="shared" si="1"/>
        <v>2550.6725146198833</v>
      </c>
      <c r="H21" s="144">
        <v>872330</v>
      </c>
    </row>
    <row r="22" spans="1:8" x14ac:dyDescent="0.2">
      <c r="A22" s="11"/>
      <c r="B22" s="18" t="s">
        <v>21</v>
      </c>
      <c r="C22" s="14">
        <v>938</v>
      </c>
      <c r="D22" s="14">
        <f t="shared" si="0"/>
        <v>571.55010660980815</v>
      </c>
      <c r="E22" s="14">
        <v>536114</v>
      </c>
      <c r="F22" s="14">
        <v>342</v>
      </c>
      <c r="G22" s="14">
        <f t="shared" si="1"/>
        <v>3038.4239766081873</v>
      </c>
      <c r="H22" s="144">
        <v>1039141</v>
      </c>
    </row>
    <row r="23" spans="1:8" x14ac:dyDescent="0.2">
      <c r="A23" s="11"/>
      <c r="B23" s="18" t="s">
        <v>22</v>
      </c>
      <c r="C23" s="14">
        <v>938</v>
      </c>
      <c r="D23" s="14">
        <f t="shared" si="0"/>
        <v>526.94562899786786</v>
      </c>
      <c r="E23" s="14">
        <v>494275</v>
      </c>
      <c r="F23" s="14">
        <v>330</v>
      </c>
      <c r="G23" s="14">
        <f t="shared" si="1"/>
        <v>2308.0060606060606</v>
      </c>
      <c r="H23" s="144">
        <v>761642</v>
      </c>
    </row>
    <row r="24" spans="1:8" x14ac:dyDescent="0.2">
      <c r="A24" s="11"/>
      <c r="B24" s="18" t="s">
        <v>23</v>
      </c>
      <c r="C24" s="14">
        <v>912</v>
      </c>
      <c r="D24" s="14">
        <f t="shared" si="0"/>
        <v>626.41228070175441</v>
      </c>
      <c r="E24" s="14">
        <v>571288</v>
      </c>
      <c r="F24" s="14">
        <v>287</v>
      </c>
      <c r="G24" s="14">
        <f t="shared" si="1"/>
        <v>2692.4355400696863</v>
      </c>
      <c r="H24" s="144">
        <v>772729</v>
      </c>
    </row>
    <row r="25" spans="1:8" x14ac:dyDescent="0.2">
      <c r="A25" s="11"/>
      <c r="B25" s="18" t="s">
        <v>24</v>
      </c>
      <c r="C25" s="14">
        <v>899</v>
      </c>
      <c r="D25" s="14">
        <f t="shared" si="0"/>
        <v>740.87208008898779</v>
      </c>
      <c r="E25" s="14">
        <v>666044</v>
      </c>
      <c r="F25" s="14">
        <v>283</v>
      </c>
      <c r="G25" s="14">
        <f t="shared" si="1"/>
        <v>3010.4098939929327</v>
      </c>
      <c r="H25" s="144">
        <v>851946</v>
      </c>
    </row>
    <row r="26" spans="1:8" x14ac:dyDescent="0.2">
      <c r="A26" s="10">
        <v>2015</v>
      </c>
      <c r="B26" s="18" t="s">
        <v>13</v>
      </c>
      <c r="C26" s="71">
        <v>899</v>
      </c>
      <c r="D26" s="14">
        <f t="shared" si="0"/>
        <v>976.20022246941051</v>
      </c>
      <c r="E26" s="71">
        <v>877604</v>
      </c>
      <c r="F26" s="71">
        <v>285</v>
      </c>
      <c r="G26" s="14">
        <f t="shared" si="1"/>
        <v>3610.0736842105262</v>
      </c>
      <c r="H26" s="145">
        <v>1028871</v>
      </c>
    </row>
    <row r="27" spans="1:8" x14ac:dyDescent="0.2">
      <c r="A27" s="11"/>
      <c r="B27" s="18" t="s">
        <v>14</v>
      </c>
      <c r="C27" s="71">
        <v>900</v>
      </c>
      <c r="D27" s="14">
        <f t="shared" si="0"/>
        <v>862.29444444444448</v>
      </c>
      <c r="E27" s="71">
        <v>776065</v>
      </c>
      <c r="F27" s="71">
        <v>286</v>
      </c>
      <c r="G27" s="14">
        <f t="shared" si="1"/>
        <v>3312.5</v>
      </c>
      <c r="H27" s="145">
        <v>947375</v>
      </c>
    </row>
    <row r="28" spans="1:8" x14ac:dyDescent="0.2">
      <c r="A28" s="11"/>
      <c r="B28" s="18" t="s">
        <v>15</v>
      </c>
      <c r="C28" s="71">
        <v>902</v>
      </c>
      <c r="D28" s="14">
        <f t="shared" si="0"/>
        <v>704.7328159645233</v>
      </c>
      <c r="E28" s="71">
        <v>635669</v>
      </c>
      <c r="F28" s="71">
        <v>287</v>
      </c>
      <c r="G28" s="14">
        <f t="shared" si="1"/>
        <v>3021.198606271777</v>
      </c>
      <c r="H28" s="145">
        <v>867084</v>
      </c>
    </row>
    <row r="29" spans="1:8" x14ac:dyDescent="0.2">
      <c r="A29" s="11"/>
      <c r="B29" s="18" t="s">
        <v>16</v>
      </c>
      <c r="C29" s="71">
        <v>913</v>
      </c>
      <c r="D29" s="14">
        <f t="shared" si="0"/>
        <v>679.96714129244253</v>
      </c>
      <c r="E29" s="71">
        <v>620810</v>
      </c>
      <c r="F29" s="71">
        <v>291</v>
      </c>
      <c r="G29" s="14">
        <f t="shared" si="1"/>
        <v>3155.5635738831616</v>
      </c>
      <c r="H29" s="145">
        <v>918269</v>
      </c>
    </row>
    <row r="30" spans="1:8" x14ac:dyDescent="0.2">
      <c r="A30" s="11"/>
      <c r="B30" s="18" t="s">
        <v>17</v>
      </c>
      <c r="C30" s="71">
        <v>936</v>
      </c>
      <c r="D30" s="14">
        <f t="shared" si="0"/>
        <v>492.63141025641028</v>
      </c>
      <c r="E30" s="71">
        <v>461103</v>
      </c>
      <c r="F30" s="71">
        <v>340</v>
      </c>
      <c r="G30" s="14">
        <f t="shared" si="1"/>
        <v>2271.0558823529414</v>
      </c>
      <c r="H30" s="145">
        <v>772159</v>
      </c>
    </row>
    <row r="31" spans="1:8" x14ac:dyDescent="0.2">
      <c r="A31" s="11"/>
      <c r="B31" s="18" t="s">
        <v>18</v>
      </c>
      <c r="C31" s="71">
        <v>942</v>
      </c>
      <c r="D31" s="14">
        <f t="shared" si="0"/>
        <v>462.01804670912952</v>
      </c>
      <c r="E31" s="71">
        <v>435221</v>
      </c>
      <c r="F31" s="71">
        <v>346</v>
      </c>
      <c r="G31" s="14">
        <f t="shared" si="1"/>
        <v>2562.1329479768788</v>
      </c>
      <c r="H31" s="145">
        <v>886498</v>
      </c>
    </row>
    <row r="32" spans="1:8" x14ac:dyDescent="0.2">
      <c r="A32" s="11"/>
      <c r="B32" s="18" t="s">
        <v>19</v>
      </c>
      <c r="C32" s="71">
        <v>950</v>
      </c>
      <c r="D32" s="14">
        <f t="shared" si="0"/>
        <v>475.06631578947366</v>
      </c>
      <c r="E32" s="71">
        <v>451313</v>
      </c>
      <c r="F32" s="71">
        <v>347</v>
      </c>
      <c r="G32" s="14">
        <f t="shared" si="1"/>
        <v>2734.7780979827089</v>
      </c>
      <c r="H32" s="145">
        <v>948968</v>
      </c>
    </row>
    <row r="33" spans="1:8" x14ac:dyDescent="0.2">
      <c r="A33" s="11"/>
      <c r="B33" s="18" t="s">
        <v>20</v>
      </c>
      <c r="C33" s="71">
        <v>953</v>
      </c>
      <c r="D33" s="14">
        <f t="shared" si="0"/>
        <v>443.50052465897164</v>
      </c>
      <c r="E33" s="71">
        <v>422656</v>
      </c>
      <c r="F33" s="71">
        <v>348</v>
      </c>
      <c r="G33" s="14">
        <f t="shared" si="1"/>
        <v>2588.8103448275861</v>
      </c>
      <c r="H33" s="145">
        <v>900906</v>
      </c>
    </row>
    <row r="34" spans="1:8" x14ac:dyDescent="0.2">
      <c r="A34" s="11"/>
      <c r="B34" s="18" t="s">
        <v>21</v>
      </c>
      <c r="C34" s="71">
        <v>953</v>
      </c>
      <c r="D34" s="14">
        <f t="shared" si="0"/>
        <v>586.14900314795386</v>
      </c>
      <c r="E34" s="71">
        <v>558600</v>
      </c>
      <c r="F34" s="71">
        <v>347</v>
      </c>
      <c r="G34" s="14">
        <f t="shared" si="1"/>
        <v>2945.9106628242075</v>
      </c>
      <c r="H34" s="145">
        <v>1022231</v>
      </c>
    </row>
    <row r="35" spans="1:8" x14ac:dyDescent="0.2">
      <c r="A35" s="11"/>
      <c r="B35" s="18" t="s">
        <v>22</v>
      </c>
      <c r="C35" s="71">
        <v>952</v>
      </c>
      <c r="D35" s="14">
        <f t="shared" si="0"/>
        <v>555.19852941176475</v>
      </c>
      <c r="E35" s="71">
        <v>528549</v>
      </c>
      <c r="F35" s="71">
        <v>334</v>
      </c>
      <c r="G35" s="14">
        <f t="shared" si="1"/>
        <v>2465.0838323353291</v>
      </c>
      <c r="H35" s="145">
        <v>823338</v>
      </c>
    </row>
    <row r="36" spans="1:8" x14ac:dyDescent="0.2">
      <c r="A36" s="11"/>
      <c r="B36" s="18" t="s">
        <v>23</v>
      </c>
      <c r="C36" s="71">
        <v>928</v>
      </c>
      <c r="D36" s="14">
        <f t="shared" si="0"/>
        <v>618.99030172413791</v>
      </c>
      <c r="E36" s="71">
        <v>574423</v>
      </c>
      <c r="F36" s="71">
        <v>299</v>
      </c>
      <c r="G36" s="14">
        <f t="shared" si="1"/>
        <v>2627.8963210702341</v>
      </c>
      <c r="H36" s="145">
        <v>785741</v>
      </c>
    </row>
    <row r="37" spans="1:8" x14ac:dyDescent="0.2">
      <c r="A37" s="11"/>
      <c r="B37" s="18" t="s">
        <v>24</v>
      </c>
      <c r="C37" s="71">
        <v>923</v>
      </c>
      <c r="D37" s="14">
        <f t="shared" si="0"/>
        <v>787.42903575297942</v>
      </c>
      <c r="E37" s="71">
        <v>726797</v>
      </c>
      <c r="F37" s="71">
        <v>295</v>
      </c>
      <c r="G37" s="14">
        <f t="shared" si="1"/>
        <v>3063.4677966101694</v>
      </c>
      <c r="H37" s="145">
        <v>903723</v>
      </c>
    </row>
    <row r="38" spans="1:8" x14ac:dyDescent="0.2">
      <c r="A38" s="10">
        <v>2016</v>
      </c>
      <c r="B38" s="18" t="s">
        <v>13</v>
      </c>
      <c r="C38" s="71">
        <v>918</v>
      </c>
      <c r="D38" s="14">
        <f t="shared" si="0"/>
        <v>927.01089324618738</v>
      </c>
      <c r="E38" s="71">
        <v>850996</v>
      </c>
      <c r="F38" s="71">
        <v>289</v>
      </c>
      <c r="G38" s="14">
        <f t="shared" si="1"/>
        <v>3346.1591695501729</v>
      </c>
      <c r="H38" s="145">
        <v>967040</v>
      </c>
    </row>
    <row r="39" spans="1:8" x14ac:dyDescent="0.2">
      <c r="A39" s="11"/>
      <c r="B39" s="18" t="s">
        <v>14</v>
      </c>
      <c r="C39" s="71">
        <v>916</v>
      </c>
      <c r="D39" s="14">
        <f t="shared" si="0"/>
        <v>694.92030567685595</v>
      </c>
      <c r="E39" s="71">
        <v>636547</v>
      </c>
      <c r="F39" s="71">
        <v>288</v>
      </c>
      <c r="G39" s="14">
        <f t="shared" si="1"/>
        <v>2747.5034722222222</v>
      </c>
      <c r="H39" s="145">
        <v>791281</v>
      </c>
    </row>
    <row r="40" spans="1:8" x14ac:dyDescent="0.2">
      <c r="A40" s="11"/>
      <c r="B40" s="18" t="s">
        <v>15</v>
      </c>
      <c r="C40" s="71">
        <v>916</v>
      </c>
      <c r="D40" s="14">
        <f t="shared" si="0"/>
        <v>743.67358078602615</v>
      </c>
      <c r="E40" s="71">
        <v>681205</v>
      </c>
      <c r="F40" s="71">
        <v>291</v>
      </c>
      <c r="G40" s="14">
        <f t="shared" si="1"/>
        <v>2927.9106529209621</v>
      </c>
      <c r="H40" s="145">
        <v>852022</v>
      </c>
    </row>
    <row r="41" spans="1:8" x14ac:dyDescent="0.2">
      <c r="A41" s="11"/>
      <c r="B41" s="18" t="s">
        <v>16</v>
      </c>
      <c r="C41" s="71">
        <v>932</v>
      </c>
      <c r="D41" s="14">
        <f t="shared" si="0"/>
        <v>637</v>
      </c>
      <c r="E41" s="71">
        <v>593684</v>
      </c>
      <c r="F41" s="71">
        <v>299</v>
      </c>
      <c r="G41" s="14">
        <f t="shared" si="1"/>
        <v>2802.7391304347825</v>
      </c>
      <c r="H41" s="145">
        <v>838019</v>
      </c>
    </row>
    <row r="42" spans="1:8" x14ac:dyDescent="0.2">
      <c r="A42" s="11"/>
      <c r="B42" s="18" t="s">
        <v>17</v>
      </c>
      <c r="C42" s="71">
        <v>952</v>
      </c>
      <c r="D42" s="14">
        <f t="shared" si="0"/>
        <v>492.42016806722688</v>
      </c>
      <c r="E42" s="71">
        <v>468784</v>
      </c>
      <c r="F42" s="71">
        <v>344</v>
      </c>
      <c r="G42" s="14">
        <f t="shared" si="1"/>
        <v>2216.0988372093025</v>
      </c>
      <c r="H42" s="145">
        <v>762338</v>
      </c>
    </row>
    <row r="43" spans="1:8" x14ac:dyDescent="0.2">
      <c r="A43" s="11"/>
      <c r="B43" s="18" t="s">
        <v>18</v>
      </c>
      <c r="C43" s="71">
        <v>955</v>
      </c>
      <c r="D43" s="14">
        <f t="shared" si="0"/>
        <v>522.27015706806287</v>
      </c>
      <c r="E43" s="71">
        <v>498768</v>
      </c>
      <c r="F43" s="71">
        <v>355</v>
      </c>
      <c r="G43" s="14">
        <f t="shared" si="1"/>
        <v>2691.7746478873241</v>
      </c>
      <c r="H43" s="145">
        <v>955580</v>
      </c>
    </row>
    <row r="44" spans="1:8" x14ac:dyDescent="0.2">
      <c r="A44" s="11"/>
      <c r="B44" s="18" t="s">
        <v>19</v>
      </c>
      <c r="C44" s="71">
        <v>958</v>
      </c>
      <c r="D44" s="14">
        <f t="shared" si="0"/>
        <v>461.57202505219209</v>
      </c>
      <c r="E44" s="71">
        <v>442186</v>
      </c>
      <c r="F44" s="71">
        <v>357</v>
      </c>
      <c r="G44" s="14">
        <f t="shared" si="1"/>
        <v>2889.280112044818</v>
      </c>
      <c r="H44" s="145">
        <v>1031473</v>
      </c>
    </row>
    <row r="45" spans="1:8" x14ac:dyDescent="0.2">
      <c r="A45" s="11"/>
      <c r="B45" s="18" t="s">
        <v>20</v>
      </c>
      <c r="C45" s="71">
        <v>961</v>
      </c>
      <c r="D45" s="14">
        <f t="shared" ref="D45" si="2">+E45/C45</f>
        <v>466.63579604578564</v>
      </c>
      <c r="E45" s="71">
        <v>448437</v>
      </c>
      <c r="F45" s="71">
        <v>358</v>
      </c>
      <c r="G45" s="14">
        <f t="shared" si="1"/>
        <v>2703.3743016759777</v>
      </c>
      <c r="H45" s="145">
        <v>967808</v>
      </c>
    </row>
    <row r="46" spans="1:8" x14ac:dyDescent="0.2">
      <c r="A46" s="11"/>
      <c r="B46" s="18" t="s">
        <v>21</v>
      </c>
      <c r="C46" s="71">
        <v>962</v>
      </c>
      <c r="D46" s="14">
        <f t="shared" ref="D46:D49" si="3">+E46/C46</f>
        <v>555.6517671517671</v>
      </c>
      <c r="E46" s="71">
        <v>534537</v>
      </c>
      <c r="F46" s="71">
        <v>358</v>
      </c>
      <c r="G46" s="14">
        <f t="shared" ref="G46:G49" si="4">+H46/F46</f>
        <v>3103.5335195530724</v>
      </c>
      <c r="H46" s="145">
        <v>1111065</v>
      </c>
    </row>
    <row r="47" spans="1:8" x14ac:dyDescent="0.2">
      <c r="A47" s="11"/>
      <c r="B47" s="18" t="s">
        <v>22</v>
      </c>
      <c r="C47" s="71">
        <v>955</v>
      </c>
      <c r="D47" s="14">
        <f t="shared" si="3"/>
        <v>596.66596858638741</v>
      </c>
      <c r="E47" s="71">
        <v>569816</v>
      </c>
      <c r="F47" s="71">
        <v>336</v>
      </c>
      <c r="G47" s="14">
        <f t="shared" si="4"/>
        <v>2538.8482142857142</v>
      </c>
      <c r="H47" s="145">
        <v>853053</v>
      </c>
    </row>
    <row r="48" spans="1:8" x14ac:dyDescent="0.2">
      <c r="A48" s="11"/>
      <c r="B48" s="18" t="s">
        <v>23</v>
      </c>
      <c r="C48" s="71">
        <v>935</v>
      </c>
      <c r="D48" s="14">
        <f t="shared" si="3"/>
        <v>729.78395721925131</v>
      </c>
      <c r="E48" s="71">
        <v>682348</v>
      </c>
      <c r="F48" s="71">
        <v>307</v>
      </c>
      <c r="G48" s="14">
        <f t="shared" si="4"/>
        <v>2799.0618892508141</v>
      </c>
      <c r="H48" s="145">
        <v>859312</v>
      </c>
    </row>
    <row r="49" spans="1:8" x14ac:dyDescent="0.2">
      <c r="A49" s="11"/>
      <c r="B49" s="18" t="s">
        <v>24</v>
      </c>
      <c r="C49" s="71">
        <v>936</v>
      </c>
      <c r="D49" s="14">
        <f t="shared" si="3"/>
        <v>845.38888888888891</v>
      </c>
      <c r="E49" s="71">
        <v>791284</v>
      </c>
      <c r="F49" s="71">
        <v>303</v>
      </c>
      <c r="G49" s="14">
        <f t="shared" si="4"/>
        <v>3003.2706270627064</v>
      </c>
      <c r="H49" s="145">
        <v>909991</v>
      </c>
    </row>
    <row r="50" spans="1:8" x14ac:dyDescent="0.2">
      <c r="A50" s="10" t="s">
        <v>57</v>
      </c>
      <c r="B50" s="18" t="s">
        <v>13</v>
      </c>
      <c r="C50" s="60">
        <f>ROUND(C38*$C$8,0)</f>
        <v>933</v>
      </c>
      <c r="D50" s="60">
        <f>(+D38+D26+D14)/3*D$8</f>
        <v>987.1236398811526</v>
      </c>
      <c r="E50" s="60">
        <f t="shared" ref="E50:E73" si="5">+C50*D50</f>
        <v>920986.35600911535</v>
      </c>
      <c r="F50" s="60">
        <f>F38</f>
        <v>289</v>
      </c>
      <c r="G50" s="60">
        <f>(G38+G26+G14)/3*$G$8</f>
        <v>3528.7760608445656</v>
      </c>
      <c r="H50" s="146">
        <f t="shared" ref="H50:H73" si="6">F50*G50</f>
        <v>1019816.2815840795</v>
      </c>
    </row>
    <row r="51" spans="1:8" x14ac:dyDescent="0.2">
      <c r="A51" s="11"/>
      <c r="B51" s="18" t="s">
        <v>14</v>
      </c>
      <c r="C51" s="60">
        <f t="shared" ref="C51:C61" si="7">ROUND(C39*$C$8,0)</f>
        <v>931</v>
      </c>
      <c r="D51" s="60">
        <f t="shared" ref="D51:D61" si="8">(+D39+D27+D15)/3*D$8</f>
        <v>765.64398711957892</v>
      </c>
      <c r="E51" s="60">
        <f t="shared" si="5"/>
        <v>712814.55200832803</v>
      </c>
      <c r="F51" s="60">
        <f t="shared" ref="F51:F73" si="9">F39</f>
        <v>288</v>
      </c>
      <c r="G51" s="60">
        <f t="shared" ref="G51:G61" si="10">(G39+G27+G15)/3*$G$8</f>
        <v>3020.2897826488811</v>
      </c>
      <c r="H51" s="146">
        <f t="shared" si="6"/>
        <v>869843.45740287774</v>
      </c>
    </row>
    <row r="52" spans="1:8" x14ac:dyDescent="0.2">
      <c r="A52" s="11"/>
      <c r="B52" s="18" t="s">
        <v>15</v>
      </c>
      <c r="C52" s="60">
        <f>ROUND(C40*$C$8,0)</f>
        <v>931</v>
      </c>
      <c r="D52" s="60">
        <f t="shared" si="8"/>
        <v>773.47402542845725</v>
      </c>
      <c r="E52" s="60">
        <f t="shared" si="5"/>
        <v>720104.31767389365</v>
      </c>
      <c r="F52" s="60">
        <f t="shared" si="9"/>
        <v>291</v>
      </c>
      <c r="G52" s="60">
        <f t="shared" si="10"/>
        <v>3153.040582965059</v>
      </c>
      <c r="H52" s="146">
        <f t="shared" si="6"/>
        <v>917534.80964283214</v>
      </c>
    </row>
    <row r="53" spans="1:8" x14ac:dyDescent="0.2">
      <c r="A53" s="11"/>
      <c r="B53" s="18" t="s">
        <v>16</v>
      </c>
      <c r="C53" s="60">
        <f t="shared" si="7"/>
        <v>947</v>
      </c>
      <c r="D53" s="60">
        <f t="shared" si="8"/>
        <v>650.18147381046037</v>
      </c>
      <c r="E53" s="60">
        <f t="shared" si="5"/>
        <v>615721.855698506</v>
      </c>
      <c r="F53" s="60">
        <f t="shared" si="9"/>
        <v>299</v>
      </c>
      <c r="G53" s="60">
        <f t="shared" si="10"/>
        <v>2909.2335007526322</v>
      </c>
      <c r="H53" s="146">
        <f t="shared" si="6"/>
        <v>869860.81672503706</v>
      </c>
    </row>
    <row r="54" spans="1:8" x14ac:dyDescent="0.2">
      <c r="A54" s="11"/>
      <c r="B54" s="18" t="s">
        <v>17</v>
      </c>
      <c r="C54" s="60">
        <f t="shared" si="7"/>
        <v>967</v>
      </c>
      <c r="D54" s="60">
        <f t="shared" si="8"/>
        <v>512.36596629052963</v>
      </c>
      <c r="E54" s="60">
        <f t="shared" si="5"/>
        <v>495457.88940294215</v>
      </c>
      <c r="F54" s="60">
        <f t="shared" si="9"/>
        <v>344</v>
      </c>
      <c r="G54" s="60">
        <f t="shared" si="10"/>
        <v>2292.2119027359781</v>
      </c>
      <c r="H54" s="146">
        <f t="shared" si="6"/>
        <v>788520.8945411765</v>
      </c>
    </row>
    <row r="55" spans="1:8" x14ac:dyDescent="0.2">
      <c r="A55" s="11"/>
      <c r="B55" s="18" t="s">
        <v>18</v>
      </c>
      <c r="C55" s="60">
        <f t="shared" si="7"/>
        <v>970</v>
      </c>
      <c r="D55" s="60">
        <f t="shared" si="8"/>
        <v>499.30578921924962</v>
      </c>
      <c r="E55" s="60">
        <f t="shared" si="5"/>
        <v>484326.61554267211</v>
      </c>
      <c r="F55" s="60">
        <f t="shared" si="9"/>
        <v>355</v>
      </c>
      <c r="G55" s="60">
        <f t="shared" si="10"/>
        <v>2624.6007686299658</v>
      </c>
      <c r="H55" s="146">
        <f t="shared" si="6"/>
        <v>931733.27286363789</v>
      </c>
    </row>
    <row r="56" spans="1:8" x14ac:dyDescent="0.2">
      <c r="A56" s="11"/>
      <c r="B56" s="18" t="s">
        <v>19</v>
      </c>
      <c r="C56" s="60">
        <f t="shared" si="7"/>
        <v>973</v>
      </c>
      <c r="D56" s="60">
        <f t="shared" si="8"/>
        <v>481.18721229272927</v>
      </c>
      <c r="E56" s="60">
        <f t="shared" si="5"/>
        <v>468195.15756082558</v>
      </c>
      <c r="F56" s="60">
        <f t="shared" si="9"/>
        <v>357</v>
      </c>
      <c r="G56" s="60">
        <f t="shared" si="10"/>
        <v>2816.6869470174238</v>
      </c>
      <c r="H56" s="146">
        <f t="shared" si="6"/>
        <v>1005557.2400852203</v>
      </c>
    </row>
    <row r="57" spans="1:8" x14ac:dyDescent="0.2">
      <c r="A57" s="11"/>
      <c r="B57" s="18" t="s">
        <v>20</v>
      </c>
      <c r="C57" s="60">
        <f t="shared" si="7"/>
        <v>976</v>
      </c>
      <c r="D57" s="60">
        <f t="shared" si="8"/>
        <v>452.78874259254093</v>
      </c>
      <c r="E57" s="60">
        <f t="shared" si="5"/>
        <v>441921.81277031993</v>
      </c>
      <c r="F57" s="60">
        <f t="shared" si="9"/>
        <v>358</v>
      </c>
      <c r="G57" s="60">
        <f t="shared" si="10"/>
        <v>2580.3000060096138</v>
      </c>
      <c r="H57" s="146">
        <f t="shared" si="6"/>
        <v>923747.40215144167</v>
      </c>
    </row>
    <row r="58" spans="1:8" x14ac:dyDescent="0.2">
      <c r="A58" s="11"/>
      <c r="B58" s="18" t="s">
        <v>21</v>
      </c>
      <c r="C58" s="60">
        <f t="shared" si="7"/>
        <v>977</v>
      </c>
      <c r="D58" s="60">
        <f t="shared" si="8"/>
        <v>572.25919288778277</v>
      </c>
      <c r="E58" s="60">
        <f t="shared" si="5"/>
        <v>559097.23145136377</v>
      </c>
      <c r="F58" s="60">
        <f t="shared" si="9"/>
        <v>358</v>
      </c>
      <c r="G58" s="60">
        <f t="shared" si="10"/>
        <v>2989.9086243062188</v>
      </c>
      <c r="H58" s="146">
        <f t="shared" si="6"/>
        <v>1070387.2875016264</v>
      </c>
    </row>
    <row r="59" spans="1:8" x14ac:dyDescent="0.2">
      <c r="A59" s="11"/>
      <c r="B59" s="18" t="s">
        <v>22</v>
      </c>
      <c r="C59" s="60">
        <f t="shared" si="7"/>
        <v>970</v>
      </c>
      <c r="D59" s="60">
        <f t="shared" si="8"/>
        <v>560.72258241667078</v>
      </c>
      <c r="E59" s="60">
        <f t="shared" si="5"/>
        <v>543900.90494417062</v>
      </c>
      <c r="F59" s="60">
        <f t="shared" si="9"/>
        <v>336</v>
      </c>
      <c r="G59" s="60">
        <f t="shared" si="10"/>
        <v>2405.627637277717</v>
      </c>
      <c r="H59" s="146">
        <f t="shared" si="6"/>
        <v>808290.88612531289</v>
      </c>
    </row>
    <row r="60" spans="1:8" x14ac:dyDescent="0.2">
      <c r="A60" s="11"/>
      <c r="B60" s="18" t="s">
        <v>23</v>
      </c>
      <c r="C60" s="60">
        <f t="shared" si="7"/>
        <v>950</v>
      </c>
      <c r="D60" s="60">
        <f t="shared" si="8"/>
        <v>659.71230424147791</v>
      </c>
      <c r="E60" s="60">
        <f t="shared" si="5"/>
        <v>626726.68902940396</v>
      </c>
      <c r="F60" s="60">
        <f t="shared" si="9"/>
        <v>307</v>
      </c>
      <c r="G60" s="60">
        <f t="shared" si="10"/>
        <v>2671.2805438785513</v>
      </c>
      <c r="H60" s="146">
        <f t="shared" si="6"/>
        <v>820083.12697071524</v>
      </c>
    </row>
    <row r="61" spans="1:8" x14ac:dyDescent="0.2">
      <c r="A61" s="11"/>
      <c r="B61" s="18" t="s">
        <v>24</v>
      </c>
      <c r="C61" s="60">
        <f t="shared" si="7"/>
        <v>951</v>
      </c>
      <c r="D61" s="60">
        <f t="shared" si="8"/>
        <v>792.81246158010595</v>
      </c>
      <c r="E61" s="60">
        <f t="shared" si="5"/>
        <v>753964.65096268081</v>
      </c>
      <c r="F61" s="60">
        <f t="shared" si="9"/>
        <v>303</v>
      </c>
      <c r="G61" s="60">
        <f t="shared" si="10"/>
        <v>2986.3817965120506</v>
      </c>
      <c r="H61" s="146">
        <f t="shared" si="6"/>
        <v>904873.6843431514</v>
      </c>
    </row>
    <row r="62" spans="1:8" x14ac:dyDescent="0.2">
      <c r="A62" s="10" t="s">
        <v>58</v>
      </c>
      <c r="B62" s="18" t="s">
        <v>13</v>
      </c>
      <c r="C62" s="60">
        <f>ROUND(C50*$C$9,0)</f>
        <v>942</v>
      </c>
      <c r="D62" s="60">
        <f>(+D50+D38+D26)/3*D$9</f>
        <v>967.58773168193886</v>
      </c>
      <c r="E62" s="60">
        <f t="shared" si="5"/>
        <v>911467.64324438642</v>
      </c>
      <c r="F62" s="60">
        <f t="shared" si="9"/>
        <v>289</v>
      </c>
      <c r="G62" s="60">
        <f>(G50+G38+G26)/3*$G$9</f>
        <v>3495.0029715350879</v>
      </c>
      <c r="H62" s="146">
        <f t="shared" si="6"/>
        <v>1010055.8587736404</v>
      </c>
    </row>
    <row r="63" spans="1:8" x14ac:dyDescent="0.2">
      <c r="A63" s="11"/>
      <c r="B63" s="18" t="s">
        <v>14</v>
      </c>
      <c r="C63" s="60">
        <f t="shared" ref="C63:C73" si="11">ROUND(C51*$C$9,0)</f>
        <v>940</v>
      </c>
      <c r="D63" s="60">
        <f t="shared" ref="D63:D73" si="12">(+D51+D39+D27)/3*D$9</f>
        <v>777.61567660367166</v>
      </c>
      <c r="E63" s="60">
        <f t="shared" si="5"/>
        <v>730958.73600745131</v>
      </c>
      <c r="F63" s="60">
        <f t="shared" si="9"/>
        <v>288</v>
      </c>
      <c r="G63" s="60">
        <f t="shared" ref="G63:G73" si="13">(G51+G39+G27)/3*$G$9</f>
        <v>3026.7644182903678</v>
      </c>
      <c r="H63" s="146">
        <f t="shared" si="6"/>
        <v>871708.15246762591</v>
      </c>
    </row>
    <row r="64" spans="1:8" x14ac:dyDescent="0.2">
      <c r="A64" s="11"/>
      <c r="B64" s="18" t="s">
        <v>15</v>
      </c>
      <c r="C64" s="60">
        <f>ROUND(C52*$C$9,0)</f>
        <v>940</v>
      </c>
      <c r="D64" s="60">
        <f t="shared" si="12"/>
        <v>743.81150266479222</v>
      </c>
      <c r="E64" s="60">
        <f t="shared" si="5"/>
        <v>699182.81250490469</v>
      </c>
      <c r="F64" s="60">
        <f t="shared" si="9"/>
        <v>291</v>
      </c>
      <c r="G64" s="60">
        <f t="shared" si="13"/>
        <v>3034.0499473859327</v>
      </c>
      <c r="H64" s="146">
        <f t="shared" si="6"/>
        <v>882908.5346893064</v>
      </c>
    </row>
    <row r="65" spans="1:8" x14ac:dyDescent="0.2">
      <c r="A65" s="11"/>
      <c r="B65" s="18" t="s">
        <v>16</v>
      </c>
      <c r="C65" s="60">
        <f t="shared" si="11"/>
        <v>956</v>
      </c>
      <c r="D65" s="60">
        <f t="shared" si="12"/>
        <v>658.53578471594847</v>
      </c>
      <c r="E65" s="60">
        <f t="shared" si="5"/>
        <v>629560.21018844668</v>
      </c>
      <c r="F65" s="60">
        <f t="shared" si="9"/>
        <v>299</v>
      </c>
      <c r="G65" s="60">
        <f t="shared" si="13"/>
        <v>2955.8454016901924</v>
      </c>
      <c r="H65" s="146">
        <f t="shared" si="6"/>
        <v>883797.77510536753</v>
      </c>
    </row>
    <row r="66" spans="1:8" x14ac:dyDescent="0.2">
      <c r="A66" s="11"/>
      <c r="B66" s="18" t="s">
        <v>17</v>
      </c>
      <c r="C66" s="60">
        <f t="shared" si="11"/>
        <v>977</v>
      </c>
      <c r="D66" s="60">
        <f t="shared" si="12"/>
        <v>501.28548001866915</v>
      </c>
      <c r="E66" s="60">
        <f t="shared" si="5"/>
        <v>489755.91397823975</v>
      </c>
      <c r="F66" s="60">
        <f t="shared" si="9"/>
        <v>344</v>
      </c>
      <c r="G66" s="60">
        <f t="shared" si="13"/>
        <v>2259.7888740994072</v>
      </c>
      <c r="H66" s="146">
        <f t="shared" si="6"/>
        <v>777367.37269019603</v>
      </c>
    </row>
    <row r="67" spans="1:8" x14ac:dyDescent="0.2">
      <c r="A67" s="11"/>
      <c r="B67" s="18" t="s">
        <v>18</v>
      </c>
      <c r="C67" s="60">
        <f t="shared" si="11"/>
        <v>980</v>
      </c>
      <c r="D67" s="60">
        <f t="shared" si="12"/>
        <v>496.65781572210886</v>
      </c>
      <c r="E67" s="60">
        <f t="shared" si="5"/>
        <v>486724.65940766671</v>
      </c>
      <c r="F67" s="60">
        <f t="shared" si="9"/>
        <v>355</v>
      </c>
      <c r="G67" s="60">
        <f t="shared" si="13"/>
        <v>2626.1694548313899</v>
      </c>
      <c r="H67" s="146">
        <f t="shared" si="6"/>
        <v>932290.15646514343</v>
      </c>
    </row>
    <row r="68" spans="1:8" x14ac:dyDescent="0.2">
      <c r="A68" s="11"/>
      <c r="B68" s="18" t="s">
        <v>19</v>
      </c>
      <c r="C68" s="60">
        <f t="shared" si="11"/>
        <v>983</v>
      </c>
      <c r="D68" s="60">
        <f t="shared" si="12"/>
        <v>474.64073433762434</v>
      </c>
      <c r="E68" s="60">
        <f t="shared" si="5"/>
        <v>466571.84185388475</v>
      </c>
      <c r="F68" s="60">
        <f t="shared" si="9"/>
        <v>357</v>
      </c>
      <c r="G68" s="60">
        <f t="shared" si="13"/>
        <v>2813.5817190149833</v>
      </c>
      <c r="H68" s="146">
        <f t="shared" si="6"/>
        <v>1004448.6736883491</v>
      </c>
    </row>
    <row r="69" spans="1:8" x14ac:dyDescent="0.2">
      <c r="A69" s="11"/>
      <c r="B69" s="18" t="s">
        <v>20</v>
      </c>
      <c r="C69" s="60">
        <f t="shared" si="11"/>
        <v>986</v>
      </c>
      <c r="D69" s="60">
        <f t="shared" si="12"/>
        <v>456.26188035649216</v>
      </c>
      <c r="E69" s="60">
        <f t="shared" si="5"/>
        <v>449874.21403150127</v>
      </c>
      <c r="F69" s="60">
        <f t="shared" si="9"/>
        <v>358</v>
      </c>
      <c r="G69" s="60">
        <f t="shared" si="13"/>
        <v>2624.1615508377258</v>
      </c>
      <c r="H69" s="146">
        <f t="shared" si="6"/>
        <v>939449.83519990579</v>
      </c>
    </row>
    <row r="70" spans="1:8" x14ac:dyDescent="0.2">
      <c r="A70" s="11"/>
      <c r="B70" s="18" t="s">
        <v>21</v>
      </c>
      <c r="C70" s="60">
        <f t="shared" si="11"/>
        <v>987</v>
      </c>
      <c r="D70" s="60">
        <f t="shared" si="12"/>
        <v>573.81014034307009</v>
      </c>
      <c r="E70" s="60">
        <f t="shared" si="5"/>
        <v>566350.60851861013</v>
      </c>
      <c r="F70" s="60">
        <f t="shared" si="9"/>
        <v>358</v>
      </c>
      <c r="G70" s="60">
        <f t="shared" si="13"/>
        <v>3013.1176022278328</v>
      </c>
      <c r="H70" s="146">
        <f t="shared" si="6"/>
        <v>1078696.1015975641</v>
      </c>
    </row>
    <row r="71" spans="1:8" x14ac:dyDescent="0.2">
      <c r="A71" s="11"/>
      <c r="B71" s="18" t="s">
        <v>22</v>
      </c>
      <c r="C71" s="60">
        <f t="shared" si="11"/>
        <v>980</v>
      </c>
      <c r="D71" s="60">
        <f t="shared" si="12"/>
        <v>573.3170682868689</v>
      </c>
      <c r="E71" s="60">
        <f t="shared" si="5"/>
        <v>561850.72692113149</v>
      </c>
      <c r="F71" s="60">
        <f t="shared" si="9"/>
        <v>336</v>
      </c>
      <c r="G71" s="60">
        <f t="shared" si="13"/>
        <v>2469.8532279662536</v>
      </c>
      <c r="H71" s="146">
        <f t="shared" si="6"/>
        <v>829870.68459666125</v>
      </c>
    </row>
    <row r="72" spans="1:8" x14ac:dyDescent="0.2">
      <c r="A72" s="11"/>
      <c r="B72" s="18" t="s">
        <v>23</v>
      </c>
      <c r="C72" s="60">
        <f t="shared" si="11"/>
        <v>960</v>
      </c>
      <c r="D72" s="60">
        <f t="shared" si="12"/>
        <v>672.37435180218733</v>
      </c>
      <c r="E72" s="60">
        <f t="shared" si="5"/>
        <v>645479.37773009983</v>
      </c>
      <c r="F72" s="60">
        <f t="shared" si="9"/>
        <v>307</v>
      </c>
      <c r="G72" s="60">
        <f t="shared" si="13"/>
        <v>2699.4129180665332</v>
      </c>
      <c r="H72" s="146">
        <f t="shared" si="6"/>
        <v>828719.76584642567</v>
      </c>
    </row>
    <row r="73" spans="1:8" ht="12" thickBot="1" x14ac:dyDescent="0.25">
      <c r="A73" s="140"/>
      <c r="B73" s="42" t="s">
        <v>24</v>
      </c>
      <c r="C73" s="147">
        <f t="shared" si="11"/>
        <v>961</v>
      </c>
      <c r="D73" s="147">
        <f t="shared" si="12"/>
        <v>812.02019896090962</v>
      </c>
      <c r="E73" s="147">
        <f t="shared" si="5"/>
        <v>780351.41120143409</v>
      </c>
      <c r="F73" s="147">
        <f t="shared" si="9"/>
        <v>303</v>
      </c>
      <c r="G73" s="147">
        <f t="shared" si="13"/>
        <v>3017.706740061642</v>
      </c>
      <c r="H73" s="148">
        <f t="shared" si="6"/>
        <v>914365.14223867748</v>
      </c>
    </row>
  </sheetData>
  <mergeCells count="2">
    <mergeCell ref="C11:E11"/>
    <mergeCell ref="F11:H1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Y74"/>
  <sheetViews>
    <sheetView view="pageBreakPreview" zoomScaleNormal="100" zoomScaleSheetLayoutView="100" workbookViewId="0">
      <selection activeCell="B24" sqref="B24"/>
    </sheetView>
  </sheetViews>
  <sheetFormatPr defaultColWidth="9.140625" defaultRowHeight="11.25" x14ac:dyDescent="0.2"/>
  <cols>
    <col min="1" max="1" width="7.7109375" style="4" bestFit="1" customWidth="1"/>
    <col min="2" max="2" width="9.28515625" style="4" customWidth="1"/>
    <col min="3" max="3" width="7.28515625" style="4" customWidth="1"/>
    <col min="4" max="5" width="9" style="4" bestFit="1" customWidth="1"/>
    <col min="6" max="6" width="5.7109375" style="4" customWidth="1"/>
    <col min="7" max="8" width="9" style="4" bestFit="1" customWidth="1"/>
    <col min="9" max="10" width="7.42578125" style="4" bestFit="1" customWidth="1"/>
    <col min="11" max="11" width="9.140625" style="4"/>
    <col min="12" max="13" width="10.7109375" style="4" customWidth="1"/>
    <col min="14" max="14" width="9.28515625" style="4" customWidth="1"/>
    <col min="15" max="15" width="9.140625" style="33"/>
    <col min="16" max="16" width="9.140625" style="4"/>
    <col min="17" max="17" width="2.7109375" style="4" customWidth="1"/>
    <col min="18" max="18" width="11.140625" style="33" bestFit="1" customWidth="1"/>
    <col min="19" max="19" width="9.85546875" style="33" bestFit="1" customWidth="1"/>
    <col min="20" max="20" width="11.140625" style="33" bestFit="1" customWidth="1"/>
    <col min="21" max="21" width="3.140625" style="4" customWidth="1"/>
    <col min="22" max="22" width="9.85546875" style="4" bestFit="1" customWidth="1"/>
    <col min="23" max="23" width="10" style="4" bestFit="1" customWidth="1"/>
    <col min="24" max="24" width="10.85546875" style="4" customWidth="1"/>
    <col min="25" max="25" width="10" style="4" bestFit="1" customWidth="1"/>
    <col min="26" max="16384" width="9.140625" style="4"/>
  </cols>
  <sheetData>
    <row r="1" spans="1:25" ht="12.75" x14ac:dyDescent="0.2">
      <c r="B1" s="120"/>
      <c r="C1" s="120"/>
      <c r="D1" s="120"/>
      <c r="E1" s="120"/>
      <c r="F1" s="120"/>
      <c r="G1" s="120"/>
      <c r="J1" s="121" t="s">
        <v>53</v>
      </c>
      <c r="O1" s="120"/>
      <c r="P1" s="120"/>
      <c r="Q1" s="120"/>
      <c r="R1" s="120"/>
      <c r="S1" s="120"/>
      <c r="T1" s="120"/>
      <c r="X1" s="121" t="s">
        <v>53</v>
      </c>
    </row>
    <row r="2" spans="1:25" ht="12.75" x14ac:dyDescent="0.2">
      <c r="B2" s="120"/>
      <c r="C2" s="120"/>
      <c r="D2" s="120"/>
      <c r="E2" s="120"/>
      <c r="F2" s="120"/>
      <c r="G2" s="120"/>
      <c r="J2" s="121" t="s">
        <v>54</v>
      </c>
      <c r="O2" s="120"/>
      <c r="P2" s="120"/>
      <c r="Q2" s="120"/>
      <c r="R2" s="120"/>
      <c r="S2" s="120"/>
      <c r="T2" s="120"/>
      <c r="X2" s="121" t="s">
        <v>54</v>
      </c>
    </row>
    <row r="3" spans="1:25" ht="12.75" x14ac:dyDescent="0.2">
      <c r="B3" s="120"/>
      <c r="C3" s="120"/>
      <c r="D3" s="120"/>
      <c r="E3" s="120"/>
      <c r="F3" s="120"/>
      <c r="G3" s="120"/>
      <c r="J3" s="122" t="s">
        <v>55</v>
      </c>
      <c r="O3" s="120"/>
      <c r="P3" s="120"/>
      <c r="Q3" s="120"/>
      <c r="R3" s="120"/>
      <c r="S3" s="120"/>
      <c r="T3" s="120"/>
      <c r="X3" s="122" t="s">
        <v>55</v>
      </c>
    </row>
    <row r="4" spans="1:25" ht="12.75" x14ac:dyDescent="0.2">
      <c r="B4" s="120"/>
      <c r="C4" s="120"/>
      <c r="D4" s="120"/>
      <c r="E4" s="120"/>
      <c r="F4" s="120"/>
      <c r="G4" s="120"/>
      <c r="H4" s="122"/>
      <c r="O4" s="120"/>
      <c r="P4" s="120"/>
      <c r="Q4" s="120"/>
      <c r="R4" s="120"/>
      <c r="S4" s="120"/>
      <c r="T4" s="120"/>
      <c r="U4" s="122"/>
    </row>
    <row r="5" spans="1:25" ht="12.75" x14ac:dyDescent="0.2">
      <c r="A5" s="120" t="s">
        <v>59</v>
      </c>
      <c r="B5" s="120"/>
      <c r="C5" s="120"/>
      <c r="D5" s="120"/>
      <c r="E5" s="120"/>
      <c r="F5" s="120"/>
      <c r="G5" s="120"/>
      <c r="H5" s="122"/>
      <c r="N5" s="120" t="s">
        <v>59</v>
      </c>
      <c r="O5" s="120"/>
      <c r="P5" s="120"/>
      <c r="Q5" s="120"/>
      <c r="R5" s="120"/>
      <c r="S5" s="120"/>
      <c r="T5" s="120"/>
      <c r="U5" s="122"/>
    </row>
    <row r="7" spans="1:25" x14ac:dyDescent="0.2">
      <c r="A7" s="19" t="s">
        <v>56</v>
      </c>
      <c r="T7" s="19" t="s">
        <v>56</v>
      </c>
    </row>
    <row r="8" spans="1:25" ht="15" customHeight="1" x14ac:dyDescent="0.2">
      <c r="A8" s="5">
        <v>2017</v>
      </c>
      <c r="B8" s="2"/>
      <c r="C8" s="21">
        <v>1.01</v>
      </c>
      <c r="D8" s="21">
        <v>1</v>
      </c>
      <c r="F8" s="21">
        <v>1</v>
      </c>
      <c r="G8" s="21">
        <v>1</v>
      </c>
      <c r="I8" s="21">
        <v>1</v>
      </c>
      <c r="J8" s="21">
        <v>1</v>
      </c>
      <c r="T8" s="5">
        <v>2017</v>
      </c>
      <c r="V8" s="21">
        <v>1.0049999999999999</v>
      </c>
    </row>
    <row r="9" spans="1:25" ht="15" customHeight="1" thickBot="1" x14ac:dyDescent="0.25">
      <c r="A9" s="5">
        <v>2018</v>
      </c>
      <c r="B9" s="2"/>
      <c r="C9" s="21">
        <v>1.002</v>
      </c>
      <c r="D9" s="21">
        <v>1.0069999999999999</v>
      </c>
      <c r="F9" s="21">
        <v>1</v>
      </c>
      <c r="G9" s="21">
        <v>1.02</v>
      </c>
      <c r="I9" s="21">
        <v>1</v>
      </c>
      <c r="J9" s="21">
        <v>1</v>
      </c>
      <c r="T9" s="5">
        <v>2018</v>
      </c>
      <c r="V9" s="21">
        <v>1</v>
      </c>
    </row>
    <row r="10" spans="1:25" ht="13.15" customHeight="1" x14ac:dyDescent="0.2">
      <c r="A10" s="16" t="s">
        <v>0</v>
      </c>
      <c r="B10" s="22"/>
      <c r="C10" s="3"/>
      <c r="D10" s="3"/>
      <c r="E10" s="3"/>
      <c r="F10" s="3"/>
      <c r="G10" s="3"/>
      <c r="H10" s="3"/>
      <c r="I10" s="3"/>
      <c r="J10" s="123"/>
    </row>
    <row r="11" spans="1:25" ht="12.75" x14ac:dyDescent="0.2">
      <c r="A11" s="34" t="s">
        <v>32</v>
      </c>
      <c r="B11" s="23"/>
      <c r="C11" s="76" t="s">
        <v>3</v>
      </c>
      <c r="D11" s="76"/>
      <c r="E11" s="76"/>
      <c r="F11" s="77" t="s">
        <v>5</v>
      </c>
      <c r="G11" s="77"/>
      <c r="H11" s="77"/>
      <c r="I11" s="74" t="s">
        <v>6</v>
      </c>
      <c r="J11" s="149" t="s">
        <v>7</v>
      </c>
      <c r="W11" s="80" t="s">
        <v>49</v>
      </c>
      <c r="X11" s="80"/>
      <c r="Y11" s="80"/>
    </row>
    <row r="12" spans="1:25" x14ac:dyDescent="0.2">
      <c r="A12" s="17"/>
      <c r="B12" s="24"/>
      <c r="C12" s="25" t="s">
        <v>4</v>
      </c>
      <c r="D12" s="26" t="s">
        <v>2</v>
      </c>
      <c r="E12" s="26" t="s">
        <v>1</v>
      </c>
      <c r="F12" s="5" t="s">
        <v>4</v>
      </c>
      <c r="G12" s="6" t="s">
        <v>2</v>
      </c>
      <c r="H12" s="6" t="s">
        <v>1</v>
      </c>
      <c r="I12" s="6" t="s">
        <v>1</v>
      </c>
      <c r="J12" s="126" t="s">
        <v>1</v>
      </c>
      <c r="V12" s="4" t="s">
        <v>42</v>
      </c>
      <c r="W12" s="75" t="s">
        <v>41</v>
      </c>
      <c r="X12" s="75" t="s">
        <v>62</v>
      </c>
      <c r="Y12" s="75" t="s">
        <v>43</v>
      </c>
    </row>
    <row r="13" spans="1:25" s="51" customFormat="1" ht="33.75" x14ac:dyDescent="0.2">
      <c r="A13" s="53"/>
      <c r="B13" s="54"/>
      <c r="C13" s="54"/>
      <c r="D13" s="52" t="s">
        <v>10</v>
      </c>
      <c r="E13" s="52" t="s">
        <v>9</v>
      </c>
      <c r="F13" s="54"/>
      <c r="G13" s="52" t="s">
        <v>9</v>
      </c>
      <c r="H13" s="52" t="s">
        <v>9</v>
      </c>
      <c r="I13" s="52" t="s">
        <v>9</v>
      </c>
      <c r="J13" s="150" t="s">
        <v>9</v>
      </c>
      <c r="N13" s="51" t="s">
        <v>39</v>
      </c>
      <c r="O13" s="55" t="s">
        <v>60</v>
      </c>
      <c r="P13" s="55" t="s">
        <v>61</v>
      </c>
      <c r="R13" s="55" t="s">
        <v>40</v>
      </c>
      <c r="S13" s="55" t="s">
        <v>62</v>
      </c>
      <c r="T13" s="55" t="s">
        <v>63</v>
      </c>
      <c r="V13" s="51" t="s">
        <v>48</v>
      </c>
      <c r="W13" s="51" t="s">
        <v>48</v>
      </c>
      <c r="X13" s="51" t="s">
        <v>48</v>
      </c>
      <c r="Y13" s="51" t="s">
        <v>48</v>
      </c>
    </row>
    <row r="14" spans="1:25" x14ac:dyDescent="0.2">
      <c r="A14" s="10">
        <v>2014</v>
      </c>
      <c r="B14" s="18" t="s">
        <v>13</v>
      </c>
      <c r="C14" s="14">
        <v>265</v>
      </c>
      <c r="D14" s="14">
        <f t="shared" ref="D14:D45" si="0">+E14/C14</f>
        <v>1622.0264150943397</v>
      </c>
      <c r="E14" s="14">
        <v>429837</v>
      </c>
      <c r="F14" s="14">
        <v>72</v>
      </c>
      <c r="G14" s="14">
        <f t="shared" ref="G14:G45" si="1">+H14/F14</f>
        <v>7318.3888888888887</v>
      </c>
      <c r="H14" s="14">
        <v>526924</v>
      </c>
      <c r="I14" s="28">
        <v>4720</v>
      </c>
      <c r="J14" s="151">
        <v>240</v>
      </c>
      <c r="L14" s="10">
        <v>2014</v>
      </c>
      <c r="M14" s="18" t="s">
        <v>13</v>
      </c>
      <c r="N14" s="15">
        <f>+F14</f>
        <v>72</v>
      </c>
      <c r="O14" s="33">
        <v>-4</v>
      </c>
      <c r="P14" s="15">
        <f>SUM(N14:O14)</f>
        <v>68</v>
      </c>
      <c r="Q14" s="61"/>
      <c r="R14" s="33">
        <f>+H14</f>
        <v>526924</v>
      </c>
      <c r="S14" s="33">
        <f>-X14</f>
        <v>-188100</v>
      </c>
      <c r="T14" s="33">
        <f t="shared" ref="T14:T19" si="2">+R14+S14</f>
        <v>338824</v>
      </c>
      <c r="U14" s="59"/>
      <c r="V14" s="68">
        <f t="shared" ref="V14:V29" si="3">+T14/P14</f>
        <v>4982.7058823529414</v>
      </c>
      <c r="W14" s="68">
        <f t="shared" ref="W14:W18" si="4">+P14*V14</f>
        <v>338824</v>
      </c>
      <c r="X14" s="68">
        <v>188100</v>
      </c>
      <c r="Y14" s="68">
        <f t="shared" ref="Y14:Y19" si="5">+W14+X14</f>
        <v>526924</v>
      </c>
    </row>
    <row r="15" spans="1:25" x14ac:dyDescent="0.2">
      <c r="A15" s="11"/>
      <c r="B15" s="18" t="s">
        <v>14</v>
      </c>
      <c r="C15" s="14">
        <v>266</v>
      </c>
      <c r="D15" s="14">
        <f t="shared" si="0"/>
        <v>1208.8195488721803</v>
      </c>
      <c r="E15" s="14">
        <v>321546</v>
      </c>
      <c r="F15" s="14">
        <v>72</v>
      </c>
      <c r="G15" s="14">
        <f t="shared" si="1"/>
        <v>5684.6944444444443</v>
      </c>
      <c r="H15" s="14">
        <v>409298</v>
      </c>
      <c r="I15" s="28">
        <v>4720</v>
      </c>
      <c r="J15" s="151">
        <v>240</v>
      </c>
      <c r="L15" s="11"/>
      <c r="M15" s="18" t="s">
        <v>14</v>
      </c>
      <c r="N15" s="15">
        <f>+F15</f>
        <v>72</v>
      </c>
      <c r="O15" s="33">
        <v>-4</v>
      </c>
      <c r="P15" s="15">
        <f>SUM(N15:O15)</f>
        <v>68</v>
      </c>
      <c r="Q15" s="61"/>
      <c r="R15" s="33">
        <f>+H15</f>
        <v>409298</v>
      </c>
      <c r="S15" s="33">
        <f t="shared" ref="S15:S49" si="6">-X15</f>
        <v>-134730</v>
      </c>
      <c r="T15" s="33">
        <f t="shared" si="2"/>
        <v>274568</v>
      </c>
      <c r="U15" s="59"/>
      <c r="V15" s="68">
        <f t="shared" si="3"/>
        <v>4037.7647058823532</v>
      </c>
      <c r="W15" s="68">
        <f t="shared" si="4"/>
        <v>274568</v>
      </c>
      <c r="X15" s="68">
        <v>134730</v>
      </c>
      <c r="Y15" s="68">
        <f t="shared" si="5"/>
        <v>409298</v>
      </c>
    </row>
    <row r="16" spans="1:25" x14ac:dyDescent="0.2">
      <c r="A16" s="11"/>
      <c r="B16" s="18" t="s">
        <v>15</v>
      </c>
      <c r="C16" s="14">
        <v>266</v>
      </c>
      <c r="D16" s="14">
        <f t="shared" si="0"/>
        <v>1227.6616541353383</v>
      </c>
      <c r="E16" s="14">
        <v>326558</v>
      </c>
      <c r="F16" s="14">
        <v>72</v>
      </c>
      <c r="G16" s="14">
        <f t="shared" si="1"/>
        <v>6211.1527777777774</v>
      </c>
      <c r="H16" s="14">
        <v>447203</v>
      </c>
      <c r="I16" s="28">
        <v>4720</v>
      </c>
      <c r="J16" s="151">
        <v>240</v>
      </c>
      <c r="L16" s="11"/>
      <c r="M16" s="18" t="s">
        <v>15</v>
      </c>
      <c r="N16" s="15">
        <f>+F16</f>
        <v>72</v>
      </c>
      <c r="O16" s="33">
        <v>-4</v>
      </c>
      <c r="P16" s="15">
        <f>SUM(N16:O16)</f>
        <v>68</v>
      </c>
      <c r="Q16" s="61"/>
      <c r="R16" s="33">
        <f>+H16</f>
        <v>447203</v>
      </c>
      <c r="S16" s="33">
        <f t="shared" si="6"/>
        <v>-153905</v>
      </c>
      <c r="T16" s="33">
        <f t="shared" si="2"/>
        <v>293298</v>
      </c>
      <c r="U16" s="59"/>
      <c r="V16" s="68">
        <f t="shared" si="3"/>
        <v>4313.2058823529414</v>
      </c>
      <c r="W16" s="68">
        <f t="shared" si="4"/>
        <v>293298</v>
      </c>
      <c r="X16" s="68">
        <v>153905</v>
      </c>
      <c r="Y16" s="68">
        <f t="shared" si="5"/>
        <v>447203</v>
      </c>
    </row>
    <row r="17" spans="1:25" x14ac:dyDescent="0.2">
      <c r="A17" s="11"/>
      <c r="B17" s="18" t="s">
        <v>16</v>
      </c>
      <c r="C17" s="14">
        <v>266</v>
      </c>
      <c r="D17" s="14">
        <f t="shared" si="0"/>
        <v>933.36466165413538</v>
      </c>
      <c r="E17" s="14">
        <v>248275</v>
      </c>
      <c r="F17" s="14">
        <v>72</v>
      </c>
      <c r="G17" s="14">
        <f t="shared" si="1"/>
        <v>5490.0277777777774</v>
      </c>
      <c r="H17" s="14">
        <v>395282</v>
      </c>
      <c r="I17" s="28">
        <v>4720</v>
      </c>
      <c r="J17" s="151">
        <v>240</v>
      </c>
      <c r="L17" s="11"/>
      <c r="M17" s="18" t="s">
        <v>16</v>
      </c>
      <c r="N17" s="15">
        <f>+F17</f>
        <v>72</v>
      </c>
      <c r="O17" s="33">
        <v>-4</v>
      </c>
      <c r="P17" s="15">
        <f>SUM(N17:O17)</f>
        <v>68</v>
      </c>
      <c r="Q17" s="15"/>
      <c r="R17" s="33">
        <f>+H17</f>
        <v>395282</v>
      </c>
      <c r="S17" s="33">
        <f t="shared" si="6"/>
        <v>-148186</v>
      </c>
      <c r="T17" s="33">
        <f t="shared" si="2"/>
        <v>247096</v>
      </c>
      <c r="U17" s="59"/>
      <c r="V17" s="68">
        <f t="shared" si="3"/>
        <v>3633.7647058823532</v>
      </c>
      <c r="W17" s="68">
        <f t="shared" si="4"/>
        <v>247096</v>
      </c>
      <c r="X17" s="68">
        <v>148186</v>
      </c>
      <c r="Y17" s="68">
        <f t="shared" si="5"/>
        <v>395282</v>
      </c>
    </row>
    <row r="18" spans="1:25" x14ac:dyDescent="0.2">
      <c r="A18" s="11"/>
      <c r="B18" s="18" t="s">
        <v>17</v>
      </c>
      <c r="C18" s="14">
        <v>266</v>
      </c>
      <c r="D18" s="14">
        <f t="shared" si="0"/>
        <v>725.26691729323306</v>
      </c>
      <c r="E18" s="14">
        <v>192921</v>
      </c>
      <c r="F18" s="14">
        <v>73</v>
      </c>
      <c r="G18" s="14">
        <f t="shared" si="1"/>
        <v>4790.7808219178078</v>
      </c>
      <c r="H18" s="14">
        <v>349727</v>
      </c>
      <c r="I18" s="28">
        <v>4720</v>
      </c>
      <c r="J18" s="151">
        <v>240</v>
      </c>
      <c r="L18" s="11"/>
      <c r="M18" s="18" t="s">
        <v>17</v>
      </c>
      <c r="N18" s="15">
        <f>+F18</f>
        <v>73</v>
      </c>
      <c r="O18" s="33">
        <v>-4</v>
      </c>
      <c r="P18" s="15">
        <f>SUM(N18:O18)</f>
        <v>69</v>
      </c>
      <c r="Q18" s="15"/>
      <c r="R18" s="33">
        <f>+H18</f>
        <v>349727</v>
      </c>
      <c r="S18" s="33">
        <f t="shared" si="6"/>
        <v>-138464</v>
      </c>
      <c r="T18" s="33">
        <f t="shared" si="2"/>
        <v>211263</v>
      </c>
      <c r="U18" s="33"/>
      <c r="V18" s="68">
        <f t="shared" si="3"/>
        <v>3061.782608695652</v>
      </c>
      <c r="W18" s="68">
        <f t="shared" si="4"/>
        <v>211263</v>
      </c>
      <c r="X18" s="68">
        <v>138464</v>
      </c>
      <c r="Y18" s="68">
        <f t="shared" si="5"/>
        <v>349727</v>
      </c>
    </row>
    <row r="19" spans="1:25" x14ac:dyDescent="0.2">
      <c r="A19" s="11"/>
      <c r="B19" s="18" t="s">
        <v>18</v>
      </c>
      <c r="C19" s="14">
        <v>265</v>
      </c>
      <c r="D19" s="14">
        <f t="shared" si="0"/>
        <v>630.97735849056608</v>
      </c>
      <c r="E19" s="14">
        <v>167209</v>
      </c>
      <c r="F19" s="14">
        <v>70</v>
      </c>
      <c r="G19" s="14">
        <f t="shared" si="1"/>
        <v>3270.5571428571429</v>
      </c>
      <c r="H19" s="14">
        <v>228939</v>
      </c>
      <c r="I19" s="28">
        <v>4720</v>
      </c>
      <c r="J19" s="151">
        <v>240</v>
      </c>
      <c r="L19" s="11"/>
      <c r="M19" s="18" t="s">
        <v>18</v>
      </c>
      <c r="N19" s="15">
        <f>+F19</f>
        <v>70</v>
      </c>
      <c r="O19" s="33">
        <v>-4</v>
      </c>
      <c r="P19" s="15">
        <f>SUM(N19:O19)</f>
        <v>66</v>
      </c>
      <c r="Q19" s="15"/>
      <c r="R19" s="33">
        <f>+H19</f>
        <v>228939</v>
      </c>
      <c r="S19" s="33">
        <f t="shared" si="6"/>
        <v>-96055</v>
      </c>
      <c r="T19" s="33">
        <f t="shared" si="2"/>
        <v>132884</v>
      </c>
      <c r="U19" s="33"/>
      <c r="V19" s="68">
        <f t="shared" si="3"/>
        <v>2013.3939393939395</v>
      </c>
      <c r="W19" s="68">
        <f>+P19*V19</f>
        <v>132884</v>
      </c>
      <c r="X19" s="68">
        <v>96055</v>
      </c>
      <c r="Y19" s="68">
        <f t="shared" si="5"/>
        <v>228939</v>
      </c>
    </row>
    <row r="20" spans="1:25" x14ac:dyDescent="0.2">
      <c r="A20" s="11"/>
      <c r="B20" s="18" t="s">
        <v>19</v>
      </c>
      <c r="C20" s="14">
        <v>265</v>
      </c>
      <c r="D20" s="14">
        <f t="shared" si="0"/>
        <v>569.1056603773585</v>
      </c>
      <c r="E20" s="14">
        <v>150813</v>
      </c>
      <c r="F20" s="14">
        <v>72</v>
      </c>
      <c r="G20" s="14">
        <f t="shared" si="1"/>
        <v>4649.5694444444443</v>
      </c>
      <c r="H20" s="14">
        <v>334769</v>
      </c>
      <c r="I20" s="28">
        <v>4720</v>
      </c>
      <c r="J20" s="151">
        <v>240</v>
      </c>
      <c r="L20" s="11"/>
      <c r="M20" s="18" t="s">
        <v>19</v>
      </c>
      <c r="N20" s="15">
        <f>+F20</f>
        <v>72</v>
      </c>
      <c r="O20" s="33">
        <v>-4</v>
      </c>
      <c r="P20" s="15">
        <f>SUM(N20:O20)</f>
        <v>68</v>
      </c>
      <c r="Q20" s="15"/>
      <c r="R20" s="33">
        <f>+H20</f>
        <v>334769</v>
      </c>
      <c r="S20" s="33">
        <f t="shared" si="6"/>
        <v>-100700</v>
      </c>
      <c r="T20" s="33">
        <f t="shared" ref="T20:T73" si="7">+R20+S20</f>
        <v>234069</v>
      </c>
      <c r="U20" s="33"/>
      <c r="V20" s="68">
        <f t="shared" si="3"/>
        <v>3442.1911764705883</v>
      </c>
      <c r="W20" s="68">
        <f t="shared" ref="W20:W29" si="8">+P20*V20</f>
        <v>234069</v>
      </c>
      <c r="X20" s="68">
        <v>100700</v>
      </c>
      <c r="Y20" s="68">
        <f t="shared" ref="Y20:Y48" si="9">+W20+X20</f>
        <v>334769</v>
      </c>
    </row>
    <row r="21" spans="1:25" x14ac:dyDescent="0.2">
      <c r="A21" s="11"/>
      <c r="B21" s="18" t="s">
        <v>20</v>
      </c>
      <c r="C21" s="14">
        <v>265</v>
      </c>
      <c r="D21" s="14">
        <f t="shared" si="0"/>
        <v>503.51698113207544</v>
      </c>
      <c r="E21" s="14">
        <v>133432</v>
      </c>
      <c r="F21" s="14">
        <v>70</v>
      </c>
      <c r="G21" s="14">
        <f t="shared" si="1"/>
        <v>3942.3285714285716</v>
      </c>
      <c r="H21" s="14">
        <v>275963</v>
      </c>
      <c r="I21" s="28">
        <v>4680</v>
      </c>
      <c r="J21" s="151">
        <v>240</v>
      </c>
      <c r="L21" s="11"/>
      <c r="M21" s="18" t="s">
        <v>20</v>
      </c>
      <c r="N21" s="15">
        <f>+F21</f>
        <v>70</v>
      </c>
      <c r="O21" s="33">
        <v>-4</v>
      </c>
      <c r="P21" s="15">
        <f>SUM(N21:O21)</f>
        <v>66</v>
      </c>
      <c r="Q21" s="15"/>
      <c r="R21" s="33">
        <f>+H21</f>
        <v>275963</v>
      </c>
      <c r="S21" s="33">
        <f t="shared" si="6"/>
        <v>-104994</v>
      </c>
      <c r="T21" s="33">
        <f t="shared" si="7"/>
        <v>170969</v>
      </c>
      <c r="U21" s="33"/>
      <c r="V21" s="68">
        <f t="shared" si="3"/>
        <v>2590.439393939394</v>
      </c>
      <c r="W21" s="68">
        <f t="shared" si="8"/>
        <v>170969</v>
      </c>
      <c r="X21" s="68">
        <v>104994</v>
      </c>
      <c r="Y21" s="68">
        <f t="shared" si="9"/>
        <v>275963</v>
      </c>
    </row>
    <row r="22" spans="1:25" x14ac:dyDescent="0.2">
      <c r="A22" s="11"/>
      <c r="B22" s="18" t="s">
        <v>21</v>
      </c>
      <c r="C22" s="14">
        <v>261</v>
      </c>
      <c r="D22" s="14">
        <f t="shared" si="0"/>
        <v>587.77394636015322</v>
      </c>
      <c r="E22" s="14">
        <v>153409</v>
      </c>
      <c r="F22" s="14">
        <v>70</v>
      </c>
      <c r="G22" s="14">
        <f t="shared" si="1"/>
        <v>4654.7142857142853</v>
      </c>
      <c r="H22" s="14">
        <v>325830</v>
      </c>
      <c r="I22" s="28">
        <v>4680</v>
      </c>
      <c r="J22" s="151">
        <v>240</v>
      </c>
      <c r="L22" s="11"/>
      <c r="M22" s="18" t="s">
        <v>21</v>
      </c>
      <c r="N22" s="15">
        <f>+F22</f>
        <v>70</v>
      </c>
      <c r="O22" s="33">
        <v>-4</v>
      </c>
      <c r="P22" s="15">
        <f>SUM(N22:O22)</f>
        <v>66</v>
      </c>
      <c r="Q22" s="15"/>
      <c r="R22" s="33">
        <f>+H22</f>
        <v>325830</v>
      </c>
      <c r="S22" s="33">
        <f t="shared" si="6"/>
        <v>-142376</v>
      </c>
      <c r="T22" s="33">
        <f t="shared" si="7"/>
        <v>183454</v>
      </c>
      <c r="U22" s="33"/>
      <c r="V22" s="68">
        <f t="shared" si="3"/>
        <v>2779.6060606060605</v>
      </c>
      <c r="W22" s="68">
        <f t="shared" si="8"/>
        <v>183454</v>
      </c>
      <c r="X22" s="68">
        <v>142376</v>
      </c>
      <c r="Y22" s="68">
        <f t="shared" si="9"/>
        <v>325830</v>
      </c>
    </row>
    <row r="23" spans="1:25" x14ac:dyDescent="0.2">
      <c r="A23" s="11"/>
      <c r="B23" s="18" t="s">
        <v>22</v>
      </c>
      <c r="C23" s="14">
        <v>264</v>
      </c>
      <c r="D23" s="14">
        <f t="shared" si="0"/>
        <v>850.93560606060601</v>
      </c>
      <c r="E23" s="14">
        <v>224647</v>
      </c>
      <c r="F23" s="14">
        <v>70</v>
      </c>
      <c r="G23" s="14">
        <f t="shared" si="1"/>
        <v>5088.3714285714286</v>
      </c>
      <c r="H23" s="14">
        <v>356186</v>
      </c>
      <c r="I23" s="28">
        <v>4680</v>
      </c>
      <c r="J23" s="151">
        <v>240</v>
      </c>
      <c r="L23" s="11"/>
      <c r="M23" s="18" t="s">
        <v>22</v>
      </c>
      <c r="N23" s="15">
        <f>+F23</f>
        <v>70</v>
      </c>
      <c r="O23" s="33">
        <v>-4</v>
      </c>
      <c r="P23" s="15">
        <f>SUM(N23:O23)</f>
        <v>66</v>
      </c>
      <c r="Q23" s="15"/>
      <c r="R23" s="33">
        <f>+H23</f>
        <v>356186</v>
      </c>
      <c r="S23" s="33">
        <f t="shared" si="6"/>
        <v>-163800</v>
      </c>
      <c r="T23" s="33">
        <f t="shared" si="7"/>
        <v>192386</v>
      </c>
      <c r="U23" s="33"/>
      <c r="V23" s="68">
        <f t="shared" si="3"/>
        <v>2914.939393939394</v>
      </c>
      <c r="W23" s="68">
        <f t="shared" si="8"/>
        <v>192386</v>
      </c>
      <c r="X23" s="68">
        <v>163800</v>
      </c>
      <c r="Y23" s="68">
        <f t="shared" si="9"/>
        <v>356186</v>
      </c>
    </row>
    <row r="24" spans="1:25" x14ac:dyDescent="0.2">
      <c r="A24" s="11"/>
      <c r="B24" s="18" t="s">
        <v>23</v>
      </c>
      <c r="C24" s="14">
        <v>266.97000600000001</v>
      </c>
      <c r="D24" s="14">
        <f t="shared" si="0"/>
        <v>850.5524774195045</v>
      </c>
      <c r="E24" s="14">
        <v>227072</v>
      </c>
      <c r="F24" s="14">
        <v>70</v>
      </c>
      <c r="G24" s="14">
        <f t="shared" si="1"/>
        <v>5852.0857142857139</v>
      </c>
      <c r="H24" s="14">
        <v>409646</v>
      </c>
      <c r="I24" s="28">
        <v>4680</v>
      </c>
      <c r="J24" s="151">
        <v>240</v>
      </c>
      <c r="L24" s="11"/>
      <c r="M24" s="18" t="s">
        <v>23</v>
      </c>
      <c r="N24" s="15">
        <f>+F24</f>
        <v>70</v>
      </c>
      <c r="O24" s="33">
        <v>-4</v>
      </c>
      <c r="P24" s="15">
        <f>SUM(N24:O24)</f>
        <v>66</v>
      </c>
      <c r="Q24" s="15"/>
      <c r="R24" s="33">
        <f>+H24</f>
        <v>409646</v>
      </c>
      <c r="S24" s="33">
        <f t="shared" si="6"/>
        <v>-172800</v>
      </c>
      <c r="T24" s="33">
        <f t="shared" si="7"/>
        <v>236846</v>
      </c>
      <c r="U24" s="33"/>
      <c r="V24" s="68">
        <f t="shared" si="3"/>
        <v>3588.5757575757575</v>
      </c>
      <c r="W24" s="68">
        <f t="shared" si="8"/>
        <v>236846</v>
      </c>
      <c r="X24" s="68">
        <v>172800</v>
      </c>
      <c r="Y24" s="68">
        <f t="shared" si="9"/>
        <v>409646</v>
      </c>
    </row>
    <row r="25" spans="1:25" x14ac:dyDescent="0.2">
      <c r="A25" s="11"/>
      <c r="B25" s="18" t="s">
        <v>24</v>
      </c>
      <c r="C25" s="14">
        <v>265</v>
      </c>
      <c r="D25" s="14">
        <f t="shared" si="0"/>
        <v>1057.8754716981132</v>
      </c>
      <c r="E25" s="14">
        <v>280337</v>
      </c>
      <c r="F25" s="14">
        <v>70</v>
      </c>
      <c r="G25" s="14">
        <f t="shared" si="1"/>
        <v>5835.6571428571433</v>
      </c>
      <c r="H25" s="14">
        <v>408496</v>
      </c>
      <c r="I25" s="28">
        <v>4680</v>
      </c>
      <c r="J25" s="151">
        <v>240</v>
      </c>
      <c r="L25" s="11"/>
      <c r="M25" s="18" t="s">
        <v>24</v>
      </c>
      <c r="N25" s="15">
        <f>+F25</f>
        <v>70</v>
      </c>
      <c r="O25" s="33">
        <v>-4</v>
      </c>
      <c r="P25" s="15">
        <f>SUM(N25:O25)</f>
        <v>66</v>
      </c>
      <c r="Q25" s="15"/>
      <c r="R25" s="33">
        <f>+H25</f>
        <v>408496</v>
      </c>
      <c r="S25" s="33">
        <f t="shared" si="6"/>
        <v>-150500</v>
      </c>
      <c r="T25" s="33">
        <f t="shared" si="7"/>
        <v>257996</v>
      </c>
      <c r="U25" s="33"/>
      <c r="V25" s="68">
        <f t="shared" si="3"/>
        <v>3909.030303030303</v>
      </c>
      <c r="W25" s="68">
        <f t="shared" si="8"/>
        <v>257996</v>
      </c>
      <c r="X25" s="68">
        <v>150500</v>
      </c>
      <c r="Y25" s="68">
        <f t="shared" si="9"/>
        <v>408496</v>
      </c>
    </row>
    <row r="26" spans="1:25" ht="12" customHeight="1" x14ac:dyDescent="0.2">
      <c r="A26" s="10">
        <v>2015</v>
      </c>
      <c r="B26" s="18" t="s">
        <v>13</v>
      </c>
      <c r="C26" s="71">
        <v>266</v>
      </c>
      <c r="D26" s="14">
        <f t="shared" si="0"/>
        <v>1438.1052631578948</v>
      </c>
      <c r="E26" s="71">
        <v>382536</v>
      </c>
      <c r="F26" s="71">
        <v>71</v>
      </c>
      <c r="G26" s="14">
        <f t="shared" si="1"/>
        <v>5935.9154929577462</v>
      </c>
      <c r="H26" s="71">
        <v>421450</v>
      </c>
      <c r="I26" s="152">
        <v>5107</v>
      </c>
      <c r="J26" s="153">
        <v>240</v>
      </c>
      <c r="L26" s="10">
        <v>2015</v>
      </c>
      <c r="M26" s="18" t="s">
        <v>13</v>
      </c>
      <c r="N26" s="15">
        <f>+F26</f>
        <v>71</v>
      </c>
      <c r="O26" s="33">
        <v>-4</v>
      </c>
      <c r="P26" s="15">
        <f>SUM(N26:O26)</f>
        <v>67</v>
      </c>
      <c r="Q26" s="15"/>
      <c r="R26" s="33">
        <f>+H26</f>
        <v>421450</v>
      </c>
      <c r="S26" s="33">
        <f t="shared" si="6"/>
        <v>-125900</v>
      </c>
      <c r="T26" s="33">
        <f t="shared" si="7"/>
        <v>295550</v>
      </c>
      <c r="U26" s="33"/>
      <c r="V26" s="68">
        <f t="shared" si="3"/>
        <v>4411.1940298507461</v>
      </c>
      <c r="W26" s="68">
        <f t="shared" si="8"/>
        <v>295550</v>
      </c>
      <c r="X26" s="68">
        <v>125900</v>
      </c>
      <c r="Y26" s="68">
        <f t="shared" si="9"/>
        <v>421450</v>
      </c>
    </row>
    <row r="27" spans="1:25" ht="12" customHeight="1" x14ac:dyDescent="0.2">
      <c r="A27" s="11"/>
      <c r="B27" s="18" t="s">
        <v>14</v>
      </c>
      <c r="C27" s="71">
        <v>266</v>
      </c>
      <c r="D27" s="14">
        <f t="shared" si="0"/>
        <v>1372.1578947368421</v>
      </c>
      <c r="E27" s="71">
        <v>364994</v>
      </c>
      <c r="F27" s="71">
        <v>69</v>
      </c>
      <c r="G27" s="14">
        <f t="shared" si="1"/>
        <v>5660.768115942029</v>
      </c>
      <c r="H27" s="71">
        <v>390593</v>
      </c>
      <c r="I27" s="152">
        <v>5000</v>
      </c>
      <c r="J27" s="153">
        <v>240</v>
      </c>
      <c r="L27" s="11"/>
      <c r="M27" s="18" t="s">
        <v>14</v>
      </c>
      <c r="N27" s="15">
        <f>+F27</f>
        <v>69</v>
      </c>
      <c r="O27" s="33">
        <v>-3</v>
      </c>
      <c r="P27" s="15">
        <f>SUM(N27:O27)</f>
        <v>66</v>
      </c>
      <c r="Q27" s="15"/>
      <c r="R27" s="33">
        <f>+H27</f>
        <v>390593</v>
      </c>
      <c r="S27" s="33">
        <f t="shared" si="6"/>
        <v>-103900</v>
      </c>
      <c r="T27" s="33">
        <f t="shared" si="7"/>
        <v>286693</v>
      </c>
      <c r="U27" s="33"/>
      <c r="V27" s="68">
        <f t="shared" si="3"/>
        <v>4343.833333333333</v>
      </c>
      <c r="W27" s="68">
        <f t="shared" si="8"/>
        <v>286693</v>
      </c>
      <c r="X27" s="68">
        <v>103900</v>
      </c>
      <c r="Y27" s="68">
        <f t="shared" si="9"/>
        <v>390593</v>
      </c>
    </row>
    <row r="28" spans="1:25" ht="12" customHeight="1" x14ac:dyDescent="0.2">
      <c r="A28" s="11"/>
      <c r="B28" s="18" t="s">
        <v>15</v>
      </c>
      <c r="C28" s="71">
        <v>272</v>
      </c>
      <c r="D28" s="14">
        <f t="shared" si="0"/>
        <v>1053.6139705882354</v>
      </c>
      <c r="E28" s="71">
        <v>286583</v>
      </c>
      <c r="F28" s="71">
        <v>70</v>
      </c>
      <c r="G28" s="14">
        <f t="shared" si="1"/>
        <v>4861.7</v>
      </c>
      <c r="H28" s="71">
        <v>340319</v>
      </c>
      <c r="I28" s="152">
        <v>5000</v>
      </c>
      <c r="J28" s="153">
        <v>240</v>
      </c>
      <c r="L28" s="11"/>
      <c r="M28" s="18" t="s">
        <v>15</v>
      </c>
      <c r="N28" s="15">
        <f>+F28</f>
        <v>70</v>
      </c>
      <c r="O28" s="33">
        <v>-3</v>
      </c>
      <c r="P28" s="15">
        <f>SUM(N28:O28)</f>
        <v>67</v>
      </c>
      <c r="Q28" s="15"/>
      <c r="R28" s="33">
        <f>+H28</f>
        <v>340319</v>
      </c>
      <c r="S28" s="33">
        <f t="shared" si="6"/>
        <v>-89300</v>
      </c>
      <c r="T28" s="33">
        <f t="shared" si="7"/>
        <v>251019</v>
      </c>
      <c r="U28" s="33"/>
      <c r="V28" s="68">
        <f t="shared" si="3"/>
        <v>3746.5522388059703</v>
      </c>
      <c r="W28" s="68">
        <f t="shared" si="8"/>
        <v>251019</v>
      </c>
      <c r="X28" s="68">
        <v>89300</v>
      </c>
      <c r="Y28" s="68">
        <f t="shared" si="9"/>
        <v>340319</v>
      </c>
    </row>
    <row r="29" spans="1:25" ht="12" customHeight="1" x14ac:dyDescent="0.2">
      <c r="A29" s="11"/>
      <c r="B29" s="18" t="s">
        <v>16</v>
      </c>
      <c r="C29" s="71">
        <v>272</v>
      </c>
      <c r="D29" s="14">
        <f t="shared" si="0"/>
        <v>919.34926470588232</v>
      </c>
      <c r="E29" s="71">
        <v>250063</v>
      </c>
      <c r="F29" s="71">
        <v>71</v>
      </c>
      <c r="G29" s="14">
        <f t="shared" si="1"/>
        <v>4552.859154929577</v>
      </c>
      <c r="H29" s="71">
        <v>323253</v>
      </c>
      <c r="I29" s="152">
        <v>5000</v>
      </c>
      <c r="J29" s="153">
        <v>240</v>
      </c>
      <c r="L29" s="11"/>
      <c r="M29" s="18" t="s">
        <v>16</v>
      </c>
      <c r="N29" s="15">
        <f>+F29</f>
        <v>71</v>
      </c>
      <c r="O29" s="33">
        <v>-3</v>
      </c>
      <c r="P29" s="15">
        <f>SUM(N29:O29)</f>
        <v>68</v>
      </c>
      <c r="Q29" s="15"/>
      <c r="R29" s="33">
        <f>+H29</f>
        <v>323253</v>
      </c>
      <c r="S29" s="33">
        <f t="shared" si="6"/>
        <v>-83700</v>
      </c>
      <c r="T29" s="33">
        <f t="shared" si="7"/>
        <v>239553</v>
      </c>
      <c r="U29" s="33"/>
      <c r="V29" s="68">
        <f t="shared" si="3"/>
        <v>3522.8382352941176</v>
      </c>
      <c r="W29" s="68">
        <f t="shared" si="8"/>
        <v>239553</v>
      </c>
      <c r="X29" s="68">
        <v>83700</v>
      </c>
      <c r="Y29" s="68">
        <f t="shared" si="9"/>
        <v>323253</v>
      </c>
    </row>
    <row r="30" spans="1:25" ht="12" customHeight="1" x14ac:dyDescent="0.2">
      <c r="A30" s="11"/>
      <c r="B30" s="18" t="s">
        <v>17</v>
      </c>
      <c r="C30" s="71">
        <v>275</v>
      </c>
      <c r="D30" s="14">
        <f t="shared" si="0"/>
        <v>704.49818181818182</v>
      </c>
      <c r="E30" s="71">
        <v>193737</v>
      </c>
      <c r="F30" s="71">
        <v>70</v>
      </c>
      <c r="G30" s="14">
        <f t="shared" si="1"/>
        <v>3835.7857142857142</v>
      </c>
      <c r="H30" s="71">
        <v>268505</v>
      </c>
      <c r="I30" s="152">
        <v>5000</v>
      </c>
      <c r="J30" s="153">
        <v>240</v>
      </c>
      <c r="L30" s="11"/>
      <c r="M30" s="18" t="s">
        <v>17</v>
      </c>
      <c r="N30" s="15">
        <f>+F30</f>
        <v>70</v>
      </c>
      <c r="O30" s="33">
        <v>-4</v>
      </c>
      <c r="P30" s="15">
        <f>SUM(N30:O30)</f>
        <v>66</v>
      </c>
      <c r="Q30" s="15"/>
      <c r="R30" s="33">
        <f>+H30</f>
        <v>268505</v>
      </c>
      <c r="S30" s="33">
        <f t="shared" si="6"/>
        <v>-82500</v>
      </c>
      <c r="T30" s="33">
        <f t="shared" si="7"/>
        <v>186005</v>
      </c>
      <c r="U30" s="33"/>
      <c r="V30" s="68">
        <f t="shared" ref="V30:V49" si="10">+T30/P30</f>
        <v>2818.257575757576</v>
      </c>
      <c r="W30" s="68">
        <f t="shared" ref="W30:W49" si="11">+P30*V30</f>
        <v>186005</v>
      </c>
      <c r="X30" s="68">
        <v>82500</v>
      </c>
      <c r="Y30" s="68">
        <f t="shared" si="9"/>
        <v>268505</v>
      </c>
    </row>
    <row r="31" spans="1:25" ht="12" customHeight="1" x14ac:dyDescent="0.2">
      <c r="A31" s="11"/>
      <c r="B31" s="18" t="s">
        <v>18</v>
      </c>
      <c r="C31" s="71">
        <v>275</v>
      </c>
      <c r="D31" s="14">
        <f t="shared" si="0"/>
        <v>546.79999999999995</v>
      </c>
      <c r="E31" s="71">
        <v>150370</v>
      </c>
      <c r="F31" s="71">
        <v>69</v>
      </c>
      <c r="G31" s="14">
        <f t="shared" si="1"/>
        <v>4137.217391304348</v>
      </c>
      <c r="H31" s="71">
        <v>285468</v>
      </c>
      <c r="I31" s="152">
        <v>5000</v>
      </c>
      <c r="J31" s="153">
        <v>240</v>
      </c>
      <c r="L31" s="11"/>
      <c r="M31" s="18" t="s">
        <v>18</v>
      </c>
      <c r="N31" s="15">
        <f>+F31</f>
        <v>69</v>
      </c>
      <c r="O31" s="33">
        <v>-4</v>
      </c>
      <c r="P31" s="15">
        <f>SUM(N31:O31)</f>
        <v>65</v>
      </c>
      <c r="Q31" s="15"/>
      <c r="R31" s="33">
        <f>+H31</f>
        <v>285468</v>
      </c>
      <c r="S31" s="33">
        <f t="shared" si="6"/>
        <v>-98600</v>
      </c>
      <c r="T31" s="33">
        <f t="shared" si="7"/>
        <v>186868</v>
      </c>
      <c r="U31" s="33"/>
      <c r="V31" s="68">
        <f t="shared" si="10"/>
        <v>2874.8923076923079</v>
      </c>
      <c r="W31" s="68">
        <f t="shared" si="11"/>
        <v>186868</v>
      </c>
      <c r="X31" s="68">
        <v>98600</v>
      </c>
      <c r="Y31" s="68">
        <f t="shared" si="9"/>
        <v>285468</v>
      </c>
    </row>
    <row r="32" spans="1:25" ht="12" customHeight="1" x14ac:dyDescent="0.2">
      <c r="A32" s="11"/>
      <c r="B32" s="18" t="s">
        <v>19</v>
      </c>
      <c r="C32" s="71">
        <v>275</v>
      </c>
      <c r="D32" s="14">
        <f>+E32/C32</f>
        <v>498.77454545454543</v>
      </c>
      <c r="E32" s="71">
        <v>137163</v>
      </c>
      <c r="F32" s="71">
        <v>69</v>
      </c>
      <c r="G32" s="14">
        <f t="shared" si="1"/>
        <v>4117.202898550725</v>
      </c>
      <c r="H32" s="71">
        <v>284087</v>
      </c>
      <c r="I32" s="152">
        <v>5000</v>
      </c>
      <c r="J32" s="153">
        <v>240</v>
      </c>
      <c r="L32" s="11"/>
      <c r="M32" s="18" t="s">
        <v>19</v>
      </c>
      <c r="N32" s="15">
        <f>+F32</f>
        <v>69</v>
      </c>
      <c r="O32" s="33">
        <v>-4</v>
      </c>
      <c r="P32" s="15">
        <f>SUM(N32:O32)</f>
        <v>65</v>
      </c>
      <c r="Q32" s="15"/>
      <c r="R32" s="33">
        <f>+H32</f>
        <v>284087</v>
      </c>
      <c r="S32" s="33">
        <f t="shared" si="6"/>
        <v>-129700</v>
      </c>
      <c r="T32" s="33">
        <f t="shared" si="7"/>
        <v>154387</v>
      </c>
      <c r="U32" s="33"/>
      <c r="V32" s="68">
        <f t="shared" si="10"/>
        <v>2375.1846153846154</v>
      </c>
      <c r="W32" s="68">
        <f t="shared" si="11"/>
        <v>154387</v>
      </c>
      <c r="X32" s="68">
        <v>129700</v>
      </c>
      <c r="Y32" s="68">
        <f t="shared" si="9"/>
        <v>284087</v>
      </c>
    </row>
    <row r="33" spans="1:25" ht="12" customHeight="1" x14ac:dyDescent="0.2">
      <c r="A33" s="11"/>
      <c r="B33" s="18" t="s">
        <v>20</v>
      </c>
      <c r="C33" s="71">
        <v>276</v>
      </c>
      <c r="D33" s="14">
        <f t="shared" si="0"/>
        <v>500.07246376811594</v>
      </c>
      <c r="E33" s="71">
        <v>138020</v>
      </c>
      <c r="F33" s="71">
        <v>70</v>
      </c>
      <c r="G33" s="14">
        <f t="shared" si="1"/>
        <v>4246.6142857142859</v>
      </c>
      <c r="H33" s="71">
        <v>297263</v>
      </c>
      <c r="I33" s="152">
        <v>5000</v>
      </c>
      <c r="J33" s="153">
        <v>240</v>
      </c>
      <c r="L33" s="11"/>
      <c r="M33" s="18" t="s">
        <v>20</v>
      </c>
      <c r="N33" s="15">
        <f>+F33</f>
        <v>70</v>
      </c>
      <c r="O33" s="33">
        <v>-4</v>
      </c>
      <c r="P33" s="15">
        <f>SUM(N33:O33)</f>
        <v>66</v>
      </c>
      <c r="Q33" s="15"/>
      <c r="R33" s="33">
        <f>+H33</f>
        <v>297263</v>
      </c>
      <c r="S33" s="33">
        <f t="shared" si="6"/>
        <v>-132700</v>
      </c>
      <c r="T33" s="33">
        <f t="shared" si="7"/>
        <v>164563</v>
      </c>
      <c r="U33" s="33"/>
      <c r="V33" s="68">
        <f t="shared" si="10"/>
        <v>2493.378787878788</v>
      </c>
      <c r="W33" s="68">
        <f t="shared" si="11"/>
        <v>164563</v>
      </c>
      <c r="X33" s="68">
        <v>132700</v>
      </c>
      <c r="Y33" s="68">
        <f t="shared" si="9"/>
        <v>297263</v>
      </c>
    </row>
    <row r="34" spans="1:25" ht="12" customHeight="1" x14ac:dyDescent="0.2">
      <c r="A34" s="11"/>
      <c r="B34" s="18" t="s">
        <v>21</v>
      </c>
      <c r="C34" s="71">
        <v>276</v>
      </c>
      <c r="D34" s="14">
        <f t="shared" si="0"/>
        <v>704.03260869565213</v>
      </c>
      <c r="E34" s="71">
        <v>194313</v>
      </c>
      <c r="F34" s="71">
        <v>68</v>
      </c>
      <c r="G34" s="14">
        <f t="shared" si="1"/>
        <v>4674.0588235294117</v>
      </c>
      <c r="H34" s="71">
        <v>317836</v>
      </c>
      <c r="I34" s="152">
        <v>5000</v>
      </c>
      <c r="J34" s="153">
        <v>240</v>
      </c>
      <c r="L34" s="11"/>
      <c r="M34" s="18" t="s">
        <v>21</v>
      </c>
      <c r="N34" s="15">
        <f>+F34</f>
        <v>68</v>
      </c>
      <c r="O34" s="33">
        <v>-4</v>
      </c>
      <c r="P34" s="15">
        <f>SUM(N34:O34)</f>
        <v>64</v>
      </c>
      <c r="Q34" s="15"/>
      <c r="R34" s="33">
        <f>+H34</f>
        <v>317836</v>
      </c>
      <c r="S34" s="33">
        <f t="shared" si="6"/>
        <v>-129500</v>
      </c>
      <c r="T34" s="33">
        <f t="shared" si="7"/>
        <v>188336</v>
      </c>
      <c r="U34" s="33"/>
      <c r="V34" s="68">
        <f t="shared" si="10"/>
        <v>2942.75</v>
      </c>
      <c r="W34" s="68">
        <f t="shared" si="11"/>
        <v>188336</v>
      </c>
      <c r="X34" s="68">
        <v>129500</v>
      </c>
      <c r="Y34" s="68">
        <f t="shared" si="9"/>
        <v>317836</v>
      </c>
    </row>
    <row r="35" spans="1:25" ht="12" customHeight="1" x14ac:dyDescent="0.2">
      <c r="A35" s="11"/>
      <c r="B35" s="18" t="s">
        <v>22</v>
      </c>
      <c r="C35" s="71">
        <v>276</v>
      </c>
      <c r="D35" s="14">
        <f t="shared" si="0"/>
        <v>768.29347826086962</v>
      </c>
      <c r="E35" s="71">
        <v>212049</v>
      </c>
      <c r="F35" s="71">
        <v>69</v>
      </c>
      <c r="G35" s="14">
        <f t="shared" si="1"/>
        <v>4226.521739130435</v>
      </c>
      <c r="H35" s="71">
        <v>291630</v>
      </c>
      <c r="I35" s="152">
        <v>5000</v>
      </c>
      <c r="J35" s="153">
        <v>240</v>
      </c>
      <c r="L35" s="11"/>
      <c r="M35" s="18" t="s">
        <v>22</v>
      </c>
      <c r="N35" s="15">
        <f>+F35</f>
        <v>69</v>
      </c>
      <c r="O35" s="33">
        <v>-4</v>
      </c>
      <c r="P35" s="15">
        <f>SUM(N35:O35)</f>
        <v>65</v>
      </c>
      <c r="Q35" s="15"/>
      <c r="R35" s="33">
        <f>+H35</f>
        <v>291630</v>
      </c>
      <c r="S35" s="33">
        <f t="shared" si="6"/>
        <v>-94000</v>
      </c>
      <c r="T35" s="33">
        <f t="shared" si="7"/>
        <v>197630</v>
      </c>
      <c r="U35" s="33"/>
      <c r="V35" s="68">
        <f t="shared" si="10"/>
        <v>3040.4615384615386</v>
      </c>
      <c r="W35" s="68">
        <f t="shared" si="11"/>
        <v>197630</v>
      </c>
      <c r="X35" s="68">
        <v>94000</v>
      </c>
      <c r="Y35" s="68">
        <f t="shared" si="9"/>
        <v>291630</v>
      </c>
    </row>
    <row r="36" spans="1:25" ht="12" customHeight="1" x14ac:dyDescent="0.2">
      <c r="A36" s="11"/>
      <c r="B36" s="18" t="s">
        <v>23</v>
      </c>
      <c r="C36" s="71">
        <v>274</v>
      </c>
      <c r="D36" s="14">
        <f t="shared" si="0"/>
        <v>954.69343065693431</v>
      </c>
      <c r="E36" s="71">
        <v>261586</v>
      </c>
      <c r="F36" s="71">
        <v>68</v>
      </c>
      <c r="G36" s="14">
        <f t="shared" si="1"/>
        <v>4554.2794117647063</v>
      </c>
      <c r="H36" s="71">
        <v>309691</v>
      </c>
      <c r="I36" s="152">
        <v>5044</v>
      </c>
      <c r="J36" s="153">
        <v>240</v>
      </c>
      <c r="L36" s="11"/>
      <c r="M36" s="18" t="s">
        <v>23</v>
      </c>
      <c r="N36" s="15">
        <f>+F36</f>
        <v>68</v>
      </c>
      <c r="O36" s="33">
        <v>-3</v>
      </c>
      <c r="P36" s="15">
        <f>SUM(N36:O36)</f>
        <v>65</v>
      </c>
      <c r="Q36" s="15"/>
      <c r="R36" s="33">
        <f>+H36</f>
        <v>309691</v>
      </c>
      <c r="S36" s="33">
        <f t="shared" si="6"/>
        <v>-73100</v>
      </c>
      <c r="T36" s="33">
        <f t="shared" si="7"/>
        <v>236591</v>
      </c>
      <c r="U36" s="33"/>
      <c r="V36" s="68">
        <f t="shared" si="10"/>
        <v>3639.8615384615387</v>
      </c>
      <c r="W36" s="68">
        <f t="shared" si="11"/>
        <v>236591</v>
      </c>
      <c r="X36" s="68">
        <v>73100</v>
      </c>
      <c r="Y36" s="68">
        <f t="shared" si="9"/>
        <v>309691</v>
      </c>
    </row>
    <row r="37" spans="1:25" ht="12" customHeight="1" x14ac:dyDescent="0.2">
      <c r="A37" s="11"/>
      <c r="B37" s="18" t="s">
        <v>24</v>
      </c>
      <c r="C37" s="71">
        <v>273</v>
      </c>
      <c r="D37" s="14">
        <f t="shared" si="0"/>
        <v>1014.8498168498169</v>
      </c>
      <c r="E37" s="71">
        <v>277054</v>
      </c>
      <c r="F37" s="71">
        <v>69</v>
      </c>
      <c r="G37" s="14">
        <f t="shared" si="1"/>
        <v>4596.260869565217</v>
      </c>
      <c r="H37" s="71">
        <v>317142</v>
      </c>
      <c r="I37" s="152">
        <v>5120</v>
      </c>
      <c r="J37" s="153">
        <v>240</v>
      </c>
      <c r="L37" s="11"/>
      <c r="M37" s="18" t="s">
        <v>24</v>
      </c>
      <c r="N37" s="15">
        <f>+F37</f>
        <v>69</v>
      </c>
      <c r="O37" s="33">
        <v>-3</v>
      </c>
      <c r="P37" s="15">
        <f>SUM(N37:O37)</f>
        <v>66</v>
      </c>
      <c r="Q37" s="15"/>
      <c r="R37" s="33">
        <f>+H37</f>
        <v>317142</v>
      </c>
      <c r="S37" s="33">
        <f t="shared" si="6"/>
        <v>-67600</v>
      </c>
      <c r="T37" s="33">
        <f t="shared" si="7"/>
        <v>249542</v>
      </c>
      <c r="U37" s="33"/>
      <c r="V37" s="68">
        <f t="shared" si="10"/>
        <v>3780.939393939394</v>
      </c>
      <c r="W37" s="68">
        <f t="shared" si="11"/>
        <v>249542</v>
      </c>
      <c r="X37" s="68">
        <v>67600</v>
      </c>
      <c r="Y37" s="68">
        <f t="shared" si="9"/>
        <v>317142</v>
      </c>
    </row>
    <row r="38" spans="1:25" x14ac:dyDescent="0.2">
      <c r="A38" s="10">
        <v>2016</v>
      </c>
      <c r="B38" s="18" t="s">
        <v>13</v>
      </c>
      <c r="C38" s="71">
        <v>277</v>
      </c>
      <c r="D38" s="14">
        <f t="shared" si="0"/>
        <v>1353.4259927797834</v>
      </c>
      <c r="E38" s="71">
        <v>374899</v>
      </c>
      <c r="F38" s="71">
        <v>67</v>
      </c>
      <c r="G38" s="14">
        <f t="shared" si="1"/>
        <v>5436.1044776119406</v>
      </c>
      <c r="H38" s="71">
        <v>364219</v>
      </c>
      <c r="I38" s="152">
        <v>5120</v>
      </c>
      <c r="J38" s="153">
        <v>240</v>
      </c>
      <c r="L38" s="10">
        <v>2016</v>
      </c>
      <c r="M38" s="18" t="s">
        <v>13</v>
      </c>
      <c r="N38" s="15">
        <f>+F38</f>
        <v>67</v>
      </c>
      <c r="O38" s="33">
        <v>-2</v>
      </c>
      <c r="P38" s="15">
        <f>SUM(N38:O38)</f>
        <v>65</v>
      </c>
      <c r="Q38" s="15"/>
      <c r="R38" s="33">
        <f>+H38</f>
        <v>364219</v>
      </c>
      <c r="S38" s="33">
        <f t="shared" si="6"/>
        <v>-58200</v>
      </c>
      <c r="T38" s="33">
        <f t="shared" si="7"/>
        <v>306019</v>
      </c>
      <c r="U38" s="33"/>
      <c r="V38" s="68">
        <f t="shared" si="10"/>
        <v>4707.9846153846156</v>
      </c>
      <c r="W38" s="68">
        <f t="shared" si="11"/>
        <v>306019</v>
      </c>
      <c r="X38" s="68">
        <v>58200</v>
      </c>
      <c r="Y38" s="68">
        <f>+W38+X38</f>
        <v>364219</v>
      </c>
    </row>
    <row r="39" spans="1:25" x14ac:dyDescent="0.2">
      <c r="A39" s="11"/>
      <c r="B39" s="18" t="s">
        <v>14</v>
      </c>
      <c r="C39" s="71">
        <v>277</v>
      </c>
      <c r="D39" s="14">
        <f t="shared" si="0"/>
        <v>1082.3682310469314</v>
      </c>
      <c r="E39" s="71">
        <v>299816</v>
      </c>
      <c r="F39" s="71">
        <v>68</v>
      </c>
      <c r="G39" s="14">
        <f t="shared" si="1"/>
        <v>4658.2352941176468</v>
      </c>
      <c r="H39" s="71">
        <v>316760</v>
      </c>
      <c r="I39" s="152">
        <v>5120</v>
      </c>
      <c r="J39" s="153">
        <v>240</v>
      </c>
      <c r="L39" s="11"/>
      <c r="M39" s="18" t="s">
        <v>14</v>
      </c>
      <c r="N39" s="15">
        <f>+F39</f>
        <v>68</v>
      </c>
      <c r="O39" s="33">
        <v>-2</v>
      </c>
      <c r="P39" s="15">
        <f>SUM(N39:O39)</f>
        <v>66</v>
      </c>
      <c r="Q39" s="15"/>
      <c r="R39" s="33">
        <f>+H39</f>
        <v>316760</v>
      </c>
      <c r="S39" s="33">
        <f t="shared" si="6"/>
        <v>-47200</v>
      </c>
      <c r="T39" s="33">
        <f t="shared" si="7"/>
        <v>269560</v>
      </c>
      <c r="U39" s="33"/>
      <c r="V39" s="68">
        <f t="shared" si="10"/>
        <v>4084.242424242424</v>
      </c>
      <c r="W39" s="68">
        <f t="shared" si="11"/>
        <v>269560</v>
      </c>
      <c r="X39" s="68">
        <v>47200</v>
      </c>
      <c r="Y39" s="68">
        <f t="shared" si="9"/>
        <v>316760</v>
      </c>
    </row>
    <row r="40" spans="1:25" x14ac:dyDescent="0.2">
      <c r="A40" s="11"/>
      <c r="B40" s="18" t="s">
        <v>15</v>
      </c>
      <c r="C40" s="71">
        <v>276</v>
      </c>
      <c r="D40" s="14">
        <f t="shared" si="0"/>
        <v>991.01086956521738</v>
      </c>
      <c r="E40" s="71">
        <v>273519</v>
      </c>
      <c r="F40" s="71">
        <v>67</v>
      </c>
      <c r="G40" s="14">
        <f t="shared" si="1"/>
        <v>5594.1194029850749</v>
      </c>
      <c r="H40" s="71">
        <v>374806</v>
      </c>
      <c r="I40" s="152">
        <v>5120</v>
      </c>
      <c r="J40" s="153">
        <v>240</v>
      </c>
      <c r="L40" s="11"/>
      <c r="M40" s="18" t="s">
        <v>15</v>
      </c>
      <c r="N40" s="15">
        <f>+F40</f>
        <v>67</v>
      </c>
      <c r="O40" s="33">
        <v>-2</v>
      </c>
      <c r="P40" s="15">
        <f>SUM(N40:O40)</f>
        <v>65</v>
      </c>
      <c r="Q40" s="15"/>
      <c r="R40" s="33">
        <f>+H40</f>
        <v>374806</v>
      </c>
      <c r="S40" s="33">
        <f t="shared" si="6"/>
        <v>-44500</v>
      </c>
      <c r="T40" s="33">
        <f t="shared" si="7"/>
        <v>330306</v>
      </c>
      <c r="U40" s="33"/>
      <c r="V40" s="68">
        <f t="shared" si="10"/>
        <v>5081.6307692307691</v>
      </c>
      <c r="W40" s="68">
        <f t="shared" si="11"/>
        <v>330306</v>
      </c>
      <c r="X40" s="68">
        <v>44500</v>
      </c>
      <c r="Y40" s="68">
        <f t="shared" si="9"/>
        <v>374806</v>
      </c>
    </row>
    <row r="41" spans="1:25" x14ac:dyDescent="0.2">
      <c r="A41" s="11"/>
      <c r="B41" s="18" t="s">
        <v>16</v>
      </c>
      <c r="C41" s="71">
        <v>276</v>
      </c>
      <c r="D41" s="14">
        <f t="shared" si="0"/>
        <v>957.26449275362324</v>
      </c>
      <c r="E41" s="71">
        <v>264205</v>
      </c>
      <c r="F41" s="71">
        <v>67</v>
      </c>
      <c r="G41" s="14">
        <f t="shared" si="1"/>
        <v>5696.5970149253735</v>
      </c>
      <c r="H41" s="71">
        <v>381672</v>
      </c>
      <c r="I41" s="152">
        <v>5120</v>
      </c>
      <c r="J41" s="153">
        <v>240</v>
      </c>
      <c r="L41" s="11"/>
      <c r="M41" s="18" t="s">
        <v>16</v>
      </c>
      <c r="N41" s="15">
        <f>+F41</f>
        <v>67</v>
      </c>
      <c r="O41" s="33">
        <v>-2</v>
      </c>
      <c r="P41" s="15">
        <f>SUM(N41:O41)</f>
        <v>65</v>
      </c>
      <c r="Q41" s="15"/>
      <c r="R41" s="33">
        <f>+H41</f>
        <v>381672</v>
      </c>
      <c r="S41" s="33">
        <f t="shared" si="6"/>
        <v>-40200</v>
      </c>
      <c r="T41" s="33">
        <f t="shared" si="7"/>
        <v>341472</v>
      </c>
      <c r="U41" s="33"/>
      <c r="V41" s="68">
        <f t="shared" si="10"/>
        <v>5253.4153846153849</v>
      </c>
      <c r="W41" s="68">
        <f t="shared" si="11"/>
        <v>341472</v>
      </c>
      <c r="X41" s="68">
        <v>40200</v>
      </c>
      <c r="Y41" s="68">
        <f t="shared" si="9"/>
        <v>381672</v>
      </c>
    </row>
    <row r="42" spans="1:25" x14ac:dyDescent="0.2">
      <c r="A42" s="11"/>
      <c r="B42" s="18" t="s">
        <v>17</v>
      </c>
      <c r="C42" s="71">
        <v>277</v>
      </c>
      <c r="D42" s="14">
        <f t="shared" si="0"/>
        <v>611.58122743682316</v>
      </c>
      <c r="E42" s="71">
        <v>169408</v>
      </c>
      <c r="F42" s="71">
        <v>67</v>
      </c>
      <c r="G42" s="14">
        <f t="shared" si="1"/>
        <v>3517.1343283582091</v>
      </c>
      <c r="H42" s="71">
        <v>235648</v>
      </c>
      <c r="I42" s="152">
        <v>5120</v>
      </c>
      <c r="J42" s="153">
        <v>240</v>
      </c>
      <c r="L42" s="11"/>
      <c r="M42" s="18" t="s">
        <v>17</v>
      </c>
      <c r="N42" s="15">
        <f>+F42</f>
        <v>67</v>
      </c>
      <c r="O42" s="33">
        <v>-3</v>
      </c>
      <c r="P42" s="15">
        <f>SUM(N42:O42)</f>
        <v>64</v>
      </c>
      <c r="Q42" s="15"/>
      <c r="R42" s="33">
        <f>+H42</f>
        <v>235648</v>
      </c>
      <c r="S42" s="33">
        <f t="shared" si="6"/>
        <v>-34600</v>
      </c>
      <c r="T42" s="33">
        <f t="shared" si="7"/>
        <v>201048</v>
      </c>
      <c r="U42" s="33"/>
      <c r="V42" s="68">
        <f t="shared" si="10"/>
        <v>3141.375</v>
      </c>
      <c r="W42" s="68">
        <f t="shared" si="11"/>
        <v>201048</v>
      </c>
      <c r="X42" s="68">
        <v>34600</v>
      </c>
      <c r="Y42" s="68">
        <f>+W42+X42</f>
        <v>235648</v>
      </c>
    </row>
    <row r="43" spans="1:25" x14ac:dyDescent="0.2">
      <c r="A43" s="11"/>
      <c r="B43" s="18" t="s">
        <v>18</v>
      </c>
      <c r="C43" s="71">
        <v>275</v>
      </c>
      <c r="D43" s="14">
        <f t="shared" si="0"/>
        <v>559.5745454545455</v>
      </c>
      <c r="E43" s="71">
        <v>153883</v>
      </c>
      <c r="F43" s="71">
        <v>67</v>
      </c>
      <c r="G43" s="14">
        <f t="shared" si="1"/>
        <v>4366.8805970149251</v>
      </c>
      <c r="H43" s="71">
        <v>292581</v>
      </c>
      <c r="I43" s="152">
        <v>5120</v>
      </c>
      <c r="J43" s="153">
        <v>240</v>
      </c>
      <c r="L43" s="11"/>
      <c r="M43" s="18" t="s">
        <v>18</v>
      </c>
      <c r="N43" s="15">
        <f>+F43</f>
        <v>67</v>
      </c>
      <c r="O43" s="33">
        <v>-4</v>
      </c>
      <c r="P43" s="15">
        <f>SUM(N43:O43)</f>
        <v>63</v>
      </c>
      <c r="Q43" s="15"/>
      <c r="R43" s="33">
        <f>+H43</f>
        <v>292581</v>
      </c>
      <c r="S43" s="33">
        <f t="shared" si="6"/>
        <v>-85100</v>
      </c>
      <c r="T43" s="33">
        <f t="shared" si="7"/>
        <v>207481</v>
      </c>
      <c r="U43" s="33"/>
      <c r="V43" s="68">
        <f t="shared" si="10"/>
        <v>3293.3492063492063</v>
      </c>
      <c r="W43" s="68">
        <f t="shared" si="11"/>
        <v>207481</v>
      </c>
      <c r="X43" s="68">
        <v>85100</v>
      </c>
      <c r="Y43" s="68">
        <f t="shared" si="9"/>
        <v>292581</v>
      </c>
    </row>
    <row r="44" spans="1:25" x14ac:dyDescent="0.2">
      <c r="A44" s="11"/>
      <c r="B44" s="18" t="s">
        <v>19</v>
      </c>
      <c r="C44" s="71">
        <v>279</v>
      </c>
      <c r="D44" s="14">
        <f t="shared" si="0"/>
        <v>531.5913978494624</v>
      </c>
      <c r="E44" s="71">
        <v>148314</v>
      </c>
      <c r="F44" s="71">
        <v>68</v>
      </c>
      <c r="G44" s="14">
        <f t="shared" si="1"/>
        <v>4243.7794117647063</v>
      </c>
      <c r="H44" s="71">
        <v>288577</v>
      </c>
      <c r="I44" s="152">
        <v>5120</v>
      </c>
      <c r="J44" s="153">
        <v>240</v>
      </c>
      <c r="L44" s="11"/>
      <c r="M44" s="18" t="s">
        <v>19</v>
      </c>
      <c r="N44" s="15">
        <f>+F44</f>
        <v>68</v>
      </c>
      <c r="O44" s="33">
        <v>-4</v>
      </c>
      <c r="P44" s="15">
        <f>SUM(N44:O44)</f>
        <v>64</v>
      </c>
      <c r="Q44" s="15"/>
      <c r="R44" s="33">
        <f>+H44</f>
        <v>288577</v>
      </c>
      <c r="S44" s="33">
        <f t="shared" si="6"/>
        <v>-100600</v>
      </c>
      <c r="T44" s="33">
        <f t="shared" si="7"/>
        <v>187977</v>
      </c>
      <c r="U44" s="33"/>
      <c r="V44" s="68">
        <f t="shared" si="10"/>
        <v>2937.140625</v>
      </c>
      <c r="W44" s="68">
        <f t="shared" si="11"/>
        <v>187977</v>
      </c>
      <c r="X44" s="68">
        <v>100600</v>
      </c>
      <c r="Y44" s="68">
        <f t="shared" si="9"/>
        <v>288577</v>
      </c>
    </row>
    <row r="45" spans="1:25" x14ac:dyDescent="0.2">
      <c r="A45" s="11"/>
      <c r="B45" s="18" t="s">
        <v>20</v>
      </c>
      <c r="C45" s="71">
        <v>279</v>
      </c>
      <c r="D45" s="14">
        <f t="shared" si="0"/>
        <v>484.81362007168457</v>
      </c>
      <c r="E45" s="71">
        <v>135263</v>
      </c>
      <c r="F45" s="71">
        <v>68</v>
      </c>
      <c r="G45" s="14">
        <f t="shared" si="1"/>
        <v>4001.044117647059</v>
      </c>
      <c r="H45" s="71">
        <v>272071</v>
      </c>
      <c r="I45" s="152">
        <v>5120</v>
      </c>
      <c r="J45" s="153">
        <v>240</v>
      </c>
      <c r="L45" s="11"/>
      <c r="M45" s="18" t="s">
        <v>20</v>
      </c>
      <c r="N45" s="15">
        <f>+F45</f>
        <v>68</v>
      </c>
      <c r="O45" s="33">
        <v>-4</v>
      </c>
      <c r="P45" s="15">
        <f>SUM(N45:O45)</f>
        <v>64</v>
      </c>
      <c r="Q45" s="15"/>
      <c r="R45" s="33">
        <f>+H45</f>
        <v>272071</v>
      </c>
      <c r="S45" s="33">
        <f t="shared" si="6"/>
        <v>-119200</v>
      </c>
      <c r="T45" s="33">
        <f t="shared" si="7"/>
        <v>152871</v>
      </c>
      <c r="U45" s="33"/>
      <c r="V45" s="68">
        <f t="shared" si="10"/>
        <v>2388.609375</v>
      </c>
      <c r="W45" s="68">
        <f t="shared" si="11"/>
        <v>152871</v>
      </c>
      <c r="X45" s="68">
        <v>119200</v>
      </c>
      <c r="Y45" s="68">
        <f t="shared" si="9"/>
        <v>272071</v>
      </c>
    </row>
    <row r="46" spans="1:25" x14ac:dyDescent="0.2">
      <c r="A46" s="11"/>
      <c r="B46" s="18" t="s">
        <v>21</v>
      </c>
      <c r="C46" s="71">
        <v>279</v>
      </c>
      <c r="D46" s="14">
        <f t="shared" ref="D46:D49" si="12">+E46/C46</f>
        <v>655.47670250896056</v>
      </c>
      <c r="E46" s="71">
        <v>182878</v>
      </c>
      <c r="F46" s="71">
        <v>68</v>
      </c>
      <c r="G46" s="14">
        <f t="shared" ref="G46:G49" si="13">+H46/F46</f>
        <v>4920.8823529411766</v>
      </c>
      <c r="H46" s="71">
        <v>334620</v>
      </c>
      <c r="I46" s="152">
        <v>5120</v>
      </c>
      <c r="J46" s="153">
        <v>240</v>
      </c>
      <c r="L46" s="11"/>
      <c r="M46" s="18" t="s">
        <v>21</v>
      </c>
      <c r="N46" s="15">
        <f>+F46</f>
        <v>68</v>
      </c>
      <c r="O46" s="33">
        <v>-4</v>
      </c>
      <c r="P46" s="15">
        <f>SUM(N46:O46)</f>
        <v>64</v>
      </c>
      <c r="Q46" s="15"/>
      <c r="R46" s="33">
        <f>+H46</f>
        <v>334620</v>
      </c>
      <c r="S46" s="33">
        <f t="shared" si="6"/>
        <v>-122500</v>
      </c>
      <c r="T46" s="33">
        <f t="shared" si="7"/>
        <v>212120</v>
      </c>
      <c r="U46" s="33"/>
      <c r="V46" s="68">
        <f t="shared" si="10"/>
        <v>3314.375</v>
      </c>
      <c r="W46" s="68">
        <f t="shared" si="11"/>
        <v>212120</v>
      </c>
      <c r="X46" s="68">
        <v>122500</v>
      </c>
      <c r="Y46" s="68">
        <f t="shared" si="9"/>
        <v>334620</v>
      </c>
    </row>
    <row r="47" spans="1:25" x14ac:dyDescent="0.2">
      <c r="A47" s="11"/>
      <c r="B47" s="18" t="s">
        <v>22</v>
      </c>
      <c r="C47" s="71">
        <v>276</v>
      </c>
      <c r="D47" s="14">
        <f t="shared" si="12"/>
        <v>786.01086956521738</v>
      </c>
      <c r="E47" s="71">
        <v>216939</v>
      </c>
      <c r="F47" s="71">
        <v>69</v>
      </c>
      <c r="G47" s="14">
        <f t="shared" si="13"/>
        <v>5363.289855072464</v>
      </c>
      <c r="H47" s="71">
        <v>370067</v>
      </c>
      <c r="I47" s="152">
        <v>5120</v>
      </c>
      <c r="J47" s="153">
        <v>240</v>
      </c>
      <c r="L47" s="11"/>
      <c r="M47" s="18" t="s">
        <v>22</v>
      </c>
      <c r="N47" s="15">
        <f>+F47</f>
        <v>69</v>
      </c>
      <c r="O47" s="33">
        <v>-4</v>
      </c>
      <c r="P47" s="15">
        <f>SUM(N47:O47)</f>
        <v>65</v>
      </c>
      <c r="Q47" s="15"/>
      <c r="R47" s="33">
        <f>+H47</f>
        <v>370067</v>
      </c>
      <c r="S47" s="33">
        <f t="shared" si="6"/>
        <v>-141800</v>
      </c>
      <c r="T47" s="33">
        <f t="shared" si="7"/>
        <v>228267</v>
      </c>
      <c r="U47" s="33"/>
      <c r="V47" s="68">
        <f t="shared" si="10"/>
        <v>3511.8</v>
      </c>
      <c r="W47" s="68">
        <f t="shared" si="11"/>
        <v>228267</v>
      </c>
      <c r="X47" s="68">
        <v>141800</v>
      </c>
      <c r="Y47" s="68">
        <f t="shared" si="9"/>
        <v>370067</v>
      </c>
    </row>
    <row r="48" spans="1:25" x14ac:dyDescent="0.2">
      <c r="A48" s="11"/>
      <c r="B48" s="18" t="s">
        <v>23</v>
      </c>
      <c r="C48" s="71">
        <v>280</v>
      </c>
      <c r="D48" s="14">
        <f t="shared" si="12"/>
        <v>953.71785714285716</v>
      </c>
      <c r="E48" s="71">
        <v>267041</v>
      </c>
      <c r="F48" s="71">
        <v>69</v>
      </c>
      <c r="G48" s="14">
        <f t="shared" si="13"/>
        <v>6398.31884057971</v>
      </c>
      <c r="H48" s="71">
        <v>441484</v>
      </c>
      <c r="I48" s="152">
        <v>5120</v>
      </c>
      <c r="J48" s="153">
        <v>240</v>
      </c>
      <c r="L48" s="11"/>
      <c r="M48" s="18" t="s">
        <v>23</v>
      </c>
      <c r="N48" s="15">
        <f>+F48</f>
        <v>69</v>
      </c>
      <c r="O48" s="33">
        <v>-4</v>
      </c>
      <c r="P48" s="15">
        <f>SUM(N48:O48)</f>
        <v>65</v>
      </c>
      <c r="Q48" s="15"/>
      <c r="R48" s="33">
        <f>+H48</f>
        <v>441484</v>
      </c>
      <c r="S48" s="33">
        <f t="shared" si="6"/>
        <v>-142400</v>
      </c>
      <c r="T48" s="33">
        <f t="shared" si="7"/>
        <v>299084</v>
      </c>
      <c r="U48" s="33"/>
      <c r="V48" s="68">
        <f t="shared" si="10"/>
        <v>4601.292307692308</v>
      </c>
      <c r="W48" s="68">
        <f t="shared" si="11"/>
        <v>299084</v>
      </c>
      <c r="X48" s="68">
        <v>142400</v>
      </c>
      <c r="Y48" s="68">
        <f t="shared" si="9"/>
        <v>441484</v>
      </c>
    </row>
    <row r="49" spans="1:25" x14ac:dyDescent="0.2">
      <c r="A49" s="11"/>
      <c r="B49" s="18" t="s">
        <v>24</v>
      </c>
      <c r="C49" s="71">
        <v>285</v>
      </c>
      <c r="D49" s="14">
        <f t="shared" si="12"/>
        <v>1237.2280701754387</v>
      </c>
      <c r="E49" s="71">
        <v>352610</v>
      </c>
      <c r="F49" s="71">
        <v>69</v>
      </c>
      <c r="G49" s="14">
        <f t="shared" si="13"/>
        <v>6544.086956521739</v>
      </c>
      <c r="H49" s="71">
        <v>451542</v>
      </c>
      <c r="I49" s="152">
        <v>5120</v>
      </c>
      <c r="J49" s="153">
        <v>240</v>
      </c>
      <c r="L49" s="11"/>
      <c r="M49" s="18" t="s">
        <v>24</v>
      </c>
      <c r="N49" s="15">
        <f>+F49</f>
        <v>69</v>
      </c>
      <c r="O49" s="33">
        <v>-3</v>
      </c>
      <c r="P49" s="15">
        <f>SUM(N49:O49)</f>
        <v>66</v>
      </c>
      <c r="Q49" s="15"/>
      <c r="R49" s="33">
        <f>+H49</f>
        <v>451542</v>
      </c>
      <c r="S49" s="33">
        <f t="shared" si="6"/>
        <v>-83200</v>
      </c>
      <c r="T49" s="33">
        <f t="shared" si="7"/>
        <v>368342</v>
      </c>
      <c r="U49" s="33"/>
      <c r="V49" s="68">
        <f t="shared" si="10"/>
        <v>5580.939393939394</v>
      </c>
      <c r="W49" s="68">
        <f t="shared" si="11"/>
        <v>368342</v>
      </c>
      <c r="X49" s="68">
        <v>83200</v>
      </c>
      <c r="Y49" s="68">
        <f>+W49+X49</f>
        <v>451542</v>
      </c>
    </row>
    <row r="50" spans="1:25" x14ac:dyDescent="0.2">
      <c r="A50" s="10">
        <v>2017</v>
      </c>
      <c r="B50" s="18" t="s">
        <v>13</v>
      </c>
      <c r="C50" s="60">
        <f>C38</f>
        <v>277</v>
      </c>
      <c r="D50" s="60">
        <f>(D38+D26+D14)/3*$D$8</f>
        <v>1471.1858903440059</v>
      </c>
      <c r="E50" s="60">
        <f t="shared" ref="E50:E73" si="14">C50*D50</f>
        <v>407518.49162528961</v>
      </c>
      <c r="F50" s="60">
        <f>N50</f>
        <v>69.333333333333329</v>
      </c>
      <c r="G50" s="60">
        <f t="shared" ref="G50:G73" si="15">V50</f>
        <v>4413.5711675579314</v>
      </c>
      <c r="H50" s="60">
        <f t="shared" ref="H50:H73" si="16">Y50</f>
        <v>400408.31628045149</v>
      </c>
      <c r="I50" s="154">
        <v>3325</v>
      </c>
      <c r="J50" s="155">
        <v>240</v>
      </c>
      <c r="L50" s="10">
        <v>2017</v>
      </c>
      <c r="M50" s="18" t="s">
        <v>13</v>
      </c>
      <c r="N50" s="61">
        <f>(N37+N25+N14)/3-1</f>
        <v>69.333333333333329</v>
      </c>
      <c r="O50" s="33">
        <v>-4</v>
      </c>
      <c r="P50" s="64">
        <f>SUM(N50:O50)</f>
        <v>65.333333333333329</v>
      </c>
      <c r="Q50" s="61"/>
      <c r="R50" s="63">
        <f>+H50</f>
        <v>400408.31628045149</v>
      </c>
      <c r="S50" s="63">
        <f>-X50</f>
        <v>-112055</v>
      </c>
      <c r="T50" s="63">
        <f t="shared" si="7"/>
        <v>288353.31628045149</v>
      </c>
      <c r="U50" s="59"/>
      <c r="V50" s="60">
        <f>(V37+V26+V14)/3*$V$8</f>
        <v>4413.5711675579314</v>
      </c>
      <c r="W50" s="69">
        <f>+P50*V50</f>
        <v>288353.31628045149</v>
      </c>
      <c r="X50" s="69">
        <v>112055</v>
      </c>
      <c r="Y50" s="69">
        <f>+W50+X50</f>
        <v>400408.31628045149</v>
      </c>
    </row>
    <row r="51" spans="1:25" x14ac:dyDescent="0.2">
      <c r="A51" s="11"/>
      <c r="B51" s="18" t="s">
        <v>14</v>
      </c>
      <c r="C51" s="60">
        <f>C39</f>
        <v>277</v>
      </c>
      <c r="D51" s="60">
        <f t="shared" ref="D51:D61" si="17">(D39+D27+D15)/3*$D$8</f>
        <v>1221.115224885318</v>
      </c>
      <c r="E51" s="60">
        <f t="shared" si="14"/>
        <v>338248.9172932331</v>
      </c>
      <c r="F51" s="60">
        <f t="shared" ref="F51:F73" si="18">N51</f>
        <v>69</v>
      </c>
      <c r="G51" s="60">
        <f t="shared" si="15"/>
        <v>4385.0101892911007</v>
      </c>
      <c r="H51" s="60">
        <f t="shared" si="16"/>
        <v>397080.66230392153</v>
      </c>
      <c r="I51" s="154">
        <v>3325</v>
      </c>
      <c r="J51" s="155">
        <v>240</v>
      </c>
      <c r="L51" s="11"/>
      <c r="M51" s="18" t="s">
        <v>14</v>
      </c>
      <c r="N51" s="61">
        <f t="shared" ref="N51:N61" si="19">(N38+N26+N15)/3-1</f>
        <v>69</v>
      </c>
      <c r="O51" s="33">
        <v>-4</v>
      </c>
      <c r="P51" s="64">
        <f>SUM(N51:O51)</f>
        <v>65</v>
      </c>
      <c r="Q51" s="61"/>
      <c r="R51" s="63">
        <f>+H51</f>
        <v>397080.66230392153</v>
      </c>
      <c r="S51" s="63">
        <f t="shared" ref="S51:S73" si="20">-X51</f>
        <v>-112055</v>
      </c>
      <c r="T51" s="63">
        <f t="shared" si="7"/>
        <v>285025.66230392153</v>
      </c>
      <c r="U51" s="59"/>
      <c r="V51" s="60">
        <f t="shared" ref="V51:V62" si="21">(V38+V27+V15)/3*$V$8</f>
        <v>4385.0101892911007</v>
      </c>
      <c r="W51" s="69">
        <f t="shared" ref="W51:W73" si="22">+P51*V51</f>
        <v>285025.66230392153</v>
      </c>
      <c r="X51" s="69">
        <v>112055</v>
      </c>
      <c r="Y51" s="69">
        <f t="shared" ref="Y51:Y73" si="23">+W51+X51</f>
        <v>397080.66230392153</v>
      </c>
    </row>
    <row r="52" spans="1:25" x14ac:dyDescent="0.2">
      <c r="A52" s="11"/>
      <c r="B52" s="18" t="s">
        <v>15</v>
      </c>
      <c r="C52" s="60">
        <f t="shared" ref="C52:C57" si="24">C40</f>
        <v>276</v>
      </c>
      <c r="D52" s="60">
        <f t="shared" si="17"/>
        <v>1090.7621647629303</v>
      </c>
      <c r="E52" s="60">
        <f t="shared" si="14"/>
        <v>301050.35747456877</v>
      </c>
      <c r="F52" s="60">
        <f t="shared" si="18"/>
        <v>68.666666666666671</v>
      </c>
      <c r="G52" s="60">
        <f t="shared" si="15"/>
        <v>4068.2401827094477</v>
      </c>
      <c r="H52" s="60">
        <f t="shared" si="16"/>
        <v>375134.531815211</v>
      </c>
      <c r="I52" s="154">
        <v>3325</v>
      </c>
      <c r="J52" s="155">
        <v>240</v>
      </c>
      <c r="L52" s="11"/>
      <c r="M52" s="18" t="s">
        <v>15</v>
      </c>
      <c r="N52" s="61">
        <f t="shared" si="19"/>
        <v>68.666666666666671</v>
      </c>
      <c r="O52" s="33">
        <v>-4</v>
      </c>
      <c r="P52" s="64">
        <f>SUM(N52:O52)</f>
        <v>64.666666666666671</v>
      </c>
      <c r="Q52" s="61"/>
      <c r="R52" s="63">
        <f>+H52</f>
        <v>375134.531815211</v>
      </c>
      <c r="S52" s="63">
        <f t="shared" si="20"/>
        <v>-112055</v>
      </c>
      <c r="T52" s="63">
        <f t="shared" si="7"/>
        <v>263079.531815211</v>
      </c>
      <c r="U52" s="59"/>
      <c r="V52" s="60">
        <f t="shared" si="21"/>
        <v>4068.2401827094477</v>
      </c>
      <c r="W52" s="69">
        <f t="shared" si="22"/>
        <v>263079.531815211</v>
      </c>
      <c r="X52" s="69">
        <v>112055</v>
      </c>
      <c r="Y52" s="69">
        <f t="shared" si="23"/>
        <v>375134.531815211</v>
      </c>
    </row>
    <row r="53" spans="1:25" x14ac:dyDescent="0.2">
      <c r="A53" s="11"/>
      <c r="B53" s="18" t="s">
        <v>16</v>
      </c>
      <c r="C53" s="60">
        <f t="shared" si="24"/>
        <v>276</v>
      </c>
      <c r="D53" s="60">
        <f t="shared" si="17"/>
        <v>936.65947303788028</v>
      </c>
      <c r="E53" s="60">
        <f t="shared" si="14"/>
        <v>258518.01455845495</v>
      </c>
      <c r="F53" s="60">
        <f t="shared" si="18"/>
        <v>68.666666666666671</v>
      </c>
      <c r="G53" s="60">
        <f t="shared" si="15"/>
        <v>4099.8082929864249</v>
      </c>
      <c r="H53" s="60">
        <f t="shared" si="16"/>
        <v>377175.93627978885</v>
      </c>
      <c r="I53" s="154">
        <v>3325</v>
      </c>
      <c r="J53" s="155">
        <v>240</v>
      </c>
      <c r="L53" s="11"/>
      <c r="M53" s="18" t="s">
        <v>16</v>
      </c>
      <c r="N53" s="61">
        <f t="shared" si="19"/>
        <v>68.666666666666671</v>
      </c>
      <c r="O53" s="33">
        <v>-4</v>
      </c>
      <c r="P53" s="64">
        <f>SUM(N53:O53)</f>
        <v>64.666666666666671</v>
      </c>
      <c r="Q53" s="61"/>
      <c r="R53" s="63">
        <f>+H53</f>
        <v>377175.93627978885</v>
      </c>
      <c r="S53" s="63">
        <f t="shared" si="20"/>
        <v>-112055</v>
      </c>
      <c r="T53" s="63">
        <f t="shared" si="7"/>
        <v>265120.93627978885</v>
      </c>
      <c r="U53" s="59"/>
      <c r="V53" s="60">
        <f t="shared" si="21"/>
        <v>4099.8082929864249</v>
      </c>
      <c r="W53" s="69">
        <f t="shared" si="22"/>
        <v>265120.93627978885</v>
      </c>
      <c r="X53" s="69">
        <v>112055</v>
      </c>
      <c r="Y53" s="69">
        <f t="shared" si="23"/>
        <v>377175.93627978885</v>
      </c>
    </row>
    <row r="54" spans="1:25" x14ac:dyDescent="0.2">
      <c r="A54" s="11"/>
      <c r="B54" s="18" t="s">
        <v>17</v>
      </c>
      <c r="C54" s="60">
        <f t="shared" si="24"/>
        <v>277</v>
      </c>
      <c r="D54" s="60">
        <f t="shared" si="17"/>
        <v>680.44877551607931</v>
      </c>
      <c r="E54" s="60">
        <f t="shared" si="14"/>
        <v>188484.31081795396</v>
      </c>
      <c r="F54" s="60">
        <f t="shared" si="18"/>
        <v>69.333333333333329</v>
      </c>
      <c r="G54" s="60">
        <f t="shared" si="15"/>
        <v>3729.7076156379849</v>
      </c>
      <c r="H54" s="60">
        <f t="shared" si="16"/>
        <v>355729.23088834831</v>
      </c>
      <c r="I54" s="154">
        <v>3325</v>
      </c>
      <c r="J54" s="155">
        <v>240</v>
      </c>
      <c r="L54" s="11"/>
      <c r="M54" s="18" t="s">
        <v>17</v>
      </c>
      <c r="N54" s="61">
        <f t="shared" si="19"/>
        <v>69.333333333333329</v>
      </c>
      <c r="O54" s="33">
        <v>-4</v>
      </c>
      <c r="P54" s="64">
        <f>SUM(N54:O54)</f>
        <v>65.333333333333329</v>
      </c>
      <c r="Q54" s="61"/>
      <c r="R54" s="63">
        <f>+H54</f>
        <v>355729.23088834831</v>
      </c>
      <c r="S54" s="63">
        <f t="shared" si="20"/>
        <v>-112055</v>
      </c>
      <c r="T54" s="63">
        <f t="shared" si="7"/>
        <v>243674.23088834831</v>
      </c>
      <c r="U54" s="59"/>
      <c r="V54" s="60">
        <f t="shared" si="21"/>
        <v>3729.7076156379849</v>
      </c>
      <c r="W54" s="69">
        <f t="shared" si="22"/>
        <v>243674.23088834833</v>
      </c>
      <c r="X54" s="69">
        <v>112055</v>
      </c>
      <c r="Y54" s="69">
        <f t="shared" si="23"/>
        <v>355729.23088834831</v>
      </c>
    </row>
    <row r="55" spans="1:25" x14ac:dyDescent="0.2">
      <c r="A55" s="11"/>
      <c r="B55" s="18" t="s">
        <v>18</v>
      </c>
      <c r="C55" s="60">
        <f t="shared" si="24"/>
        <v>275</v>
      </c>
      <c r="D55" s="60">
        <f t="shared" si="17"/>
        <v>579.11730131503725</v>
      </c>
      <c r="E55" s="60">
        <f t="shared" si="14"/>
        <v>159257.25786163524</v>
      </c>
      <c r="F55" s="60">
        <f t="shared" si="18"/>
        <v>68</v>
      </c>
      <c r="G55" s="60">
        <f t="shared" si="15"/>
        <v>2689.9365177738928</v>
      </c>
      <c r="H55" s="60">
        <f t="shared" si="16"/>
        <v>284210.93713752914</v>
      </c>
      <c r="I55" s="154">
        <v>3325</v>
      </c>
      <c r="J55" s="155">
        <v>240</v>
      </c>
      <c r="L55" s="11"/>
      <c r="M55" s="18" t="s">
        <v>18</v>
      </c>
      <c r="N55" s="61">
        <f t="shared" si="19"/>
        <v>68</v>
      </c>
      <c r="O55" s="33">
        <v>-4</v>
      </c>
      <c r="P55" s="64">
        <f>SUM(N55:O55)</f>
        <v>64</v>
      </c>
      <c r="Q55" s="61"/>
      <c r="R55" s="63">
        <f>+H55</f>
        <v>284210.93713752914</v>
      </c>
      <c r="S55" s="63">
        <f t="shared" si="20"/>
        <v>-112055</v>
      </c>
      <c r="T55" s="63">
        <f t="shared" si="7"/>
        <v>172155.93713752914</v>
      </c>
      <c r="U55" s="59"/>
      <c r="V55" s="60">
        <f>(V42+V31+V19)/3*$V$8</f>
        <v>2689.9365177738928</v>
      </c>
      <c r="W55" s="69">
        <f t="shared" si="22"/>
        <v>172155.93713752914</v>
      </c>
      <c r="X55" s="69">
        <v>112055</v>
      </c>
      <c r="Y55" s="69">
        <f t="shared" si="23"/>
        <v>284210.93713752914</v>
      </c>
    </row>
    <row r="56" spans="1:25" x14ac:dyDescent="0.2">
      <c r="A56" s="11"/>
      <c r="B56" s="18" t="s">
        <v>19</v>
      </c>
      <c r="C56" s="60">
        <f t="shared" si="24"/>
        <v>279</v>
      </c>
      <c r="D56" s="60">
        <f t="shared" si="17"/>
        <v>533.15720122712219</v>
      </c>
      <c r="E56" s="60">
        <f t="shared" si="14"/>
        <v>148750.85914236709</v>
      </c>
      <c r="F56" s="60">
        <f t="shared" si="18"/>
        <v>68.333333333333329</v>
      </c>
      <c r="G56" s="60">
        <f t="shared" si="15"/>
        <v>3052.0928743984769</v>
      </c>
      <c r="H56" s="60">
        <f t="shared" si="16"/>
        <v>308406.30825296865</v>
      </c>
      <c r="I56" s="154">
        <v>3325</v>
      </c>
      <c r="J56" s="155">
        <v>240</v>
      </c>
      <c r="L56" s="11"/>
      <c r="M56" s="18" t="s">
        <v>19</v>
      </c>
      <c r="N56" s="61">
        <f t="shared" si="19"/>
        <v>68.333333333333329</v>
      </c>
      <c r="O56" s="33">
        <v>-4</v>
      </c>
      <c r="P56" s="64">
        <f>SUM(N56:O56)</f>
        <v>64.333333333333329</v>
      </c>
      <c r="Q56" s="61"/>
      <c r="R56" s="63">
        <f>+H56</f>
        <v>308406.30825296865</v>
      </c>
      <c r="S56" s="63">
        <f t="shared" si="20"/>
        <v>-112055</v>
      </c>
      <c r="T56" s="63">
        <f t="shared" si="7"/>
        <v>196351.30825296865</v>
      </c>
      <c r="U56" s="59"/>
      <c r="V56" s="60">
        <f t="shared" si="21"/>
        <v>3052.0928743984769</v>
      </c>
      <c r="W56" s="69">
        <f t="shared" si="22"/>
        <v>196351.30825296865</v>
      </c>
      <c r="X56" s="69">
        <v>112055</v>
      </c>
      <c r="Y56" s="69">
        <f t="shared" si="23"/>
        <v>308406.30825296865</v>
      </c>
    </row>
    <row r="57" spans="1:25" x14ac:dyDescent="0.2">
      <c r="A57" s="11"/>
      <c r="B57" s="18" t="s">
        <v>20</v>
      </c>
      <c r="C57" s="60">
        <f t="shared" si="24"/>
        <v>279</v>
      </c>
      <c r="D57" s="60">
        <f t="shared" si="17"/>
        <v>496.1343549906253</v>
      </c>
      <c r="E57" s="60">
        <f t="shared" si="14"/>
        <v>138421.48504238445</v>
      </c>
      <c r="F57" s="60">
        <f t="shared" si="18"/>
        <v>68</v>
      </c>
      <c r="G57" s="60">
        <f t="shared" si="15"/>
        <v>2687.0212002840904</v>
      </c>
      <c r="H57" s="60">
        <f t="shared" si="16"/>
        <v>284024.35681818181</v>
      </c>
      <c r="I57" s="154">
        <v>3325</v>
      </c>
      <c r="J57" s="155">
        <v>240</v>
      </c>
      <c r="L57" s="11"/>
      <c r="M57" s="18" t="s">
        <v>20</v>
      </c>
      <c r="N57" s="61">
        <f t="shared" si="19"/>
        <v>68</v>
      </c>
      <c r="O57" s="33">
        <v>-4</v>
      </c>
      <c r="P57" s="64">
        <f>SUM(N57:O57)</f>
        <v>64</v>
      </c>
      <c r="Q57" s="61"/>
      <c r="R57" s="63">
        <f>+H57</f>
        <v>284024.35681818181</v>
      </c>
      <c r="S57" s="63">
        <f t="shared" si="20"/>
        <v>-112055</v>
      </c>
      <c r="T57" s="63">
        <f t="shared" si="7"/>
        <v>171969.35681818181</v>
      </c>
      <c r="U57" s="59"/>
      <c r="V57" s="60">
        <f>(V44+V33+V21)/3*$V$8</f>
        <v>2687.0212002840904</v>
      </c>
      <c r="W57" s="69">
        <f t="shared" si="22"/>
        <v>171969.35681818178</v>
      </c>
      <c r="X57" s="69">
        <v>112055</v>
      </c>
      <c r="Y57" s="69">
        <f>+W57+X57</f>
        <v>284024.35681818181</v>
      </c>
    </row>
    <row r="58" spans="1:25" x14ac:dyDescent="0.2">
      <c r="A58" s="11"/>
      <c r="B58" s="18" t="s">
        <v>21</v>
      </c>
      <c r="C58" s="60">
        <f>(C46+C34+C22)/3*$C$8</f>
        <v>274.72000000000003</v>
      </c>
      <c r="D58" s="60">
        <f t="shared" si="17"/>
        <v>649.0944191882553</v>
      </c>
      <c r="E58" s="60">
        <f t="shared" si="14"/>
        <v>178319.21883939751</v>
      </c>
      <c r="F58" s="60">
        <f t="shared" si="18"/>
        <v>68.333333333333329</v>
      </c>
      <c r="G58" s="60">
        <f t="shared" si="15"/>
        <v>2717.1734209280298</v>
      </c>
      <c r="H58" s="60">
        <f t="shared" si="16"/>
        <v>286859.82341303653</v>
      </c>
      <c r="I58" s="154">
        <v>3325</v>
      </c>
      <c r="J58" s="155">
        <v>240</v>
      </c>
      <c r="L58" s="11"/>
      <c r="M58" s="18" t="s">
        <v>21</v>
      </c>
      <c r="N58" s="61">
        <f t="shared" si="19"/>
        <v>68.333333333333329</v>
      </c>
      <c r="O58" s="33">
        <v>-4</v>
      </c>
      <c r="P58" s="64">
        <f>SUM(N58:O58)</f>
        <v>64.333333333333329</v>
      </c>
      <c r="Q58" s="61"/>
      <c r="R58" s="63">
        <f>+H58</f>
        <v>286859.82341303653</v>
      </c>
      <c r="S58" s="63">
        <f t="shared" si="20"/>
        <v>-112055</v>
      </c>
      <c r="T58" s="63">
        <f t="shared" si="7"/>
        <v>174804.82341303653</v>
      </c>
      <c r="U58" s="59"/>
      <c r="V58" s="60">
        <f t="shared" si="21"/>
        <v>2717.1734209280298</v>
      </c>
      <c r="W58" s="69">
        <f t="shared" si="22"/>
        <v>174804.82341303656</v>
      </c>
      <c r="X58" s="69">
        <v>112055</v>
      </c>
      <c r="Y58" s="69">
        <f t="shared" si="23"/>
        <v>286859.82341303653</v>
      </c>
    </row>
    <row r="59" spans="1:25" x14ac:dyDescent="0.2">
      <c r="A59" s="11"/>
      <c r="B59" s="18" t="s">
        <v>22</v>
      </c>
      <c r="C59" s="60">
        <f t="shared" ref="C59:C61" si="25">(C47+C35+C23)/3*$C$8</f>
        <v>274.72000000000003</v>
      </c>
      <c r="D59" s="60">
        <f t="shared" si="17"/>
        <v>801.74665129556433</v>
      </c>
      <c r="E59" s="60">
        <f t="shared" si="14"/>
        <v>220255.84004391744</v>
      </c>
      <c r="F59" s="60">
        <f t="shared" si="18"/>
        <v>67.666666666666671</v>
      </c>
      <c r="G59" s="60">
        <f t="shared" si="15"/>
        <v>3105.3749373543119</v>
      </c>
      <c r="H59" s="60">
        <f t="shared" si="16"/>
        <v>309763.87101155787</v>
      </c>
      <c r="I59" s="154">
        <v>3325</v>
      </c>
      <c r="J59" s="155">
        <v>240</v>
      </c>
      <c r="L59" s="11"/>
      <c r="M59" s="18" t="s">
        <v>22</v>
      </c>
      <c r="N59" s="61">
        <f t="shared" si="19"/>
        <v>67.666666666666671</v>
      </c>
      <c r="O59" s="33">
        <v>-4</v>
      </c>
      <c r="P59" s="64">
        <f>SUM(N59:O59)</f>
        <v>63.666666666666671</v>
      </c>
      <c r="Q59" s="61"/>
      <c r="R59" s="63">
        <f>+H59</f>
        <v>309763.87101155787</v>
      </c>
      <c r="S59" s="63">
        <f t="shared" si="20"/>
        <v>-112055</v>
      </c>
      <c r="T59" s="63">
        <f t="shared" si="7"/>
        <v>197708.87101155787</v>
      </c>
      <c r="U59" s="59"/>
      <c r="V59" s="60">
        <f t="shared" si="21"/>
        <v>3105.3749373543119</v>
      </c>
      <c r="W59" s="69">
        <f t="shared" si="22"/>
        <v>197708.87101155787</v>
      </c>
      <c r="X59" s="69">
        <v>112055</v>
      </c>
      <c r="Y59" s="69">
        <f t="shared" si="23"/>
        <v>309763.87101155787</v>
      </c>
    </row>
    <row r="60" spans="1:25" x14ac:dyDescent="0.2">
      <c r="A60" s="11"/>
      <c r="B60" s="18" t="s">
        <v>23</v>
      </c>
      <c r="C60" s="60">
        <f t="shared" si="25"/>
        <v>276.39323535333335</v>
      </c>
      <c r="D60" s="60">
        <f>(D48+D36+D24)/3*$D$8</f>
        <v>919.65458840643203</v>
      </c>
      <c r="E60" s="60">
        <f t="shared" si="14"/>
        <v>254186.30709719189</v>
      </c>
      <c r="F60" s="60">
        <f t="shared" si="18"/>
        <v>68.333333333333329</v>
      </c>
      <c r="G60" s="60">
        <f t="shared" si="15"/>
        <v>3597.9794941724936</v>
      </c>
      <c r="H60" s="60">
        <f t="shared" si="16"/>
        <v>343525.01412509708</v>
      </c>
      <c r="I60" s="154">
        <v>3325</v>
      </c>
      <c r="J60" s="155">
        <v>240</v>
      </c>
      <c r="L60" s="11"/>
      <c r="M60" s="18" t="s">
        <v>23</v>
      </c>
      <c r="N60" s="61">
        <f t="shared" si="19"/>
        <v>68.333333333333329</v>
      </c>
      <c r="O60" s="33">
        <v>-4</v>
      </c>
      <c r="P60" s="64">
        <f>SUM(N60:O60)</f>
        <v>64.333333333333329</v>
      </c>
      <c r="Q60" s="61"/>
      <c r="R60" s="63">
        <f>+H60</f>
        <v>343525.01412509708</v>
      </c>
      <c r="S60" s="63">
        <f t="shared" si="20"/>
        <v>-112055</v>
      </c>
      <c r="T60" s="63">
        <f t="shared" si="7"/>
        <v>231470.01412509708</v>
      </c>
      <c r="U60" s="59"/>
      <c r="V60" s="60">
        <f t="shared" si="21"/>
        <v>3597.9794941724936</v>
      </c>
      <c r="W60" s="69">
        <f t="shared" si="22"/>
        <v>231470.01412509708</v>
      </c>
      <c r="X60" s="69">
        <v>112055</v>
      </c>
      <c r="Y60" s="69">
        <f t="shared" si="23"/>
        <v>343525.01412509708</v>
      </c>
    </row>
    <row r="61" spans="1:25" x14ac:dyDescent="0.2">
      <c r="A61" s="11"/>
      <c r="B61" s="18" t="s">
        <v>24</v>
      </c>
      <c r="C61" s="60">
        <f t="shared" si="25"/>
        <v>277.07666666666665</v>
      </c>
      <c r="D61" s="60">
        <f t="shared" si="17"/>
        <v>1103.317786241123</v>
      </c>
      <c r="E61" s="60">
        <f t="shared" si="14"/>
        <v>305703.61448573624</v>
      </c>
      <c r="F61" s="60">
        <f t="shared" si="18"/>
        <v>68</v>
      </c>
      <c r="G61" s="60">
        <f t="shared" si="15"/>
        <v>4117.5727715617722</v>
      </c>
      <c r="H61" s="60">
        <f t="shared" si="16"/>
        <v>375579.65737995342</v>
      </c>
      <c r="I61" s="154">
        <v>3325</v>
      </c>
      <c r="J61" s="155">
        <v>240</v>
      </c>
      <c r="L61" s="11"/>
      <c r="M61" s="18" t="s">
        <v>24</v>
      </c>
      <c r="N61" s="61">
        <f t="shared" si="19"/>
        <v>68</v>
      </c>
      <c r="O61" s="33">
        <v>-4</v>
      </c>
      <c r="P61" s="64">
        <f>SUM(N61:O61)</f>
        <v>64</v>
      </c>
      <c r="Q61" s="61"/>
      <c r="R61" s="63">
        <f>+H61</f>
        <v>375579.65737995342</v>
      </c>
      <c r="S61" s="63">
        <f t="shared" si="20"/>
        <v>-112055</v>
      </c>
      <c r="T61" s="63">
        <f t="shared" si="7"/>
        <v>263524.65737995342</v>
      </c>
      <c r="U61" s="59"/>
      <c r="V61" s="60">
        <f t="shared" si="21"/>
        <v>4117.5727715617722</v>
      </c>
      <c r="W61" s="69">
        <f t="shared" si="22"/>
        <v>263524.65737995342</v>
      </c>
      <c r="X61" s="69">
        <v>112055</v>
      </c>
      <c r="Y61" s="69">
        <f t="shared" si="23"/>
        <v>375579.65737995342</v>
      </c>
    </row>
    <row r="62" spans="1:25" x14ac:dyDescent="0.2">
      <c r="A62" s="10">
        <v>2018</v>
      </c>
      <c r="B62" s="18" t="s">
        <v>13</v>
      </c>
      <c r="C62" s="60">
        <f>(C50+C38)/2*$C$9</f>
        <v>277.55399999999997</v>
      </c>
      <c r="D62" s="60">
        <f>(D50+D38+D26)/3*$D$9</f>
        <v>1430.8520554352185</v>
      </c>
      <c r="E62" s="60">
        <f t="shared" si="14"/>
        <v>397138.71139426657</v>
      </c>
      <c r="F62" s="60">
        <f t="shared" si="18"/>
        <v>69.666666666666671</v>
      </c>
      <c r="G62" s="60">
        <f t="shared" si="15"/>
        <v>4924.5395431235429</v>
      </c>
      <c r="H62" s="60">
        <f t="shared" si="16"/>
        <v>435433.09666511265</v>
      </c>
      <c r="I62" s="154">
        <v>3325</v>
      </c>
      <c r="J62" s="155">
        <v>240</v>
      </c>
      <c r="L62" s="10">
        <v>2018</v>
      </c>
      <c r="M62" s="18" t="s">
        <v>13</v>
      </c>
      <c r="N62" s="61">
        <f>(N49+N37+N26)/3</f>
        <v>69.666666666666671</v>
      </c>
      <c r="O62" s="33">
        <v>-4</v>
      </c>
      <c r="P62" s="64">
        <f>SUM(N62:O62)</f>
        <v>65.666666666666671</v>
      </c>
      <c r="Q62" s="61"/>
      <c r="R62" s="63">
        <f>+H62</f>
        <v>435433.09666511265</v>
      </c>
      <c r="S62" s="63">
        <f t="shared" si="20"/>
        <v>-112055</v>
      </c>
      <c r="T62" s="63">
        <f t="shared" si="7"/>
        <v>323378.09666511265</v>
      </c>
      <c r="U62" s="59"/>
      <c r="V62" s="60">
        <f t="shared" si="21"/>
        <v>4924.5395431235429</v>
      </c>
      <c r="W62" s="69">
        <f t="shared" si="22"/>
        <v>323378.09666511265</v>
      </c>
      <c r="X62" s="69">
        <v>112055</v>
      </c>
      <c r="Y62" s="69">
        <f t="shared" si="23"/>
        <v>435433.09666511265</v>
      </c>
    </row>
    <row r="63" spans="1:25" x14ac:dyDescent="0.2">
      <c r="A63" s="11"/>
      <c r="B63" s="18" t="s">
        <v>14</v>
      </c>
      <c r="C63" s="60">
        <f t="shared" ref="C63:C73" si="26">(C51+C39)/2*$C$9</f>
        <v>277.55399999999997</v>
      </c>
      <c r="D63" s="60">
        <f t="shared" ref="D63:D73" si="27">(D51+D39+D27)/3*$D$9</f>
        <v>1233.7902800412583</v>
      </c>
      <c r="E63" s="60">
        <f t="shared" si="14"/>
        <v>342443.42738657136</v>
      </c>
      <c r="F63" s="60">
        <f t="shared" si="18"/>
        <v>68.444444444444443</v>
      </c>
      <c r="G63" s="60">
        <f t="shared" si="15"/>
        <v>4280.5489750445631</v>
      </c>
      <c r="H63" s="60">
        <f t="shared" si="16"/>
        <v>387912.60061398294</v>
      </c>
      <c r="I63" s="154">
        <v>3325</v>
      </c>
      <c r="J63" s="155">
        <v>240</v>
      </c>
      <c r="L63" s="11"/>
      <c r="M63" s="18" t="s">
        <v>14</v>
      </c>
      <c r="N63" s="61">
        <f t="shared" ref="N63:N73" si="28">(N50+N38+N27)/3</f>
        <v>68.444444444444443</v>
      </c>
      <c r="O63" s="33">
        <v>-4</v>
      </c>
      <c r="P63" s="64">
        <f>SUM(N63:O63)</f>
        <v>64.444444444444443</v>
      </c>
      <c r="Q63" s="61"/>
      <c r="R63" s="63">
        <f>+H63</f>
        <v>387912.60061398294</v>
      </c>
      <c r="S63" s="63">
        <f t="shared" si="20"/>
        <v>-112055</v>
      </c>
      <c r="T63" s="63">
        <f t="shared" si="7"/>
        <v>275857.60061398294</v>
      </c>
      <c r="U63" s="59"/>
      <c r="V63" s="60">
        <f t="shared" ref="V63:V73" si="29">(V50+V39+V27)/3*$V$9</f>
        <v>4280.5489750445631</v>
      </c>
      <c r="W63" s="69">
        <f t="shared" si="22"/>
        <v>275857.60061398294</v>
      </c>
      <c r="X63" s="69">
        <v>112055</v>
      </c>
      <c r="Y63" s="69">
        <f t="shared" si="23"/>
        <v>387912.60061398294</v>
      </c>
    </row>
    <row r="64" spans="1:25" x14ac:dyDescent="0.2">
      <c r="A64" s="11"/>
      <c r="B64" s="18" t="s">
        <v>15</v>
      </c>
      <c r="C64" s="60">
        <f t="shared" si="26"/>
        <v>276.55200000000002</v>
      </c>
      <c r="D64" s="60">
        <f t="shared" si="27"/>
        <v>1052.4449046502659</v>
      </c>
      <c r="E64" s="60">
        <f t="shared" si="14"/>
        <v>291055.74327084038</v>
      </c>
      <c r="F64" s="60">
        <f t="shared" si="18"/>
        <v>69</v>
      </c>
      <c r="G64" s="60">
        <f t="shared" si="15"/>
        <v>4404.3977324426132</v>
      </c>
      <c r="H64" s="60">
        <f t="shared" si="16"/>
        <v>398340.85260876984</v>
      </c>
      <c r="I64" s="154">
        <v>3325</v>
      </c>
      <c r="J64" s="155">
        <v>240</v>
      </c>
      <c r="L64" s="11"/>
      <c r="M64" s="18" t="s">
        <v>15</v>
      </c>
      <c r="N64" s="61">
        <f t="shared" si="28"/>
        <v>69</v>
      </c>
      <c r="O64" s="33">
        <v>-4</v>
      </c>
      <c r="P64" s="64">
        <f>SUM(N64:O64)</f>
        <v>65</v>
      </c>
      <c r="Q64" s="61"/>
      <c r="R64" s="63">
        <f>+H64</f>
        <v>398340.85260876984</v>
      </c>
      <c r="S64" s="63">
        <f t="shared" si="20"/>
        <v>-112055</v>
      </c>
      <c r="T64" s="63">
        <f t="shared" si="7"/>
        <v>286285.85260876984</v>
      </c>
      <c r="U64" s="59"/>
      <c r="V64" s="60">
        <f t="shared" si="29"/>
        <v>4404.3977324426132</v>
      </c>
      <c r="W64" s="69">
        <f t="shared" si="22"/>
        <v>286285.85260876984</v>
      </c>
      <c r="X64" s="69">
        <v>112055</v>
      </c>
      <c r="Y64" s="69">
        <f t="shared" si="23"/>
        <v>398340.85260876984</v>
      </c>
    </row>
    <row r="65" spans="1:25" x14ac:dyDescent="0.2">
      <c r="A65" s="11"/>
      <c r="B65" s="18" t="s">
        <v>16</v>
      </c>
      <c r="C65" s="60">
        <f t="shared" si="26"/>
        <v>276.55200000000002</v>
      </c>
      <c r="D65" s="60">
        <f t="shared" si="27"/>
        <v>944.3220477036225</v>
      </c>
      <c r="E65" s="60">
        <f t="shared" si="14"/>
        <v>261154.15093653224</v>
      </c>
      <c r="F65" s="60">
        <f t="shared" si="18"/>
        <v>68.8888888888889</v>
      </c>
      <c r="G65" s="60">
        <f t="shared" si="15"/>
        <v>4281.497934206317</v>
      </c>
      <c r="H65" s="60">
        <f t="shared" si="16"/>
        <v>389876.64373072109</v>
      </c>
      <c r="I65" s="154">
        <v>3325</v>
      </c>
      <c r="J65" s="155">
        <v>240</v>
      </c>
      <c r="L65" s="11"/>
      <c r="M65" s="18" t="s">
        <v>16</v>
      </c>
      <c r="N65" s="61">
        <f t="shared" si="28"/>
        <v>68.8888888888889</v>
      </c>
      <c r="O65" s="33">
        <v>-4</v>
      </c>
      <c r="P65" s="64">
        <f>SUM(N65:O65)</f>
        <v>64.8888888888889</v>
      </c>
      <c r="Q65" s="61"/>
      <c r="R65" s="63">
        <f>+H65</f>
        <v>389876.64373072109</v>
      </c>
      <c r="S65" s="63">
        <f t="shared" si="20"/>
        <v>-112055</v>
      </c>
      <c r="T65" s="63">
        <f t="shared" si="7"/>
        <v>277821.64373072109</v>
      </c>
      <c r="U65" s="59"/>
      <c r="V65" s="60">
        <f t="shared" si="29"/>
        <v>4281.497934206317</v>
      </c>
      <c r="W65" s="69">
        <f t="shared" si="22"/>
        <v>277821.64373072109</v>
      </c>
      <c r="X65" s="69">
        <v>112055</v>
      </c>
      <c r="Y65" s="69">
        <f t="shared" si="23"/>
        <v>389876.64373072109</v>
      </c>
    </row>
    <row r="66" spans="1:25" x14ac:dyDescent="0.2">
      <c r="A66" s="11"/>
      <c r="B66" s="18" t="s">
        <v>17</v>
      </c>
      <c r="C66" s="60">
        <f t="shared" si="26"/>
        <v>277.55399999999997</v>
      </c>
      <c r="D66" s="60">
        <f t="shared" si="27"/>
        <v>670.16796068816063</v>
      </c>
      <c r="E66" s="60">
        <f t="shared" si="14"/>
        <v>186007.79816084172</v>
      </c>
      <c r="F66" s="60">
        <f t="shared" si="18"/>
        <v>68.555555555555557</v>
      </c>
      <c r="G66" s="60">
        <f t="shared" si="15"/>
        <v>3353.1469562480002</v>
      </c>
      <c r="H66" s="60">
        <f t="shared" si="16"/>
        <v>328519.26462000981</v>
      </c>
      <c r="I66" s="154">
        <v>3325</v>
      </c>
      <c r="J66" s="155">
        <v>240</v>
      </c>
      <c r="L66" s="11"/>
      <c r="M66" s="18" t="s">
        <v>17</v>
      </c>
      <c r="N66" s="61">
        <f t="shared" si="28"/>
        <v>68.555555555555557</v>
      </c>
      <c r="O66" s="33">
        <v>-4</v>
      </c>
      <c r="P66" s="64">
        <f>SUM(N66:O66)</f>
        <v>64.555555555555557</v>
      </c>
      <c r="Q66" s="61"/>
      <c r="R66" s="63">
        <f>+H66</f>
        <v>328519.26462000981</v>
      </c>
      <c r="S66" s="63">
        <f t="shared" si="20"/>
        <v>-112055</v>
      </c>
      <c r="T66" s="63">
        <f t="shared" si="7"/>
        <v>216464.26462000981</v>
      </c>
      <c r="U66" s="59"/>
      <c r="V66" s="60">
        <f t="shared" si="29"/>
        <v>3353.1469562480002</v>
      </c>
      <c r="W66" s="69">
        <f t="shared" si="22"/>
        <v>216464.26462000978</v>
      </c>
      <c r="X66" s="69">
        <v>112055</v>
      </c>
      <c r="Y66" s="69">
        <f t="shared" si="23"/>
        <v>328519.26462000981</v>
      </c>
    </row>
    <row r="67" spans="1:25" x14ac:dyDescent="0.2">
      <c r="A67" s="11"/>
      <c r="B67" s="18" t="s">
        <v>18</v>
      </c>
      <c r="C67" s="60">
        <f t="shared" si="26"/>
        <v>275.55</v>
      </c>
      <c r="D67" s="60">
        <f t="shared" si="27"/>
        <v>565.7634298989899</v>
      </c>
      <c r="E67" s="60">
        <f t="shared" si="14"/>
        <v>155896.11310866667</v>
      </c>
      <c r="F67" s="60">
        <f t="shared" si="18"/>
        <v>68.444444444444443</v>
      </c>
      <c r="G67" s="60">
        <f t="shared" si="15"/>
        <v>3299.3163765598329</v>
      </c>
      <c r="H67" s="60">
        <f t="shared" si="16"/>
        <v>324677.61093385587</v>
      </c>
      <c r="I67" s="154">
        <v>3325</v>
      </c>
      <c r="J67" s="155">
        <v>240</v>
      </c>
      <c r="L67" s="11"/>
      <c r="M67" s="18" t="s">
        <v>18</v>
      </c>
      <c r="N67" s="61">
        <f t="shared" si="28"/>
        <v>68.444444444444443</v>
      </c>
      <c r="O67" s="33">
        <v>-4</v>
      </c>
      <c r="P67" s="64">
        <f>SUM(N67:O67)</f>
        <v>64.444444444444443</v>
      </c>
      <c r="Q67" s="61"/>
      <c r="R67" s="63">
        <f>+H67</f>
        <v>324677.61093385587</v>
      </c>
      <c r="S67" s="63">
        <f t="shared" si="20"/>
        <v>-112055</v>
      </c>
      <c r="T67" s="63">
        <f t="shared" si="7"/>
        <v>212622.61093385587</v>
      </c>
      <c r="U67" s="59"/>
      <c r="V67" s="60">
        <f t="shared" si="29"/>
        <v>3299.3163765598329</v>
      </c>
      <c r="W67" s="69">
        <f t="shared" si="22"/>
        <v>212622.6109338559</v>
      </c>
      <c r="X67" s="69">
        <v>112055</v>
      </c>
      <c r="Y67" s="69">
        <f t="shared" si="23"/>
        <v>324677.61093385587</v>
      </c>
    </row>
    <row r="68" spans="1:25" x14ac:dyDescent="0.2">
      <c r="A68" s="11"/>
      <c r="B68" s="18" t="s">
        <v>19</v>
      </c>
      <c r="C68" s="60">
        <f t="shared" si="26"/>
        <v>279.55799999999999</v>
      </c>
      <c r="D68" s="60">
        <f t="shared" si="27"/>
        <v>524.82260218094916</v>
      </c>
      <c r="E68" s="60">
        <f t="shared" si="14"/>
        <v>146718.35702050177</v>
      </c>
      <c r="F68" s="60">
        <f t="shared" si="18"/>
        <v>68</v>
      </c>
      <c r="G68" s="60">
        <f t="shared" si="15"/>
        <v>2667.4205860528359</v>
      </c>
      <c r="H68" s="60">
        <f t="shared" si="16"/>
        <v>282769.91750738153</v>
      </c>
      <c r="I68" s="154">
        <v>3325</v>
      </c>
      <c r="J68" s="155">
        <v>240</v>
      </c>
      <c r="L68" s="11"/>
      <c r="M68" s="18" t="s">
        <v>19</v>
      </c>
      <c r="N68" s="61">
        <f t="shared" si="28"/>
        <v>68</v>
      </c>
      <c r="O68" s="33">
        <v>-4</v>
      </c>
      <c r="P68" s="64">
        <f>SUM(N68:O68)</f>
        <v>64</v>
      </c>
      <c r="Q68" s="61"/>
      <c r="R68" s="63">
        <f>+H68</f>
        <v>282769.91750738153</v>
      </c>
      <c r="S68" s="63">
        <f t="shared" si="20"/>
        <v>-112055</v>
      </c>
      <c r="T68" s="63">
        <f t="shared" si="7"/>
        <v>170714.91750738153</v>
      </c>
      <c r="U68" s="59"/>
      <c r="V68" s="60">
        <f t="shared" si="29"/>
        <v>2667.4205860528359</v>
      </c>
      <c r="W68" s="69">
        <f t="shared" si="22"/>
        <v>170714.9175073815</v>
      </c>
      <c r="X68" s="69">
        <v>112055</v>
      </c>
      <c r="Y68" s="69">
        <f t="shared" si="23"/>
        <v>282769.91750738153</v>
      </c>
    </row>
    <row r="69" spans="1:25" x14ac:dyDescent="0.2">
      <c r="A69" s="11"/>
      <c r="B69" s="18" t="s">
        <v>20</v>
      </c>
      <c r="C69" s="60">
        <f t="shared" si="26"/>
        <v>279.55799999999999</v>
      </c>
      <c r="D69" s="60">
        <f t="shared" si="27"/>
        <v>497.12919396741285</v>
      </c>
      <c r="E69" s="60">
        <f t="shared" si="14"/>
        <v>138976.443207142</v>
      </c>
      <c r="F69" s="60">
        <f t="shared" si="18"/>
        <v>68.777777777777771</v>
      </c>
      <c r="G69" s="60">
        <f t="shared" si="15"/>
        <v>2644.6936790924215</v>
      </c>
      <c r="H69" s="60">
        <f t="shared" si="16"/>
        <v>283372.37943454238</v>
      </c>
      <c r="I69" s="154">
        <v>3325</v>
      </c>
      <c r="J69" s="155">
        <v>240</v>
      </c>
      <c r="L69" s="11"/>
      <c r="M69" s="18" t="s">
        <v>20</v>
      </c>
      <c r="N69" s="61">
        <f t="shared" si="28"/>
        <v>68.777777777777771</v>
      </c>
      <c r="O69" s="33">
        <v>-4</v>
      </c>
      <c r="P69" s="64">
        <f>SUM(N69:O69)</f>
        <v>64.777777777777771</v>
      </c>
      <c r="Q69" s="61"/>
      <c r="R69" s="63">
        <f>+H69</f>
        <v>283372.37943454238</v>
      </c>
      <c r="S69" s="63">
        <f t="shared" si="20"/>
        <v>-112055</v>
      </c>
      <c r="T69" s="63">
        <f t="shared" si="7"/>
        <v>171317.37943454238</v>
      </c>
      <c r="U69" s="59"/>
      <c r="V69" s="60">
        <f t="shared" si="29"/>
        <v>2644.6936790924215</v>
      </c>
      <c r="W69" s="69">
        <f t="shared" si="22"/>
        <v>171317.37943454241</v>
      </c>
      <c r="X69" s="69">
        <v>112055</v>
      </c>
      <c r="Y69" s="69">
        <f t="shared" si="23"/>
        <v>283372.37943454238</v>
      </c>
    </row>
    <row r="70" spans="1:25" x14ac:dyDescent="0.2">
      <c r="A70" s="11"/>
      <c r="B70" s="18" t="s">
        <v>21</v>
      </c>
      <c r="C70" s="60">
        <f t="shared" si="26"/>
        <v>277.41372000000001</v>
      </c>
      <c r="D70" s="60">
        <f t="shared" si="27"/>
        <v>674.22131883520592</v>
      </c>
      <c r="E70" s="60">
        <f t="shared" si="14"/>
        <v>187038.24416138054</v>
      </c>
      <c r="F70" s="60">
        <f t="shared" si="18"/>
        <v>68</v>
      </c>
      <c r="G70" s="60">
        <f t="shared" si="15"/>
        <v>2981.3820667613636</v>
      </c>
      <c r="H70" s="60">
        <f t="shared" si="16"/>
        <v>302863.45227272727</v>
      </c>
      <c r="I70" s="154">
        <v>3325</v>
      </c>
      <c r="J70" s="155">
        <v>240</v>
      </c>
      <c r="L70" s="11"/>
      <c r="M70" s="18" t="s">
        <v>21</v>
      </c>
      <c r="N70" s="61">
        <f t="shared" si="28"/>
        <v>68</v>
      </c>
      <c r="O70" s="33">
        <v>-4</v>
      </c>
      <c r="P70" s="64">
        <f>SUM(N70:O70)</f>
        <v>64</v>
      </c>
      <c r="Q70" s="61"/>
      <c r="R70" s="63">
        <f>+H70</f>
        <v>302863.45227272727</v>
      </c>
      <c r="S70" s="63">
        <f t="shared" si="20"/>
        <v>-112055</v>
      </c>
      <c r="T70" s="63">
        <f t="shared" si="7"/>
        <v>190808.45227272727</v>
      </c>
      <c r="U70" s="59"/>
      <c r="V70" s="60">
        <f t="shared" si="29"/>
        <v>2981.3820667613636</v>
      </c>
      <c r="W70" s="69">
        <f t="shared" si="22"/>
        <v>190808.45227272727</v>
      </c>
      <c r="X70" s="69">
        <v>112055</v>
      </c>
      <c r="Y70" s="69">
        <f t="shared" si="23"/>
        <v>302863.45227272727</v>
      </c>
    </row>
    <row r="71" spans="1:25" x14ac:dyDescent="0.2">
      <c r="A71" s="11"/>
      <c r="B71" s="18" t="s">
        <v>22</v>
      </c>
      <c r="C71" s="60">
        <f t="shared" si="26"/>
        <v>275.91072000000003</v>
      </c>
      <c r="D71" s="60">
        <f t="shared" si="27"/>
        <v>790.84778537183422</v>
      </c>
      <c r="E71" s="60">
        <f t="shared" si="14"/>
        <v>218203.38187234825</v>
      </c>
      <c r="F71" s="60">
        <f t="shared" si="18"/>
        <v>68.444444444444443</v>
      </c>
      <c r="G71" s="60">
        <f t="shared" si="15"/>
        <v>3089.8116531298565</v>
      </c>
      <c r="H71" s="60">
        <f t="shared" si="16"/>
        <v>311176.19542392407</v>
      </c>
      <c r="I71" s="154">
        <v>3325</v>
      </c>
      <c r="J71" s="155">
        <v>240</v>
      </c>
      <c r="L71" s="11"/>
      <c r="M71" s="18" t="s">
        <v>22</v>
      </c>
      <c r="N71" s="61">
        <f t="shared" si="28"/>
        <v>68.444444444444443</v>
      </c>
      <c r="O71" s="33">
        <v>-4</v>
      </c>
      <c r="P71" s="64">
        <f>SUM(N71:O71)</f>
        <v>64.444444444444443</v>
      </c>
      <c r="Q71" s="61"/>
      <c r="R71" s="63">
        <f>+H71</f>
        <v>311176.19542392407</v>
      </c>
      <c r="S71" s="63">
        <f t="shared" si="20"/>
        <v>-112055</v>
      </c>
      <c r="T71" s="63">
        <f t="shared" si="7"/>
        <v>199121.19542392407</v>
      </c>
      <c r="U71" s="59"/>
      <c r="V71" s="60">
        <f t="shared" si="29"/>
        <v>3089.8116531298565</v>
      </c>
      <c r="W71" s="69">
        <f t="shared" si="22"/>
        <v>199121.19542392407</v>
      </c>
      <c r="X71" s="69">
        <v>112055</v>
      </c>
      <c r="Y71" s="69">
        <f t="shared" si="23"/>
        <v>311176.19542392407</v>
      </c>
    </row>
    <row r="72" spans="1:25" x14ac:dyDescent="0.2">
      <c r="A72" s="11"/>
      <c r="B72" s="18" t="s">
        <v>23</v>
      </c>
      <c r="C72" s="60">
        <f t="shared" si="26"/>
        <v>278.75301091201999</v>
      </c>
      <c r="D72" s="60">
        <f t="shared" si="27"/>
        <v>949.28744577988891</v>
      </c>
      <c r="E72" s="60">
        <f t="shared" si="14"/>
        <v>264616.73373212497</v>
      </c>
      <c r="F72" s="60">
        <f t="shared" si="18"/>
        <v>68.222222222222229</v>
      </c>
      <c r="G72" s="60">
        <f t="shared" si="15"/>
        <v>3782.1762611693862</v>
      </c>
      <c r="H72" s="60">
        <f t="shared" si="16"/>
        <v>354954.7643284339</v>
      </c>
      <c r="I72" s="154">
        <v>3325</v>
      </c>
      <c r="J72" s="155">
        <v>240</v>
      </c>
      <c r="L72" s="11"/>
      <c r="M72" s="18" t="s">
        <v>23</v>
      </c>
      <c r="N72" s="61">
        <f t="shared" si="28"/>
        <v>68.222222222222229</v>
      </c>
      <c r="O72" s="33">
        <v>-4</v>
      </c>
      <c r="P72" s="64">
        <f>SUM(N72:O72)</f>
        <v>64.222222222222229</v>
      </c>
      <c r="Q72" s="61"/>
      <c r="R72" s="63">
        <f>+H72</f>
        <v>354954.7643284339</v>
      </c>
      <c r="S72" s="63">
        <f t="shared" si="20"/>
        <v>-112055</v>
      </c>
      <c r="T72" s="63">
        <f t="shared" si="7"/>
        <v>242899.7643284339</v>
      </c>
      <c r="U72" s="59"/>
      <c r="V72" s="60">
        <f t="shared" si="29"/>
        <v>3782.1762611693862</v>
      </c>
      <c r="W72" s="69">
        <f t="shared" si="22"/>
        <v>242899.76432843393</v>
      </c>
      <c r="X72" s="69">
        <v>112055</v>
      </c>
      <c r="Y72" s="69">
        <f t="shared" si="23"/>
        <v>354954.7643284339</v>
      </c>
    </row>
    <row r="73" spans="1:25" x14ac:dyDescent="0.2">
      <c r="A73" s="11"/>
      <c r="B73" s="18" t="s">
        <v>24</v>
      </c>
      <c r="C73" s="60">
        <f t="shared" si="26"/>
        <v>281.60040999999995</v>
      </c>
      <c r="D73" s="60">
        <f t="shared" si="27"/>
        <v>1126.2944809930812</v>
      </c>
      <c r="E73" s="60">
        <f t="shared" si="14"/>
        <v>317164.9876283888</v>
      </c>
      <c r="F73" s="60">
        <f t="shared" si="18"/>
        <v>68.777777777777771</v>
      </c>
      <c r="G73" s="60">
        <f t="shared" si="15"/>
        <v>4319.952760683761</v>
      </c>
      <c r="H73" s="60">
        <f t="shared" si="16"/>
        <v>391891.93994207028</v>
      </c>
      <c r="I73" s="154">
        <v>3325</v>
      </c>
      <c r="J73" s="155">
        <v>240</v>
      </c>
      <c r="L73" s="11"/>
      <c r="M73" s="18" t="s">
        <v>24</v>
      </c>
      <c r="N73" s="61">
        <f t="shared" si="28"/>
        <v>68.777777777777771</v>
      </c>
      <c r="O73" s="33">
        <v>-4</v>
      </c>
      <c r="P73" s="64">
        <f>SUM(N73:O73)</f>
        <v>64.777777777777771</v>
      </c>
      <c r="Q73" s="61"/>
      <c r="R73" s="63">
        <f>+H73</f>
        <v>391891.93994207028</v>
      </c>
      <c r="S73" s="63">
        <f t="shared" si="20"/>
        <v>-112055</v>
      </c>
      <c r="T73" s="63">
        <f t="shared" si="7"/>
        <v>279836.93994207028</v>
      </c>
      <c r="U73" s="59"/>
      <c r="V73" s="60">
        <f t="shared" si="29"/>
        <v>4319.952760683761</v>
      </c>
      <c r="W73" s="69">
        <f t="shared" si="22"/>
        <v>279836.93994207028</v>
      </c>
      <c r="X73" s="69">
        <v>112055</v>
      </c>
      <c r="Y73" s="69">
        <f t="shared" si="23"/>
        <v>391891.93994207028</v>
      </c>
    </row>
    <row r="74" spans="1:25" ht="12" thickBot="1" x14ac:dyDescent="0.25">
      <c r="A74" s="140"/>
      <c r="B74" s="42"/>
      <c r="C74" s="43"/>
      <c r="D74" s="43"/>
      <c r="E74" s="43"/>
      <c r="F74" s="43"/>
      <c r="G74" s="43"/>
      <c r="H74" s="43"/>
      <c r="I74" s="44"/>
      <c r="J74" s="156"/>
      <c r="K74" s="7"/>
      <c r="O74" s="47"/>
      <c r="P74" s="40"/>
    </row>
  </sheetData>
  <mergeCells count="3">
    <mergeCell ref="F11:H11"/>
    <mergeCell ref="C11:E11"/>
    <mergeCell ref="W11:Y11"/>
  </mergeCells>
  <phoneticPr fontId="0" type="noConversion"/>
  <printOptions horizontalCentered="1"/>
  <pageMargins left="0.15748031496062992" right="0.15748031496062992" top="0.98425196850393704" bottom="0.98425196850393704" header="0.51181102362204722" footer="0.51181102362204722"/>
  <pageSetup scale="70" fitToWidth="2" orientation="portrait" horizontalDpi="300" verticalDpi="300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  <pageSetUpPr fitToPage="1"/>
  </sheetPr>
  <dimension ref="A1:H73"/>
  <sheetViews>
    <sheetView view="pageBreakPreview" topLeftCell="A52" zoomScale="115" zoomScaleNormal="120" zoomScaleSheetLayoutView="115" workbookViewId="0">
      <selection activeCell="C67" sqref="C67"/>
    </sheetView>
  </sheetViews>
  <sheetFormatPr defaultColWidth="9.140625" defaultRowHeight="11.25" x14ac:dyDescent="0.2"/>
  <cols>
    <col min="1" max="1" width="7.7109375" style="4" bestFit="1" customWidth="1"/>
    <col min="2" max="2" width="9.28515625" style="4" customWidth="1"/>
    <col min="3" max="3" width="7.28515625" style="4" customWidth="1"/>
    <col min="4" max="4" width="9" style="4" bestFit="1" customWidth="1"/>
    <col min="5" max="5" width="9.140625" style="4" customWidth="1"/>
    <col min="6" max="6" width="5.7109375" style="4" customWidth="1"/>
    <col min="7" max="8" width="9" style="4" bestFit="1" customWidth="1"/>
    <col min="9" max="16384" width="9.140625" style="4"/>
  </cols>
  <sheetData>
    <row r="1" spans="1:8" ht="12.75" x14ac:dyDescent="0.2">
      <c r="B1" s="120"/>
      <c r="C1" s="120"/>
      <c r="D1" s="120"/>
      <c r="E1" s="120"/>
      <c r="F1" s="120"/>
      <c r="G1" s="120"/>
      <c r="H1" s="121" t="s">
        <v>53</v>
      </c>
    </row>
    <row r="2" spans="1:8" ht="12.75" x14ac:dyDescent="0.2">
      <c r="B2" s="120"/>
      <c r="C2" s="120"/>
      <c r="D2" s="120"/>
      <c r="E2" s="120"/>
      <c r="F2" s="120"/>
      <c r="G2" s="120"/>
      <c r="H2" s="121" t="s">
        <v>54</v>
      </c>
    </row>
    <row r="3" spans="1:8" ht="12.75" x14ac:dyDescent="0.2">
      <c r="B3" s="120"/>
      <c r="C3" s="120"/>
      <c r="D3" s="120"/>
      <c r="E3" s="120"/>
      <c r="F3" s="120"/>
      <c r="G3" s="120"/>
      <c r="H3" s="122" t="s">
        <v>55</v>
      </c>
    </row>
    <row r="4" spans="1:8" ht="12.75" x14ac:dyDescent="0.2">
      <c r="B4" s="120"/>
      <c r="C4" s="120"/>
      <c r="D4" s="120"/>
      <c r="E4" s="120"/>
      <c r="F4" s="120"/>
      <c r="G4" s="120"/>
      <c r="H4" s="122"/>
    </row>
    <row r="5" spans="1:8" ht="12.75" x14ac:dyDescent="0.2">
      <c r="A5" s="120" t="s">
        <v>59</v>
      </c>
      <c r="B5" s="120"/>
      <c r="C5" s="120"/>
      <c r="D5" s="120"/>
      <c r="E5" s="120"/>
      <c r="F5" s="120"/>
      <c r="G5" s="120"/>
      <c r="H5" s="122"/>
    </row>
    <row r="8" spans="1:8" ht="13.15" customHeight="1" x14ac:dyDescent="0.2">
      <c r="A8" s="5">
        <v>2017</v>
      </c>
      <c r="B8" s="2"/>
      <c r="C8" s="21">
        <v>0</v>
      </c>
      <c r="D8" s="21">
        <v>0.27500000000000002</v>
      </c>
      <c r="F8" s="21">
        <v>1</v>
      </c>
      <c r="G8" s="21">
        <v>1.034</v>
      </c>
    </row>
    <row r="9" spans="1:8" ht="13.15" customHeight="1" thickBot="1" x14ac:dyDescent="0.25">
      <c r="A9" s="5">
        <v>2018</v>
      </c>
      <c r="B9" s="2"/>
      <c r="C9" s="21">
        <v>0</v>
      </c>
      <c r="D9" s="21">
        <v>0</v>
      </c>
      <c r="F9" s="21">
        <v>1</v>
      </c>
      <c r="G9" s="21">
        <v>1</v>
      </c>
    </row>
    <row r="10" spans="1:8" ht="13.15" customHeight="1" x14ac:dyDescent="0.2">
      <c r="A10" s="50" t="s">
        <v>37</v>
      </c>
      <c r="B10" s="22"/>
      <c r="C10" s="3"/>
      <c r="D10" s="3"/>
      <c r="E10" s="3"/>
      <c r="F10" s="3"/>
      <c r="G10" s="3"/>
      <c r="H10" s="123"/>
    </row>
    <row r="11" spans="1:8" ht="12.75" x14ac:dyDescent="0.2">
      <c r="A11" s="48" t="s">
        <v>51</v>
      </c>
      <c r="B11" s="23"/>
      <c r="C11" s="76" t="s">
        <v>3</v>
      </c>
      <c r="D11" s="76"/>
      <c r="E11" s="76"/>
      <c r="F11" s="77" t="s">
        <v>5</v>
      </c>
      <c r="G11" s="77"/>
      <c r="H11" s="125"/>
    </row>
    <row r="12" spans="1:8" x14ac:dyDescent="0.2">
      <c r="A12" s="17"/>
      <c r="B12" s="24"/>
      <c r="C12" s="25" t="s">
        <v>4</v>
      </c>
      <c r="D12" s="26" t="s">
        <v>2</v>
      </c>
      <c r="E12" s="26" t="s">
        <v>1</v>
      </c>
      <c r="F12" s="5" t="s">
        <v>4</v>
      </c>
      <c r="G12" s="6" t="s">
        <v>2</v>
      </c>
      <c r="H12" s="126" t="s">
        <v>1</v>
      </c>
    </row>
    <row r="13" spans="1:8" x14ac:dyDescent="0.2">
      <c r="A13" s="8"/>
      <c r="B13" s="7"/>
      <c r="C13" s="7"/>
      <c r="D13" s="5" t="s">
        <v>10</v>
      </c>
      <c r="E13" s="5" t="s">
        <v>9</v>
      </c>
      <c r="F13" s="7"/>
      <c r="G13" s="5" t="s">
        <v>9</v>
      </c>
      <c r="H13" s="138" t="s">
        <v>9</v>
      </c>
    </row>
    <row r="14" spans="1:8" ht="10.5" customHeight="1" x14ac:dyDescent="0.2">
      <c r="A14" s="10">
        <v>2014</v>
      </c>
      <c r="B14" s="18" t="s">
        <v>13</v>
      </c>
      <c r="C14" s="157">
        <v>9</v>
      </c>
      <c r="D14" s="14">
        <v>1352</v>
      </c>
      <c r="E14" s="157">
        <v>11643</v>
      </c>
      <c r="F14" s="157">
        <v>7</v>
      </c>
      <c r="G14" s="14">
        <f t="shared" ref="G14:G44" si="0">+H14/F14</f>
        <v>1014.4285714285714</v>
      </c>
      <c r="H14" s="144">
        <v>7101</v>
      </c>
    </row>
    <row r="15" spans="1:8" ht="10.5" customHeight="1" x14ac:dyDescent="0.2">
      <c r="A15" s="11"/>
      <c r="B15" s="18" t="s">
        <v>14</v>
      </c>
      <c r="C15" s="157">
        <v>9</v>
      </c>
      <c r="D15" s="14">
        <v>1552</v>
      </c>
      <c r="E15" s="157">
        <v>7840</v>
      </c>
      <c r="F15" s="157">
        <v>6</v>
      </c>
      <c r="G15" s="14">
        <f t="shared" si="0"/>
        <v>788</v>
      </c>
      <c r="H15" s="144">
        <v>4728</v>
      </c>
    </row>
    <row r="16" spans="1:8" ht="10.5" customHeight="1" x14ac:dyDescent="0.2">
      <c r="A16" s="11"/>
      <c r="B16" s="18" t="s">
        <v>15</v>
      </c>
      <c r="C16" s="157">
        <v>9</v>
      </c>
      <c r="D16" s="14">
        <v>1484</v>
      </c>
      <c r="E16" s="157">
        <v>9360</v>
      </c>
      <c r="F16" s="157">
        <v>7</v>
      </c>
      <c r="G16" s="14">
        <f t="shared" si="0"/>
        <v>1184.4285714285713</v>
      </c>
      <c r="H16" s="144">
        <v>8291</v>
      </c>
    </row>
    <row r="17" spans="1:8" ht="10.5" customHeight="1" x14ac:dyDescent="0.2">
      <c r="A17" s="11"/>
      <c r="B17" s="18" t="s">
        <v>16</v>
      </c>
      <c r="C17" s="157">
        <v>9</v>
      </c>
      <c r="D17" s="14">
        <f t="shared" ref="D17:D32" si="1">E17/C17</f>
        <v>925.88888888888891</v>
      </c>
      <c r="E17" s="157">
        <v>8333</v>
      </c>
      <c r="F17" s="157">
        <v>7</v>
      </c>
      <c r="G17" s="14">
        <f t="shared" si="0"/>
        <v>1233.1428571428571</v>
      </c>
      <c r="H17" s="144">
        <v>8632</v>
      </c>
    </row>
    <row r="18" spans="1:8" ht="10.5" customHeight="1" x14ac:dyDescent="0.2">
      <c r="A18" s="11"/>
      <c r="B18" s="18" t="s">
        <v>17</v>
      </c>
      <c r="C18" s="157">
        <v>9</v>
      </c>
      <c r="D18" s="14">
        <f t="shared" si="1"/>
        <v>972</v>
      </c>
      <c r="E18" s="157">
        <v>8748</v>
      </c>
      <c r="F18" s="157">
        <v>8</v>
      </c>
      <c r="G18" s="14">
        <f t="shared" si="0"/>
        <v>1331.125</v>
      </c>
      <c r="H18" s="144">
        <v>10649</v>
      </c>
    </row>
    <row r="19" spans="1:8" ht="10.5" customHeight="1" x14ac:dyDescent="0.2">
      <c r="A19" s="11"/>
      <c r="B19" s="18" t="s">
        <v>18</v>
      </c>
      <c r="C19" s="157">
        <v>9</v>
      </c>
      <c r="D19" s="14">
        <f t="shared" si="1"/>
        <v>800.66666666666663</v>
      </c>
      <c r="E19" s="157">
        <v>7206</v>
      </c>
      <c r="F19" s="157">
        <v>8</v>
      </c>
      <c r="G19" s="14">
        <f t="shared" si="0"/>
        <v>1384.875</v>
      </c>
      <c r="H19" s="144">
        <v>11079</v>
      </c>
    </row>
    <row r="20" spans="1:8" ht="10.5" customHeight="1" x14ac:dyDescent="0.2">
      <c r="A20" s="11"/>
      <c r="B20" s="18" t="s">
        <v>19</v>
      </c>
      <c r="C20" s="157">
        <v>9</v>
      </c>
      <c r="D20" s="14">
        <f t="shared" si="1"/>
        <v>819.44444444444446</v>
      </c>
      <c r="E20" s="157">
        <v>7375</v>
      </c>
      <c r="F20" s="157">
        <v>8</v>
      </c>
      <c r="G20" s="14">
        <f t="shared" si="0"/>
        <v>1567.875</v>
      </c>
      <c r="H20" s="144">
        <v>12543</v>
      </c>
    </row>
    <row r="21" spans="1:8" ht="10.5" customHeight="1" x14ac:dyDescent="0.2">
      <c r="A21" s="11"/>
      <c r="B21" s="18" t="s">
        <v>20</v>
      </c>
      <c r="C21" s="157">
        <v>9</v>
      </c>
      <c r="D21" s="14">
        <f t="shared" si="1"/>
        <v>774.88888888888891</v>
      </c>
      <c r="E21" s="157">
        <v>6974</v>
      </c>
      <c r="F21" s="157">
        <v>8</v>
      </c>
      <c r="G21" s="14">
        <f t="shared" si="0"/>
        <v>1367.625</v>
      </c>
      <c r="H21" s="144">
        <v>10941</v>
      </c>
    </row>
    <row r="22" spans="1:8" ht="10.5" customHeight="1" x14ac:dyDescent="0.2">
      <c r="A22" s="11"/>
      <c r="B22" s="18" t="s">
        <v>21</v>
      </c>
      <c r="C22" s="157">
        <v>9</v>
      </c>
      <c r="D22" s="14">
        <f t="shared" si="1"/>
        <v>954.33333333333337</v>
      </c>
      <c r="E22" s="157">
        <v>8589</v>
      </c>
      <c r="F22" s="157">
        <v>8</v>
      </c>
      <c r="G22" s="14">
        <f t="shared" si="0"/>
        <v>1948.875</v>
      </c>
      <c r="H22" s="144">
        <v>15591</v>
      </c>
    </row>
    <row r="23" spans="1:8" ht="10.5" customHeight="1" x14ac:dyDescent="0.2">
      <c r="A23" s="11"/>
      <c r="B23" s="18" t="s">
        <v>22</v>
      </c>
      <c r="C23" s="157">
        <v>9</v>
      </c>
      <c r="D23" s="14">
        <f t="shared" si="1"/>
        <v>770.88888888888891</v>
      </c>
      <c r="E23" s="157">
        <v>6938</v>
      </c>
      <c r="F23" s="157">
        <v>8</v>
      </c>
      <c r="G23" s="14">
        <f t="shared" si="0"/>
        <v>969.375</v>
      </c>
      <c r="H23" s="144">
        <v>7755</v>
      </c>
    </row>
    <row r="24" spans="1:8" ht="10.5" customHeight="1" x14ac:dyDescent="0.2">
      <c r="A24" s="11"/>
      <c r="B24" s="18" t="s">
        <v>23</v>
      </c>
      <c r="C24" s="157">
        <v>5</v>
      </c>
      <c r="D24" s="14">
        <f t="shared" si="1"/>
        <v>1146.5999999999999</v>
      </c>
      <c r="E24" s="157">
        <v>5733</v>
      </c>
      <c r="F24" s="157">
        <v>5</v>
      </c>
      <c r="G24" s="14">
        <f t="shared" si="0"/>
        <v>823.2</v>
      </c>
      <c r="H24" s="144">
        <v>4116</v>
      </c>
    </row>
    <row r="25" spans="1:8" ht="10.5" customHeight="1" x14ac:dyDescent="0.2">
      <c r="A25" s="11"/>
      <c r="B25" s="18" t="s">
        <v>24</v>
      </c>
      <c r="C25" s="157">
        <v>5</v>
      </c>
      <c r="D25" s="14">
        <f t="shared" si="1"/>
        <v>1062.4000000000001</v>
      </c>
      <c r="E25" s="157">
        <v>5312</v>
      </c>
      <c r="F25" s="157">
        <v>5</v>
      </c>
      <c r="G25" s="14">
        <f t="shared" si="0"/>
        <v>811.2</v>
      </c>
      <c r="H25" s="144">
        <v>4056</v>
      </c>
    </row>
    <row r="26" spans="1:8" ht="10.5" customHeight="1" x14ac:dyDescent="0.2">
      <c r="A26" s="10">
        <v>2015</v>
      </c>
      <c r="B26" s="18" t="s">
        <v>13</v>
      </c>
      <c r="C26" s="158">
        <v>5</v>
      </c>
      <c r="D26" s="14">
        <f t="shared" si="1"/>
        <v>1211.2</v>
      </c>
      <c r="E26" s="158">
        <v>6056</v>
      </c>
      <c r="F26" s="158">
        <v>5</v>
      </c>
      <c r="G26" s="14">
        <f t="shared" si="0"/>
        <v>706</v>
      </c>
      <c r="H26" s="145">
        <v>3530</v>
      </c>
    </row>
    <row r="27" spans="1:8" ht="10.5" customHeight="1" x14ac:dyDescent="0.2">
      <c r="A27" s="11"/>
      <c r="B27" s="18" t="s">
        <v>14</v>
      </c>
      <c r="C27" s="158">
        <v>5</v>
      </c>
      <c r="D27" s="14">
        <f t="shared" si="1"/>
        <v>1347.6</v>
      </c>
      <c r="E27" s="158">
        <v>6738</v>
      </c>
      <c r="F27" s="158">
        <v>5</v>
      </c>
      <c r="G27" s="14">
        <f t="shared" si="0"/>
        <v>1218.8</v>
      </c>
      <c r="H27" s="145">
        <v>6094</v>
      </c>
    </row>
    <row r="28" spans="1:8" ht="10.5" customHeight="1" x14ac:dyDescent="0.2">
      <c r="A28" s="11"/>
      <c r="B28" s="18" t="s">
        <v>15</v>
      </c>
      <c r="C28" s="158">
        <v>5</v>
      </c>
      <c r="D28" s="14">
        <f t="shared" si="1"/>
        <v>812.6</v>
      </c>
      <c r="E28" s="158">
        <v>4063</v>
      </c>
      <c r="F28" s="158">
        <v>5</v>
      </c>
      <c r="G28" s="14">
        <f t="shared" si="0"/>
        <v>257.8</v>
      </c>
      <c r="H28" s="145">
        <v>1289</v>
      </c>
    </row>
    <row r="29" spans="1:8" ht="10.5" customHeight="1" x14ac:dyDescent="0.2">
      <c r="A29" s="11"/>
      <c r="B29" s="18" t="s">
        <v>16</v>
      </c>
      <c r="C29" s="158">
        <v>5</v>
      </c>
      <c r="D29" s="14">
        <f t="shared" si="1"/>
        <v>1496</v>
      </c>
      <c r="E29" s="158">
        <v>7480</v>
      </c>
      <c r="F29" s="158">
        <v>7.333333333333333</v>
      </c>
      <c r="G29" s="14">
        <f t="shared" si="0"/>
        <v>1268.5909090909092</v>
      </c>
      <c r="H29" s="145">
        <v>9303</v>
      </c>
    </row>
    <row r="30" spans="1:8" ht="10.5" customHeight="1" x14ac:dyDescent="0.2">
      <c r="A30" s="11"/>
      <c r="B30" s="18" t="s">
        <v>17</v>
      </c>
      <c r="C30" s="158">
        <v>8</v>
      </c>
      <c r="D30" s="14">
        <f t="shared" si="1"/>
        <v>755.75</v>
      </c>
      <c r="E30" s="158">
        <v>6046</v>
      </c>
      <c r="F30" s="158">
        <v>7.666666666666667</v>
      </c>
      <c r="G30" s="14">
        <f t="shared" si="0"/>
        <v>1219.695652173913</v>
      </c>
      <c r="H30" s="145">
        <v>9351</v>
      </c>
    </row>
    <row r="31" spans="1:8" ht="10.5" customHeight="1" x14ac:dyDescent="0.2">
      <c r="A31" s="11"/>
      <c r="B31" s="18" t="s">
        <v>18</v>
      </c>
      <c r="C31" s="158">
        <v>8</v>
      </c>
      <c r="D31" s="14">
        <f t="shared" si="1"/>
        <v>764.625</v>
      </c>
      <c r="E31" s="158">
        <v>6117</v>
      </c>
      <c r="F31" s="158">
        <v>8</v>
      </c>
      <c r="G31" s="14">
        <f t="shared" si="0"/>
        <v>1400.125</v>
      </c>
      <c r="H31" s="145">
        <v>11201</v>
      </c>
    </row>
    <row r="32" spans="1:8" ht="10.5" customHeight="1" x14ac:dyDescent="0.2">
      <c r="A32" s="11"/>
      <c r="B32" s="18" t="s">
        <v>19</v>
      </c>
      <c r="C32" s="158">
        <v>8</v>
      </c>
      <c r="D32" s="14">
        <f t="shared" si="1"/>
        <v>875.25</v>
      </c>
      <c r="E32" s="158">
        <v>7002</v>
      </c>
      <c r="F32" s="158">
        <v>8</v>
      </c>
      <c r="G32" s="14">
        <f t="shared" si="0"/>
        <v>1223.75</v>
      </c>
      <c r="H32" s="145">
        <v>9790</v>
      </c>
    </row>
    <row r="33" spans="1:8" ht="10.5" customHeight="1" x14ac:dyDescent="0.2">
      <c r="A33" s="11"/>
      <c r="B33" s="18" t="s">
        <v>20</v>
      </c>
      <c r="C33" s="158">
        <v>8</v>
      </c>
      <c r="D33" s="14">
        <f>E33/C33</f>
        <v>795.625</v>
      </c>
      <c r="E33" s="158">
        <v>6365</v>
      </c>
      <c r="F33" s="158">
        <v>8</v>
      </c>
      <c r="G33" s="14">
        <f t="shared" si="0"/>
        <v>1188</v>
      </c>
      <c r="H33" s="145">
        <v>9504</v>
      </c>
    </row>
    <row r="34" spans="1:8" ht="10.5" customHeight="1" x14ac:dyDescent="0.2">
      <c r="A34" s="11"/>
      <c r="B34" s="18" t="s">
        <v>21</v>
      </c>
      <c r="C34" s="158">
        <v>8</v>
      </c>
      <c r="D34" s="14">
        <f t="shared" ref="D34:D49" si="2">E34/C34</f>
        <v>948.25</v>
      </c>
      <c r="E34" s="158">
        <v>7586</v>
      </c>
      <c r="F34" s="158">
        <v>8</v>
      </c>
      <c r="G34" s="14">
        <f t="shared" si="0"/>
        <v>1717</v>
      </c>
      <c r="H34" s="145">
        <v>13736</v>
      </c>
    </row>
    <row r="35" spans="1:8" ht="10.5" customHeight="1" x14ac:dyDescent="0.2">
      <c r="A35" s="11"/>
      <c r="B35" s="18" t="s">
        <v>22</v>
      </c>
      <c r="C35" s="158">
        <v>8</v>
      </c>
      <c r="D35" s="14">
        <f t="shared" si="2"/>
        <v>791</v>
      </c>
      <c r="E35" s="158">
        <v>6328</v>
      </c>
      <c r="F35" s="158">
        <v>8</v>
      </c>
      <c r="G35" s="14">
        <f t="shared" si="0"/>
        <v>1270.25</v>
      </c>
      <c r="H35" s="145">
        <v>10162</v>
      </c>
    </row>
    <row r="36" spans="1:8" ht="10.5" customHeight="1" x14ac:dyDescent="0.2">
      <c r="A36" s="11"/>
      <c r="B36" s="18" t="s">
        <v>23</v>
      </c>
      <c r="C36" s="158">
        <v>5</v>
      </c>
      <c r="D36" s="14">
        <f t="shared" si="2"/>
        <v>1379.2</v>
      </c>
      <c r="E36" s="158">
        <v>6896</v>
      </c>
      <c r="F36" s="158">
        <v>4</v>
      </c>
      <c r="G36" s="14">
        <f t="shared" si="0"/>
        <v>1805.75</v>
      </c>
      <c r="H36" s="145">
        <v>7223</v>
      </c>
    </row>
    <row r="37" spans="1:8" ht="10.5" customHeight="1" x14ac:dyDescent="0.2">
      <c r="A37" s="11"/>
      <c r="B37" s="18" t="s">
        <v>24</v>
      </c>
      <c r="C37" s="158">
        <v>5</v>
      </c>
      <c r="D37" s="14">
        <f t="shared" si="2"/>
        <v>1286.2</v>
      </c>
      <c r="E37" s="158">
        <v>6431</v>
      </c>
      <c r="F37" s="158">
        <v>5</v>
      </c>
      <c r="G37" s="14">
        <f t="shared" si="0"/>
        <v>1598.8</v>
      </c>
      <c r="H37" s="145">
        <v>7994</v>
      </c>
    </row>
    <row r="38" spans="1:8" ht="10.5" customHeight="1" x14ac:dyDescent="0.2">
      <c r="A38" s="10">
        <v>2016</v>
      </c>
      <c r="B38" s="18" t="s">
        <v>13</v>
      </c>
      <c r="C38" s="158">
        <v>5</v>
      </c>
      <c r="D38" s="14">
        <f t="shared" si="2"/>
        <v>1085.8</v>
      </c>
      <c r="E38" s="158">
        <v>5429</v>
      </c>
      <c r="F38" s="158">
        <v>5</v>
      </c>
      <c r="G38" s="14">
        <f t="shared" si="0"/>
        <v>1052</v>
      </c>
      <c r="H38" s="145">
        <v>5260</v>
      </c>
    </row>
    <row r="39" spans="1:8" ht="10.5" customHeight="1" x14ac:dyDescent="0.2">
      <c r="A39" s="11"/>
      <c r="B39" s="18" t="s">
        <v>14</v>
      </c>
      <c r="C39" s="158">
        <v>5</v>
      </c>
      <c r="D39" s="14">
        <f t="shared" si="2"/>
        <v>975.8</v>
      </c>
      <c r="E39" s="158">
        <v>4879</v>
      </c>
      <c r="F39" s="158">
        <v>5</v>
      </c>
      <c r="G39" s="14">
        <f t="shared" si="0"/>
        <v>-50.6</v>
      </c>
      <c r="H39" s="145">
        <v>-253</v>
      </c>
    </row>
    <row r="40" spans="1:8" ht="10.5" customHeight="1" x14ac:dyDescent="0.2">
      <c r="A40" s="11"/>
      <c r="B40" s="18" t="s">
        <v>15</v>
      </c>
      <c r="C40" s="158">
        <v>5</v>
      </c>
      <c r="D40" s="14">
        <f t="shared" si="2"/>
        <v>3426</v>
      </c>
      <c r="E40" s="158">
        <v>17130</v>
      </c>
      <c r="F40" s="158">
        <v>5</v>
      </c>
      <c r="G40" s="14">
        <f t="shared" si="0"/>
        <v>957.4</v>
      </c>
      <c r="H40" s="145">
        <v>4787</v>
      </c>
    </row>
    <row r="41" spans="1:8" ht="10.5" customHeight="1" x14ac:dyDescent="0.2">
      <c r="A41" s="11"/>
      <c r="B41" s="18" t="s">
        <v>16</v>
      </c>
      <c r="C41" s="158">
        <v>5</v>
      </c>
      <c r="D41" s="14">
        <f t="shared" si="2"/>
        <v>-510.4</v>
      </c>
      <c r="E41" s="158">
        <v>-2552</v>
      </c>
      <c r="F41" s="158">
        <v>6</v>
      </c>
      <c r="G41" s="14">
        <f t="shared" si="0"/>
        <v>1123.5</v>
      </c>
      <c r="H41" s="145">
        <v>6741</v>
      </c>
    </row>
    <row r="42" spans="1:8" ht="10.5" customHeight="1" x14ac:dyDescent="0.2">
      <c r="A42" s="11"/>
      <c r="B42" s="18" t="s">
        <v>17</v>
      </c>
      <c r="C42" s="158">
        <v>5</v>
      </c>
      <c r="D42" s="14">
        <f t="shared" si="2"/>
        <v>1112.5999999999999</v>
      </c>
      <c r="E42" s="158">
        <v>5563</v>
      </c>
      <c r="F42" s="158">
        <v>7</v>
      </c>
      <c r="G42" s="14">
        <f t="shared" si="0"/>
        <v>1506.1428571428571</v>
      </c>
      <c r="H42" s="145">
        <v>10543</v>
      </c>
    </row>
    <row r="43" spans="1:8" ht="10.5" customHeight="1" x14ac:dyDescent="0.2">
      <c r="A43" s="11"/>
      <c r="B43" s="18" t="s">
        <v>18</v>
      </c>
      <c r="C43" s="158">
        <v>5</v>
      </c>
      <c r="D43" s="14">
        <f t="shared" si="2"/>
        <v>1279.8</v>
      </c>
      <c r="E43" s="158">
        <v>6399</v>
      </c>
      <c r="F43" s="158">
        <v>7</v>
      </c>
      <c r="G43" s="14">
        <f t="shared" si="0"/>
        <v>1540.1428571428571</v>
      </c>
      <c r="H43" s="145">
        <v>10781</v>
      </c>
    </row>
    <row r="44" spans="1:8" ht="10.5" customHeight="1" x14ac:dyDescent="0.2">
      <c r="A44" s="11"/>
      <c r="B44" s="18" t="s">
        <v>19</v>
      </c>
      <c r="C44" s="158">
        <v>5</v>
      </c>
      <c r="D44" s="14">
        <f t="shared" si="2"/>
        <v>1152.4000000000001</v>
      </c>
      <c r="E44" s="158">
        <v>5762</v>
      </c>
      <c r="F44" s="158">
        <v>7</v>
      </c>
      <c r="G44" s="14">
        <f t="shared" si="0"/>
        <v>1274.8571428571429</v>
      </c>
      <c r="H44" s="145">
        <v>8924</v>
      </c>
    </row>
    <row r="45" spans="1:8" ht="10.5" customHeight="1" x14ac:dyDescent="0.2">
      <c r="A45" s="11"/>
      <c r="B45" s="18" t="s">
        <v>20</v>
      </c>
      <c r="C45" s="158">
        <v>5</v>
      </c>
      <c r="D45" s="14">
        <f t="shared" si="2"/>
        <v>1113.8</v>
      </c>
      <c r="E45" s="158">
        <v>5569</v>
      </c>
      <c r="F45" s="158">
        <v>7</v>
      </c>
      <c r="G45" s="14">
        <f t="shared" ref="G45:G49" si="3">+H45/F45</f>
        <v>1344.1428571428571</v>
      </c>
      <c r="H45" s="145">
        <v>9409</v>
      </c>
    </row>
    <row r="46" spans="1:8" ht="10.5" customHeight="1" x14ac:dyDescent="0.2">
      <c r="A46" s="11"/>
      <c r="B46" s="18" t="s">
        <v>21</v>
      </c>
      <c r="C46" s="158">
        <v>5</v>
      </c>
      <c r="D46" s="14">
        <f t="shared" si="2"/>
        <v>1293.8</v>
      </c>
      <c r="E46" s="158">
        <v>6469</v>
      </c>
      <c r="F46" s="158">
        <v>7</v>
      </c>
      <c r="G46" s="14">
        <f t="shared" si="3"/>
        <v>2403</v>
      </c>
      <c r="H46" s="145">
        <v>16821</v>
      </c>
    </row>
    <row r="47" spans="1:8" ht="10.5" customHeight="1" x14ac:dyDescent="0.2">
      <c r="A47" s="11"/>
      <c r="B47" s="18" t="s">
        <v>22</v>
      </c>
      <c r="C47" s="158">
        <v>5</v>
      </c>
      <c r="D47" s="14">
        <f t="shared" si="2"/>
        <v>1223</v>
      </c>
      <c r="E47" s="158">
        <v>6115</v>
      </c>
      <c r="F47" s="158">
        <v>7</v>
      </c>
      <c r="G47" s="14">
        <f t="shared" si="3"/>
        <v>1389</v>
      </c>
      <c r="H47" s="145">
        <v>9723</v>
      </c>
    </row>
    <row r="48" spans="1:8" ht="10.5" customHeight="1" x14ac:dyDescent="0.2">
      <c r="A48" s="11"/>
      <c r="B48" s="18" t="s">
        <v>23</v>
      </c>
      <c r="C48" s="158">
        <v>5</v>
      </c>
      <c r="D48" s="14">
        <f t="shared" si="2"/>
        <v>1260.2</v>
      </c>
      <c r="E48" s="158">
        <v>6301</v>
      </c>
      <c r="F48" s="158">
        <v>6</v>
      </c>
      <c r="G48" s="14">
        <f t="shared" si="3"/>
        <v>1301.8333333333333</v>
      </c>
      <c r="H48" s="145">
        <v>7811</v>
      </c>
    </row>
    <row r="49" spans="1:8" ht="10.5" customHeight="1" x14ac:dyDescent="0.2">
      <c r="A49" s="11"/>
      <c r="B49" s="18" t="s">
        <v>24</v>
      </c>
      <c r="C49" s="158">
        <v>5</v>
      </c>
      <c r="D49" s="14">
        <f t="shared" si="2"/>
        <v>1034</v>
      </c>
      <c r="E49" s="158">
        <v>5170</v>
      </c>
      <c r="F49" s="158">
        <v>5.6666666666666661</v>
      </c>
      <c r="G49" s="14">
        <f t="shared" si="3"/>
        <v>959.2941176470589</v>
      </c>
      <c r="H49" s="145">
        <v>5436</v>
      </c>
    </row>
    <row r="50" spans="1:8" ht="10.5" customHeight="1" x14ac:dyDescent="0.2">
      <c r="A50" s="10">
        <v>2017</v>
      </c>
      <c r="B50" s="18" t="s">
        <v>13</v>
      </c>
      <c r="C50" s="159">
        <v>5</v>
      </c>
      <c r="D50" s="159">
        <f>(D38+D26/2*$D$8)</f>
        <v>1252.3399999999999</v>
      </c>
      <c r="E50" s="60">
        <f>C50*D50</f>
        <v>6261.7</v>
      </c>
      <c r="F50" s="159">
        <f>(F38+F26)/2*$F$8</f>
        <v>5</v>
      </c>
      <c r="G50" s="159">
        <f>((G38+G26+G14)/3)*$G$8</f>
        <v>955.56371428571435</v>
      </c>
      <c r="H50" s="160">
        <f t="shared" ref="H50:H73" si="4">F50*G50</f>
        <v>4777.8185714285719</v>
      </c>
    </row>
    <row r="51" spans="1:8" ht="10.5" customHeight="1" x14ac:dyDescent="0.2">
      <c r="A51" s="11"/>
      <c r="B51" s="18" t="s">
        <v>14</v>
      </c>
      <c r="C51" s="159">
        <v>5</v>
      </c>
      <c r="D51" s="159">
        <f>(D39+D27/2*$D$8)</f>
        <v>1161.095</v>
      </c>
      <c r="E51" s="60">
        <f t="shared" ref="E51:E73" si="5">C51*D51</f>
        <v>5805.4750000000004</v>
      </c>
      <c r="F51" s="159">
        <f>(F39+F27)/2*$F$8</f>
        <v>5</v>
      </c>
      <c r="G51" s="159">
        <f t="shared" ref="G51:G61" si="6">((G39+G27+G15)/3)*$G$8</f>
        <v>674.23693333333335</v>
      </c>
      <c r="H51" s="160">
        <f t="shared" si="4"/>
        <v>3371.184666666667</v>
      </c>
    </row>
    <row r="52" spans="1:8" ht="10.5" customHeight="1" x14ac:dyDescent="0.2">
      <c r="A52" s="11"/>
      <c r="B52" s="18" t="s">
        <v>15</v>
      </c>
      <c r="C52" s="159">
        <v>5</v>
      </c>
      <c r="D52" s="159">
        <f>(D16+D28/2*$D$8)</f>
        <v>1595.7325000000001</v>
      </c>
      <c r="E52" s="60">
        <f t="shared" si="5"/>
        <v>7978.6625000000004</v>
      </c>
      <c r="F52" s="159">
        <f>(F40+F28)/2*$F$8</f>
        <v>5</v>
      </c>
      <c r="G52" s="159">
        <f t="shared" si="6"/>
        <v>827.07198095238095</v>
      </c>
      <c r="H52" s="160">
        <f t="shared" si="4"/>
        <v>4135.3599047619045</v>
      </c>
    </row>
    <row r="53" spans="1:8" ht="10.5" customHeight="1" x14ac:dyDescent="0.2">
      <c r="A53" s="11"/>
      <c r="B53" s="18" t="s">
        <v>16</v>
      </c>
      <c r="C53" s="159">
        <v>5</v>
      </c>
      <c r="D53" s="159">
        <f>(D29)</f>
        <v>1496</v>
      </c>
      <c r="E53" s="60">
        <f t="shared" si="5"/>
        <v>7480</v>
      </c>
      <c r="F53" s="159">
        <f>(F41+F29)/2*$F$8</f>
        <v>6.6666666666666661</v>
      </c>
      <c r="G53" s="159">
        <f t="shared" si="6"/>
        <v>1249.4972380952381</v>
      </c>
      <c r="H53" s="160">
        <f t="shared" si="4"/>
        <v>8329.9815873015868</v>
      </c>
    </row>
    <row r="54" spans="1:8" ht="10.5" customHeight="1" x14ac:dyDescent="0.2">
      <c r="A54" s="11"/>
      <c r="B54" s="18" t="s">
        <v>17</v>
      </c>
      <c r="C54" s="159">
        <v>5</v>
      </c>
      <c r="D54" s="159">
        <f t="shared" ref="D54:D61" si="7">(D42+D30/2*$D$8)</f>
        <v>1216.515625</v>
      </c>
      <c r="E54" s="60">
        <f t="shared" si="5"/>
        <v>6082.578125</v>
      </c>
      <c r="F54" s="159">
        <f>(F42+F30)/2*$F$8</f>
        <v>7.3333333333333339</v>
      </c>
      <c r="G54" s="159">
        <f t="shared" si="6"/>
        <v>1398.3000895445134</v>
      </c>
      <c r="H54" s="160">
        <f t="shared" si="4"/>
        <v>10254.200656659767</v>
      </c>
    </row>
    <row r="55" spans="1:8" ht="10.5" customHeight="1" x14ac:dyDescent="0.2">
      <c r="A55" s="11"/>
      <c r="B55" s="18" t="s">
        <v>18</v>
      </c>
      <c r="C55" s="159">
        <v>5</v>
      </c>
      <c r="D55" s="159">
        <f t="shared" si="7"/>
        <v>1384.9359374999999</v>
      </c>
      <c r="E55" s="60">
        <f t="shared" si="5"/>
        <v>6924.6796875</v>
      </c>
      <c r="F55" s="159">
        <f>(F43+F31)/2*$F$8-1</f>
        <v>6.5</v>
      </c>
      <c r="G55" s="159">
        <f t="shared" si="6"/>
        <v>1490.7325714285712</v>
      </c>
      <c r="H55" s="160">
        <f t="shared" si="4"/>
        <v>9689.7617142857125</v>
      </c>
    </row>
    <row r="56" spans="1:8" ht="10.5" customHeight="1" x14ac:dyDescent="0.2">
      <c r="A56" s="11"/>
      <c r="B56" s="18" t="s">
        <v>19</v>
      </c>
      <c r="C56" s="159">
        <v>5</v>
      </c>
      <c r="D56" s="159">
        <f t="shared" si="7"/>
        <v>1272.746875</v>
      </c>
      <c r="E56" s="60">
        <f t="shared" si="5"/>
        <v>6363.734375</v>
      </c>
      <c r="F56" s="159">
        <f>(F44+F32)/2*$F$8-1</f>
        <v>6.5</v>
      </c>
      <c r="G56" s="159">
        <f t="shared" si="6"/>
        <v>1401.5808452380954</v>
      </c>
      <c r="H56" s="160">
        <f t="shared" si="4"/>
        <v>9110.2754940476207</v>
      </c>
    </row>
    <row r="57" spans="1:8" ht="10.5" customHeight="1" x14ac:dyDescent="0.2">
      <c r="A57" s="11"/>
      <c r="B57" s="18" t="s">
        <v>20</v>
      </c>
      <c r="C57" s="159">
        <v>5</v>
      </c>
      <c r="D57" s="159">
        <f t="shared" si="7"/>
        <v>1223.1984375</v>
      </c>
      <c r="E57" s="60">
        <f t="shared" si="5"/>
        <v>6115.9921875</v>
      </c>
      <c r="F57" s="159">
        <f>(F45+F33)/2*$F$8-1</f>
        <v>6.5</v>
      </c>
      <c r="G57" s="159">
        <f t="shared" si="6"/>
        <v>1344.1199880952381</v>
      </c>
      <c r="H57" s="160">
        <f t="shared" si="4"/>
        <v>8736.7799226190473</v>
      </c>
    </row>
    <row r="58" spans="1:8" ht="10.5" customHeight="1" x14ac:dyDescent="0.2">
      <c r="A58" s="11"/>
      <c r="B58" s="18" t="s">
        <v>21</v>
      </c>
      <c r="C58" s="159">
        <v>5</v>
      </c>
      <c r="D58" s="159">
        <f t="shared" si="7"/>
        <v>1424.184375</v>
      </c>
      <c r="E58" s="60">
        <f t="shared" si="5"/>
        <v>7120.921875</v>
      </c>
      <c r="F58" s="159">
        <f>(F46+F34)/2*$F$8-1</f>
        <v>6.5</v>
      </c>
      <c r="G58" s="159">
        <f t="shared" si="6"/>
        <v>2091.7389166666667</v>
      </c>
      <c r="H58" s="160">
        <f t="shared" si="4"/>
        <v>13596.302958333334</v>
      </c>
    </row>
    <row r="59" spans="1:8" ht="10.5" customHeight="1" x14ac:dyDescent="0.2">
      <c r="A59" s="11"/>
      <c r="B59" s="18" t="s">
        <v>22</v>
      </c>
      <c r="C59" s="159">
        <v>5</v>
      </c>
      <c r="D59" s="159">
        <f t="shared" si="7"/>
        <v>1331.7625</v>
      </c>
      <c r="E59" s="60">
        <f t="shared" si="5"/>
        <v>6658.8125</v>
      </c>
      <c r="F59" s="159">
        <f>(F47+F35)/2*$F$8-1</f>
        <v>6.5</v>
      </c>
      <c r="G59" s="159">
        <f t="shared" si="6"/>
        <v>1250.6660833333335</v>
      </c>
      <c r="H59" s="160">
        <f t="shared" si="4"/>
        <v>8129.3295416666679</v>
      </c>
    </row>
    <row r="60" spans="1:8" ht="10.5" customHeight="1" x14ac:dyDescent="0.2">
      <c r="A60" s="11"/>
      <c r="B60" s="18" t="s">
        <v>23</v>
      </c>
      <c r="C60" s="159">
        <v>5</v>
      </c>
      <c r="D60" s="159">
        <f t="shared" si="7"/>
        <v>1449.8400000000001</v>
      </c>
      <c r="E60" s="60">
        <f t="shared" si="5"/>
        <v>7249.2000000000007</v>
      </c>
      <c r="F60" s="159">
        <f>(F48+F36)/2*$F$8</f>
        <v>5</v>
      </c>
      <c r="G60" s="159">
        <f t="shared" si="6"/>
        <v>1354.8099888888887</v>
      </c>
      <c r="H60" s="160">
        <f t="shared" si="4"/>
        <v>6774.0499444444431</v>
      </c>
    </row>
    <row r="61" spans="1:8" ht="10.5" customHeight="1" x14ac:dyDescent="0.2">
      <c r="A61" s="11"/>
      <c r="B61" s="18" t="s">
        <v>24</v>
      </c>
      <c r="C61" s="159">
        <v>5</v>
      </c>
      <c r="D61" s="159">
        <f t="shared" si="7"/>
        <v>1210.8525</v>
      </c>
      <c r="E61" s="60">
        <f t="shared" si="5"/>
        <v>6054.2624999999998</v>
      </c>
      <c r="F61" s="159">
        <f>(F49+F37)/2*$F$8</f>
        <v>5.333333333333333</v>
      </c>
      <c r="G61" s="159">
        <f t="shared" si="6"/>
        <v>1161.2833725490195</v>
      </c>
      <c r="H61" s="160">
        <f t="shared" si="4"/>
        <v>6193.5113202614375</v>
      </c>
    </row>
    <row r="62" spans="1:8" ht="10.5" customHeight="1" x14ac:dyDescent="0.2">
      <c r="A62" s="10">
        <v>2018</v>
      </c>
      <c r="B62" s="18" t="s">
        <v>13</v>
      </c>
      <c r="C62" s="159">
        <v>5</v>
      </c>
      <c r="D62" s="159">
        <f t="shared" ref="D62:D73" si="8">(D50+D38/2*$BU$9)</f>
        <v>1252.3399999999999</v>
      </c>
      <c r="E62" s="60">
        <f t="shared" si="5"/>
        <v>6261.7</v>
      </c>
      <c r="F62" s="159">
        <f>(F50+F38)/2*$F$8</f>
        <v>5</v>
      </c>
      <c r="G62" s="159">
        <f>((G50+G38+G26)/3)*$G$9</f>
        <v>904.52123809523812</v>
      </c>
      <c r="H62" s="160">
        <f t="shared" si="4"/>
        <v>4522.6061904761909</v>
      </c>
    </row>
    <row r="63" spans="1:8" ht="10.5" customHeight="1" x14ac:dyDescent="0.2">
      <c r="A63" s="11"/>
      <c r="B63" s="18" t="s">
        <v>14</v>
      </c>
      <c r="C63" s="159">
        <v>5</v>
      </c>
      <c r="D63" s="159">
        <f t="shared" si="8"/>
        <v>1161.095</v>
      </c>
      <c r="E63" s="60">
        <f t="shared" si="5"/>
        <v>5805.4750000000004</v>
      </c>
      <c r="F63" s="159">
        <f>(F51+F39)/2*$F$9</f>
        <v>5</v>
      </c>
      <c r="G63" s="159">
        <f t="shared" ref="G63:G73" si="9">((G51+G39+G27)/3)*$G$9</f>
        <v>614.14564444444443</v>
      </c>
      <c r="H63" s="160">
        <f t="shared" si="4"/>
        <v>3070.728222222222</v>
      </c>
    </row>
    <row r="64" spans="1:8" ht="10.5" customHeight="1" x14ac:dyDescent="0.2">
      <c r="A64" s="11"/>
      <c r="B64" s="18" t="s">
        <v>15</v>
      </c>
      <c r="C64" s="159">
        <v>5</v>
      </c>
      <c r="D64" s="159">
        <f t="shared" si="8"/>
        <v>1595.7325000000001</v>
      </c>
      <c r="E64" s="60">
        <f t="shared" si="5"/>
        <v>7978.6625000000004</v>
      </c>
      <c r="F64" s="159">
        <f>(F52+F40)/2*$F$9</f>
        <v>5</v>
      </c>
      <c r="G64" s="159">
        <f t="shared" si="9"/>
        <v>680.75732698412696</v>
      </c>
      <c r="H64" s="160">
        <f t="shared" si="4"/>
        <v>3403.7866349206347</v>
      </c>
    </row>
    <row r="65" spans="1:8" ht="10.5" customHeight="1" x14ac:dyDescent="0.2">
      <c r="A65" s="11"/>
      <c r="B65" s="18" t="s">
        <v>16</v>
      </c>
      <c r="C65" s="159">
        <v>5</v>
      </c>
      <c r="D65" s="159">
        <f t="shared" si="8"/>
        <v>1496</v>
      </c>
      <c r="E65" s="60">
        <f t="shared" si="5"/>
        <v>7480</v>
      </c>
      <c r="F65" s="159">
        <f>(F53+F41)/2*$F$9</f>
        <v>6.333333333333333</v>
      </c>
      <c r="G65" s="159">
        <f t="shared" si="9"/>
        <v>1213.8627157287158</v>
      </c>
      <c r="H65" s="160">
        <f t="shared" si="4"/>
        <v>7687.7971996152</v>
      </c>
    </row>
    <row r="66" spans="1:8" ht="10.5" customHeight="1" x14ac:dyDescent="0.2">
      <c r="A66" s="11"/>
      <c r="B66" s="18" t="s">
        <v>17</v>
      </c>
      <c r="C66" s="159">
        <v>5</v>
      </c>
      <c r="D66" s="159">
        <f t="shared" si="8"/>
        <v>1216.515625</v>
      </c>
      <c r="E66" s="60">
        <f t="shared" si="5"/>
        <v>6082.578125</v>
      </c>
      <c r="F66" s="159">
        <f>(F54+F42)/2*$F$9</f>
        <v>7.166666666666667</v>
      </c>
      <c r="G66" s="159">
        <f t="shared" si="9"/>
        <v>1374.7128662870946</v>
      </c>
      <c r="H66" s="160">
        <f t="shared" si="4"/>
        <v>9852.1088750575109</v>
      </c>
    </row>
    <row r="67" spans="1:8" ht="10.5" customHeight="1" x14ac:dyDescent="0.2">
      <c r="A67" s="11"/>
      <c r="B67" s="18" t="s">
        <v>18</v>
      </c>
      <c r="C67" s="159">
        <v>5</v>
      </c>
      <c r="D67" s="159">
        <f t="shared" si="8"/>
        <v>1384.9359374999999</v>
      </c>
      <c r="E67" s="60">
        <f t="shared" si="5"/>
        <v>6924.6796875</v>
      </c>
      <c r="F67" s="159">
        <f>(F55+F43)/2*$F$9</f>
        <v>6.75</v>
      </c>
      <c r="G67" s="159">
        <f t="shared" si="9"/>
        <v>1477.0001428571429</v>
      </c>
      <c r="H67" s="160">
        <f t="shared" si="4"/>
        <v>9969.7509642857149</v>
      </c>
    </row>
    <row r="68" spans="1:8" ht="10.5" customHeight="1" x14ac:dyDescent="0.2">
      <c r="A68" s="11"/>
      <c r="B68" s="18" t="s">
        <v>19</v>
      </c>
      <c r="C68" s="159">
        <v>5</v>
      </c>
      <c r="D68" s="159">
        <f t="shared" si="8"/>
        <v>1272.746875</v>
      </c>
      <c r="E68" s="60">
        <f t="shared" si="5"/>
        <v>6363.734375</v>
      </c>
      <c r="F68" s="159">
        <f>(F56+F44)/2*$F$9</f>
        <v>6.75</v>
      </c>
      <c r="G68" s="159">
        <f t="shared" si="9"/>
        <v>1300.0626626984129</v>
      </c>
      <c r="H68" s="160">
        <f t="shared" si="4"/>
        <v>8775.4229732142867</v>
      </c>
    </row>
    <row r="69" spans="1:8" ht="10.5" customHeight="1" x14ac:dyDescent="0.2">
      <c r="A69" s="11"/>
      <c r="B69" s="18" t="s">
        <v>20</v>
      </c>
      <c r="C69" s="159">
        <v>5</v>
      </c>
      <c r="D69" s="159">
        <f t="shared" si="8"/>
        <v>1223.1984375</v>
      </c>
      <c r="E69" s="60">
        <f t="shared" si="5"/>
        <v>6115.9921875</v>
      </c>
      <c r="F69" s="159">
        <f>(F57+F45)/2*$F$9</f>
        <v>6.75</v>
      </c>
      <c r="G69" s="159">
        <f t="shared" si="9"/>
        <v>1292.0876150793649</v>
      </c>
      <c r="H69" s="160">
        <f t="shared" si="4"/>
        <v>8721.591401785714</v>
      </c>
    </row>
    <row r="70" spans="1:8" ht="10.5" customHeight="1" x14ac:dyDescent="0.2">
      <c r="A70" s="11"/>
      <c r="B70" s="18" t="s">
        <v>21</v>
      </c>
      <c r="C70" s="159">
        <v>5</v>
      </c>
      <c r="D70" s="159">
        <f t="shared" si="8"/>
        <v>1424.184375</v>
      </c>
      <c r="E70" s="60">
        <f t="shared" si="5"/>
        <v>7120.921875</v>
      </c>
      <c r="F70" s="159">
        <f>(F58+F46)/2*$F$9</f>
        <v>6.75</v>
      </c>
      <c r="G70" s="159">
        <f t="shared" si="9"/>
        <v>2070.5796388888889</v>
      </c>
      <c r="H70" s="160">
        <f t="shared" si="4"/>
        <v>13976.4125625</v>
      </c>
    </row>
    <row r="71" spans="1:8" ht="10.5" customHeight="1" x14ac:dyDescent="0.2">
      <c r="A71" s="11"/>
      <c r="B71" s="18" t="s">
        <v>22</v>
      </c>
      <c r="C71" s="159">
        <v>5</v>
      </c>
      <c r="D71" s="159">
        <f t="shared" si="8"/>
        <v>1331.7625</v>
      </c>
      <c r="E71" s="60">
        <f t="shared" si="5"/>
        <v>6658.8125</v>
      </c>
      <c r="F71" s="159">
        <f>(F59+F47)/2*$F$9</f>
        <v>6.75</v>
      </c>
      <c r="G71" s="159">
        <f t="shared" si="9"/>
        <v>1303.3053611111111</v>
      </c>
      <c r="H71" s="160">
        <f t="shared" si="4"/>
        <v>8797.3111874999995</v>
      </c>
    </row>
    <row r="72" spans="1:8" ht="10.5" customHeight="1" x14ac:dyDescent="0.2">
      <c r="A72" s="11"/>
      <c r="B72" s="18" t="s">
        <v>23</v>
      </c>
      <c r="C72" s="159">
        <v>5</v>
      </c>
      <c r="D72" s="159">
        <f t="shared" si="8"/>
        <v>1449.8400000000001</v>
      </c>
      <c r="E72" s="60">
        <f t="shared" si="5"/>
        <v>7249.2000000000007</v>
      </c>
      <c r="F72" s="159">
        <f>(F60+F48)/2*$F$9</f>
        <v>5.5</v>
      </c>
      <c r="G72" s="159">
        <f t="shared" si="9"/>
        <v>1487.4644407407407</v>
      </c>
      <c r="H72" s="160">
        <f t="shared" si="4"/>
        <v>8181.0544240740737</v>
      </c>
    </row>
    <row r="73" spans="1:8" ht="12" customHeight="1" thickBot="1" x14ac:dyDescent="0.25">
      <c r="A73" s="140"/>
      <c r="B73" s="42" t="s">
        <v>24</v>
      </c>
      <c r="C73" s="161">
        <v>5</v>
      </c>
      <c r="D73" s="161">
        <f t="shared" si="8"/>
        <v>1210.8525</v>
      </c>
      <c r="E73" s="147">
        <f t="shared" si="5"/>
        <v>6054.2624999999998</v>
      </c>
      <c r="F73" s="161">
        <f>(F61+F49)/2*$F$9</f>
        <v>5.5</v>
      </c>
      <c r="G73" s="161">
        <f t="shared" si="9"/>
        <v>1239.7924967320262</v>
      </c>
      <c r="H73" s="162">
        <f t="shared" si="4"/>
        <v>6818.858732026144</v>
      </c>
    </row>
  </sheetData>
  <mergeCells count="2">
    <mergeCell ref="C11:E11"/>
    <mergeCell ref="F11:H1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U98"/>
  <sheetViews>
    <sheetView view="pageBreakPreview" zoomScaleNormal="100" zoomScaleSheetLayoutView="100" workbookViewId="0">
      <selection activeCell="C25" sqref="C25"/>
    </sheetView>
  </sheetViews>
  <sheetFormatPr defaultColWidth="9.140625" defaultRowHeight="11.25" x14ac:dyDescent="0.2"/>
  <cols>
    <col min="1" max="1" width="6.28515625" style="1" customWidth="1"/>
    <col min="2" max="2" width="6.7109375" style="1" customWidth="1"/>
    <col min="3" max="3" width="9.5703125" style="1" customWidth="1"/>
    <col min="4" max="4" width="9.42578125" style="1" customWidth="1"/>
    <col min="5" max="5" width="8.42578125" style="1" customWidth="1"/>
    <col min="6" max="6" width="8.7109375" style="1" customWidth="1"/>
    <col min="7" max="7" width="9.28515625" style="1" customWidth="1"/>
    <col min="8" max="8" width="2.5703125" style="1" customWidth="1"/>
    <col min="9" max="9" width="8.28515625" style="1" customWidth="1"/>
    <col min="10" max="10" width="9.140625" style="12" customWidth="1"/>
    <col min="11" max="12" width="8" style="1" customWidth="1"/>
    <col min="13" max="13" width="9.140625" style="1" customWidth="1"/>
    <col min="14" max="14" width="4.140625" style="1" customWidth="1"/>
    <col min="15" max="15" width="5.85546875" style="1" customWidth="1"/>
    <col min="16" max="16" width="7" style="1" customWidth="1"/>
    <col min="17" max="21" width="9.5703125" style="1" customWidth="1"/>
    <col min="22" max="22" width="3.140625" style="1" customWidth="1"/>
    <col min="23" max="27" width="9.5703125" style="1" customWidth="1"/>
    <col min="28" max="28" width="4.140625" style="1" customWidth="1"/>
    <col min="29" max="33" width="9.140625" style="1" customWidth="1"/>
    <col min="34" max="34" width="6.85546875" style="1" customWidth="1"/>
    <col min="35" max="39" width="9.140625" style="1" customWidth="1"/>
    <col min="40" max="16384" width="9.140625" style="1"/>
  </cols>
  <sheetData>
    <row r="1" spans="1:47" ht="12.75" x14ac:dyDescent="0.2">
      <c r="A1" s="4"/>
      <c r="B1" s="120"/>
      <c r="C1" s="120"/>
      <c r="D1" s="120"/>
      <c r="E1" s="120"/>
      <c r="F1" s="121" t="s">
        <v>53</v>
      </c>
      <c r="G1" s="120"/>
      <c r="I1" s="4"/>
      <c r="J1" s="120"/>
      <c r="K1" s="120"/>
      <c r="L1" s="120"/>
      <c r="M1" s="120"/>
      <c r="Q1" s="120"/>
      <c r="Z1" s="121" t="s">
        <v>53</v>
      </c>
      <c r="AE1" s="120"/>
      <c r="AM1" s="121" t="s">
        <v>53</v>
      </c>
    </row>
    <row r="2" spans="1:47" ht="12.75" x14ac:dyDescent="0.2">
      <c r="A2" s="4"/>
      <c r="B2" s="120"/>
      <c r="C2" s="120"/>
      <c r="D2" s="120"/>
      <c r="E2" s="120"/>
      <c r="F2" s="121" t="s">
        <v>54</v>
      </c>
      <c r="G2" s="120"/>
      <c r="I2" s="4"/>
      <c r="J2" s="120"/>
      <c r="K2" s="120"/>
      <c r="L2" s="120"/>
      <c r="M2" s="120"/>
      <c r="Q2" s="120"/>
      <c r="Z2" s="121" t="s">
        <v>54</v>
      </c>
      <c r="AE2" s="120"/>
      <c r="AM2" s="121" t="s">
        <v>54</v>
      </c>
    </row>
    <row r="3" spans="1:47" ht="12.75" x14ac:dyDescent="0.2">
      <c r="A3" s="4"/>
      <c r="B3" s="120"/>
      <c r="C3" s="120"/>
      <c r="D3" s="120"/>
      <c r="E3" s="120"/>
      <c r="F3" s="122" t="s">
        <v>55</v>
      </c>
      <c r="G3" s="120"/>
      <c r="I3" s="4"/>
      <c r="J3" s="120"/>
      <c r="K3" s="120"/>
      <c r="L3" s="120"/>
      <c r="M3" s="120"/>
      <c r="Q3" s="120"/>
      <c r="Z3" s="122" t="s">
        <v>55</v>
      </c>
      <c r="AE3" s="120"/>
      <c r="AM3" s="122" t="s">
        <v>55</v>
      </c>
    </row>
    <row r="4" spans="1:47" ht="12.75" x14ac:dyDescent="0.2">
      <c r="A4" s="4"/>
      <c r="B4" s="120"/>
      <c r="C4" s="120"/>
      <c r="D4" s="120"/>
      <c r="E4" s="120"/>
      <c r="F4" s="120"/>
      <c r="G4" s="120"/>
      <c r="H4" s="122"/>
      <c r="I4" s="4"/>
      <c r="J4" s="120"/>
      <c r="K4" s="120"/>
      <c r="L4" s="120"/>
      <c r="M4" s="120"/>
      <c r="N4" s="120"/>
      <c r="O4" s="120"/>
      <c r="P4" s="120"/>
      <c r="Q4" s="120"/>
      <c r="AD4" s="120"/>
      <c r="AE4" s="120"/>
    </row>
    <row r="5" spans="1:47" ht="12.75" x14ac:dyDescent="0.2">
      <c r="A5" s="120" t="s">
        <v>59</v>
      </c>
      <c r="B5" s="120"/>
      <c r="C5" s="120"/>
      <c r="D5" s="120"/>
      <c r="E5" s="120"/>
      <c r="F5" s="120"/>
      <c r="G5" s="120"/>
      <c r="H5" s="122"/>
      <c r="J5" s="120"/>
      <c r="K5" s="120"/>
      <c r="L5" s="120"/>
      <c r="M5" s="120"/>
      <c r="N5" s="120"/>
      <c r="O5" s="120"/>
      <c r="P5" s="120" t="s">
        <v>59</v>
      </c>
      <c r="Q5" s="120"/>
      <c r="AD5" s="120" t="s">
        <v>59</v>
      </c>
      <c r="AE5" s="120"/>
    </row>
    <row r="8" spans="1:47" ht="15" x14ac:dyDescent="0.2">
      <c r="A8" s="81" t="s">
        <v>36</v>
      </c>
      <c r="B8" s="4"/>
      <c r="C8" s="4"/>
      <c r="D8" s="4"/>
      <c r="E8" s="4"/>
      <c r="F8" s="4"/>
      <c r="G8" s="4"/>
      <c r="H8" s="4"/>
      <c r="I8" s="4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">
      <c r="A9" s="82" t="s">
        <v>50</v>
      </c>
      <c r="B9" s="4"/>
      <c r="C9" s="4"/>
      <c r="D9" s="4"/>
      <c r="E9" s="4"/>
      <c r="F9" s="4"/>
      <c r="G9" s="4"/>
      <c r="H9" s="4"/>
      <c r="I9" s="4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">
      <c r="A10" s="4"/>
      <c r="B10" s="4"/>
      <c r="C10" s="83" t="s">
        <v>25</v>
      </c>
      <c r="D10" s="83"/>
      <c r="E10" s="83"/>
      <c r="F10" s="84"/>
      <c r="G10" s="84"/>
      <c r="H10" s="84"/>
      <c r="I10" s="85" t="s">
        <v>45</v>
      </c>
      <c r="J10" s="83"/>
      <c r="K10" s="83"/>
      <c r="L10" s="84"/>
      <c r="M10" s="84"/>
      <c r="N10" s="4"/>
      <c r="O10" s="4"/>
      <c r="P10" s="4"/>
      <c r="Q10" s="83" t="s">
        <v>47</v>
      </c>
      <c r="R10" s="83"/>
      <c r="S10" s="83"/>
      <c r="T10" s="84"/>
      <c r="U10" s="84"/>
      <c r="V10" s="4"/>
      <c r="W10" s="86" t="s">
        <v>46</v>
      </c>
      <c r="X10" s="87"/>
      <c r="Y10" s="87"/>
      <c r="Z10" s="84"/>
      <c r="AA10" s="84"/>
      <c r="AB10" s="4"/>
      <c r="AC10" s="83" t="s">
        <v>44</v>
      </c>
      <c r="AD10" s="83"/>
      <c r="AE10" s="83"/>
      <c r="AF10" s="84"/>
      <c r="AG10" s="84"/>
      <c r="AH10" s="4"/>
      <c r="AI10" s="88" t="s">
        <v>38</v>
      </c>
      <c r="AJ10" s="88"/>
      <c r="AK10" s="88"/>
      <c r="AL10" s="88"/>
      <c r="AM10" s="84"/>
      <c r="AN10" s="4"/>
      <c r="AO10" s="4"/>
      <c r="AP10" s="4"/>
      <c r="AQ10" s="4"/>
      <c r="AR10" s="4"/>
      <c r="AS10" s="4"/>
      <c r="AT10" s="4"/>
      <c r="AU10" s="4"/>
    </row>
    <row r="11" spans="1:47" x14ac:dyDescent="0.2">
      <c r="A11" s="19" t="s">
        <v>31</v>
      </c>
      <c r="B11" s="4"/>
      <c r="C11" s="84"/>
      <c r="D11" s="84"/>
      <c r="E11" s="84"/>
      <c r="F11" s="84"/>
      <c r="G11" s="84"/>
      <c r="H11" s="84"/>
      <c r="I11" s="89"/>
      <c r="J11" s="90"/>
      <c r="K11" s="84"/>
      <c r="L11" s="84"/>
      <c r="M11" s="84"/>
      <c r="N11" s="4"/>
      <c r="O11" s="4"/>
      <c r="P11" s="4"/>
      <c r="Q11" s="84"/>
      <c r="R11" s="84"/>
      <c r="S11" s="84"/>
      <c r="T11" s="84"/>
      <c r="U11" s="84"/>
      <c r="V11" s="4"/>
      <c r="W11" s="84"/>
      <c r="X11" s="84"/>
      <c r="Y11" s="84"/>
      <c r="Z11" s="84"/>
      <c r="AA11" s="84"/>
      <c r="AB11" s="4"/>
      <c r="AC11" s="84"/>
      <c r="AD11" s="84"/>
      <c r="AE11" s="84"/>
      <c r="AF11" s="84"/>
      <c r="AG11" s="84"/>
      <c r="AH11" s="4"/>
      <c r="AI11" s="84"/>
      <c r="AJ11" s="84"/>
      <c r="AK11" s="84"/>
      <c r="AL11" s="84"/>
      <c r="AM11" s="84"/>
      <c r="AN11" s="4"/>
      <c r="AO11" s="4"/>
      <c r="AP11" s="4"/>
      <c r="AQ11" s="4"/>
      <c r="AR11" s="4"/>
      <c r="AS11" s="4"/>
      <c r="AT11" s="4"/>
      <c r="AU11" s="4"/>
    </row>
    <row r="12" spans="1:47" x14ac:dyDescent="0.2">
      <c r="A12" s="4"/>
      <c r="B12" s="89">
        <v>2017</v>
      </c>
      <c r="C12" s="73"/>
      <c r="D12" s="73"/>
      <c r="E12" s="73"/>
      <c r="F12" s="73"/>
      <c r="G12" s="4"/>
      <c r="H12" s="4"/>
      <c r="I12" s="20"/>
      <c r="J12" s="13"/>
      <c r="K12" s="20"/>
      <c r="L12" s="20"/>
      <c r="M12" s="4"/>
      <c r="N12" s="4"/>
      <c r="O12" s="4"/>
      <c r="P12" s="4"/>
      <c r="Q12" s="4">
        <v>1</v>
      </c>
      <c r="R12" s="4">
        <v>0</v>
      </c>
      <c r="S12" s="4">
        <v>0</v>
      </c>
      <c r="T12" s="4">
        <v>0</v>
      </c>
      <c r="U12" s="4"/>
      <c r="V12" s="4"/>
      <c r="W12" s="4">
        <v>0</v>
      </c>
      <c r="X12" s="4">
        <v>0</v>
      </c>
      <c r="Y12" s="4">
        <v>0</v>
      </c>
      <c r="Z12" s="4">
        <v>0</v>
      </c>
      <c r="AA12" s="4"/>
      <c r="AB12" s="4"/>
      <c r="AC12" s="73">
        <v>0.98</v>
      </c>
      <c r="AD12" s="73">
        <v>0.99</v>
      </c>
      <c r="AE12" s="73">
        <v>1</v>
      </c>
      <c r="AF12" s="73">
        <v>1.05</v>
      </c>
      <c r="AG12" s="4"/>
      <c r="AH12" s="4"/>
      <c r="AI12" s="73">
        <v>1.04</v>
      </c>
      <c r="AJ12" s="73">
        <v>1</v>
      </c>
      <c r="AK12" s="73">
        <v>1.36</v>
      </c>
      <c r="AL12" s="73">
        <v>0.96</v>
      </c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">
      <c r="A13" s="4"/>
      <c r="B13" s="89">
        <v>2018</v>
      </c>
      <c r="C13" s="73"/>
      <c r="D13" s="73"/>
      <c r="E13" s="73"/>
      <c r="F13" s="73"/>
      <c r="G13" s="4"/>
      <c r="H13" s="4"/>
      <c r="I13" s="20"/>
      <c r="J13" s="13"/>
      <c r="K13" s="20"/>
      <c r="L13" s="20"/>
      <c r="M13" s="4"/>
      <c r="N13" s="4"/>
      <c r="O13" s="4"/>
      <c r="P13" s="4"/>
      <c r="Q13" s="4">
        <v>0</v>
      </c>
      <c r="R13" s="4">
        <v>0</v>
      </c>
      <c r="S13" s="4">
        <v>0</v>
      </c>
      <c r="T13" s="4">
        <v>0</v>
      </c>
      <c r="U13" s="4"/>
      <c r="V13" s="4"/>
      <c r="W13" s="4">
        <v>0</v>
      </c>
      <c r="X13" s="4">
        <v>0</v>
      </c>
      <c r="Y13" s="4">
        <v>0</v>
      </c>
      <c r="Z13" s="4">
        <v>0</v>
      </c>
      <c r="AA13" s="4"/>
      <c r="AB13" s="4"/>
      <c r="AC13" s="73">
        <v>1.0009999999999999</v>
      </c>
      <c r="AD13" s="73">
        <v>0.99</v>
      </c>
      <c r="AE13" s="73">
        <v>1</v>
      </c>
      <c r="AF13" s="73">
        <v>1.0149999999999999</v>
      </c>
      <c r="AG13" s="4"/>
      <c r="AH13" s="4"/>
      <c r="AI13" s="73">
        <v>1.0549999999999999</v>
      </c>
      <c r="AJ13" s="73">
        <v>1</v>
      </c>
      <c r="AK13" s="73">
        <v>1.06</v>
      </c>
      <c r="AL13" s="73">
        <v>1</v>
      </c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">
      <c r="A14" s="82"/>
      <c r="B14" s="91"/>
      <c r="C14" s="89" t="s">
        <v>30</v>
      </c>
      <c r="D14" s="89" t="s">
        <v>12</v>
      </c>
      <c r="E14" s="89" t="s">
        <v>26</v>
      </c>
      <c r="F14" s="89" t="s">
        <v>28</v>
      </c>
      <c r="G14" s="89" t="s">
        <v>8</v>
      </c>
      <c r="H14" s="89"/>
      <c r="I14" s="89" t="s">
        <v>30</v>
      </c>
      <c r="J14" s="92" t="s">
        <v>12</v>
      </c>
      <c r="K14" s="89" t="s">
        <v>26</v>
      </c>
      <c r="L14" s="89" t="s">
        <v>28</v>
      </c>
      <c r="M14" s="89" t="s">
        <v>8</v>
      </c>
      <c r="N14" s="4"/>
      <c r="O14" s="4"/>
      <c r="P14" s="4"/>
      <c r="Q14" s="89" t="s">
        <v>30</v>
      </c>
      <c r="R14" s="89" t="s">
        <v>12</v>
      </c>
      <c r="S14" s="89" t="s">
        <v>26</v>
      </c>
      <c r="T14" s="89" t="s">
        <v>28</v>
      </c>
      <c r="U14" s="89" t="s">
        <v>8</v>
      </c>
      <c r="V14" s="4"/>
      <c r="W14" s="89" t="s">
        <v>30</v>
      </c>
      <c r="X14" s="89" t="s">
        <v>12</v>
      </c>
      <c r="Y14" s="89" t="s">
        <v>26</v>
      </c>
      <c r="Z14" s="89" t="s">
        <v>28</v>
      </c>
      <c r="AA14" s="89" t="s">
        <v>8</v>
      </c>
      <c r="AB14" s="4"/>
      <c r="AC14" s="89" t="s">
        <v>30</v>
      </c>
      <c r="AD14" s="89" t="s">
        <v>12</v>
      </c>
      <c r="AE14" s="89" t="s">
        <v>26</v>
      </c>
      <c r="AF14" s="89" t="s">
        <v>28</v>
      </c>
      <c r="AG14" s="89" t="s">
        <v>8</v>
      </c>
      <c r="AH14" s="4"/>
      <c r="AI14" s="89" t="s">
        <v>30</v>
      </c>
      <c r="AJ14" s="89" t="s">
        <v>12</v>
      </c>
      <c r="AK14" s="89" t="s">
        <v>26</v>
      </c>
      <c r="AL14" s="89" t="s">
        <v>28</v>
      </c>
      <c r="AM14" s="89" t="s">
        <v>8</v>
      </c>
      <c r="AN14" s="4"/>
      <c r="AO14" s="4"/>
      <c r="AP14" s="4"/>
      <c r="AQ14" s="4"/>
      <c r="AR14" s="4"/>
      <c r="AS14" s="4"/>
      <c r="AT14" s="4"/>
      <c r="AU14" s="4"/>
    </row>
    <row r="15" spans="1:47" x14ac:dyDescent="0.2">
      <c r="A15" s="4"/>
      <c r="B15" s="4"/>
      <c r="C15" s="4"/>
      <c r="D15" s="4"/>
      <c r="E15" s="4"/>
      <c r="F15" s="4"/>
      <c r="G15" s="4"/>
      <c r="H15" s="4"/>
      <c r="I15" s="4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">
      <c r="A16" s="4">
        <v>2014</v>
      </c>
      <c r="B16" s="93">
        <v>41640</v>
      </c>
      <c r="C16" s="13">
        <v>88501</v>
      </c>
      <c r="D16" s="13">
        <v>332985</v>
      </c>
      <c r="E16" s="13">
        <v>7800</v>
      </c>
      <c r="F16" s="13">
        <v>26165</v>
      </c>
      <c r="G16" s="13">
        <f>SUM(C16:F16)</f>
        <v>455451</v>
      </c>
      <c r="H16" s="13"/>
      <c r="I16" s="13">
        <v>33946</v>
      </c>
      <c r="J16" s="13">
        <v>621177</v>
      </c>
      <c r="K16" s="13">
        <v>-1457</v>
      </c>
      <c r="L16" s="13">
        <v>5047</v>
      </c>
      <c r="M16" s="13">
        <f>SUM(I16:L16)</f>
        <v>658713</v>
      </c>
      <c r="N16" s="13"/>
      <c r="O16" s="4">
        <v>2014</v>
      </c>
      <c r="P16" s="93">
        <v>41640</v>
      </c>
      <c r="Q16" s="13">
        <v>87</v>
      </c>
      <c r="R16" s="13">
        <v>250</v>
      </c>
      <c r="S16" s="13">
        <v>11</v>
      </c>
      <c r="T16" s="13">
        <v>26</v>
      </c>
      <c r="U16" s="13">
        <f>SUM(Q16:T16)</f>
        <v>374</v>
      </c>
      <c r="V16" s="13"/>
      <c r="W16" s="13">
        <v>10</v>
      </c>
      <c r="X16" s="13">
        <v>65</v>
      </c>
      <c r="Y16" s="13">
        <v>3</v>
      </c>
      <c r="Z16" s="13">
        <v>7</v>
      </c>
      <c r="AA16" s="13">
        <f>SUM(W16:Z16)</f>
        <v>85</v>
      </c>
      <c r="AB16" s="13"/>
      <c r="AC16" s="13">
        <f>IF(Q16=0,0,C16/Q16)</f>
        <v>1017.2528735632184</v>
      </c>
      <c r="AD16" s="13">
        <f>IF(R16=0,0,D16/R16)</f>
        <v>1331.94</v>
      </c>
      <c r="AE16" s="13">
        <f>IF(S16=0,0,E16/S16)</f>
        <v>709.09090909090912</v>
      </c>
      <c r="AF16" s="13">
        <f>IF(T16=0,0,F16/T16)</f>
        <v>1006.3461538461538</v>
      </c>
      <c r="AG16" s="13">
        <f>IF(U16=0,0,G16/U16)</f>
        <v>1217.783422459893</v>
      </c>
      <c r="AH16" s="13"/>
      <c r="AI16" s="13">
        <f>IF(W16=0,0,I16/W16)</f>
        <v>3394.6</v>
      </c>
      <c r="AJ16" s="13">
        <f>IF(X16=0,0,J16/X16)</f>
        <v>9556.5692307692316</v>
      </c>
      <c r="AK16" s="13">
        <f>IF(Y16=0,0,K16/Y16)</f>
        <v>-485.66666666666669</v>
      </c>
      <c r="AL16" s="13">
        <f>IF(Z16=0,0,L16/Z16)</f>
        <v>721</v>
      </c>
      <c r="AM16" s="13">
        <f>IF(AA16=0,0,M16/AA16)</f>
        <v>7749.5647058823533</v>
      </c>
      <c r="AN16" s="13"/>
      <c r="AO16" s="4"/>
      <c r="AP16" s="4"/>
      <c r="AQ16" s="4"/>
      <c r="AR16" s="4"/>
      <c r="AS16" s="4"/>
      <c r="AT16" s="4"/>
      <c r="AU16" s="4"/>
    </row>
    <row r="17" spans="1:47" x14ac:dyDescent="0.2">
      <c r="A17" s="4"/>
      <c r="B17" s="93">
        <v>41671</v>
      </c>
      <c r="C17" s="13">
        <v>58340</v>
      </c>
      <c r="D17" s="13">
        <v>205354</v>
      </c>
      <c r="E17" s="13">
        <v>3245</v>
      </c>
      <c r="F17" s="13">
        <v>18106</v>
      </c>
      <c r="G17" s="13">
        <f>SUM(C17:F17)</f>
        <v>285045</v>
      </c>
      <c r="H17" s="13"/>
      <c r="I17" s="13">
        <v>17834</v>
      </c>
      <c r="J17" s="13">
        <v>485720</v>
      </c>
      <c r="K17" s="13">
        <v>1474</v>
      </c>
      <c r="L17" s="13">
        <v>3252</v>
      </c>
      <c r="M17" s="13">
        <f>SUM(I17:L17)</f>
        <v>508280</v>
      </c>
      <c r="N17" s="13"/>
      <c r="O17" s="4"/>
      <c r="P17" s="93">
        <v>41671</v>
      </c>
      <c r="Q17" s="13">
        <v>87</v>
      </c>
      <c r="R17" s="13">
        <v>250</v>
      </c>
      <c r="S17" s="13">
        <v>11</v>
      </c>
      <c r="T17" s="13">
        <v>26</v>
      </c>
      <c r="U17" s="13">
        <f>SUM(Q17:T17)</f>
        <v>374</v>
      </c>
      <c r="V17" s="13"/>
      <c r="W17" s="13">
        <v>10</v>
      </c>
      <c r="X17" s="13">
        <v>66</v>
      </c>
      <c r="Y17" s="13">
        <v>3</v>
      </c>
      <c r="Z17" s="13">
        <v>7</v>
      </c>
      <c r="AA17" s="13">
        <f>SUM(W17:Z17)</f>
        <v>86</v>
      </c>
      <c r="AB17" s="13"/>
      <c r="AC17" s="13">
        <f>IF(Q17=0,0,C17/Q17)</f>
        <v>670.57471264367814</v>
      </c>
      <c r="AD17" s="13">
        <f>IF(R17=0,0,D17/R17)</f>
        <v>821.41600000000005</v>
      </c>
      <c r="AE17" s="13">
        <f>IF(S17=0,0,E17/S17)</f>
        <v>295</v>
      </c>
      <c r="AF17" s="13">
        <f>IF(T17=0,0,F17/T17)</f>
        <v>696.38461538461536</v>
      </c>
      <c r="AG17" s="13">
        <f>IF(U17=0,0,G17/U17)</f>
        <v>762.15240641711227</v>
      </c>
      <c r="AH17" s="13"/>
      <c r="AI17" s="13">
        <f>IF(W17=0,0,I17/W17)</f>
        <v>1783.4</v>
      </c>
      <c r="AJ17" s="13">
        <f>IF(X17=0,0,J17/X17)</f>
        <v>7359.393939393939</v>
      </c>
      <c r="AK17" s="13">
        <f>IF(Y17=0,0,K17/Y17)</f>
        <v>491.33333333333331</v>
      </c>
      <c r="AL17" s="13">
        <f>IF(Z17=0,0,L17/Z17)</f>
        <v>464.57142857142856</v>
      </c>
      <c r="AM17" s="13">
        <f>IF(AA17=0,0,M17/AA17)</f>
        <v>5910.2325581395353</v>
      </c>
      <c r="AN17" s="13"/>
      <c r="AO17" s="4"/>
      <c r="AP17" s="4"/>
      <c r="AQ17" s="4"/>
      <c r="AR17" s="4"/>
      <c r="AS17" s="4"/>
      <c r="AT17" s="4"/>
      <c r="AU17" s="4"/>
    </row>
    <row r="18" spans="1:47" x14ac:dyDescent="0.2">
      <c r="A18" s="4"/>
      <c r="B18" s="93">
        <v>41702</v>
      </c>
      <c r="C18" s="13">
        <v>66898</v>
      </c>
      <c r="D18" s="13">
        <v>250531</v>
      </c>
      <c r="E18" s="13">
        <v>6635</v>
      </c>
      <c r="F18" s="13">
        <v>20367</v>
      </c>
      <c r="G18" s="13">
        <f>SUM(C18:F18)</f>
        <v>344431</v>
      </c>
      <c r="H18" s="13"/>
      <c r="I18" s="13">
        <v>16422</v>
      </c>
      <c r="J18" s="13">
        <v>517058</v>
      </c>
      <c r="K18" s="13">
        <v>-741</v>
      </c>
      <c r="L18" s="13">
        <v>3246</v>
      </c>
      <c r="M18" s="13">
        <f>SUM(I18:L18)</f>
        <v>535985</v>
      </c>
      <c r="N18" s="13"/>
      <c r="O18" s="4"/>
      <c r="P18" s="93">
        <v>41702</v>
      </c>
      <c r="Q18" s="13">
        <v>85</v>
      </c>
      <c r="R18" s="13">
        <v>249</v>
      </c>
      <c r="S18" s="13">
        <v>9</v>
      </c>
      <c r="T18" s="13">
        <v>26</v>
      </c>
      <c r="U18" s="13">
        <f>SUM(Q18:T18)</f>
        <v>369</v>
      </c>
      <c r="V18" s="13"/>
      <c r="W18" s="13">
        <v>10</v>
      </c>
      <c r="X18" s="13">
        <v>65</v>
      </c>
      <c r="Y18" s="13">
        <v>3</v>
      </c>
      <c r="Z18" s="13">
        <v>7</v>
      </c>
      <c r="AA18" s="13">
        <f>SUM(W18:Z18)</f>
        <v>85</v>
      </c>
      <c r="AB18" s="13"/>
      <c r="AC18" s="13">
        <f>IF(Q18=0,0,C18/Q18)</f>
        <v>787.03529411764703</v>
      </c>
      <c r="AD18" s="13">
        <f>IF(R18=0,0,D18/R18)</f>
        <v>1006.14859437751</v>
      </c>
      <c r="AE18" s="13">
        <f>IF(S18=0,0,E18/S18)</f>
        <v>737.22222222222217</v>
      </c>
      <c r="AF18" s="13">
        <f>IF(T18=0,0,F18/T18)</f>
        <v>783.34615384615381</v>
      </c>
      <c r="AG18" s="13">
        <f>IF(U18=0,0,G18/U18)</f>
        <v>933.41734417344173</v>
      </c>
      <c r="AH18" s="13"/>
      <c r="AI18" s="13">
        <f>IF(W18=0,0,I18/W18)</f>
        <v>1642.2</v>
      </c>
      <c r="AJ18" s="13">
        <f>IF(X18=0,0,J18/X18)</f>
        <v>7954.7384615384617</v>
      </c>
      <c r="AK18" s="13">
        <f>IF(Y18=0,0,K18/Y18)</f>
        <v>-247</v>
      </c>
      <c r="AL18" s="13">
        <f>IF(Z18=0,0,L18/Z18)</f>
        <v>463.71428571428572</v>
      </c>
      <c r="AM18" s="13">
        <f>IF(AA18=0,0,M18/AA18)</f>
        <v>6305.7058823529414</v>
      </c>
      <c r="AN18" s="13"/>
      <c r="AO18" s="4"/>
      <c r="AP18" s="4"/>
      <c r="AQ18" s="4"/>
      <c r="AR18" s="4"/>
      <c r="AS18" s="4"/>
      <c r="AT18" s="4"/>
      <c r="AU18" s="4"/>
    </row>
    <row r="19" spans="1:47" x14ac:dyDescent="0.2">
      <c r="A19" s="4"/>
      <c r="B19" s="93">
        <v>41733</v>
      </c>
      <c r="C19" s="13">
        <v>78169</v>
      </c>
      <c r="D19" s="13">
        <v>224874</v>
      </c>
      <c r="E19" s="13">
        <v>4543</v>
      </c>
      <c r="F19" s="13">
        <v>14955</v>
      </c>
      <c r="G19" s="13">
        <f>SUM(C19:F19)</f>
        <v>322541</v>
      </c>
      <c r="H19" s="13"/>
      <c r="I19" s="13">
        <v>26023</v>
      </c>
      <c r="J19" s="13">
        <v>475796</v>
      </c>
      <c r="K19" s="13">
        <v>4176</v>
      </c>
      <c r="L19" s="13">
        <v>8740</v>
      </c>
      <c r="M19" s="13">
        <f>SUM(I19:L19)</f>
        <v>514735</v>
      </c>
      <c r="N19" s="13"/>
      <c r="O19" s="4"/>
      <c r="P19" s="93">
        <v>41733</v>
      </c>
      <c r="Q19" s="13">
        <v>86</v>
      </c>
      <c r="R19" s="13">
        <v>247</v>
      </c>
      <c r="S19" s="13">
        <v>9</v>
      </c>
      <c r="T19" s="13">
        <v>26</v>
      </c>
      <c r="U19" s="13">
        <f>SUM(Q19:T19)</f>
        <v>368</v>
      </c>
      <c r="V19" s="13"/>
      <c r="W19" s="13">
        <v>10</v>
      </c>
      <c r="X19" s="13">
        <v>65</v>
      </c>
      <c r="Y19" s="13">
        <v>3</v>
      </c>
      <c r="Z19" s="13">
        <v>7</v>
      </c>
      <c r="AA19" s="13">
        <f>SUM(W19:Z19)</f>
        <v>85</v>
      </c>
      <c r="AB19" s="57"/>
      <c r="AC19" s="13">
        <f>IF(Q19=0,0,C19/Q19)</f>
        <v>908.94186046511629</v>
      </c>
      <c r="AD19" s="13">
        <f>IF(R19=0,0,D19/R19)</f>
        <v>910.42105263157896</v>
      </c>
      <c r="AE19" s="13">
        <f>IF(S19=0,0,E19/S19)</f>
        <v>504.77777777777777</v>
      </c>
      <c r="AF19" s="13">
        <f>IF(T19=0,0,F19/T19)</f>
        <v>575.19230769230774</v>
      </c>
      <c r="AG19" s="13">
        <f>IF(U19=0,0,G19/U19)</f>
        <v>876.47010869565213</v>
      </c>
      <c r="AH19" s="57"/>
      <c r="AI19" s="13">
        <f>IF(W19=0,0,I19/W19)</f>
        <v>2602.3000000000002</v>
      </c>
      <c r="AJ19" s="13">
        <f>IF(X19=0,0,J19/X19)</f>
        <v>7319.9384615384615</v>
      </c>
      <c r="AK19" s="13">
        <f>IF(Y19=0,0,K19/Y19)</f>
        <v>1392</v>
      </c>
      <c r="AL19" s="13">
        <f>IF(Z19=0,0,L19/Z19)</f>
        <v>1248.5714285714287</v>
      </c>
      <c r="AM19" s="13">
        <f>IF(AA19=0,0,M19/AA19)</f>
        <v>6055.7058823529414</v>
      </c>
      <c r="AN19" s="57"/>
      <c r="AO19" s="4"/>
      <c r="AP19" s="4"/>
      <c r="AQ19" s="4"/>
      <c r="AR19" s="4"/>
      <c r="AS19" s="4"/>
      <c r="AT19" s="4"/>
      <c r="AU19" s="4"/>
    </row>
    <row r="20" spans="1:47" x14ac:dyDescent="0.2">
      <c r="A20" s="4"/>
      <c r="B20" s="93">
        <v>41764</v>
      </c>
      <c r="C20" s="13">
        <v>44195</v>
      </c>
      <c r="D20" s="13">
        <v>172627</v>
      </c>
      <c r="E20" s="13">
        <v>3572</v>
      </c>
      <c r="F20" s="13">
        <v>17070</v>
      </c>
      <c r="G20" s="13">
        <f>SUM(C20:F20)</f>
        <v>237464</v>
      </c>
      <c r="H20" s="57"/>
      <c r="I20" s="13">
        <v>12664</v>
      </c>
      <c r="J20" s="13">
        <v>428721</v>
      </c>
      <c r="K20" s="13">
        <v>-2187</v>
      </c>
      <c r="L20" s="13">
        <v>3282</v>
      </c>
      <c r="M20" s="13">
        <f>SUM(I20:L20)</f>
        <v>442480</v>
      </c>
      <c r="N20" s="13"/>
      <c r="O20" s="4"/>
      <c r="P20" s="93">
        <v>41764</v>
      </c>
      <c r="Q20" s="13">
        <v>85</v>
      </c>
      <c r="R20" s="13">
        <v>250</v>
      </c>
      <c r="S20" s="13">
        <v>9</v>
      </c>
      <c r="T20" s="13">
        <v>28</v>
      </c>
      <c r="U20" s="13">
        <f>SUM(Q20:T20)</f>
        <v>372</v>
      </c>
      <c r="V20" s="57"/>
      <c r="W20" s="13">
        <v>10</v>
      </c>
      <c r="X20" s="13">
        <v>70</v>
      </c>
      <c r="Y20" s="13">
        <v>3</v>
      </c>
      <c r="Z20" s="13">
        <v>7</v>
      </c>
      <c r="AA20" s="13">
        <f>SUM(W20:Z20)</f>
        <v>90</v>
      </c>
      <c r="AB20" s="57"/>
      <c r="AC20" s="13">
        <f>IF(Q20=0,0,C20/Q20)</f>
        <v>519.94117647058829</v>
      </c>
      <c r="AD20" s="13">
        <f>IF(R20=0,0,D20/R20)</f>
        <v>690.50800000000004</v>
      </c>
      <c r="AE20" s="13">
        <f>IF(S20=0,0,E20/S20)</f>
        <v>396.88888888888891</v>
      </c>
      <c r="AF20" s="13">
        <f>IF(T20=0,0,F20/T20)</f>
        <v>609.64285714285711</v>
      </c>
      <c r="AG20" s="13">
        <f>IF(U20=0,0,G20/U20)</f>
        <v>638.3440860215054</v>
      </c>
      <c r="AH20" s="57"/>
      <c r="AI20" s="13">
        <f>IF(W20=0,0,I20/W20)</f>
        <v>1266.4000000000001</v>
      </c>
      <c r="AJ20" s="13">
        <f>IF(X20=0,0,J20/X20)</f>
        <v>6124.5857142857139</v>
      </c>
      <c r="AK20" s="13">
        <f>IF(Y20=0,0,K20/Y20)</f>
        <v>-729</v>
      </c>
      <c r="AL20" s="13">
        <f>IF(Z20=0,0,L20/Z20)</f>
        <v>468.85714285714283</v>
      </c>
      <c r="AM20" s="13">
        <f>IF(AA20=0,0,M20/AA20)</f>
        <v>4916.4444444444443</v>
      </c>
      <c r="AN20" s="57"/>
      <c r="AO20" s="4"/>
      <c r="AP20" s="4"/>
      <c r="AQ20" s="4"/>
      <c r="AR20" s="4"/>
      <c r="AS20" s="4"/>
      <c r="AT20" s="4"/>
      <c r="AU20" s="4"/>
    </row>
    <row r="21" spans="1:47" x14ac:dyDescent="0.2">
      <c r="A21" s="4"/>
      <c r="B21" s="93">
        <v>41795</v>
      </c>
      <c r="C21" s="13">
        <v>37881</v>
      </c>
      <c r="D21" s="13">
        <v>134424</v>
      </c>
      <c r="E21" s="13">
        <v>3090</v>
      </c>
      <c r="F21" s="13">
        <v>11188</v>
      </c>
      <c r="G21" s="13">
        <f>SUM(C21:F21)</f>
        <v>186583</v>
      </c>
      <c r="H21" s="13"/>
      <c r="I21" s="13">
        <v>15184</v>
      </c>
      <c r="J21" s="13">
        <v>491468</v>
      </c>
      <c r="K21" s="13">
        <v>1396</v>
      </c>
      <c r="L21" s="13">
        <v>2172</v>
      </c>
      <c r="M21" s="13">
        <f>SUM(I21:L21)</f>
        <v>510220</v>
      </c>
      <c r="N21" s="13"/>
      <c r="O21" s="4"/>
      <c r="P21" s="93">
        <v>41795</v>
      </c>
      <c r="Q21" s="13">
        <v>86</v>
      </c>
      <c r="R21" s="13">
        <v>251</v>
      </c>
      <c r="S21" s="13">
        <v>9</v>
      </c>
      <c r="T21" s="13">
        <v>27</v>
      </c>
      <c r="U21" s="13">
        <f>SUM(Q21:T21)</f>
        <v>373</v>
      </c>
      <c r="V21" s="13"/>
      <c r="W21" s="13">
        <v>10</v>
      </c>
      <c r="X21" s="13">
        <v>71</v>
      </c>
      <c r="Y21" s="13">
        <v>3</v>
      </c>
      <c r="Z21" s="13">
        <v>7</v>
      </c>
      <c r="AA21" s="13">
        <f>SUM(W21:Z21)</f>
        <v>91</v>
      </c>
      <c r="AB21" s="13"/>
      <c r="AC21" s="13">
        <f>IF(Q21=0,0,C21/Q21)</f>
        <v>440.47674418604652</v>
      </c>
      <c r="AD21" s="13">
        <f>IF(R21=0,0,D21/R21)</f>
        <v>535.55378486055781</v>
      </c>
      <c r="AE21" s="13">
        <f>IF(S21=0,0,E21/S21)</f>
        <v>343.33333333333331</v>
      </c>
      <c r="AF21" s="13">
        <f>IF(T21=0,0,F21/T21)</f>
        <v>414.37037037037038</v>
      </c>
      <c r="AG21" s="13">
        <f>IF(U21=0,0,G21/U21)</f>
        <v>500.22252010723861</v>
      </c>
      <c r="AH21" s="13"/>
      <c r="AI21" s="13">
        <f>IF(W21=0,0,I21/W21)</f>
        <v>1518.4</v>
      </c>
      <c r="AJ21" s="13">
        <f>IF(X21=0,0,J21/X21)</f>
        <v>6922.0845070422538</v>
      </c>
      <c r="AK21" s="13">
        <f>IF(Y21=0,0,K21/Y21)</f>
        <v>465.33333333333331</v>
      </c>
      <c r="AL21" s="13">
        <f>IF(Z21=0,0,L21/Z21)</f>
        <v>310.28571428571428</v>
      </c>
      <c r="AM21" s="13">
        <f>IF(AA21=0,0,M21/AA21)</f>
        <v>5606.8131868131868</v>
      </c>
      <c r="AN21" s="13"/>
      <c r="AO21" s="4"/>
      <c r="AP21" s="4"/>
      <c r="AQ21" s="4"/>
      <c r="AR21" s="4"/>
      <c r="AS21" s="4"/>
      <c r="AT21" s="4"/>
      <c r="AU21" s="4"/>
    </row>
    <row r="22" spans="1:47" x14ac:dyDescent="0.2">
      <c r="A22" s="4"/>
      <c r="B22" s="93">
        <v>41826</v>
      </c>
      <c r="C22" s="13">
        <v>38188</v>
      </c>
      <c r="D22" s="13">
        <v>142059</v>
      </c>
      <c r="E22" s="13">
        <v>2436</v>
      </c>
      <c r="F22" s="13">
        <v>15820</v>
      </c>
      <c r="G22" s="13">
        <f>SUM(C22:F22)</f>
        <v>198503</v>
      </c>
      <c r="H22" s="13"/>
      <c r="I22" s="13">
        <v>11118</v>
      </c>
      <c r="J22" s="13">
        <v>683433</v>
      </c>
      <c r="K22" s="13">
        <v>2912</v>
      </c>
      <c r="L22" s="13">
        <v>2601</v>
      </c>
      <c r="M22" s="13">
        <f>SUM(I22:L22)</f>
        <v>700064</v>
      </c>
      <c r="N22" s="13"/>
      <c r="O22" s="4"/>
      <c r="P22" s="93">
        <v>41826</v>
      </c>
      <c r="Q22" s="13">
        <v>86</v>
      </c>
      <c r="R22" s="13">
        <v>248</v>
      </c>
      <c r="S22" s="13">
        <v>9</v>
      </c>
      <c r="T22" s="13">
        <v>28</v>
      </c>
      <c r="U22" s="13">
        <f>SUM(Q22:T22)</f>
        <v>371</v>
      </c>
      <c r="V22" s="13"/>
      <c r="W22" s="13">
        <v>10</v>
      </c>
      <c r="X22" s="13">
        <v>69</v>
      </c>
      <c r="Y22" s="13">
        <v>3</v>
      </c>
      <c r="Z22" s="13">
        <v>7</v>
      </c>
      <c r="AA22" s="13">
        <f>SUM(W22:Z22)</f>
        <v>89</v>
      </c>
      <c r="AB22" s="13"/>
      <c r="AC22" s="13">
        <f>IF(Q22=0,0,C22/Q22)</f>
        <v>444.04651162790697</v>
      </c>
      <c r="AD22" s="13">
        <f>IF(R22=0,0,D22/R22)</f>
        <v>572.81854838709683</v>
      </c>
      <c r="AE22" s="13">
        <f>IF(S22=0,0,E22/S22)</f>
        <v>270.66666666666669</v>
      </c>
      <c r="AF22" s="13">
        <f>IF(T22=0,0,F22/T22)</f>
        <v>565</v>
      </c>
      <c r="AG22" s="13">
        <f>IF(U22=0,0,G22/U22)</f>
        <v>535.04851752021568</v>
      </c>
      <c r="AH22" s="13"/>
      <c r="AI22" s="13">
        <f>IF(W22=0,0,I22/W22)</f>
        <v>1111.8</v>
      </c>
      <c r="AJ22" s="13">
        <f>IF(X22=0,0,J22/X22)</f>
        <v>9904.826086956522</v>
      </c>
      <c r="AK22" s="13">
        <f>IF(Y22=0,0,K22/Y22)</f>
        <v>970.66666666666663</v>
      </c>
      <c r="AL22" s="13">
        <f>IF(Z22=0,0,L22/Z22)</f>
        <v>371.57142857142856</v>
      </c>
      <c r="AM22" s="13">
        <f>IF(AA22=0,0,M22/AA22)</f>
        <v>7865.8876404494385</v>
      </c>
      <c r="AN22" s="13"/>
      <c r="AO22" s="4"/>
      <c r="AP22" s="4"/>
      <c r="AQ22" s="4"/>
      <c r="AR22" s="4"/>
      <c r="AS22" s="4"/>
      <c r="AT22" s="4"/>
      <c r="AU22" s="4"/>
    </row>
    <row r="23" spans="1:47" x14ac:dyDescent="0.2">
      <c r="A23" s="4"/>
      <c r="B23" s="93">
        <v>41857</v>
      </c>
      <c r="C23" s="13">
        <v>32400</v>
      </c>
      <c r="D23" s="13">
        <v>110282</v>
      </c>
      <c r="E23" s="13">
        <v>2094</v>
      </c>
      <c r="F23" s="13">
        <v>13015</v>
      </c>
      <c r="G23" s="13">
        <f>SUM(C23:F23)</f>
        <v>157791</v>
      </c>
      <c r="H23" s="13"/>
      <c r="I23" s="13">
        <v>10473</v>
      </c>
      <c r="J23" s="13">
        <v>1014333</v>
      </c>
      <c r="K23" s="13">
        <v>4471</v>
      </c>
      <c r="L23" s="13">
        <v>1983</v>
      </c>
      <c r="M23" s="13">
        <f>SUM(I23:L23)</f>
        <v>1031260</v>
      </c>
      <c r="N23" s="13"/>
      <c r="O23" s="4"/>
      <c r="P23" s="93">
        <v>41857</v>
      </c>
      <c r="Q23" s="13">
        <v>85</v>
      </c>
      <c r="R23" s="13">
        <v>248</v>
      </c>
      <c r="S23" s="13">
        <v>10</v>
      </c>
      <c r="T23" s="13">
        <v>28</v>
      </c>
      <c r="U23" s="13">
        <f>SUM(Q23:T23)</f>
        <v>371</v>
      </c>
      <c r="V23" s="13"/>
      <c r="W23" s="13">
        <v>10</v>
      </c>
      <c r="X23" s="13">
        <v>69</v>
      </c>
      <c r="Y23" s="13">
        <v>3</v>
      </c>
      <c r="Z23" s="13">
        <v>7</v>
      </c>
      <c r="AA23" s="13">
        <f>SUM(W23:Z23)</f>
        <v>89</v>
      </c>
      <c r="AB23" s="13"/>
      <c r="AC23" s="13">
        <f>IF(Q23=0,0,C23/Q23)</f>
        <v>381.1764705882353</v>
      </c>
      <c r="AD23" s="13">
        <f>IF(R23=0,0,D23/R23)</f>
        <v>444.68548387096774</v>
      </c>
      <c r="AE23" s="13">
        <f>IF(S23=0,0,E23/S23)</f>
        <v>209.4</v>
      </c>
      <c r="AF23" s="13">
        <f>IF(T23=0,0,F23/T23)</f>
        <v>464.82142857142856</v>
      </c>
      <c r="AG23" s="13">
        <f>IF(U23=0,0,G23/U23)</f>
        <v>425.31266846361189</v>
      </c>
      <c r="AH23" s="13"/>
      <c r="AI23" s="13">
        <f>IF(W23=0,0,I23/W23)</f>
        <v>1047.3</v>
      </c>
      <c r="AJ23" s="13">
        <f>IF(X23=0,0,J23/X23)</f>
        <v>14700.478260869566</v>
      </c>
      <c r="AK23" s="13">
        <f>IF(Y23=0,0,K23/Y23)</f>
        <v>1490.3333333333333</v>
      </c>
      <c r="AL23" s="13">
        <f>IF(Z23=0,0,L23/Z23)</f>
        <v>283.28571428571428</v>
      </c>
      <c r="AM23" s="13">
        <f>IF(AA23=0,0,M23/AA23)</f>
        <v>11587.191011235955</v>
      </c>
      <c r="AN23" s="13"/>
      <c r="AO23" s="4"/>
      <c r="AP23" s="4"/>
      <c r="AQ23" s="4"/>
      <c r="AR23" s="4"/>
      <c r="AS23" s="4"/>
      <c r="AT23" s="4"/>
      <c r="AU23" s="4"/>
    </row>
    <row r="24" spans="1:47" x14ac:dyDescent="0.2">
      <c r="A24" s="4"/>
      <c r="B24" s="93">
        <v>41888</v>
      </c>
      <c r="C24" s="13">
        <v>36605</v>
      </c>
      <c r="D24" s="13">
        <v>141494</v>
      </c>
      <c r="E24" s="13">
        <v>2910</v>
      </c>
      <c r="F24" s="13">
        <v>16848</v>
      </c>
      <c r="G24" s="13">
        <f>SUM(C24:F24)</f>
        <v>197857</v>
      </c>
      <c r="H24" s="13"/>
      <c r="I24" s="13">
        <v>12118</v>
      </c>
      <c r="J24" s="13">
        <v>674078</v>
      </c>
      <c r="K24" s="13">
        <v>5497</v>
      </c>
      <c r="L24" s="13">
        <v>2250</v>
      </c>
      <c r="M24" s="13">
        <f>SUM(I24:L24)</f>
        <v>693943</v>
      </c>
      <c r="N24" s="13"/>
      <c r="O24" s="4"/>
      <c r="P24" s="93">
        <v>41888</v>
      </c>
      <c r="Q24" s="13">
        <v>85</v>
      </c>
      <c r="R24" s="13">
        <v>246</v>
      </c>
      <c r="S24" s="13">
        <v>10</v>
      </c>
      <c r="T24" s="13">
        <v>29</v>
      </c>
      <c r="U24" s="13">
        <v>370</v>
      </c>
      <c r="V24" s="13"/>
      <c r="W24" s="13">
        <v>10</v>
      </c>
      <c r="X24" s="13">
        <v>67</v>
      </c>
      <c r="Y24" s="13">
        <v>3</v>
      </c>
      <c r="Z24" s="13">
        <v>7</v>
      </c>
      <c r="AA24" s="13">
        <f>SUM(W24:Z24)</f>
        <v>87</v>
      </c>
      <c r="AB24" s="13"/>
      <c r="AC24" s="13">
        <f>IF(Q24=0,0,C24/Q24)</f>
        <v>430.64705882352939</v>
      </c>
      <c r="AD24" s="13">
        <f>IF(R24=0,0,D24/R24)</f>
        <v>575.17886178861784</v>
      </c>
      <c r="AE24" s="13">
        <f>IF(S24=0,0,E24/S24)</f>
        <v>291</v>
      </c>
      <c r="AF24" s="13">
        <f>IF(T24=0,0,F24/T24)</f>
        <v>580.9655172413793</v>
      </c>
      <c r="AG24" s="13">
        <f>IF(U24=0,0,G24/U24)</f>
        <v>534.74864864864867</v>
      </c>
      <c r="AH24" s="13"/>
      <c r="AI24" s="13">
        <f>IF(W24=0,0,I24/W24)</f>
        <v>1211.8</v>
      </c>
      <c r="AJ24" s="13">
        <f>IF(X24=0,0,J24/X24)</f>
        <v>10060.865671641792</v>
      </c>
      <c r="AK24" s="13">
        <f>IF(Y24=0,0,K24/Y24)</f>
        <v>1832.3333333333333</v>
      </c>
      <c r="AL24" s="13">
        <f>IF(Z24=0,0,L24/Z24)</f>
        <v>321.42857142857144</v>
      </c>
      <c r="AM24" s="13">
        <f>IF(AA24=0,0,M24/AA24)</f>
        <v>7976.35632183908</v>
      </c>
      <c r="AN24" s="13"/>
      <c r="AO24" s="4"/>
      <c r="AP24" s="4"/>
      <c r="AQ24" s="4"/>
      <c r="AR24" s="4"/>
      <c r="AS24" s="4"/>
      <c r="AT24" s="4"/>
      <c r="AU24" s="4"/>
    </row>
    <row r="25" spans="1:47" x14ac:dyDescent="0.2">
      <c r="A25" s="4"/>
      <c r="B25" s="93">
        <v>41919</v>
      </c>
      <c r="C25" s="13">
        <v>43878</v>
      </c>
      <c r="D25" s="13">
        <v>147971</v>
      </c>
      <c r="E25" s="13">
        <v>2370</v>
      </c>
      <c r="F25" s="13">
        <v>15571</v>
      </c>
      <c r="G25" s="13">
        <f>SUM(C25:F25)</f>
        <v>209790</v>
      </c>
      <c r="H25" s="13"/>
      <c r="I25" s="13">
        <v>11979</v>
      </c>
      <c r="J25" s="13">
        <v>1064693</v>
      </c>
      <c r="K25" s="13">
        <v>3550</v>
      </c>
      <c r="L25" s="13">
        <v>2938</v>
      </c>
      <c r="M25" s="13">
        <f>SUM(I25:L25)</f>
        <v>1083160</v>
      </c>
      <c r="N25" s="13"/>
      <c r="O25" s="4"/>
      <c r="P25" s="93">
        <v>41919</v>
      </c>
      <c r="Q25" s="13">
        <v>85</v>
      </c>
      <c r="R25" s="13">
        <v>251</v>
      </c>
      <c r="S25" s="13">
        <v>10</v>
      </c>
      <c r="T25" s="13">
        <v>29</v>
      </c>
      <c r="U25" s="13">
        <v>375</v>
      </c>
      <c r="V25" s="13"/>
      <c r="W25" s="13">
        <v>10</v>
      </c>
      <c r="X25" s="13">
        <v>68</v>
      </c>
      <c r="Y25" s="13">
        <v>3</v>
      </c>
      <c r="Z25" s="13">
        <v>7</v>
      </c>
      <c r="AA25" s="13">
        <f>SUM(W25:Z25)</f>
        <v>88</v>
      </c>
      <c r="AB25" s="13"/>
      <c r="AC25" s="13">
        <f>IF(Q25=0,0,C25/Q25)</f>
        <v>516.21176470588239</v>
      </c>
      <c r="AD25" s="13">
        <f>IF(R25=0,0,D25/R25)</f>
        <v>589.52589641434258</v>
      </c>
      <c r="AE25" s="13">
        <f>IF(S25=0,0,E25/S25)</f>
        <v>237</v>
      </c>
      <c r="AF25" s="13">
        <f>IF(T25=0,0,F25/T25)</f>
        <v>536.93103448275861</v>
      </c>
      <c r="AG25" s="13">
        <f>IF(U25=0,0,G25/U25)</f>
        <v>559.44000000000005</v>
      </c>
      <c r="AH25" s="13"/>
      <c r="AI25" s="13">
        <f>IF(W25=0,0,I25/W25)</f>
        <v>1197.9000000000001</v>
      </c>
      <c r="AJ25" s="13">
        <f>IF(X25=0,0,J25/X25)</f>
        <v>15657.25</v>
      </c>
      <c r="AK25" s="13">
        <f>IF(Y25=0,0,K25/Y25)</f>
        <v>1183.3333333333333</v>
      </c>
      <c r="AL25" s="13">
        <f>IF(Z25=0,0,L25/Z25)</f>
        <v>419.71428571428572</v>
      </c>
      <c r="AM25" s="13">
        <f>IF(AA25=0,0,M25/AA25)</f>
        <v>12308.636363636364</v>
      </c>
      <c r="AN25" s="13"/>
      <c r="AO25" s="4"/>
      <c r="AP25" s="4"/>
      <c r="AQ25" s="4"/>
      <c r="AR25" s="4"/>
      <c r="AS25" s="4"/>
      <c r="AT25" s="4"/>
      <c r="AU25" s="4"/>
    </row>
    <row r="26" spans="1:47" x14ac:dyDescent="0.2">
      <c r="A26" s="4"/>
      <c r="B26" s="93">
        <v>41950</v>
      </c>
      <c r="C26" s="13">
        <v>48788</v>
      </c>
      <c r="D26" s="13">
        <v>182008</v>
      </c>
      <c r="E26" s="13">
        <v>2907</v>
      </c>
      <c r="F26" s="13">
        <v>20684</v>
      </c>
      <c r="G26" s="13">
        <f>SUM(C26:F26)</f>
        <v>254387</v>
      </c>
      <c r="H26" s="13"/>
      <c r="I26" s="13">
        <v>10895</v>
      </c>
      <c r="J26" s="13">
        <v>825943</v>
      </c>
      <c r="K26" s="13">
        <v>3690</v>
      </c>
      <c r="L26" s="13">
        <v>3040</v>
      </c>
      <c r="M26" s="13">
        <f>SUM(I26:L26)</f>
        <v>843568</v>
      </c>
      <c r="N26" s="13"/>
      <c r="O26" s="4"/>
      <c r="P26" s="93">
        <v>41950</v>
      </c>
      <c r="Q26" s="13">
        <v>84</v>
      </c>
      <c r="R26" s="13">
        <v>248</v>
      </c>
      <c r="S26" s="13">
        <v>9</v>
      </c>
      <c r="T26" s="13">
        <v>27</v>
      </c>
      <c r="U26" s="13">
        <v>368</v>
      </c>
      <c r="V26" s="13"/>
      <c r="W26" s="13">
        <v>10</v>
      </c>
      <c r="X26" s="13">
        <v>64</v>
      </c>
      <c r="Y26" s="13">
        <v>3</v>
      </c>
      <c r="Z26" s="13">
        <v>7</v>
      </c>
      <c r="AA26" s="13">
        <f>SUM(W26:Z26)</f>
        <v>84</v>
      </c>
      <c r="AB26" s="13"/>
      <c r="AC26" s="13">
        <f>IF(Q26=0,0,C26/Q26)</f>
        <v>580.80952380952385</v>
      </c>
      <c r="AD26" s="13">
        <f>IF(R26=0,0,D26/R26)</f>
        <v>733.90322580645159</v>
      </c>
      <c r="AE26" s="13">
        <f>IF(S26=0,0,E26/S26)</f>
        <v>323</v>
      </c>
      <c r="AF26" s="13">
        <f>IF(T26=0,0,F26/T26)</f>
        <v>766.07407407407402</v>
      </c>
      <c r="AG26" s="13">
        <f>IF(U26=0,0,G26/U26)</f>
        <v>691.26902173913038</v>
      </c>
      <c r="AH26" s="13"/>
      <c r="AI26" s="13">
        <f>IF(W26=0,0,I26/W26)</f>
        <v>1089.5</v>
      </c>
      <c r="AJ26" s="13">
        <f>IF(X26=0,0,J26/X26)</f>
        <v>12905.359375</v>
      </c>
      <c r="AK26" s="13">
        <f>IF(Y26=0,0,K26/Y26)</f>
        <v>1230</v>
      </c>
      <c r="AL26" s="13">
        <f>IF(Z26=0,0,L26/Z26)</f>
        <v>434.28571428571428</v>
      </c>
      <c r="AM26" s="13">
        <f>IF(AA26=0,0,M26/AA26)</f>
        <v>10042.476190476191</v>
      </c>
      <c r="AN26" s="13"/>
      <c r="AO26" s="4"/>
      <c r="AP26" s="4"/>
      <c r="AQ26" s="4"/>
      <c r="AR26" s="4"/>
      <c r="AS26" s="4"/>
      <c r="AT26" s="4"/>
      <c r="AU26" s="4"/>
    </row>
    <row r="27" spans="1:47" x14ac:dyDescent="0.2">
      <c r="A27" s="4"/>
      <c r="B27" s="93">
        <v>41981</v>
      </c>
      <c r="C27" s="13">
        <v>66948</v>
      </c>
      <c r="D27" s="13">
        <v>228150</v>
      </c>
      <c r="E27" s="13">
        <v>5029</v>
      </c>
      <c r="F27" s="13">
        <v>20079</v>
      </c>
      <c r="G27" s="13">
        <f>SUM(C27:F27)</f>
        <v>320206</v>
      </c>
      <c r="H27" s="13"/>
      <c r="I27" s="13">
        <v>23033</v>
      </c>
      <c r="J27" s="13">
        <v>490467</v>
      </c>
      <c r="K27" s="13">
        <v>4208</v>
      </c>
      <c r="L27" s="13">
        <v>598</v>
      </c>
      <c r="M27" s="13">
        <f>SUM(I27:L27)</f>
        <v>518306</v>
      </c>
      <c r="N27" s="13"/>
      <c r="O27" s="4"/>
      <c r="P27" s="93">
        <v>41981</v>
      </c>
      <c r="Q27" s="13">
        <v>86</v>
      </c>
      <c r="R27" s="13">
        <v>251</v>
      </c>
      <c r="S27" s="13">
        <v>9</v>
      </c>
      <c r="T27" s="13">
        <v>26</v>
      </c>
      <c r="U27" s="13">
        <v>372</v>
      </c>
      <c r="V27" s="13"/>
      <c r="W27" s="13">
        <v>10</v>
      </c>
      <c r="X27" s="13">
        <v>62</v>
      </c>
      <c r="Y27" s="13">
        <v>3</v>
      </c>
      <c r="Z27" s="13">
        <v>7</v>
      </c>
      <c r="AA27" s="13">
        <f>SUM(W27:Z27)</f>
        <v>82</v>
      </c>
      <c r="AB27" s="13"/>
      <c r="AC27" s="13">
        <f>IF(Q27=0,0,C27/Q27)</f>
        <v>778.46511627906978</v>
      </c>
      <c r="AD27" s="13">
        <f>IF(R27=0,0,D27/R27)</f>
        <v>908.96414342629487</v>
      </c>
      <c r="AE27" s="13">
        <f>IF(S27=0,0,E27/S27)</f>
        <v>558.77777777777783</v>
      </c>
      <c r="AF27" s="13">
        <f>IF(T27=0,0,F27/T27)</f>
        <v>772.26923076923072</v>
      </c>
      <c r="AG27" s="13">
        <f>IF(U27=0,0,G27/U27)</f>
        <v>860.76881720430106</v>
      </c>
      <c r="AH27" s="13"/>
      <c r="AI27" s="13">
        <f>IF(W27=0,0,I27/W27)</f>
        <v>2303.3000000000002</v>
      </c>
      <c r="AJ27" s="13">
        <f>IF(X27=0,0,J27/X27)</f>
        <v>7910.7580645161288</v>
      </c>
      <c r="AK27" s="13">
        <f>IF(Y27=0,0,K27/Y27)</f>
        <v>1402.6666666666667</v>
      </c>
      <c r="AL27" s="13">
        <f>IF(Z27=0,0,L27/Z27)</f>
        <v>85.428571428571431</v>
      </c>
      <c r="AM27" s="13">
        <f>IF(AA27=0,0,M27/AA27)</f>
        <v>6320.8048780487807</v>
      </c>
      <c r="AN27" s="13"/>
      <c r="AO27" s="4"/>
      <c r="AP27" s="4"/>
      <c r="AQ27" s="4"/>
      <c r="AR27" s="4"/>
      <c r="AS27" s="4"/>
      <c r="AT27" s="4"/>
      <c r="AU27" s="4"/>
    </row>
    <row r="28" spans="1:47" x14ac:dyDescent="0.2">
      <c r="A28" s="4">
        <v>2015</v>
      </c>
      <c r="B28" s="93">
        <v>42005</v>
      </c>
      <c r="C28" s="13">
        <v>82237</v>
      </c>
      <c r="D28" s="13">
        <v>326045</v>
      </c>
      <c r="E28" s="13">
        <v>6635</v>
      </c>
      <c r="F28" s="13">
        <v>24937</v>
      </c>
      <c r="G28" s="13">
        <f>SUM(C28:F28)</f>
        <v>439854</v>
      </c>
      <c r="H28" s="13"/>
      <c r="I28" s="13">
        <v>19588</v>
      </c>
      <c r="J28" s="13">
        <v>661576</v>
      </c>
      <c r="K28" s="13">
        <v>4937</v>
      </c>
      <c r="L28" s="13">
        <v>6302</v>
      </c>
      <c r="M28" s="13">
        <f>SUM(I28:L28)</f>
        <v>692403</v>
      </c>
      <c r="N28" s="13"/>
      <c r="O28" s="4">
        <v>2015</v>
      </c>
      <c r="P28" s="93">
        <v>42005</v>
      </c>
      <c r="Q28" s="13">
        <v>86</v>
      </c>
      <c r="R28" s="13">
        <v>253</v>
      </c>
      <c r="S28" s="13">
        <v>9</v>
      </c>
      <c r="T28" s="13">
        <v>25.5</v>
      </c>
      <c r="U28" s="13">
        <v>373.5</v>
      </c>
      <c r="V28" s="13"/>
      <c r="W28" s="13">
        <v>10</v>
      </c>
      <c r="X28" s="13">
        <v>65</v>
      </c>
      <c r="Y28" s="13">
        <v>3</v>
      </c>
      <c r="Z28" s="13">
        <v>7</v>
      </c>
      <c r="AA28" s="13">
        <f>SUM(W28:Z28)</f>
        <v>85</v>
      </c>
      <c r="AB28" s="13"/>
      <c r="AC28" s="13">
        <f>IF(Q28=0,0,C28/Q28)</f>
        <v>956.24418604651157</v>
      </c>
      <c r="AD28" s="13">
        <f>IF(R28=0,0,D28/R28)</f>
        <v>1288.7154150197628</v>
      </c>
      <c r="AE28" s="13">
        <f>IF(S28=0,0,E28/S28)</f>
        <v>737.22222222222217</v>
      </c>
      <c r="AF28" s="13">
        <f>IF(T28=0,0,F28/T28)</f>
        <v>977.92156862745094</v>
      </c>
      <c r="AG28" s="13">
        <f>IF(U28=0,0,G28/U28)</f>
        <v>1177.6546184738957</v>
      </c>
      <c r="AH28" s="13"/>
      <c r="AI28" s="13">
        <f>IF(W28=0,0,I28/W28)</f>
        <v>1958.8</v>
      </c>
      <c r="AJ28" s="13">
        <f>IF(X28=0,0,J28/X28)</f>
        <v>10178.092307692308</v>
      </c>
      <c r="AK28" s="13">
        <f>IF(Y28=0,0,K28/Y28)</f>
        <v>1645.6666666666667</v>
      </c>
      <c r="AL28" s="13">
        <f>IF(Z28=0,0,L28/Z28)</f>
        <v>900.28571428571433</v>
      </c>
      <c r="AM28" s="13">
        <f>IF(AA28=0,0,M28/AA28)</f>
        <v>8145.9176470588236</v>
      </c>
      <c r="AN28" s="13"/>
      <c r="AO28" s="4"/>
      <c r="AP28" s="4"/>
      <c r="AQ28" s="4"/>
      <c r="AR28" s="4"/>
      <c r="AS28" s="4"/>
      <c r="AT28" s="4"/>
      <c r="AU28" s="4"/>
    </row>
    <row r="29" spans="1:47" x14ac:dyDescent="0.2">
      <c r="A29" s="4"/>
      <c r="B29" s="93">
        <v>42036</v>
      </c>
      <c r="C29" s="13">
        <v>77302</v>
      </c>
      <c r="D29" s="13">
        <v>255172</v>
      </c>
      <c r="E29" s="13">
        <v>4489</v>
      </c>
      <c r="F29" s="13">
        <v>21538</v>
      </c>
      <c r="G29" s="13">
        <f>SUM(C29:F29)</f>
        <v>358501</v>
      </c>
      <c r="H29" s="13"/>
      <c r="I29" s="13">
        <v>19837</v>
      </c>
      <c r="J29" s="13">
        <v>578733</v>
      </c>
      <c r="K29" s="13">
        <v>4069</v>
      </c>
      <c r="L29" s="13">
        <v>3431</v>
      </c>
      <c r="M29" s="13">
        <f>SUM(I29:L29)</f>
        <v>606070</v>
      </c>
      <c r="N29" s="13"/>
      <c r="O29" s="4"/>
      <c r="P29" s="93">
        <v>42036</v>
      </c>
      <c r="Q29" s="13">
        <v>87</v>
      </c>
      <c r="R29" s="13">
        <v>252</v>
      </c>
      <c r="S29" s="13">
        <v>9</v>
      </c>
      <c r="T29" s="13">
        <v>25.5</v>
      </c>
      <c r="U29" s="13">
        <v>373.5</v>
      </c>
      <c r="V29" s="13"/>
      <c r="W29" s="13">
        <v>10</v>
      </c>
      <c r="X29" s="13">
        <v>65</v>
      </c>
      <c r="Y29" s="13">
        <v>3</v>
      </c>
      <c r="Z29" s="13">
        <v>7</v>
      </c>
      <c r="AA29" s="13">
        <f>SUM(W29:Z29)</f>
        <v>85</v>
      </c>
      <c r="AB29" s="13"/>
      <c r="AC29" s="13">
        <f>IF(Q29=0,0,C29/Q29)</f>
        <v>888.52873563218395</v>
      </c>
      <c r="AD29" s="13">
        <f>IF(R29=0,0,D29/R29)</f>
        <v>1012.5873015873016</v>
      </c>
      <c r="AE29" s="13">
        <f>IF(S29=0,0,E29/S29)</f>
        <v>498.77777777777777</v>
      </c>
      <c r="AF29" s="13">
        <f>IF(T29=0,0,F29/T29)</f>
        <v>844.62745098039215</v>
      </c>
      <c r="AG29" s="13">
        <f>IF(U29=0,0,G29/U29)</f>
        <v>959.84203480589019</v>
      </c>
      <c r="AH29" s="13"/>
      <c r="AI29" s="13">
        <f>IF(W29=0,0,I29/W29)</f>
        <v>1983.7</v>
      </c>
      <c r="AJ29" s="13">
        <f>IF(X29=0,0,J29/X29)</f>
        <v>8903.584615384616</v>
      </c>
      <c r="AK29" s="13">
        <f>IF(Y29=0,0,K29/Y29)</f>
        <v>1356.3333333333333</v>
      </c>
      <c r="AL29" s="13">
        <f>IF(Z29=0,0,L29/Z29)</f>
        <v>490.14285714285717</v>
      </c>
      <c r="AM29" s="13">
        <f>IF(AA29=0,0,M29/AA29)</f>
        <v>7130.2352941176468</v>
      </c>
      <c r="AN29" s="13"/>
      <c r="AO29" s="4"/>
      <c r="AP29" s="4"/>
      <c r="AQ29" s="4"/>
      <c r="AR29" s="4"/>
      <c r="AS29" s="4"/>
      <c r="AT29" s="4"/>
      <c r="AU29" s="4"/>
    </row>
    <row r="30" spans="1:47" x14ac:dyDescent="0.2">
      <c r="A30" s="4"/>
      <c r="B30" s="93">
        <v>42067</v>
      </c>
      <c r="C30" s="13">
        <v>67370</v>
      </c>
      <c r="D30" s="13">
        <v>289911</v>
      </c>
      <c r="E30" s="13">
        <v>4559</v>
      </c>
      <c r="F30" s="13">
        <v>20476</v>
      </c>
      <c r="G30" s="13">
        <f>SUM(C30:F30)</f>
        <v>382316</v>
      </c>
      <c r="H30" s="13"/>
      <c r="I30" s="13">
        <v>14771</v>
      </c>
      <c r="J30" s="13">
        <v>560486</v>
      </c>
      <c r="K30" s="13">
        <v>3949</v>
      </c>
      <c r="L30" s="13">
        <v>7915</v>
      </c>
      <c r="M30" s="13">
        <f>SUM(I30:L30)</f>
        <v>587121</v>
      </c>
      <c r="N30" s="13"/>
      <c r="O30" s="4"/>
      <c r="P30" s="93">
        <v>42067</v>
      </c>
      <c r="Q30" s="13">
        <v>86</v>
      </c>
      <c r="R30" s="13">
        <v>253</v>
      </c>
      <c r="S30" s="13">
        <v>9</v>
      </c>
      <c r="T30" s="13">
        <v>25.5</v>
      </c>
      <c r="U30" s="13">
        <v>373.5</v>
      </c>
      <c r="V30" s="13"/>
      <c r="W30" s="13">
        <v>10</v>
      </c>
      <c r="X30" s="13">
        <v>64</v>
      </c>
      <c r="Y30" s="13">
        <v>3</v>
      </c>
      <c r="Z30" s="13">
        <v>7</v>
      </c>
      <c r="AA30" s="13">
        <f>SUM(W30:Z30)</f>
        <v>84</v>
      </c>
      <c r="AB30" s="13"/>
      <c r="AC30" s="13">
        <f>IF(Q30=0,0,C30/Q30)</f>
        <v>783.37209302325584</v>
      </c>
      <c r="AD30" s="13">
        <f>IF(R30=0,0,D30/R30)</f>
        <v>1145.893280632411</v>
      </c>
      <c r="AE30" s="13">
        <f>IF(S30=0,0,E30/S30)</f>
        <v>506.55555555555554</v>
      </c>
      <c r="AF30" s="13">
        <f>IF(T30=0,0,F30/T30)</f>
        <v>802.98039215686276</v>
      </c>
      <c r="AG30" s="13">
        <f>IF(U30=0,0,G30/U30)</f>
        <v>1023.6037483266399</v>
      </c>
      <c r="AH30" s="13"/>
      <c r="AI30" s="13">
        <f>IF(W30=0,0,I30/W30)</f>
        <v>1477.1</v>
      </c>
      <c r="AJ30" s="13">
        <f>IF(X30=0,0,J30/X30)</f>
        <v>8757.59375</v>
      </c>
      <c r="AK30" s="13">
        <f>IF(Y30=0,0,K30/Y30)</f>
        <v>1316.3333333333333</v>
      </c>
      <c r="AL30" s="13">
        <f>IF(Z30=0,0,L30/Z30)</f>
        <v>1130.7142857142858</v>
      </c>
      <c r="AM30" s="13">
        <f>IF(AA30=0,0,M30/AA30)</f>
        <v>6989.5357142857147</v>
      </c>
      <c r="AN30" s="13"/>
      <c r="AO30" s="4"/>
      <c r="AP30" s="4"/>
      <c r="AQ30" s="4"/>
      <c r="AR30" s="4"/>
      <c r="AS30" s="4"/>
      <c r="AT30" s="4"/>
      <c r="AU30" s="4"/>
    </row>
    <row r="31" spans="1:47" x14ac:dyDescent="0.2">
      <c r="A31" s="4"/>
      <c r="B31" s="93">
        <v>42098</v>
      </c>
      <c r="C31" s="13">
        <v>56826</v>
      </c>
      <c r="D31" s="13">
        <v>205120</v>
      </c>
      <c r="E31" s="13">
        <v>3360</v>
      </c>
      <c r="F31" s="13">
        <v>16360</v>
      </c>
      <c r="G31" s="13">
        <f>SUM(C31:F31)</f>
        <v>281666</v>
      </c>
      <c r="H31" s="13"/>
      <c r="I31" s="13">
        <v>12768</v>
      </c>
      <c r="J31" s="13">
        <v>546947</v>
      </c>
      <c r="K31" s="13">
        <v>3955</v>
      </c>
      <c r="L31" s="13">
        <v>859</v>
      </c>
      <c r="M31" s="13">
        <f>SUM(I31:L31)</f>
        <v>564529</v>
      </c>
      <c r="N31" s="13"/>
      <c r="O31" s="4"/>
      <c r="P31" s="93">
        <v>42098</v>
      </c>
      <c r="Q31" s="13">
        <v>88</v>
      </c>
      <c r="R31" s="13">
        <v>253</v>
      </c>
      <c r="S31" s="13">
        <v>9</v>
      </c>
      <c r="T31" s="13">
        <v>27</v>
      </c>
      <c r="U31" s="13">
        <v>377</v>
      </c>
      <c r="V31" s="13"/>
      <c r="W31" s="13">
        <v>10</v>
      </c>
      <c r="X31" s="13">
        <v>64</v>
      </c>
      <c r="Y31" s="13">
        <v>3</v>
      </c>
      <c r="Z31" s="13">
        <v>7</v>
      </c>
      <c r="AA31" s="13">
        <f>SUM(W31:Z31)</f>
        <v>84</v>
      </c>
      <c r="AB31" s="13"/>
      <c r="AC31" s="13">
        <f>IF(Q31=0,0,C31/Q31)</f>
        <v>645.75</v>
      </c>
      <c r="AD31" s="13">
        <f>IF(R31=0,0,D31/R31)</f>
        <v>810.7509881422925</v>
      </c>
      <c r="AE31" s="13">
        <f>IF(S31=0,0,E31/S31)</f>
        <v>373.33333333333331</v>
      </c>
      <c r="AF31" s="13">
        <f>IF(T31=0,0,F31/T31)</f>
        <v>605.92592592592598</v>
      </c>
      <c r="AG31" s="13">
        <f>IF(U31=0,0,G31/U31)</f>
        <v>747.12466843501329</v>
      </c>
      <c r="AH31" s="13"/>
      <c r="AI31" s="13">
        <f>IF(W31=0,0,I31/W31)</f>
        <v>1276.8</v>
      </c>
      <c r="AJ31" s="13">
        <f>IF(X31=0,0,J31/X31)</f>
        <v>8546.046875</v>
      </c>
      <c r="AK31" s="13">
        <f>IF(Y31=0,0,K31/Y31)</f>
        <v>1318.3333333333333</v>
      </c>
      <c r="AL31" s="13">
        <f>IF(Z31=0,0,L31/Z31)</f>
        <v>122.71428571428571</v>
      </c>
      <c r="AM31" s="13">
        <f>IF(AA31=0,0,M31/AA31)</f>
        <v>6720.583333333333</v>
      </c>
      <c r="AN31" s="13"/>
      <c r="AO31" s="4"/>
      <c r="AP31" s="4"/>
      <c r="AQ31" s="4"/>
      <c r="AR31" s="4"/>
      <c r="AS31" s="4"/>
      <c r="AT31" s="4"/>
      <c r="AU31" s="4"/>
    </row>
    <row r="32" spans="1:47" x14ac:dyDescent="0.2">
      <c r="A32" s="4"/>
      <c r="B32" s="93">
        <v>42129</v>
      </c>
      <c r="C32" s="13">
        <v>47117</v>
      </c>
      <c r="D32" s="13">
        <v>178787</v>
      </c>
      <c r="E32" s="13">
        <v>2971</v>
      </c>
      <c r="F32" s="13">
        <v>15900</v>
      </c>
      <c r="G32" s="13">
        <f>SUM(C32:F32)</f>
        <v>244775</v>
      </c>
      <c r="H32" s="13"/>
      <c r="I32" s="13">
        <v>11717</v>
      </c>
      <c r="J32" s="13">
        <v>500633</v>
      </c>
      <c r="K32" s="13">
        <v>4394</v>
      </c>
      <c r="L32" s="13">
        <v>2852</v>
      </c>
      <c r="M32" s="13">
        <f>SUM(I32:L32)</f>
        <v>519596</v>
      </c>
      <c r="N32" s="13"/>
      <c r="O32" s="4"/>
      <c r="P32" s="93">
        <v>42129</v>
      </c>
      <c r="Q32" s="13">
        <v>86</v>
      </c>
      <c r="R32" s="13">
        <v>254</v>
      </c>
      <c r="S32" s="13">
        <v>9</v>
      </c>
      <c r="T32" s="13">
        <v>29</v>
      </c>
      <c r="U32" s="13">
        <v>378</v>
      </c>
      <c r="V32" s="13"/>
      <c r="W32" s="13">
        <v>10</v>
      </c>
      <c r="X32" s="13">
        <v>66</v>
      </c>
      <c r="Y32" s="13">
        <v>3</v>
      </c>
      <c r="Z32" s="13">
        <v>7</v>
      </c>
      <c r="AA32" s="13">
        <f>SUM(W32:Z32)</f>
        <v>86</v>
      </c>
      <c r="AB32" s="13"/>
      <c r="AC32" s="13">
        <f>IF(Q32=0,0,C32/Q32)</f>
        <v>547.87209302325584</v>
      </c>
      <c r="AD32" s="13">
        <f>IF(R32=0,0,D32/R32)</f>
        <v>703.88582677165357</v>
      </c>
      <c r="AE32" s="13">
        <f>IF(S32=0,0,E32/S32)</f>
        <v>330.11111111111109</v>
      </c>
      <c r="AF32" s="13">
        <f>IF(T32=0,0,F32/T32)</f>
        <v>548.27586206896547</v>
      </c>
      <c r="AG32" s="13">
        <f>IF(U32=0,0,G32/U32)</f>
        <v>647.55291005291008</v>
      </c>
      <c r="AH32" s="13"/>
      <c r="AI32" s="13">
        <f>IF(W32=0,0,I32/W32)</f>
        <v>1171.7</v>
      </c>
      <c r="AJ32" s="13">
        <f>IF(X32=0,0,J32/X32)</f>
        <v>7585.348484848485</v>
      </c>
      <c r="AK32" s="13">
        <f>IF(Y32=0,0,K32/Y32)</f>
        <v>1464.6666666666667</v>
      </c>
      <c r="AL32" s="13">
        <f>IF(Z32=0,0,L32/Z32)</f>
        <v>407.42857142857144</v>
      </c>
      <c r="AM32" s="13">
        <f>IF(AA32=0,0,M32/AA32)</f>
        <v>6041.8139534883721</v>
      </c>
      <c r="AN32" s="13"/>
      <c r="AO32" s="4"/>
      <c r="AP32" s="4"/>
      <c r="AQ32" s="4"/>
      <c r="AR32" s="4"/>
      <c r="AS32" s="4"/>
      <c r="AT32" s="4"/>
      <c r="AU32" s="4"/>
    </row>
    <row r="33" spans="1:47" x14ac:dyDescent="0.2">
      <c r="A33" s="4"/>
      <c r="B33" s="93">
        <v>42160</v>
      </c>
      <c r="C33" s="13">
        <v>42546</v>
      </c>
      <c r="D33" s="13">
        <v>154968</v>
      </c>
      <c r="E33" s="13">
        <v>2249</v>
      </c>
      <c r="F33" s="13">
        <v>15495</v>
      </c>
      <c r="G33" s="13">
        <f>SUM(C33:F33)</f>
        <v>215258</v>
      </c>
      <c r="H33" s="13"/>
      <c r="I33" s="13">
        <v>12351</v>
      </c>
      <c r="J33" s="13">
        <v>938415</v>
      </c>
      <c r="K33" s="13">
        <v>4375</v>
      </c>
      <c r="L33" s="13">
        <v>1858</v>
      </c>
      <c r="M33" s="13">
        <f>SUM(I33:L33)</f>
        <v>956999</v>
      </c>
      <c r="N33" s="13"/>
      <c r="O33" s="4"/>
      <c r="P33" s="93">
        <v>42160</v>
      </c>
      <c r="Q33" s="13">
        <v>87</v>
      </c>
      <c r="R33" s="13">
        <v>254</v>
      </c>
      <c r="S33" s="13">
        <v>9</v>
      </c>
      <c r="T33" s="13">
        <v>29</v>
      </c>
      <c r="U33" s="13">
        <v>379</v>
      </c>
      <c r="V33" s="13"/>
      <c r="W33" s="13">
        <v>10</v>
      </c>
      <c r="X33" s="13">
        <v>68</v>
      </c>
      <c r="Y33" s="13">
        <v>3</v>
      </c>
      <c r="Z33" s="13">
        <v>7</v>
      </c>
      <c r="AA33" s="13">
        <f>SUM(W33:Z33)</f>
        <v>88</v>
      </c>
      <c r="AB33" s="13"/>
      <c r="AC33" s="13">
        <f>IF(Q33=0,0,C33/Q33)</f>
        <v>489.0344827586207</v>
      </c>
      <c r="AD33" s="13">
        <f>IF(R33=0,0,D33/R33)</f>
        <v>610.11023622047242</v>
      </c>
      <c r="AE33" s="13">
        <f>IF(S33=0,0,E33/S33)</f>
        <v>249.88888888888889</v>
      </c>
      <c r="AF33" s="13">
        <f>IF(T33=0,0,F33/T33)</f>
        <v>534.31034482758616</v>
      </c>
      <c r="AG33" s="13">
        <f>IF(U33=0,0,G33/U33)</f>
        <v>567.96306068601587</v>
      </c>
      <c r="AH33" s="13"/>
      <c r="AI33" s="13">
        <f>IF(W33=0,0,I33/W33)</f>
        <v>1235.0999999999999</v>
      </c>
      <c r="AJ33" s="13">
        <f>IF(X33=0,0,J33/X33)</f>
        <v>13800.220588235294</v>
      </c>
      <c r="AK33" s="13">
        <f>IF(Y33=0,0,K33/Y33)</f>
        <v>1458.3333333333333</v>
      </c>
      <c r="AL33" s="13">
        <f>IF(Z33=0,0,L33/Z33)</f>
        <v>265.42857142857144</v>
      </c>
      <c r="AM33" s="13">
        <f>IF(AA33=0,0,M33/AA33)</f>
        <v>10874.988636363636</v>
      </c>
      <c r="AN33" s="13"/>
      <c r="AO33" s="4"/>
      <c r="AP33" s="4"/>
      <c r="AQ33" s="4"/>
      <c r="AR33" s="4"/>
      <c r="AS33" s="4"/>
      <c r="AT33" s="4"/>
      <c r="AU33" s="4"/>
    </row>
    <row r="34" spans="1:47" x14ac:dyDescent="0.2">
      <c r="A34" s="4"/>
      <c r="B34" s="93">
        <v>42191</v>
      </c>
      <c r="C34" s="13">
        <v>34470</v>
      </c>
      <c r="D34" s="13">
        <v>130418</v>
      </c>
      <c r="E34" s="13">
        <v>2267</v>
      </c>
      <c r="F34" s="13">
        <v>15480</v>
      </c>
      <c r="G34" s="13">
        <f>SUM(C34:F34)</f>
        <v>182635</v>
      </c>
      <c r="H34" s="13"/>
      <c r="I34" s="13">
        <v>9142</v>
      </c>
      <c r="J34" s="13">
        <v>1100901</v>
      </c>
      <c r="K34" s="13">
        <v>6163</v>
      </c>
      <c r="L34" s="13">
        <v>1630</v>
      </c>
      <c r="M34" s="13">
        <f>SUM(I34:L34)</f>
        <v>1117836</v>
      </c>
      <c r="N34" s="13"/>
      <c r="O34" s="4"/>
      <c r="P34" s="93">
        <v>42191</v>
      </c>
      <c r="Q34" s="13">
        <v>87</v>
      </c>
      <c r="R34" s="13">
        <v>256</v>
      </c>
      <c r="S34" s="13">
        <v>9</v>
      </c>
      <c r="T34" s="13">
        <v>29</v>
      </c>
      <c r="U34" s="13">
        <v>381</v>
      </c>
      <c r="V34" s="13"/>
      <c r="W34" s="13">
        <v>10</v>
      </c>
      <c r="X34" s="13">
        <v>68</v>
      </c>
      <c r="Y34" s="13">
        <v>3</v>
      </c>
      <c r="Z34" s="13">
        <v>7</v>
      </c>
      <c r="AA34" s="13">
        <f>SUM(W34:Z34)</f>
        <v>88</v>
      </c>
      <c r="AB34" s="13"/>
      <c r="AC34" s="13">
        <f>IF(Q34=0,0,C34/Q34)</f>
        <v>396.20689655172413</v>
      </c>
      <c r="AD34" s="13">
        <f>IF(R34=0,0,D34/R34)</f>
        <v>509.4453125</v>
      </c>
      <c r="AE34" s="13">
        <f>IF(S34=0,0,E34/S34)</f>
        <v>251.88888888888889</v>
      </c>
      <c r="AF34" s="13">
        <f>IF(T34=0,0,F34/T34)</f>
        <v>533.79310344827582</v>
      </c>
      <c r="AG34" s="13">
        <f>IF(U34=0,0,G34/U34)</f>
        <v>479.3569553805774</v>
      </c>
      <c r="AH34" s="13"/>
      <c r="AI34" s="13">
        <f>IF(W34=0,0,I34/W34)</f>
        <v>914.2</v>
      </c>
      <c r="AJ34" s="13">
        <f>IF(X34=0,0,J34/X34)</f>
        <v>16189.720588235294</v>
      </c>
      <c r="AK34" s="13">
        <f>IF(Y34=0,0,K34/Y34)</f>
        <v>2054.3333333333335</v>
      </c>
      <c r="AL34" s="13">
        <f>IF(Z34=0,0,L34/Z34)</f>
        <v>232.85714285714286</v>
      </c>
      <c r="AM34" s="13">
        <f>IF(AA34=0,0,M34/AA34)</f>
        <v>12702.681818181818</v>
      </c>
      <c r="AN34" s="13"/>
      <c r="AO34" s="4"/>
      <c r="AP34" s="4"/>
      <c r="AQ34" s="4"/>
      <c r="AR34" s="4"/>
      <c r="AS34" s="4"/>
      <c r="AT34" s="4"/>
      <c r="AU34" s="4"/>
    </row>
    <row r="35" spans="1:47" x14ac:dyDescent="0.2">
      <c r="A35" s="4"/>
      <c r="B35" s="93">
        <v>42222</v>
      </c>
      <c r="C35" s="13">
        <v>34259</v>
      </c>
      <c r="D35" s="13">
        <v>116689</v>
      </c>
      <c r="E35" s="13">
        <v>2575</v>
      </c>
      <c r="F35" s="13">
        <v>14282</v>
      </c>
      <c r="G35" s="13">
        <f>SUM(C35:F35)</f>
        <v>167805</v>
      </c>
      <c r="H35" s="13"/>
      <c r="I35" s="13">
        <v>8831</v>
      </c>
      <c r="J35" s="13">
        <v>1035898</v>
      </c>
      <c r="K35" s="13">
        <v>7162</v>
      </c>
      <c r="L35" s="13">
        <v>1300</v>
      </c>
      <c r="M35" s="13">
        <f>SUM(I35:L35)</f>
        <v>1053191</v>
      </c>
      <c r="N35" s="13"/>
      <c r="O35" s="4"/>
      <c r="P35" s="93">
        <v>42222</v>
      </c>
      <c r="Q35" s="13">
        <v>90</v>
      </c>
      <c r="R35" s="13">
        <v>255</v>
      </c>
      <c r="S35" s="13">
        <v>9</v>
      </c>
      <c r="T35" s="13">
        <v>29</v>
      </c>
      <c r="U35" s="13">
        <v>383</v>
      </c>
      <c r="V35" s="13"/>
      <c r="W35" s="13">
        <v>10</v>
      </c>
      <c r="X35" s="13">
        <v>68</v>
      </c>
      <c r="Y35" s="13">
        <v>3</v>
      </c>
      <c r="Z35" s="13">
        <v>7</v>
      </c>
      <c r="AA35" s="13">
        <f>SUM(W35:Z35)</f>
        <v>88</v>
      </c>
      <c r="AB35" s="13"/>
      <c r="AC35" s="13">
        <f>IF(Q35=0,0,C35/Q35)</f>
        <v>380.65555555555557</v>
      </c>
      <c r="AD35" s="13">
        <f>IF(R35=0,0,D35/R35)</f>
        <v>457.60392156862747</v>
      </c>
      <c r="AE35" s="13">
        <f>IF(S35=0,0,E35/S35)</f>
        <v>286.11111111111109</v>
      </c>
      <c r="AF35" s="13">
        <f>IF(T35=0,0,F35/T35)</f>
        <v>492.48275862068965</v>
      </c>
      <c r="AG35" s="13">
        <f>IF(U35=0,0,G35/U35)</f>
        <v>438.13315926892949</v>
      </c>
      <c r="AH35" s="13"/>
      <c r="AI35" s="13">
        <f>IF(W35=0,0,I35/W35)</f>
        <v>883.1</v>
      </c>
      <c r="AJ35" s="13">
        <f>IF(X35=0,0,J35/X35)</f>
        <v>15233.794117647059</v>
      </c>
      <c r="AK35" s="13">
        <f>IF(Y35=0,0,K35/Y35)</f>
        <v>2387.3333333333335</v>
      </c>
      <c r="AL35" s="13">
        <f>IF(Z35=0,0,L35/Z35)</f>
        <v>185.71428571428572</v>
      </c>
      <c r="AM35" s="13">
        <f>IF(AA35=0,0,M35/AA35)</f>
        <v>11968.079545454546</v>
      </c>
      <c r="AN35" s="13"/>
      <c r="AO35" s="4"/>
      <c r="AP35" s="4"/>
      <c r="AQ35" s="4"/>
      <c r="AR35" s="4"/>
      <c r="AS35" s="4"/>
      <c r="AT35" s="4"/>
      <c r="AU35" s="4"/>
    </row>
    <row r="36" spans="1:47" x14ac:dyDescent="0.2">
      <c r="A36" s="4"/>
      <c r="B36" s="93">
        <v>42253</v>
      </c>
      <c r="C36" s="70">
        <v>36552</v>
      </c>
      <c r="D36" s="70">
        <v>145251</v>
      </c>
      <c r="E36" s="70">
        <v>3200</v>
      </c>
      <c r="F36" s="70">
        <v>13229</v>
      </c>
      <c r="G36" s="13">
        <f>SUM(C36:F36)</f>
        <v>198232</v>
      </c>
      <c r="H36" s="70"/>
      <c r="I36" s="70">
        <v>11200</v>
      </c>
      <c r="J36" s="70">
        <v>1242502</v>
      </c>
      <c r="K36" s="70">
        <v>7277</v>
      </c>
      <c r="L36" s="70">
        <v>1534</v>
      </c>
      <c r="M36" s="13">
        <f>SUM(I36:L36)</f>
        <v>1262513</v>
      </c>
      <c r="N36" s="70"/>
      <c r="O36" s="4"/>
      <c r="P36" s="93">
        <v>42253</v>
      </c>
      <c r="Q36" s="70">
        <v>91</v>
      </c>
      <c r="R36" s="70">
        <v>255</v>
      </c>
      <c r="S36" s="70">
        <v>9</v>
      </c>
      <c r="T36" s="70">
        <v>29</v>
      </c>
      <c r="U36" s="70">
        <f>SUM(Q36:T36)</f>
        <v>384</v>
      </c>
      <c r="V36" s="70"/>
      <c r="W36" s="70">
        <v>10</v>
      </c>
      <c r="X36" s="70">
        <v>66</v>
      </c>
      <c r="Y36" s="70">
        <v>3</v>
      </c>
      <c r="Z36" s="70">
        <v>7</v>
      </c>
      <c r="AA36" s="70">
        <v>81</v>
      </c>
      <c r="AB36" s="70"/>
      <c r="AC36" s="13">
        <f>IF(Q36=0,0,C36/Q36)</f>
        <v>401.67032967032969</v>
      </c>
      <c r="AD36" s="13">
        <f>IF(R36=0,0,D36/R36)</f>
        <v>569.61176470588236</v>
      </c>
      <c r="AE36" s="13">
        <f>IF(S36=0,0,E36/S36)</f>
        <v>355.55555555555554</v>
      </c>
      <c r="AF36" s="13">
        <f>IF(T36=0,0,F36/T36)</f>
        <v>456.17241379310343</v>
      </c>
      <c r="AG36" s="13">
        <f>IF(U36=0,0,G36/U36)</f>
        <v>516.22916666666663</v>
      </c>
      <c r="AH36" s="70"/>
      <c r="AI36" s="13">
        <f>IF(W36=0,0,I36/W36)</f>
        <v>1120</v>
      </c>
      <c r="AJ36" s="13">
        <f>IF(X36=0,0,J36/X36)</f>
        <v>18825.78787878788</v>
      </c>
      <c r="AK36" s="13">
        <f>IF(Y36=0,0,K36/Y36)</f>
        <v>2425.6666666666665</v>
      </c>
      <c r="AL36" s="13">
        <f>IF(Z36=0,0,L36/Z36)</f>
        <v>219.14285714285714</v>
      </c>
      <c r="AM36" s="13">
        <f>IF(AA36=0,0,M36/AA36)</f>
        <v>15586.58024691358</v>
      </c>
      <c r="AN36" s="70"/>
      <c r="AO36" s="4"/>
      <c r="AP36" s="4"/>
      <c r="AQ36" s="4"/>
      <c r="AR36" s="4"/>
      <c r="AS36" s="4"/>
      <c r="AT36" s="4"/>
      <c r="AU36" s="4"/>
    </row>
    <row r="37" spans="1:47" x14ac:dyDescent="0.2">
      <c r="A37" s="4"/>
      <c r="B37" s="93">
        <v>42284</v>
      </c>
      <c r="C37" s="70">
        <v>43995</v>
      </c>
      <c r="D37" s="70">
        <v>172765</v>
      </c>
      <c r="E37" s="70">
        <v>2892</v>
      </c>
      <c r="F37" s="70">
        <v>16422</v>
      </c>
      <c r="G37" s="70">
        <f>SUM(C37:F37)</f>
        <v>236074</v>
      </c>
      <c r="H37" s="70"/>
      <c r="I37" s="70">
        <v>12198</v>
      </c>
      <c r="J37" s="70">
        <v>1414362</v>
      </c>
      <c r="K37" s="70">
        <v>5525</v>
      </c>
      <c r="L37" s="70">
        <v>2313</v>
      </c>
      <c r="M37" s="70">
        <f>SUM(I37:L37)</f>
        <v>1434398</v>
      </c>
      <c r="N37" s="70"/>
      <c r="O37" s="4"/>
      <c r="P37" s="93">
        <v>42284</v>
      </c>
      <c r="Q37" s="70">
        <v>92</v>
      </c>
      <c r="R37" s="70">
        <v>254</v>
      </c>
      <c r="S37" s="70">
        <v>9</v>
      </c>
      <c r="T37" s="70">
        <v>27.5</v>
      </c>
      <c r="U37" s="70">
        <f>SUM(Q37:T37)</f>
        <v>382.5</v>
      </c>
      <c r="V37" s="70"/>
      <c r="W37" s="70">
        <v>11</v>
      </c>
      <c r="X37" s="70">
        <v>70</v>
      </c>
      <c r="Y37" s="70">
        <v>3</v>
      </c>
      <c r="Z37" s="70">
        <v>7</v>
      </c>
      <c r="AA37" s="13">
        <f>SUM(W37:Z37)</f>
        <v>91</v>
      </c>
      <c r="AB37" s="70"/>
      <c r="AC37" s="13">
        <f>IF(Q37=0,0,C37/Q37)</f>
        <v>478.20652173913044</v>
      </c>
      <c r="AD37" s="13">
        <f>IF(R37=0,0,D37/R37)</f>
        <v>680.17716535433067</v>
      </c>
      <c r="AE37" s="13">
        <f>IF(S37=0,0,E37/S37)</f>
        <v>321.33333333333331</v>
      </c>
      <c r="AF37" s="13">
        <f>IF(T37=0,0,F37/T37)</f>
        <v>597.16363636363633</v>
      </c>
      <c r="AG37" s="13">
        <f>IF(U37=0,0,G37/U37)</f>
        <v>617.18692810457514</v>
      </c>
      <c r="AH37" s="94"/>
      <c r="AI37" s="13">
        <f>IF(W37=0,0,I37/W37)</f>
        <v>1108.909090909091</v>
      </c>
      <c r="AJ37" s="13">
        <f>IF(X37=0,0,J37/X37)</f>
        <v>20205.17142857143</v>
      </c>
      <c r="AK37" s="13">
        <f>IF(Y37=0,0,K37/Y37)</f>
        <v>1841.6666666666667</v>
      </c>
      <c r="AL37" s="13">
        <f>IF(Z37=0,0,L37/Z37)</f>
        <v>330.42857142857144</v>
      </c>
      <c r="AM37" s="13">
        <f>IF(AA37=0,0,M37/AA37)</f>
        <v>15762.615384615385</v>
      </c>
      <c r="AN37" s="70"/>
      <c r="AO37" s="4"/>
      <c r="AP37" s="4"/>
      <c r="AQ37" s="4"/>
      <c r="AR37" s="4"/>
      <c r="AS37" s="4"/>
      <c r="AT37" s="4"/>
      <c r="AU37" s="4"/>
    </row>
    <row r="38" spans="1:47" x14ac:dyDescent="0.2">
      <c r="A38" s="4"/>
      <c r="B38" s="93">
        <v>42315</v>
      </c>
      <c r="C38" s="70">
        <v>51411</v>
      </c>
      <c r="D38" s="70">
        <v>183677</v>
      </c>
      <c r="E38" s="70">
        <v>4181</v>
      </c>
      <c r="F38" s="70">
        <v>15868</v>
      </c>
      <c r="G38" s="70">
        <f>SUM(C38:F38)</f>
        <v>255137</v>
      </c>
      <c r="H38" s="70"/>
      <c r="I38" s="70">
        <v>13817</v>
      </c>
      <c r="J38" s="70">
        <v>184016</v>
      </c>
      <c r="K38" s="70">
        <v>5099</v>
      </c>
      <c r="L38" s="70">
        <v>2181</v>
      </c>
      <c r="M38" s="70">
        <f>SUM(I38:L38)</f>
        <v>205113</v>
      </c>
      <c r="N38" s="70"/>
      <c r="O38" s="4"/>
      <c r="P38" s="93">
        <v>42315</v>
      </c>
      <c r="Q38" s="70">
        <v>91</v>
      </c>
      <c r="R38" s="70">
        <v>254</v>
      </c>
      <c r="S38" s="70">
        <v>9</v>
      </c>
      <c r="T38" s="70">
        <v>28</v>
      </c>
      <c r="U38" s="70">
        <f>SUM(Q38:T38)</f>
        <v>382</v>
      </c>
      <c r="V38" s="70"/>
      <c r="W38" s="70">
        <v>11</v>
      </c>
      <c r="X38" s="70">
        <v>70</v>
      </c>
      <c r="Y38" s="70">
        <v>3</v>
      </c>
      <c r="Z38" s="70">
        <v>7</v>
      </c>
      <c r="AA38" s="13">
        <f>SUM(W38:Z38)</f>
        <v>91</v>
      </c>
      <c r="AB38" s="70"/>
      <c r="AC38" s="13">
        <f>IF(Q38=0,0,C38/Q38)</f>
        <v>564.95604395604391</v>
      </c>
      <c r="AD38" s="13">
        <f>IF(R38=0,0,D38/R38)</f>
        <v>723.13779527559052</v>
      </c>
      <c r="AE38" s="13">
        <f>IF(S38=0,0,E38/S38)</f>
        <v>464.55555555555554</v>
      </c>
      <c r="AF38" s="13">
        <f>IF(T38=0,0,F38/T38)</f>
        <v>566.71428571428567</v>
      </c>
      <c r="AG38" s="13">
        <f>IF(U38=0,0,G38/U38)</f>
        <v>667.89790575916231</v>
      </c>
      <c r="AH38" s="70"/>
      <c r="AI38" s="13">
        <f>IF(W38=0,0,I38/W38)</f>
        <v>1256.090909090909</v>
      </c>
      <c r="AJ38" s="13">
        <f>IF(X38=0,0,J38/X38)</f>
        <v>2628.8</v>
      </c>
      <c r="AK38" s="13">
        <f>IF(Y38=0,0,K38/Y38)</f>
        <v>1699.6666666666667</v>
      </c>
      <c r="AL38" s="13">
        <f>IF(Z38=0,0,L38/Z38)</f>
        <v>311.57142857142856</v>
      </c>
      <c r="AM38" s="13">
        <f>IF(AA38=0,0,M38/AA38)</f>
        <v>2253.9890109890111</v>
      </c>
      <c r="AN38" s="70"/>
      <c r="AO38" s="4"/>
      <c r="AP38" s="4"/>
      <c r="AQ38" s="4"/>
      <c r="AR38" s="4"/>
      <c r="AS38" s="4"/>
      <c r="AT38" s="4"/>
      <c r="AU38" s="4"/>
    </row>
    <row r="39" spans="1:47" x14ac:dyDescent="0.2">
      <c r="A39" s="4"/>
      <c r="B39" s="93">
        <v>42346</v>
      </c>
      <c r="C39" s="70">
        <v>75198</v>
      </c>
      <c r="D39" s="70">
        <v>274091</v>
      </c>
      <c r="E39" s="70">
        <v>5220</v>
      </c>
      <c r="F39" s="70">
        <v>22239</v>
      </c>
      <c r="G39" s="70">
        <f>SUM(C39:F39)</f>
        <v>376748</v>
      </c>
      <c r="H39" s="70"/>
      <c r="I39" s="70">
        <v>22600</v>
      </c>
      <c r="J39" s="70">
        <v>1111362</v>
      </c>
      <c r="K39" s="70">
        <v>3342</v>
      </c>
      <c r="L39" s="70">
        <v>2277</v>
      </c>
      <c r="M39" s="70">
        <f>SUM(I39:L39)</f>
        <v>1139581</v>
      </c>
      <c r="N39" s="70"/>
      <c r="O39" s="4"/>
      <c r="P39" s="93">
        <v>42346</v>
      </c>
      <c r="Q39" s="70">
        <v>93</v>
      </c>
      <c r="R39" s="70">
        <v>253</v>
      </c>
      <c r="S39" s="70">
        <v>9</v>
      </c>
      <c r="T39" s="70">
        <v>27</v>
      </c>
      <c r="U39" s="70">
        <f>SUM(Q39:T39)</f>
        <v>382</v>
      </c>
      <c r="V39" s="70"/>
      <c r="W39" s="70">
        <v>11</v>
      </c>
      <c r="X39" s="70">
        <v>71</v>
      </c>
      <c r="Y39" s="70">
        <v>3</v>
      </c>
      <c r="Z39" s="70">
        <v>7</v>
      </c>
      <c r="AA39" s="13">
        <f>SUM(W39:Z39)</f>
        <v>92</v>
      </c>
      <c r="AB39" s="70"/>
      <c r="AC39" s="13">
        <f>IF(Q39=0,0,C39/Q39)</f>
        <v>808.58064516129036</v>
      </c>
      <c r="AD39" s="13">
        <f>IF(R39=0,0,D39/R39)</f>
        <v>1083.3636363636363</v>
      </c>
      <c r="AE39" s="13">
        <f>IF(S39=0,0,E39/S39)</f>
        <v>580</v>
      </c>
      <c r="AF39" s="13">
        <f>IF(T39=0,0,F39/T39)</f>
        <v>823.66666666666663</v>
      </c>
      <c r="AG39" s="13">
        <f>IF(U39=0,0,G39/U39)</f>
        <v>986.25130890052355</v>
      </c>
      <c r="AH39" s="70"/>
      <c r="AI39" s="13">
        <f>IF(W39=0,0,I39/W39)</f>
        <v>2054.5454545454545</v>
      </c>
      <c r="AJ39" s="13">
        <f>IF(X39=0,0,J39/X39)</f>
        <v>15652.985915492958</v>
      </c>
      <c r="AK39" s="13">
        <f>IF(Y39=0,0,K39/Y39)</f>
        <v>1114</v>
      </c>
      <c r="AL39" s="13">
        <f>IF(Z39=0,0,L39/Z39)</f>
        <v>325.28571428571428</v>
      </c>
      <c r="AM39" s="13">
        <f>IF(AA39=0,0,M39/AA39)</f>
        <v>12386.75</v>
      </c>
      <c r="AN39" s="70"/>
      <c r="AO39" s="4"/>
      <c r="AP39" s="4"/>
      <c r="AQ39" s="4"/>
      <c r="AR39" s="4"/>
      <c r="AS39" s="4"/>
      <c r="AT39" s="4"/>
      <c r="AU39" s="4"/>
    </row>
    <row r="40" spans="1:47" x14ac:dyDescent="0.2">
      <c r="A40" s="4">
        <v>2016</v>
      </c>
      <c r="B40" s="93">
        <v>42370</v>
      </c>
      <c r="C40" s="70">
        <v>90024</v>
      </c>
      <c r="D40" s="70">
        <v>278952</v>
      </c>
      <c r="E40" s="70">
        <v>7696</v>
      </c>
      <c r="F40" s="70">
        <v>24160</v>
      </c>
      <c r="G40" s="70">
        <f>SUM(C40:F40)</f>
        <v>400832</v>
      </c>
      <c r="H40" s="70"/>
      <c r="I40" s="70">
        <v>30197</v>
      </c>
      <c r="J40" s="70">
        <v>578160</v>
      </c>
      <c r="K40" s="70">
        <v>4963</v>
      </c>
      <c r="L40" s="70">
        <v>2508</v>
      </c>
      <c r="M40" s="70">
        <f>SUM(I40:L40)</f>
        <v>615828</v>
      </c>
      <c r="N40" s="70"/>
      <c r="O40" s="4">
        <v>2016</v>
      </c>
      <c r="P40" s="93">
        <v>42370</v>
      </c>
      <c r="Q40" s="70">
        <v>95</v>
      </c>
      <c r="R40" s="70">
        <v>253</v>
      </c>
      <c r="S40" s="70">
        <v>9</v>
      </c>
      <c r="T40" s="70">
        <v>27</v>
      </c>
      <c r="U40" s="70">
        <f>SUM(Q40:T40)</f>
        <v>384</v>
      </c>
      <c r="V40" s="70"/>
      <c r="W40" s="70">
        <v>11</v>
      </c>
      <c r="X40" s="70">
        <v>71</v>
      </c>
      <c r="Y40" s="70">
        <v>3</v>
      </c>
      <c r="Z40" s="70">
        <v>7</v>
      </c>
      <c r="AA40" s="13">
        <f>SUM(W40:Z40)</f>
        <v>92</v>
      </c>
      <c r="AB40" s="94"/>
      <c r="AC40" s="13">
        <f>IF(Q40=0,0,C40/Q40)</f>
        <v>947.62105263157889</v>
      </c>
      <c r="AD40" s="13">
        <f>IF(R40=0,0,D40/R40)</f>
        <v>1102.5770750988142</v>
      </c>
      <c r="AE40" s="13">
        <f>IF(S40=0,0,E40/S40)</f>
        <v>855.11111111111109</v>
      </c>
      <c r="AF40" s="13">
        <f>IF(T40=0,0,F40/T40)</f>
        <v>894.81481481481478</v>
      </c>
      <c r="AG40" s="13">
        <f>IF(U40=0,0,G40/U40)</f>
        <v>1043.8333333333333</v>
      </c>
      <c r="AH40" s="94"/>
      <c r="AI40" s="13">
        <f>IF(W40=0,0,I40/W40)</f>
        <v>2745.181818181818</v>
      </c>
      <c r="AJ40" s="13">
        <f>IF(X40=0,0,J40/X40)</f>
        <v>8143.0985915492956</v>
      </c>
      <c r="AK40" s="13">
        <f>IF(Y40=0,0,K40/Y40)</f>
        <v>1654.3333333333333</v>
      </c>
      <c r="AL40" s="13">
        <f>IF(Z40=0,0,L40/Z40)</f>
        <v>358.28571428571428</v>
      </c>
      <c r="AM40" s="13">
        <f>IF(AA40=0,0,M40/AA40)</f>
        <v>6693.782608695652</v>
      </c>
      <c r="AN40" s="70"/>
      <c r="AO40" s="4"/>
      <c r="AP40" s="4"/>
      <c r="AQ40" s="4"/>
      <c r="AR40" s="4"/>
      <c r="AS40" s="4"/>
      <c r="AT40" s="4"/>
      <c r="AU40" s="4"/>
    </row>
    <row r="41" spans="1:47" x14ac:dyDescent="0.2">
      <c r="A41" s="4"/>
      <c r="B41" s="93">
        <v>42401</v>
      </c>
      <c r="C41" s="70">
        <v>76002</v>
      </c>
      <c r="D41" s="70">
        <v>295953</v>
      </c>
      <c r="E41" s="70">
        <v>4373</v>
      </c>
      <c r="F41" s="70">
        <v>33462</v>
      </c>
      <c r="G41" s="70">
        <f>SUM(C41:F41)</f>
        <v>409790</v>
      </c>
      <c r="H41" s="70"/>
      <c r="I41" s="70">
        <v>25568</v>
      </c>
      <c r="J41" s="70">
        <v>612519</v>
      </c>
      <c r="K41" s="70">
        <v>3880</v>
      </c>
      <c r="L41" s="70">
        <v>4042</v>
      </c>
      <c r="M41" s="70">
        <f>SUM(I41:L41)</f>
        <v>646009</v>
      </c>
      <c r="N41" s="70"/>
      <c r="O41" s="4"/>
      <c r="P41" s="93">
        <v>42401</v>
      </c>
      <c r="Q41" s="70">
        <v>95</v>
      </c>
      <c r="R41" s="70">
        <v>253</v>
      </c>
      <c r="S41" s="70">
        <v>9</v>
      </c>
      <c r="T41" s="70">
        <v>26</v>
      </c>
      <c r="U41" s="70">
        <f>SUM(Q41:T41)</f>
        <v>383</v>
      </c>
      <c r="V41" s="70"/>
      <c r="W41" s="70">
        <v>11</v>
      </c>
      <c r="X41" s="70">
        <v>71</v>
      </c>
      <c r="Y41" s="70">
        <v>3</v>
      </c>
      <c r="Z41" s="70">
        <v>7</v>
      </c>
      <c r="AA41" s="13">
        <f>SUM(W41:Z41)</f>
        <v>92</v>
      </c>
      <c r="AB41" s="70"/>
      <c r="AC41" s="13">
        <f>IF(Q41=0,0,C41/Q41)</f>
        <v>800.02105263157898</v>
      </c>
      <c r="AD41" s="13">
        <f>IF(R41=0,0,D41/R41)</f>
        <v>1169.7747035573123</v>
      </c>
      <c r="AE41" s="13">
        <f>IF(S41=0,0,E41/S41)</f>
        <v>485.88888888888891</v>
      </c>
      <c r="AF41" s="13">
        <f>IF(T41=0,0,F41/T41)</f>
        <v>1287</v>
      </c>
      <c r="AG41" s="13">
        <f>IF(U41=0,0,G41/U41)</f>
        <v>1069.9477806788511</v>
      </c>
      <c r="AH41" s="70"/>
      <c r="AI41" s="13">
        <f>IF(W41=0,0,I41/W41)</f>
        <v>2324.3636363636365</v>
      </c>
      <c r="AJ41" s="13">
        <f>IF(X41=0,0,J41/X41)</f>
        <v>8627.0281690140837</v>
      </c>
      <c r="AK41" s="13">
        <f>IF(Y41=0,0,K41/Y41)</f>
        <v>1293.3333333333333</v>
      </c>
      <c r="AL41" s="13">
        <f>IF(Z41=0,0,L41/Z41)</f>
        <v>577.42857142857144</v>
      </c>
      <c r="AM41" s="13">
        <f>IF(AA41=0,0,M41/AA41)</f>
        <v>7021.836956521739</v>
      </c>
      <c r="AN41" s="70"/>
      <c r="AO41" s="4"/>
      <c r="AP41" s="4"/>
      <c r="AQ41" s="4"/>
      <c r="AR41" s="4"/>
      <c r="AS41" s="4"/>
      <c r="AT41" s="4"/>
      <c r="AU41" s="4"/>
    </row>
    <row r="42" spans="1:47" x14ac:dyDescent="0.2">
      <c r="A42" s="4"/>
      <c r="B42" s="93">
        <v>42432</v>
      </c>
      <c r="C42" s="70">
        <v>69027</v>
      </c>
      <c r="D42" s="70">
        <v>226537</v>
      </c>
      <c r="E42" s="70">
        <v>3469</v>
      </c>
      <c r="F42" s="70">
        <v>22680</v>
      </c>
      <c r="G42" s="70">
        <f>SUM(C42:F42)</f>
        <v>321713</v>
      </c>
      <c r="H42" s="70"/>
      <c r="I42" s="70">
        <v>21682</v>
      </c>
      <c r="J42" s="70">
        <v>570810</v>
      </c>
      <c r="K42" s="70">
        <v>3824</v>
      </c>
      <c r="L42" s="70">
        <v>2820</v>
      </c>
      <c r="M42" s="70">
        <f>SUM(I42:L42)</f>
        <v>599136</v>
      </c>
      <c r="N42" s="70"/>
      <c r="O42" s="4"/>
      <c r="P42" s="93">
        <v>42432</v>
      </c>
      <c r="Q42" s="70">
        <v>95</v>
      </c>
      <c r="R42" s="70">
        <v>252</v>
      </c>
      <c r="S42" s="70">
        <v>9</v>
      </c>
      <c r="T42" s="70">
        <v>25.75</v>
      </c>
      <c r="U42" s="70">
        <f>SUM(Q42:T42)</f>
        <v>381.75</v>
      </c>
      <c r="V42" s="70"/>
      <c r="W42" s="70">
        <v>11</v>
      </c>
      <c r="X42" s="70">
        <v>70</v>
      </c>
      <c r="Y42" s="70">
        <v>3</v>
      </c>
      <c r="Z42" s="70">
        <v>7</v>
      </c>
      <c r="AA42" s="13">
        <f>SUM(W42:Z42)</f>
        <v>91</v>
      </c>
      <c r="AB42" s="70"/>
      <c r="AC42" s="13">
        <f>IF(Q42=0,0,C42/Q42)</f>
        <v>726.6</v>
      </c>
      <c r="AD42" s="13">
        <f>IF(R42=0,0,D42/R42)</f>
        <v>898.95634920634916</v>
      </c>
      <c r="AE42" s="13">
        <f>IF(S42=0,0,E42/S42)</f>
        <v>385.44444444444446</v>
      </c>
      <c r="AF42" s="13">
        <f>IF(T42=0,0,F42/T42)</f>
        <v>880.77669902912623</v>
      </c>
      <c r="AG42" s="13">
        <f>IF(U42=0,0,G42/U42)</f>
        <v>842.73215455140803</v>
      </c>
      <c r="AH42" s="70"/>
      <c r="AI42" s="13">
        <f>IF(W42=0,0,I42/W42)</f>
        <v>1971.090909090909</v>
      </c>
      <c r="AJ42" s="13">
        <f>IF(X42=0,0,J42/X42)</f>
        <v>8154.4285714285716</v>
      </c>
      <c r="AK42" s="13">
        <f>IF(Y42=0,0,K42/Y42)</f>
        <v>1274.6666666666667</v>
      </c>
      <c r="AL42" s="13">
        <f>IF(Z42=0,0,L42/Z42)</f>
        <v>402.85714285714283</v>
      </c>
      <c r="AM42" s="13">
        <f>IF(AA42=0,0,M42/AA42)</f>
        <v>6583.9120879120883</v>
      </c>
      <c r="AN42" s="70"/>
      <c r="AO42" s="4"/>
      <c r="AP42" s="4"/>
      <c r="AQ42" s="4"/>
      <c r="AR42" s="4"/>
      <c r="AS42" s="4"/>
      <c r="AT42" s="4"/>
      <c r="AU42" s="4"/>
    </row>
    <row r="43" spans="1:47" x14ac:dyDescent="0.2">
      <c r="A43" s="4"/>
      <c r="B43" s="93">
        <v>42463</v>
      </c>
      <c r="C43" s="70">
        <v>58402</v>
      </c>
      <c r="D43" s="70">
        <v>220404</v>
      </c>
      <c r="E43" s="70">
        <v>3280</v>
      </c>
      <c r="F43" s="70">
        <v>17350</v>
      </c>
      <c r="G43" s="70">
        <f>SUM(C43:F43)</f>
        <v>299436</v>
      </c>
      <c r="H43" s="70"/>
      <c r="I43" s="70">
        <v>17830</v>
      </c>
      <c r="J43" s="70">
        <v>564778</v>
      </c>
      <c r="K43" s="70">
        <v>3961</v>
      </c>
      <c r="L43" s="70">
        <v>2931</v>
      </c>
      <c r="M43" s="70">
        <f>SUM(I43:L43)</f>
        <v>589500</v>
      </c>
      <c r="N43" s="94"/>
      <c r="O43" s="4"/>
      <c r="P43" s="93">
        <v>42463</v>
      </c>
      <c r="Q43" s="70">
        <v>94</v>
      </c>
      <c r="R43" s="70">
        <v>252</v>
      </c>
      <c r="S43" s="70">
        <v>9</v>
      </c>
      <c r="T43" s="70">
        <v>28</v>
      </c>
      <c r="U43" s="70">
        <f>SUM(Q43:T43)</f>
        <v>383</v>
      </c>
      <c r="V43" s="94"/>
      <c r="W43" s="70">
        <v>11</v>
      </c>
      <c r="X43" s="70">
        <v>72</v>
      </c>
      <c r="Y43" s="70">
        <v>3</v>
      </c>
      <c r="Z43" s="70">
        <v>7</v>
      </c>
      <c r="AA43" s="13">
        <f>SUM(W43:Z43)</f>
        <v>93</v>
      </c>
      <c r="AB43" s="70"/>
      <c r="AC43" s="13">
        <f>IF(Q43=0,0,C43/Q43)</f>
        <v>621.29787234042556</v>
      </c>
      <c r="AD43" s="13">
        <f>IF(R43=0,0,D43/R43)</f>
        <v>874.61904761904759</v>
      </c>
      <c r="AE43" s="13">
        <f>IF(S43=0,0,E43/S43)</f>
        <v>364.44444444444446</v>
      </c>
      <c r="AF43" s="13">
        <f>IF(T43=0,0,F43/T43)</f>
        <v>619.64285714285711</v>
      </c>
      <c r="AG43" s="13">
        <f>IF(U43=0,0,G43/U43)</f>
        <v>781.81723237597907</v>
      </c>
      <c r="AH43" s="70"/>
      <c r="AI43" s="13">
        <f>IF(W43=0,0,I43/W43)</f>
        <v>1620.909090909091</v>
      </c>
      <c r="AJ43" s="13">
        <f>IF(X43=0,0,J43/X43)</f>
        <v>7844.1388888888887</v>
      </c>
      <c r="AK43" s="13">
        <f>IF(Y43=0,0,K43/Y43)</f>
        <v>1320.3333333333333</v>
      </c>
      <c r="AL43" s="13">
        <f>IF(Z43=0,0,L43/Z43)</f>
        <v>418.71428571428572</v>
      </c>
      <c r="AM43" s="13">
        <f>IF(AA43=0,0,M43/AA43)</f>
        <v>6338.7096774193551</v>
      </c>
      <c r="AN43" s="70"/>
      <c r="AO43" s="4"/>
      <c r="AP43" s="4"/>
      <c r="AQ43" s="4"/>
      <c r="AR43" s="4"/>
      <c r="AS43" s="4"/>
      <c r="AT43" s="4"/>
      <c r="AU43" s="4"/>
    </row>
    <row r="44" spans="1:47" x14ac:dyDescent="0.2">
      <c r="A44" s="4"/>
      <c r="B44" s="93">
        <v>42494</v>
      </c>
      <c r="C44" s="70">
        <v>43748</v>
      </c>
      <c r="D44" s="70">
        <v>161386</v>
      </c>
      <c r="E44" s="70">
        <v>2331</v>
      </c>
      <c r="F44" s="70">
        <v>16148</v>
      </c>
      <c r="G44" s="70">
        <f>SUM(C44:F44)</f>
        <v>223613</v>
      </c>
      <c r="H44" s="70"/>
      <c r="I44" s="70">
        <v>12262</v>
      </c>
      <c r="J44" s="70">
        <v>621415</v>
      </c>
      <c r="K44" s="70">
        <v>3799</v>
      </c>
      <c r="L44" s="70">
        <v>6938</v>
      </c>
      <c r="M44" s="70">
        <f>SUM(I44:L44)</f>
        <v>644414</v>
      </c>
      <c r="N44" s="70"/>
      <c r="O44" s="4"/>
      <c r="P44" s="93">
        <v>42494</v>
      </c>
      <c r="Q44" s="70">
        <v>96</v>
      </c>
      <c r="R44" s="70">
        <v>252</v>
      </c>
      <c r="S44" s="70">
        <v>9</v>
      </c>
      <c r="T44" s="70">
        <v>28</v>
      </c>
      <c r="U44" s="70">
        <f>SUM(Q44:T44)</f>
        <v>385</v>
      </c>
      <c r="V44" s="70"/>
      <c r="W44" s="70">
        <v>11</v>
      </c>
      <c r="X44" s="70">
        <v>68</v>
      </c>
      <c r="Y44" s="70">
        <v>3</v>
      </c>
      <c r="Z44" s="70">
        <v>7</v>
      </c>
      <c r="AA44" s="13">
        <f>SUM(W44:Z44)</f>
        <v>89</v>
      </c>
      <c r="AB44" s="70"/>
      <c r="AC44" s="13">
        <f>IF(Q44=0,0,C44/Q44)</f>
        <v>455.70833333333331</v>
      </c>
      <c r="AD44" s="13">
        <f>IF(R44=0,0,D44/R44)</f>
        <v>640.42063492063494</v>
      </c>
      <c r="AE44" s="13">
        <f>IF(S44=0,0,E44/S44)</f>
        <v>259</v>
      </c>
      <c r="AF44" s="13">
        <f>IF(T44=0,0,F44/T44)</f>
        <v>576.71428571428567</v>
      </c>
      <c r="AG44" s="13">
        <f>IF(U44=0,0,G44/U44)</f>
        <v>580.81298701298704</v>
      </c>
      <c r="AH44" s="70"/>
      <c r="AI44" s="13">
        <f>IF(W44=0,0,I44/W44)</f>
        <v>1114.7272727272727</v>
      </c>
      <c r="AJ44" s="13">
        <f>IF(X44=0,0,J44/X44)</f>
        <v>9138.4558823529405</v>
      </c>
      <c r="AK44" s="13">
        <f>IF(Y44=0,0,K44/Y44)</f>
        <v>1266.3333333333333</v>
      </c>
      <c r="AL44" s="13">
        <f>IF(Z44=0,0,L44/Z44)</f>
        <v>991.14285714285711</v>
      </c>
      <c r="AM44" s="13">
        <f>IF(AA44=0,0,M44/AA44)</f>
        <v>7240.606741573034</v>
      </c>
      <c r="AN44" s="70"/>
      <c r="AO44" s="4"/>
      <c r="AP44" s="4"/>
      <c r="AQ44" s="4"/>
      <c r="AR44" s="4"/>
      <c r="AS44" s="4"/>
      <c r="AT44" s="4"/>
      <c r="AU44" s="4"/>
    </row>
    <row r="45" spans="1:47" x14ac:dyDescent="0.2">
      <c r="A45" s="4"/>
      <c r="B45" s="93">
        <v>42525</v>
      </c>
      <c r="C45" s="70">
        <v>40580</v>
      </c>
      <c r="D45" s="70">
        <v>135393</v>
      </c>
      <c r="E45" s="70">
        <v>2653</v>
      </c>
      <c r="F45" s="70">
        <v>19389</v>
      </c>
      <c r="G45" s="70">
        <f>SUM(C45:F45)</f>
        <v>198015</v>
      </c>
      <c r="H45" s="70"/>
      <c r="I45" s="70">
        <v>12164</v>
      </c>
      <c r="J45" s="70">
        <v>755620</v>
      </c>
      <c r="K45" s="70">
        <v>5882</v>
      </c>
      <c r="L45" s="70">
        <v>2213</v>
      </c>
      <c r="M45" s="70">
        <f>SUM(I45:L45)</f>
        <v>775879</v>
      </c>
      <c r="N45" s="70"/>
      <c r="O45" s="4"/>
      <c r="P45" s="93">
        <v>42525</v>
      </c>
      <c r="Q45" s="70">
        <v>95</v>
      </c>
      <c r="R45" s="70">
        <v>252</v>
      </c>
      <c r="S45" s="70">
        <v>9</v>
      </c>
      <c r="T45" s="70">
        <v>29</v>
      </c>
      <c r="U45" s="70">
        <f>SUM(Q45:T45)</f>
        <v>385</v>
      </c>
      <c r="V45" s="70"/>
      <c r="W45" s="70">
        <v>11</v>
      </c>
      <c r="X45" s="70">
        <v>68</v>
      </c>
      <c r="Y45" s="70">
        <v>3</v>
      </c>
      <c r="Z45" s="70">
        <v>7</v>
      </c>
      <c r="AA45" s="13">
        <f>SUM(W45:Z45)</f>
        <v>89</v>
      </c>
      <c r="AB45" s="70"/>
      <c r="AC45" s="13">
        <f>IF(Q45=0,0,C45/Q45)</f>
        <v>427.15789473684208</v>
      </c>
      <c r="AD45" s="13">
        <f>IF(R45=0,0,D45/R45)</f>
        <v>537.27380952380952</v>
      </c>
      <c r="AE45" s="13">
        <f>IF(S45=0,0,E45/S45)</f>
        <v>294.77777777777777</v>
      </c>
      <c r="AF45" s="13">
        <f>IF(T45=0,0,F45/T45)</f>
        <v>668.58620689655174</v>
      </c>
      <c r="AG45" s="13">
        <f>IF(U45=0,0,G45/U45)</f>
        <v>514.32467532467535</v>
      </c>
      <c r="AH45" s="70"/>
      <c r="AI45" s="13">
        <f>IF(W45=0,0,I45/W45)</f>
        <v>1105.8181818181818</v>
      </c>
      <c r="AJ45" s="13">
        <f>IF(X45=0,0,J45/X45)</f>
        <v>11112.058823529413</v>
      </c>
      <c r="AK45" s="13">
        <f>IF(Y45=0,0,K45/Y45)</f>
        <v>1960.6666666666667</v>
      </c>
      <c r="AL45" s="13">
        <f>IF(Z45=0,0,L45/Z45)</f>
        <v>316.14285714285717</v>
      </c>
      <c r="AM45" s="13">
        <f>IF(AA45=0,0,M45/AA45)</f>
        <v>8717.741573033707</v>
      </c>
      <c r="AN45" s="70"/>
      <c r="AO45" s="4"/>
      <c r="AP45" s="4"/>
      <c r="AQ45" s="4"/>
      <c r="AR45" s="4"/>
      <c r="AS45" s="4"/>
      <c r="AT45" s="4"/>
      <c r="AU45" s="4"/>
    </row>
    <row r="46" spans="1:47" x14ac:dyDescent="0.2">
      <c r="A46" s="4"/>
      <c r="B46" s="93">
        <v>42556</v>
      </c>
      <c r="C46" s="70">
        <v>39466</v>
      </c>
      <c r="D46" s="70">
        <v>132460</v>
      </c>
      <c r="E46" s="70">
        <v>2757</v>
      </c>
      <c r="F46" s="70">
        <v>16552</v>
      </c>
      <c r="G46" s="70">
        <f>SUM(C46:F46)</f>
        <v>191235</v>
      </c>
      <c r="H46" s="70"/>
      <c r="I46" s="70">
        <v>14061</v>
      </c>
      <c r="J46" s="70">
        <v>957757</v>
      </c>
      <c r="K46" s="70">
        <v>8797</v>
      </c>
      <c r="L46" s="70">
        <v>1941</v>
      </c>
      <c r="M46" s="70">
        <f>SUM(I46:L46)</f>
        <v>982556</v>
      </c>
      <c r="N46" s="70"/>
      <c r="O46" s="4"/>
      <c r="P46" s="93">
        <v>42556</v>
      </c>
      <c r="Q46" s="70">
        <v>96</v>
      </c>
      <c r="R46" s="70">
        <v>253</v>
      </c>
      <c r="S46" s="70">
        <v>9</v>
      </c>
      <c r="T46" s="70">
        <v>28.5</v>
      </c>
      <c r="U46" s="70">
        <f>SUM(Q46:T46)</f>
        <v>386.5</v>
      </c>
      <c r="V46" s="70"/>
      <c r="W46" s="70">
        <v>11</v>
      </c>
      <c r="X46" s="70">
        <v>68</v>
      </c>
      <c r="Y46" s="70">
        <v>3</v>
      </c>
      <c r="Z46" s="70">
        <v>7</v>
      </c>
      <c r="AA46" s="13">
        <f>SUM(W46:Z46)</f>
        <v>89</v>
      </c>
      <c r="AB46" s="70"/>
      <c r="AC46" s="13">
        <f>IF(Q46=0,0,C46/Q46)</f>
        <v>411.10416666666669</v>
      </c>
      <c r="AD46" s="13">
        <f>IF(R46=0,0,D46/R46)</f>
        <v>523.55731225296438</v>
      </c>
      <c r="AE46" s="13">
        <f>IF(S46=0,0,E46/S46)</f>
        <v>306.33333333333331</v>
      </c>
      <c r="AF46" s="13">
        <f>IF(T46=0,0,F46/T46)</f>
        <v>580.77192982456143</v>
      </c>
      <c r="AG46" s="13">
        <f>IF(U46=0,0,G46/U46)</f>
        <v>494.78654592496764</v>
      </c>
      <c r="AH46" s="70"/>
      <c r="AI46" s="13">
        <f>IF(W46=0,0,I46/W46)</f>
        <v>1278.2727272727273</v>
      </c>
      <c r="AJ46" s="13">
        <f>IF(X46=0,0,J46/X46)</f>
        <v>14084.661764705883</v>
      </c>
      <c r="AK46" s="13">
        <f>IF(Y46=0,0,K46/Y46)</f>
        <v>2932.3333333333335</v>
      </c>
      <c r="AL46" s="13">
        <f>IF(Z46=0,0,L46/Z46)</f>
        <v>277.28571428571428</v>
      </c>
      <c r="AM46" s="13">
        <f>IF(AA46=0,0,M46/AA46)</f>
        <v>11039.955056179775</v>
      </c>
      <c r="AN46" s="70"/>
      <c r="AO46" s="4"/>
      <c r="AP46" s="4"/>
      <c r="AQ46" s="4"/>
      <c r="AR46" s="4"/>
      <c r="AS46" s="4"/>
      <c r="AT46" s="4"/>
      <c r="AU46" s="4"/>
    </row>
    <row r="47" spans="1:47" x14ac:dyDescent="0.2">
      <c r="A47" s="4"/>
      <c r="B47" s="93">
        <v>42587</v>
      </c>
      <c r="C47" s="70">
        <v>36722</v>
      </c>
      <c r="D47" s="70">
        <v>110112</v>
      </c>
      <c r="E47" s="70">
        <v>2250</v>
      </c>
      <c r="F47" s="70">
        <v>14652</v>
      </c>
      <c r="G47" s="70">
        <f>SUM(C47:F47)</f>
        <v>163736</v>
      </c>
      <c r="H47" s="70"/>
      <c r="I47" s="70">
        <v>12340</v>
      </c>
      <c r="J47" s="70">
        <v>1074633</v>
      </c>
      <c r="K47" s="70">
        <v>7442</v>
      </c>
      <c r="L47" s="70">
        <v>1411</v>
      </c>
      <c r="M47" s="70">
        <f>SUM(I47:L47)</f>
        <v>1095826</v>
      </c>
      <c r="N47" s="70"/>
      <c r="O47" s="4"/>
      <c r="P47" s="93">
        <v>42587</v>
      </c>
      <c r="Q47" s="70">
        <v>96</v>
      </c>
      <c r="R47" s="70">
        <v>253</v>
      </c>
      <c r="S47" s="70">
        <v>9</v>
      </c>
      <c r="T47" s="70">
        <v>28.5</v>
      </c>
      <c r="U47" s="70">
        <f>SUM(Q47:T47)</f>
        <v>386.5</v>
      </c>
      <c r="V47" s="70"/>
      <c r="W47" s="70">
        <v>11</v>
      </c>
      <c r="X47" s="70">
        <v>68</v>
      </c>
      <c r="Y47" s="70">
        <v>3</v>
      </c>
      <c r="Z47" s="70">
        <v>7</v>
      </c>
      <c r="AA47" s="13">
        <f>SUM(W47:Z47)</f>
        <v>89</v>
      </c>
      <c r="AB47" s="70"/>
      <c r="AC47" s="13">
        <f>IF(Q47=0,0,C47/Q47)</f>
        <v>382.52083333333331</v>
      </c>
      <c r="AD47" s="13">
        <f>IF(R47=0,0,D47/R47)</f>
        <v>435.22529644268775</v>
      </c>
      <c r="AE47" s="13">
        <f>IF(S47=0,0,E47/S47)</f>
        <v>250</v>
      </c>
      <c r="AF47" s="13">
        <f>IF(T47=0,0,F47/T47)</f>
        <v>514.10526315789468</v>
      </c>
      <c r="AG47" s="13">
        <f>IF(U47=0,0,G47/U47)</f>
        <v>423.63777490297542</v>
      </c>
      <c r="AH47" s="70"/>
      <c r="AI47" s="13">
        <f>IF(W47=0,0,I47/W47)</f>
        <v>1121.8181818181818</v>
      </c>
      <c r="AJ47" s="13">
        <f>IF(X47=0,0,J47/X47)</f>
        <v>15803.426470588236</v>
      </c>
      <c r="AK47" s="13">
        <f>IF(Y47=0,0,K47/Y47)</f>
        <v>2480.6666666666665</v>
      </c>
      <c r="AL47" s="13">
        <f>IF(Z47=0,0,L47/Z47)</f>
        <v>201.57142857142858</v>
      </c>
      <c r="AM47" s="13">
        <f>IF(AA47=0,0,M47/AA47)</f>
        <v>12312.651685393259</v>
      </c>
      <c r="AN47" s="70"/>
      <c r="AO47" s="4"/>
      <c r="AP47" s="4"/>
      <c r="AQ47" s="4"/>
      <c r="AR47" s="4"/>
      <c r="AS47" s="4"/>
      <c r="AT47" s="4"/>
      <c r="AU47" s="4"/>
    </row>
    <row r="48" spans="1:47" x14ac:dyDescent="0.2">
      <c r="A48" s="4"/>
      <c r="B48" s="93">
        <v>42618</v>
      </c>
      <c r="C48" s="70">
        <v>38063</v>
      </c>
      <c r="D48" s="70">
        <v>120509</v>
      </c>
      <c r="E48" s="70">
        <v>2486</v>
      </c>
      <c r="F48" s="70">
        <v>18005</v>
      </c>
      <c r="G48" s="70">
        <f>SUM(C48:F48)</f>
        <v>179063</v>
      </c>
      <c r="H48" s="94"/>
      <c r="I48" s="70">
        <v>7239</v>
      </c>
      <c r="J48" s="70">
        <v>1297992</v>
      </c>
      <c r="K48" s="70">
        <v>7786</v>
      </c>
      <c r="L48" s="70">
        <v>2228</v>
      </c>
      <c r="M48" s="70">
        <f>SUM(I48:L48)</f>
        <v>1315245</v>
      </c>
      <c r="N48" s="94"/>
      <c r="O48" s="4"/>
      <c r="P48" s="93">
        <v>42618</v>
      </c>
      <c r="Q48" s="70">
        <v>98</v>
      </c>
      <c r="R48" s="70">
        <v>252.5</v>
      </c>
      <c r="S48" s="70">
        <v>9</v>
      </c>
      <c r="T48" s="70">
        <v>30</v>
      </c>
      <c r="U48" s="70">
        <f>SUM(Q48:T48)</f>
        <v>389.5</v>
      </c>
      <c r="V48" s="94"/>
      <c r="W48" s="70">
        <v>11</v>
      </c>
      <c r="X48" s="70">
        <v>68</v>
      </c>
      <c r="Y48" s="70">
        <v>3</v>
      </c>
      <c r="Z48" s="70">
        <v>7</v>
      </c>
      <c r="AA48" s="13">
        <f>SUM(W48:Z48)</f>
        <v>89</v>
      </c>
      <c r="AB48" s="94"/>
      <c r="AC48" s="13">
        <f>IF(Q48=0,0,C48/Q48)</f>
        <v>388.39795918367349</v>
      </c>
      <c r="AD48" s="13">
        <f>IF(R48=0,0,D48/R48)</f>
        <v>477.26336633663368</v>
      </c>
      <c r="AE48" s="13">
        <f>IF(S48=0,0,E48/S48)</f>
        <v>276.22222222222223</v>
      </c>
      <c r="AF48" s="13">
        <f>IF(T48=0,0,F48/T48)</f>
        <v>600.16666666666663</v>
      </c>
      <c r="AG48" s="13">
        <f>IF(U48=0,0,G48/U48)</f>
        <v>459.72528883183571</v>
      </c>
      <c r="AH48" s="70"/>
      <c r="AI48" s="13">
        <f>IF(W48=0,0,I48/W48)</f>
        <v>658.09090909090912</v>
      </c>
      <c r="AJ48" s="13">
        <f>IF(X48=0,0,J48/X48)</f>
        <v>19088.117647058825</v>
      </c>
      <c r="AK48" s="13">
        <f>IF(Y48=0,0,K48/Y48)</f>
        <v>2595.3333333333335</v>
      </c>
      <c r="AL48" s="13">
        <f>IF(Z48=0,0,L48/Z48)</f>
        <v>318.28571428571428</v>
      </c>
      <c r="AM48" s="13">
        <f>IF(AA48=0,0,M48/AA48)</f>
        <v>14778.033707865168</v>
      </c>
      <c r="AN48" s="70"/>
      <c r="AO48" s="4"/>
      <c r="AP48" s="4"/>
      <c r="AQ48" s="4"/>
      <c r="AR48" s="4"/>
      <c r="AS48" s="4"/>
      <c r="AT48" s="4"/>
      <c r="AU48" s="4"/>
    </row>
    <row r="49" spans="1:47" x14ac:dyDescent="0.2">
      <c r="A49" s="4"/>
      <c r="B49" s="93">
        <v>42649</v>
      </c>
      <c r="C49" s="70">
        <v>52188</v>
      </c>
      <c r="D49" s="70">
        <v>181928</v>
      </c>
      <c r="E49" s="70">
        <v>2785</v>
      </c>
      <c r="F49" s="70">
        <v>20167</v>
      </c>
      <c r="G49" s="70">
        <f>SUM(C49:F49)</f>
        <v>257068</v>
      </c>
      <c r="H49" s="94"/>
      <c r="I49" s="70">
        <v>13844</v>
      </c>
      <c r="J49" s="70">
        <v>1095475</v>
      </c>
      <c r="K49" s="70">
        <v>8282</v>
      </c>
      <c r="L49" s="70">
        <v>2101</v>
      </c>
      <c r="M49" s="70">
        <f>SUM(I49:L49)</f>
        <v>1119702</v>
      </c>
      <c r="N49" s="94"/>
      <c r="O49" s="4"/>
      <c r="P49" s="93">
        <v>42649</v>
      </c>
      <c r="Q49" s="70">
        <v>97</v>
      </c>
      <c r="R49" s="70">
        <v>252</v>
      </c>
      <c r="S49" s="70">
        <v>9</v>
      </c>
      <c r="T49" s="70">
        <v>29</v>
      </c>
      <c r="U49" s="70">
        <f>SUM(Q49:T49)</f>
        <v>387</v>
      </c>
      <c r="V49" s="94"/>
      <c r="W49" s="70">
        <v>11</v>
      </c>
      <c r="X49" s="70">
        <v>68</v>
      </c>
      <c r="Y49" s="70">
        <v>3</v>
      </c>
      <c r="Z49" s="70">
        <v>7</v>
      </c>
      <c r="AA49" s="13">
        <f>SUM(W49:Z49)</f>
        <v>89</v>
      </c>
      <c r="AB49" s="94"/>
      <c r="AC49" s="13">
        <f>IF(Q49=0,0,C49/Q49)</f>
        <v>538.02061855670104</v>
      </c>
      <c r="AD49" s="13">
        <f>IF(R49=0,0,D49/R49)</f>
        <v>721.93650793650795</v>
      </c>
      <c r="AE49" s="13">
        <f>IF(S49=0,0,E49/S49)</f>
        <v>309.44444444444446</v>
      </c>
      <c r="AF49" s="13">
        <f>IF(T49=0,0,F49/T49)</f>
        <v>695.41379310344826</v>
      </c>
      <c r="AG49" s="13">
        <f>IF(U49=0,0,G49/U49)</f>
        <v>664.25839793281659</v>
      </c>
      <c r="AH49" s="70"/>
      <c r="AI49" s="13">
        <f>IF(W49=0,0,I49/W49)</f>
        <v>1258.5454545454545</v>
      </c>
      <c r="AJ49" s="13">
        <f>IF(X49=0,0,J49/X49)</f>
        <v>16109.926470588236</v>
      </c>
      <c r="AK49" s="13">
        <f>IF(Y49=0,0,K49/Y49)</f>
        <v>2760.6666666666665</v>
      </c>
      <c r="AL49" s="13">
        <f>IF(Z49=0,0,L49/Z49)</f>
        <v>300.14285714285717</v>
      </c>
      <c r="AM49" s="13">
        <f>IF(AA49=0,0,M49/AA49)</f>
        <v>12580.921348314607</v>
      </c>
      <c r="AN49" s="70"/>
      <c r="AO49" s="4"/>
      <c r="AP49" s="4"/>
      <c r="AQ49" s="4"/>
      <c r="AR49" s="4"/>
      <c r="AS49" s="4"/>
      <c r="AT49" s="4"/>
      <c r="AU49" s="4"/>
    </row>
    <row r="50" spans="1:47" x14ac:dyDescent="0.2">
      <c r="A50" s="4"/>
      <c r="B50" s="93">
        <v>42680</v>
      </c>
      <c r="C50" s="70">
        <v>60356</v>
      </c>
      <c r="D50" s="70">
        <v>209435</v>
      </c>
      <c r="E50" s="70">
        <v>4507</v>
      </c>
      <c r="F50" s="70">
        <v>24652</v>
      </c>
      <c r="G50" s="70">
        <f>SUM(C50:F50)</f>
        <v>298950</v>
      </c>
      <c r="H50" s="94"/>
      <c r="I50" s="70">
        <v>16685</v>
      </c>
      <c r="J50" s="70">
        <v>858955</v>
      </c>
      <c r="K50" s="70">
        <v>7481</v>
      </c>
      <c r="L50" s="70">
        <v>3036</v>
      </c>
      <c r="M50" s="70">
        <f>SUM(I50:L50)</f>
        <v>886157</v>
      </c>
      <c r="N50" s="94"/>
      <c r="O50" s="4"/>
      <c r="P50" s="93">
        <v>42680</v>
      </c>
      <c r="Q50" s="70">
        <v>98</v>
      </c>
      <c r="R50" s="70">
        <v>251</v>
      </c>
      <c r="S50" s="70">
        <v>9</v>
      </c>
      <c r="T50" s="70">
        <v>28</v>
      </c>
      <c r="U50" s="70">
        <f>SUM(Q50:T50)</f>
        <v>386</v>
      </c>
      <c r="V50" s="94"/>
      <c r="W50" s="70">
        <v>11</v>
      </c>
      <c r="X50" s="70">
        <v>72</v>
      </c>
      <c r="Y50" s="70">
        <v>3</v>
      </c>
      <c r="Z50" s="70">
        <v>7</v>
      </c>
      <c r="AA50" s="13">
        <f>SUM(W50:Z50)</f>
        <v>93</v>
      </c>
      <c r="AB50" s="94"/>
      <c r="AC50" s="13">
        <f>IF(Q50=0,0,C50/Q50)</f>
        <v>615.87755102040819</v>
      </c>
      <c r="AD50" s="13">
        <f>IF(R50=0,0,D50/R50)</f>
        <v>834.40239043824704</v>
      </c>
      <c r="AE50" s="13">
        <f>IF(S50=0,0,E50/S50)</f>
        <v>500.77777777777777</v>
      </c>
      <c r="AF50" s="13">
        <f>IF(T50=0,0,F50/T50)</f>
        <v>880.42857142857144</v>
      </c>
      <c r="AG50" s="13">
        <f>IF(U50=0,0,G50/U50)</f>
        <v>774.48186528497411</v>
      </c>
      <c r="AH50" s="70"/>
      <c r="AI50" s="13">
        <f>IF(W50=0,0,I50/W50)</f>
        <v>1516.8181818181818</v>
      </c>
      <c r="AJ50" s="13">
        <f>IF(X50=0,0,J50/X50)</f>
        <v>11929.930555555555</v>
      </c>
      <c r="AK50" s="13">
        <f>IF(Y50=0,0,K50/Y50)</f>
        <v>2493.6666666666665</v>
      </c>
      <c r="AL50" s="13">
        <f>IF(Z50=0,0,L50/Z50)</f>
        <v>433.71428571428572</v>
      </c>
      <c r="AM50" s="13">
        <f>IF(AA50=0,0,M50/AA50)</f>
        <v>9528.5698924731187</v>
      </c>
      <c r="AN50" s="70"/>
      <c r="AO50" s="4"/>
      <c r="AP50" s="4"/>
      <c r="AQ50" s="4"/>
      <c r="AR50" s="4"/>
      <c r="AS50" s="4"/>
      <c r="AT50" s="4"/>
      <c r="AU50" s="4"/>
    </row>
    <row r="51" spans="1:47" x14ac:dyDescent="0.2">
      <c r="A51" s="4"/>
      <c r="B51" s="93">
        <v>42711</v>
      </c>
      <c r="C51" s="70">
        <v>81872</v>
      </c>
      <c r="D51" s="70">
        <v>252001</v>
      </c>
      <c r="E51" s="70">
        <v>5216</v>
      </c>
      <c r="F51" s="70">
        <v>22295</v>
      </c>
      <c r="G51" s="70">
        <f>SUM(C51:F51)</f>
        <v>361384</v>
      </c>
      <c r="H51" s="94"/>
      <c r="I51" s="70">
        <v>29771</v>
      </c>
      <c r="J51" s="70">
        <v>620029</v>
      </c>
      <c r="K51" s="70">
        <v>5432</v>
      </c>
      <c r="L51" s="70">
        <v>3022</v>
      </c>
      <c r="M51" s="70">
        <f>SUM(I51:L51)</f>
        <v>658254</v>
      </c>
      <c r="N51" s="94"/>
      <c r="O51" s="4"/>
      <c r="P51" s="93">
        <v>42711</v>
      </c>
      <c r="Q51" s="70">
        <v>97</v>
      </c>
      <c r="R51" s="70">
        <v>252</v>
      </c>
      <c r="S51" s="70">
        <v>9</v>
      </c>
      <c r="T51" s="70">
        <v>26</v>
      </c>
      <c r="U51" s="70">
        <f>SUM(Q51:T51)</f>
        <v>384</v>
      </c>
      <c r="V51" s="94"/>
      <c r="W51" s="70">
        <v>11</v>
      </c>
      <c r="X51" s="70">
        <v>72</v>
      </c>
      <c r="Y51" s="70">
        <v>3</v>
      </c>
      <c r="Z51" s="70">
        <v>7</v>
      </c>
      <c r="AA51" s="13">
        <f>SUM(W51:Z51)</f>
        <v>93</v>
      </c>
      <c r="AB51" s="94"/>
      <c r="AC51" s="13">
        <f>IF(Q51=0,0,C51/Q51)</f>
        <v>844.04123711340208</v>
      </c>
      <c r="AD51" s="13">
        <f>IF(R51=0,0,D51/R51)</f>
        <v>1000.0039682539683</v>
      </c>
      <c r="AE51" s="13">
        <f>IF(S51=0,0,E51/S51)</f>
        <v>579.55555555555554</v>
      </c>
      <c r="AF51" s="13">
        <f>IF(T51=0,0,F51/T51)</f>
        <v>857.5</v>
      </c>
      <c r="AG51" s="13">
        <f>IF(U51=0,0,G51/U51)</f>
        <v>941.10416666666663</v>
      </c>
      <c r="AH51" s="70"/>
      <c r="AI51" s="13">
        <f>IF(W51=0,0,I51/W51)</f>
        <v>2706.4545454545455</v>
      </c>
      <c r="AJ51" s="13">
        <f>IF(X51=0,0,J51/X51)</f>
        <v>8611.5138888888887</v>
      </c>
      <c r="AK51" s="13">
        <f>IF(Y51=0,0,K51/Y51)</f>
        <v>1810.6666666666667</v>
      </c>
      <c r="AL51" s="13">
        <f>IF(Z51=0,0,L51/Z51)</f>
        <v>431.71428571428572</v>
      </c>
      <c r="AM51" s="13">
        <f>IF(AA51=0,0,M51/AA51)</f>
        <v>7078</v>
      </c>
      <c r="AN51" s="70"/>
      <c r="AO51" s="4"/>
      <c r="AP51" s="4"/>
      <c r="AQ51" s="4"/>
      <c r="AR51" s="4"/>
      <c r="AS51" s="4"/>
      <c r="AT51" s="4"/>
      <c r="AU51" s="4"/>
    </row>
    <row r="52" spans="1:47" x14ac:dyDescent="0.2">
      <c r="A52" s="4" t="s">
        <v>57</v>
      </c>
      <c r="B52" s="93">
        <v>42736</v>
      </c>
      <c r="C52" s="57">
        <f>Q52*AC52</f>
        <v>91606.263999887451</v>
      </c>
      <c r="D52" s="57">
        <f>R52*AD52</f>
        <v>310852.68059999996</v>
      </c>
      <c r="E52" s="57">
        <f>AE52*S52</f>
        <v>6368.939393939394</v>
      </c>
      <c r="F52" s="57">
        <f>T52*AF52</f>
        <v>24562.139957264957</v>
      </c>
      <c r="G52" s="72">
        <f>SUM(C52:F52)</f>
        <v>433390.02395109175</v>
      </c>
      <c r="H52" s="57"/>
      <c r="I52" s="57">
        <f>W52*AI52</f>
        <v>30882.592000000001</v>
      </c>
      <c r="J52" s="57">
        <f>AJ52*X52</f>
        <v>650402.27692307695</v>
      </c>
      <c r="K52" s="57">
        <f>Y52*AK52</f>
        <v>3827.4933333333338</v>
      </c>
      <c r="L52" s="57">
        <f>Z52*AL52</f>
        <v>4434.24</v>
      </c>
      <c r="M52" s="72">
        <f>SUM(I52:L52)</f>
        <v>689546.60225641017</v>
      </c>
      <c r="N52" s="57"/>
      <c r="O52" s="4" t="s">
        <v>57</v>
      </c>
      <c r="P52" s="93">
        <v>42736</v>
      </c>
      <c r="Q52" s="57">
        <f>Q40+$Q$12</f>
        <v>96</v>
      </c>
      <c r="R52" s="57">
        <f>R40</f>
        <v>253</v>
      </c>
      <c r="S52" s="57">
        <v>9</v>
      </c>
      <c r="T52" s="57">
        <v>26.25</v>
      </c>
      <c r="U52" s="62">
        <f>SUM(Q52:T52)</f>
        <v>384.25</v>
      </c>
      <c r="V52" s="57"/>
      <c r="W52" s="94">
        <v>11</v>
      </c>
      <c r="X52" s="57">
        <f>X40</f>
        <v>71</v>
      </c>
      <c r="Y52" s="94">
        <v>3</v>
      </c>
      <c r="Z52" s="94">
        <v>7</v>
      </c>
      <c r="AA52" s="62">
        <f>SUM(W52:Z52)</f>
        <v>92</v>
      </c>
      <c r="AB52" s="57"/>
      <c r="AC52" s="57">
        <f>(AC40+AC28+AC16)/3*$AC$12</f>
        <v>954.23191666549428</v>
      </c>
      <c r="AD52" s="57">
        <f>(AD40+AD28+AD16)/3*$AD$12</f>
        <v>1228.6667217391303</v>
      </c>
      <c r="AE52" s="57">
        <f>(AE40+AE27+AE16)/3*$AE$12</f>
        <v>707.65993265993268</v>
      </c>
      <c r="AF52" s="57">
        <f>(AF40+AF27+AF16)/3*$AF$12</f>
        <v>935.70056980056984</v>
      </c>
      <c r="AG52" s="62">
        <f>IF(U52=0,0,G52/U52)</f>
        <v>1127.8855535487098</v>
      </c>
      <c r="AH52" s="57"/>
      <c r="AI52" s="57">
        <f>(AI40+AI28+AI16)/3*$AI$12</f>
        <v>2807.5083636363638</v>
      </c>
      <c r="AJ52" s="57">
        <f>(AJ28+AJ40)/2*$AJ$12</f>
        <v>9160.5954496208014</v>
      </c>
      <c r="AK52" s="57">
        <f>(AK40+AK28+AK16)/3*$AK$12</f>
        <v>1275.8311111111113</v>
      </c>
      <c r="AL52" s="57">
        <f>(AL40+AL28+AL16)/3*$AL$12</f>
        <v>633.46285714285716</v>
      </c>
      <c r="AM52" s="62">
        <f>IF(AA52=0,0,M52/AA52)</f>
        <v>7495.0717636566324</v>
      </c>
      <c r="AN52" s="57"/>
      <c r="AO52" s="4"/>
      <c r="AP52" s="4"/>
      <c r="AQ52" s="4"/>
      <c r="AR52" s="4"/>
      <c r="AS52" s="4"/>
      <c r="AT52" s="4"/>
      <c r="AU52" s="4"/>
    </row>
    <row r="53" spans="1:47" x14ac:dyDescent="0.2">
      <c r="A53" s="4"/>
      <c r="B53" s="93">
        <v>42767</v>
      </c>
      <c r="C53" s="57">
        <f>Q53*AC53</f>
        <v>73982.144348457339</v>
      </c>
      <c r="D53" s="57">
        <f>R53*AD53</f>
        <v>250785.42564952382</v>
      </c>
      <c r="E53" s="57">
        <f>AE53*S53</f>
        <v>4554.333333333333</v>
      </c>
      <c r="F53" s="57">
        <f>T53*AF53</f>
        <v>26688.771983408747</v>
      </c>
      <c r="G53" s="72">
        <f>SUM(C53:F53)</f>
        <v>356010.67531472328</v>
      </c>
      <c r="H53" s="57"/>
      <c r="I53" s="57">
        <f>W53*AI53</f>
        <v>23228.781333333332</v>
      </c>
      <c r="J53" s="57">
        <f>AJ53*X53</f>
        <v>622336.75384615373</v>
      </c>
      <c r="K53" s="57">
        <f>Y53*AK53</f>
        <v>4271.76</v>
      </c>
      <c r="L53" s="57">
        <f>Z53*AL53</f>
        <v>3432.0000000000005</v>
      </c>
      <c r="M53" s="72">
        <f>SUM(I53:L53)</f>
        <v>653269.29517948709</v>
      </c>
      <c r="N53" s="57"/>
      <c r="O53" s="4"/>
      <c r="P53" s="93">
        <v>42767</v>
      </c>
      <c r="Q53" s="57">
        <f t="shared" ref="Q53:Q63" si="0">Q41+$Q$12</f>
        <v>96</v>
      </c>
      <c r="R53" s="57">
        <f t="shared" ref="R53:R63" si="1">R41</f>
        <v>253</v>
      </c>
      <c r="S53" s="57">
        <v>9</v>
      </c>
      <c r="T53" s="57">
        <v>25.75</v>
      </c>
      <c r="U53" s="62">
        <f>SUM(Q53:T53)</f>
        <v>383.75</v>
      </c>
      <c r="V53" s="57"/>
      <c r="W53" s="57">
        <v>11</v>
      </c>
      <c r="X53" s="57">
        <f t="shared" ref="X53:X75" si="2">X41</f>
        <v>71</v>
      </c>
      <c r="Y53" s="57">
        <v>3</v>
      </c>
      <c r="Z53" s="57">
        <v>7</v>
      </c>
      <c r="AA53" s="62">
        <f>SUM(W53:Z53)</f>
        <v>92</v>
      </c>
      <c r="AB53" s="57"/>
      <c r="AC53" s="57">
        <f t="shared" ref="AC53:AC64" si="3">(AC41+AC29+AC17)/3*$AC$12</f>
        <v>770.64733696309736</v>
      </c>
      <c r="AD53" s="57">
        <f t="shared" ref="AD53:AD63" si="4">(AD41+AD29+AD17)/3*$AD$12</f>
        <v>991.24674169772265</v>
      </c>
      <c r="AE53" s="57">
        <f t="shared" ref="AE53:AE63" si="5">(AE41+AE28+AE17)/3*$AE$12</f>
        <v>506.03703703703701</v>
      </c>
      <c r="AF53" s="57">
        <f t="shared" ref="AF53:AF63" si="6">(AF41+AF28+AF17)/3*$AF$12</f>
        <v>1036.4571644042232</v>
      </c>
      <c r="AG53" s="62">
        <f>IF(U53=0,0,G53/U53)</f>
        <v>927.7151148266405</v>
      </c>
      <c r="AH53" s="57"/>
      <c r="AI53" s="57">
        <f t="shared" ref="AI53:AI63" si="7">(AI41+AI29+AI17)/3*$AI$12</f>
        <v>2111.707393939394</v>
      </c>
      <c r="AJ53" s="57">
        <f t="shared" ref="AJ53:AJ63" si="8">(AJ29+AJ41)/2*$AJ$12</f>
        <v>8765.3063921993489</v>
      </c>
      <c r="AK53" s="57">
        <f t="shared" ref="AK53:AK63" si="9">(AK41+AK29+AK17)/3*$AK$12</f>
        <v>1423.92</v>
      </c>
      <c r="AL53" s="57">
        <f t="shared" ref="AL53:AL63" si="10">(AL41+AL29+AL17)/3*$AL$12</f>
        <v>490.28571428571433</v>
      </c>
      <c r="AM53" s="62">
        <f>IF(AA53=0,0,M53/AA53)</f>
        <v>7100.7532084726854</v>
      </c>
      <c r="AN53" s="57"/>
      <c r="AO53" s="4"/>
      <c r="AP53" s="4"/>
      <c r="AQ53" s="4"/>
      <c r="AR53" s="4"/>
      <c r="AS53" s="4"/>
      <c r="AT53" s="4"/>
      <c r="AU53" s="4"/>
    </row>
    <row r="54" spans="1:47" x14ac:dyDescent="0.2">
      <c r="A54" s="4"/>
      <c r="B54" s="93">
        <v>42798</v>
      </c>
      <c r="C54" s="57">
        <f>Q54*AC54</f>
        <v>72034.151660738717</v>
      </c>
      <c r="D54" s="57">
        <f>R54*AD54</f>
        <v>253721.012325825</v>
      </c>
      <c r="E54" s="57">
        <f>AE54*S54</f>
        <v>4864.333333333333</v>
      </c>
      <c r="F54" s="57">
        <f>T54*AF54</f>
        <v>22500.354287705562</v>
      </c>
      <c r="G54" s="72">
        <f>SUM(C54:F54)</f>
        <v>353119.85160760256</v>
      </c>
      <c r="H54" s="57"/>
      <c r="I54" s="57">
        <f>W54*AI54</f>
        <v>19411.357333333333</v>
      </c>
      <c r="J54" s="57">
        <f>AJ54*X54</f>
        <v>591920.78125</v>
      </c>
      <c r="K54" s="57">
        <f>Y54*AK54</f>
        <v>3187.84</v>
      </c>
      <c r="L54" s="57">
        <f>Z54*AL54</f>
        <v>4473.92</v>
      </c>
      <c r="M54" s="72">
        <f>SUM(I54:L54)</f>
        <v>618993.89858333336</v>
      </c>
      <c r="N54" s="57"/>
      <c r="O54" s="4"/>
      <c r="P54" s="93">
        <v>42798</v>
      </c>
      <c r="Q54" s="57">
        <f t="shared" si="0"/>
        <v>96</v>
      </c>
      <c r="R54" s="57">
        <f t="shared" si="1"/>
        <v>252</v>
      </c>
      <c r="S54" s="57">
        <v>9</v>
      </c>
      <c r="T54" s="57">
        <v>25.625</v>
      </c>
      <c r="U54" s="62">
        <f>SUM(Q54:T54)</f>
        <v>382.625</v>
      </c>
      <c r="V54" s="57"/>
      <c r="W54" s="57">
        <v>11</v>
      </c>
      <c r="X54" s="57">
        <f t="shared" si="2"/>
        <v>70</v>
      </c>
      <c r="Y54" s="57">
        <v>3</v>
      </c>
      <c r="Z54" s="57">
        <v>7</v>
      </c>
      <c r="AA54" s="62">
        <f>SUM(W54:Z54)</f>
        <v>91</v>
      </c>
      <c r="AB54" s="57"/>
      <c r="AC54" s="57">
        <f t="shared" si="3"/>
        <v>750.35574646602834</v>
      </c>
      <c r="AD54" s="57">
        <f t="shared" si="4"/>
        <v>1006.8294139913691</v>
      </c>
      <c r="AE54" s="57">
        <f t="shared" si="5"/>
        <v>540.48148148148141</v>
      </c>
      <c r="AF54" s="57">
        <f t="shared" si="6"/>
        <v>878.06260634948535</v>
      </c>
      <c r="AG54" s="62">
        <f>IF(U54=0,0,G54/U54)</f>
        <v>922.88755728873582</v>
      </c>
      <c r="AH54" s="57"/>
      <c r="AI54" s="57">
        <f t="shared" si="7"/>
        <v>1764.6688484848485</v>
      </c>
      <c r="AJ54" s="57">
        <f t="shared" si="8"/>
        <v>8456.0111607142862</v>
      </c>
      <c r="AK54" s="57">
        <f t="shared" si="9"/>
        <v>1062.6133333333335</v>
      </c>
      <c r="AL54" s="57">
        <f t="shared" si="10"/>
        <v>639.13142857142861</v>
      </c>
      <c r="AM54" s="62">
        <f>IF(AA54=0,0,M54/AA54)</f>
        <v>6802.1307536630038</v>
      </c>
      <c r="AN54" s="57"/>
      <c r="AO54" s="4"/>
      <c r="AP54" s="4"/>
      <c r="AQ54" s="4"/>
      <c r="AR54" s="4"/>
      <c r="AS54" s="4"/>
      <c r="AT54" s="4"/>
      <c r="AU54" s="4"/>
    </row>
    <row r="55" spans="1:47" x14ac:dyDescent="0.2">
      <c r="A55" s="4"/>
      <c r="B55" s="93">
        <v>42829</v>
      </c>
      <c r="C55" s="57">
        <f>Q55*AC55</f>
        <v>67528.214708065309</v>
      </c>
      <c r="D55" s="57">
        <f>R55*AD55</f>
        <v>215865.98691075513</v>
      </c>
      <c r="E55" s="57">
        <f>AE55*S55</f>
        <v>4127.3333333333339</v>
      </c>
      <c r="F55" s="57">
        <f>T55*AF55</f>
        <v>19228.974736048269</v>
      </c>
      <c r="G55" s="72">
        <f>SUM(C55:F55)</f>
        <v>306750.509688202</v>
      </c>
      <c r="H55" s="57"/>
      <c r="I55" s="57">
        <f>W55*AI55</f>
        <v>20973.368000000002</v>
      </c>
      <c r="J55" s="57">
        <f>AJ55*X55</f>
        <v>590046.6875</v>
      </c>
      <c r="K55" s="57">
        <f>Y55*AK55</f>
        <v>5481.7066666666669</v>
      </c>
      <c r="L55" s="57">
        <f>Z55*AL55</f>
        <v>4009.5999999999995</v>
      </c>
      <c r="M55" s="72">
        <f>SUM(I55:L55)</f>
        <v>620511.36216666666</v>
      </c>
      <c r="N55" s="57"/>
      <c r="O55" s="4"/>
      <c r="P55" s="93">
        <v>42829</v>
      </c>
      <c r="Q55" s="57">
        <f t="shared" si="0"/>
        <v>95</v>
      </c>
      <c r="R55" s="57">
        <f t="shared" si="1"/>
        <v>252</v>
      </c>
      <c r="S55" s="57">
        <v>9</v>
      </c>
      <c r="T55" s="57">
        <v>27.5</v>
      </c>
      <c r="U55" s="62">
        <f>SUM(Q55:T55)</f>
        <v>383.5</v>
      </c>
      <c r="V55" s="57"/>
      <c r="W55" s="57">
        <v>11</v>
      </c>
      <c r="X55" s="57">
        <f t="shared" si="2"/>
        <v>72</v>
      </c>
      <c r="Y55" s="57">
        <v>3</v>
      </c>
      <c r="Z55" s="57">
        <v>7</v>
      </c>
      <c r="AA55" s="62">
        <f>SUM(W55:Z55)</f>
        <v>93</v>
      </c>
      <c r="AB55" s="57"/>
      <c r="AC55" s="57">
        <f t="shared" si="3"/>
        <v>710.82331271647695</v>
      </c>
      <c r="AD55" s="57">
        <f t="shared" si="4"/>
        <v>856.61105916966324</v>
      </c>
      <c r="AE55" s="57">
        <f t="shared" si="5"/>
        <v>458.59259259259261</v>
      </c>
      <c r="AF55" s="57">
        <f t="shared" si="6"/>
        <v>699.23544494720977</v>
      </c>
      <c r="AG55" s="62">
        <f>IF(U55=0,0,G55/U55)</f>
        <v>799.87095094707172</v>
      </c>
      <c r="AH55" s="57"/>
      <c r="AI55" s="57">
        <f t="shared" si="7"/>
        <v>1906.6698181818183</v>
      </c>
      <c r="AJ55" s="57">
        <f t="shared" si="8"/>
        <v>8195.0928819444453</v>
      </c>
      <c r="AK55" s="57">
        <f t="shared" si="9"/>
        <v>1827.2355555555555</v>
      </c>
      <c r="AL55" s="57">
        <f t="shared" si="10"/>
        <v>572.79999999999995</v>
      </c>
      <c r="AM55" s="62">
        <f>IF(AA55=0,0,M55/AA55)</f>
        <v>6672.1651845878132</v>
      </c>
      <c r="AN55" s="57"/>
      <c r="AO55" s="4"/>
      <c r="AP55" s="4"/>
      <c r="AQ55" s="4"/>
      <c r="AR55" s="4"/>
      <c r="AS55" s="4"/>
      <c r="AT55" s="4"/>
      <c r="AU55" s="4"/>
    </row>
    <row r="56" spans="1:47" x14ac:dyDescent="0.2">
      <c r="A56" s="4"/>
      <c r="B56" s="93">
        <v>42860</v>
      </c>
      <c r="C56" s="57">
        <f>Q56*AC56</f>
        <v>48275.321188250498</v>
      </c>
      <c r="D56" s="57">
        <f>R56*AD56</f>
        <v>169215.17063433069</v>
      </c>
      <c r="E56" s="57">
        <f>AE56*S56</f>
        <v>3087.6666666666665</v>
      </c>
      <c r="F56" s="57">
        <f>T56*AF56</f>
        <v>17878.023611111112</v>
      </c>
      <c r="G56" s="72">
        <f>SUM(C56:F56)</f>
        <v>238456.18210035894</v>
      </c>
      <c r="H56" s="57"/>
      <c r="I56" s="57">
        <f>W56*AI56</f>
        <v>13548.114666666666</v>
      </c>
      <c r="J56" s="57">
        <f>AJ56*X56</f>
        <v>568609.34848484839</v>
      </c>
      <c r="K56" s="57">
        <f>Y56*AK56</f>
        <v>2722.7200000000003</v>
      </c>
      <c r="L56" s="57">
        <f>Z56*AL56</f>
        <v>4183.04</v>
      </c>
      <c r="M56" s="72">
        <f>SUM(I56:L56)</f>
        <v>589063.22315151512</v>
      </c>
      <c r="N56" s="57"/>
      <c r="O56" s="4"/>
      <c r="P56" s="93">
        <v>42860</v>
      </c>
      <c r="Q56" s="57">
        <f t="shared" si="0"/>
        <v>97</v>
      </c>
      <c r="R56" s="57">
        <f t="shared" si="1"/>
        <v>252</v>
      </c>
      <c r="S56" s="57">
        <v>9</v>
      </c>
      <c r="T56" s="57">
        <v>28.5</v>
      </c>
      <c r="U56" s="62">
        <f>SUM(Q56:T56)</f>
        <v>386.5</v>
      </c>
      <c r="V56" s="57"/>
      <c r="W56" s="57">
        <v>11</v>
      </c>
      <c r="X56" s="57">
        <f t="shared" si="2"/>
        <v>68</v>
      </c>
      <c r="Y56" s="57">
        <v>3</v>
      </c>
      <c r="Z56" s="57">
        <v>7</v>
      </c>
      <c r="AA56" s="62">
        <f>SUM(W56:Z56)</f>
        <v>89</v>
      </c>
      <c r="AB56" s="57"/>
      <c r="AC56" s="57">
        <f t="shared" si="3"/>
        <v>497.68372359021129</v>
      </c>
      <c r="AD56" s="57">
        <f t="shared" si="4"/>
        <v>671.48877235845509</v>
      </c>
      <c r="AE56" s="57">
        <f t="shared" si="5"/>
        <v>343.07407407407408</v>
      </c>
      <c r="AF56" s="57">
        <f t="shared" si="6"/>
        <v>627.29907407407404</v>
      </c>
      <c r="AG56" s="62">
        <f>IF(U56=0,0,G56/U56)</f>
        <v>616.96295498152381</v>
      </c>
      <c r="AH56" s="57"/>
      <c r="AI56" s="57">
        <f t="shared" si="7"/>
        <v>1231.6467878787878</v>
      </c>
      <c r="AJ56" s="57">
        <f t="shared" si="8"/>
        <v>8361.9021836007123</v>
      </c>
      <c r="AK56" s="57">
        <f t="shared" si="9"/>
        <v>907.57333333333349</v>
      </c>
      <c r="AL56" s="57">
        <f t="shared" si="10"/>
        <v>597.5771428571428</v>
      </c>
      <c r="AM56" s="62">
        <f>IF(AA56=0,0,M56/AA56)</f>
        <v>6618.6879005788214</v>
      </c>
      <c r="AN56" s="57"/>
      <c r="AO56" s="4"/>
      <c r="AP56" s="4"/>
      <c r="AQ56" s="4"/>
      <c r="AR56" s="4"/>
      <c r="AS56" s="4"/>
      <c r="AT56" s="4"/>
      <c r="AU56" s="4"/>
    </row>
    <row r="57" spans="1:47" x14ac:dyDescent="0.2">
      <c r="A57" s="4"/>
      <c r="B57" s="93">
        <v>42891</v>
      </c>
      <c r="C57" s="57">
        <f>Q57*AC57</f>
        <v>42545.14365593213</v>
      </c>
      <c r="D57" s="57">
        <f>R57*AD57</f>
        <v>139953.10999309848</v>
      </c>
      <c r="E57" s="57">
        <f>AE57*S57</f>
        <v>2904.6666666666665</v>
      </c>
      <c r="F57" s="57">
        <f>T57*AF57</f>
        <v>16557.009259259263</v>
      </c>
      <c r="G57" s="72">
        <f>SUM(C57:F57)</f>
        <v>201959.92957495654</v>
      </c>
      <c r="H57" s="57"/>
      <c r="I57" s="57">
        <f>W57*AI57</f>
        <v>14716.866666666665</v>
      </c>
      <c r="J57" s="57">
        <f>AJ57*X57</f>
        <v>847017.5</v>
      </c>
      <c r="K57" s="57">
        <f>Y57*AK57</f>
        <v>5282.6933333333336</v>
      </c>
      <c r="L57" s="57">
        <f>Z57*AL57</f>
        <v>1997.7599999999998</v>
      </c>
      <c r="M57" s="72">
        <f>SUM(I57:L57)</f>
        <v>869014.82000000007</v>
      </c>
      <c r="N57" s="57"/>
      <c r="O57" s="4"/>
      <c r="P57" s="93">
        <v>42891</v>
      </c>
      <c r="Q57" s="57">
        <f t="shared" si="0"/>
        <v>96</v>
      </c>
      <c r="R57" s="57">
        <f t="shared" si="1"/>
        <v>252</v>
      </c>
      <c r="S57" s="57">
        <v>9</v>
      </c>
      <c r="T57" s="57">
        <v>29</v>
      </c>
      <c r="U57" s="62">
        <f>SUM(Q57:T57)</f>
        <v>386</v>
      </c>
      <c r="V57" s="57"/>
      <c r="W57" s="57">
        <v>11</v>
      </c>
      <c r="X57" s="57">
        <f t="shared" si="2"/>
        <v>68</v>
      </c>
      <c r="Y57" s="57">
        <v>3</v>
      </c>
      <c r="Z57" s="57">
        <v>7</v>
      </c>
      <c r="AA57" s="62">
        <f>SUM(W57:Z57)</f>
        <v>89</v>
      </c>
      <c r="AB57" s="57"/>
      <c r="AC57" s="57">
        <f t="shared" si="3"/>
        <v>443.17857974929302</v>
      </c>
      <c r="AD57" s="57">
        <f t="shared" si="4"/>
        <v>555.36948409959712</v>
      </c>
      <c r="AE57" s="57">
        <f t="shared" si="5"/>
        <v>322.7407407407407</v>
      </c>
      <c r="AF57" s="57">
        <f t="shared" si="6"/>
        <v>570.93135376756072</v>
      </c>
      <c r="AG57" s="62">
        <f>IF(U57=0,0,G57/U57)</f>
        <v>523.21225278486145</v>
      </c>
      <c r="AH57" s="57"/>
      <c r="AI57" s="57">
        <f t="shared" si="7"/>
        <v>1337.8969696969696</v>
      </c>
      <c r="AJ57" s="57">
        <f t="shared" si="8"/>
        <v>12456.139705882353</v>
      </c>
      <c r="AK57" s="57">
        <f t="shared" si="9"/>
        <v>1760.8977777777779</v>
      </c>
      <c r="AL57" s="57">
        <f t="shared" si="10"/>
        <v>285.39428571428567</v>
      </c>
      <c r="AM57" s="62">
        <f>IF(AA57=0,0,M57/AA57)</f>
        <v>9764.2114606741579</v>
      </c>
      <c r="AN57" s="57"/>
      <c r="AO57" s="4"/>
      <c r="AP57" s="4"/>
      <c r="AQ57" s="4"/>
      <c r="AR57" s="4"/>
      <c r="AS57" s="4"/>
      <c r="AT57" s="4"/>
      <c r="AU57" s="4"/>
    </row>
    <row r="58" spans="1:47" x14ac:dyDescent="0.2">
      <c r="A58" s="4"/>
      <c r="B58" s="93">
        <v>42922</v>
      </c>
      <c r="C58" s="57">
        <f>Q58*AC58</f>
        <v>39651.350354963019</v>
      </c>
      <c r="D58" s="57">
        <f>R58*AD58</f>
        <v>134070.00974546373</v>
      </c>
      <c r="E58" s="57">
        <f>AE58*S58</f>
        <v>2480.6666666666665</v>
      </c>
      <c r="F58" s="57">
        <f>T58*AF58</f>
        <v>16905.827888687236</v>
      </c>
      <c r="G58" s="72">
        <f>SUM(C58:F58)</f>
        <v>193107.85465578063</v>
      </c>
      <c r="H58" s="57"/>
      <c r="I58" s="57">
        <f>W58*AI58</f>
        <v>12600.293333333331</v>
      </c>
      <c r="J58" s="57">
        <f>AJ58*X58</f>
        <v>1029329</v>
      </c>
      <c r="K58" s="57">
        <f>Y58*AK58</f>
        <v>8101.9733333333352</v>
      </c>
      <c r="L58" s="57">
        <f>Z58*AL58</f>
        <v>1975.0399999999995</v>
      </c>
      <c r="M58" s="72">
        <f>SUM(I58:L58)</f>
        <v>1052006.3066666666</v>
      </c>
      <c r="N58" s="57"/>
      <c r="O58" s="4"/>
      <c r="P58" s="93">
        <v>42922</v>
      </c>
      <c r="Q58" s="57">
        <f t="shared" si="0"/>
        <v>97</v>
      </c>
      <c r="R58" s="57">
        <f t="shared" si="1"/>
        <v>253</v>
      </c>
      <c r="S58" s="57">
        <v>9</v>
      </c>
      <c r="T58" s="57">
        <v>28.75</v>
      </c>
      <c r="U58" s="62">
        <f>SUM(Q58:T58)</f>
        <v>387.75</v>
      </c>
      <c r="V58" s="57"/>
      <c r="W58" s="57">
        <v>11</v>
      </c>
      <c r="X58" s="57">
        <f t="shared" si="2"/>
        <v>68</v>
      </c>
      <c r="Y58" s="57">
        <v>3</v>
      </c>
      <c r="Z58" s="57">
        <v>7</v>
      </c>
      <c r="AA58" s="62">
        <f>SUM(W58:Z58)</f>
        <v>89</v>
      </c>
      <c r="AB58" s="57"/>
      <c r="AC58" s="57">
        <f t="shared" si="3"/>
        <v>408.7768077831239</v>
      </c>
      <c r="AD58" s="57">
        <f t="shared" si="4"/>
        <v>529.92098713622022</v>
      </c>
      <c r="AE58" s="57">
        <f t="shared" si="5"/>
        <v>275.62962962962962</v>
      </c>
      <c r="AF58" s="57">
        <f t="shared" si="6"/>
        <v>588.02879612825166</v>
      </c>
      <c r="AG58" s="62">
        <f>IF(U58=0,0,G58/U58)</f>
        <v>498.02154650104609</v>
      </c>
      <c r="AH58" s="57"/>
      <c r="AI58" s="57">
        <f t="shared" si="7"/>
        <v>1145.4812121212119</v>
      </c>
      <c r="AJ58" s="57">
        <f t="shared" si="8"/>
        <v>15137.191176470587</v>
      </c>
      <c r="AK58" s="57">
        <f t="shared" si="9"/>
        <v>2700.6577777777784</v>
      </c>
      <c r="AL58" s="57">
        <f t="shared" si="10"/>
        <v>282.14857142857136</v>
      </c>
      <c r="AM58" s="62">
        <f>IF(AA58=0,0,M58/AA58)</f>
        <v>11820.295580524344</v>
      </c>
      <c r="AN58" s="57"/>
      <c r="AO58" s="4"/>
      <c r="AP58" s="4"/>
      <c r="AQ58" s="4"/>
      <c r="AR58" s="4"/>
      <c r="AS58" s="4"/>
      <c r="AT58" s="4"/>
      <c r="AU58" s="4"/>
    </row>
    <row r="59" spans="1:47" x14ac:dyDescent="0.2">
      <c r="A59" s="4"/>
      <c r="B59" s="93">
        <v>42953</v>
      </c>
      <c r="C59" s="57">
        <f>Q59*AC59</f>
        <v>36260.727607298475</v>
      </c>
      <c r="D59" s="57">
        <f>R59*AD59</f>
        <v>111669.1024601518</v>
      </c>
      <c r="E59" s="57">
        <f>AE59*S59</f>
        <v>2133.8666666666668</v>
      </c>
      <c r="F59" s="57">
        <f>T59*AF59</f>
        <v>15221.742938974587</v>
      </c>
      <c r="G59" s="72">
        <f>SUM(C59:F59)</f>
        <v>165285.43967309152</v>
      </c>
      <c r="H59" s="57"/>
      <c r="I59" s="57">
        <f>W59*AI59</f>
        <v>11639.125333333333</v>
      </c>
      <c r="J59" s="57">
        <f>AJ59*X59</f>
        <v>1055265.5</v>
      </c>
      <c r="K59" s="57">
        <f>Y59*AK59</f>
        <v>8647.3333333333321</v>
      </c>
      <c r="L59" s="57">
        <f>Z59*AL59</f>
        <v>1502.0800000000002</v>
      </c>
      <c r="M59" s="72">
        <f>SUM(I59:L59)</f>
        <v>1077054.0386666667</v>
      </c>
      <c r="N59" s="57"/>
      <c r="O59" s="4"/>
      <c r="P59" s="93">
        <v>42953</v>
      </c>
      <c r="Q59" s="57">
        <f t="shared" si="0"/>
        <v>97</v>
      </c>
      <c r="R59" s="57">
        <f t="shared" si="1"/>
        <v>253</v>
      </c>
      <c r="S59" s="57">
        <v>9</v>
      </c>
      <c r="T59" s="57">
        <v>28.75</v>
      </c>
      <c r="U59" s="62">
        <f>SUM(Q59:T59)</f>
        <v>387.75</v>
      </c>
      <c r="V59" s="57"/>
      <c r="W59" s="57">
        <v>11</v>
      </c>
      <c r="X59" s="57">
        <f t="shared" si="2"/>
        <v>68</v>
      </c>
      <c r="Y59" s="57">
        <v>3</v>
      </c>
      <c r="Z59" s="57">
        <v>7</v>
      </c>
      <c r="AA59" s="62">
        <f>SUM(W59:Z59)</f>
        <v>89</v>
      </c>
      <c r="AB59" s="57"/>
      <c r="AC59" s="57">
        <f t="shared" si="3"/>
        <v>373.82193409586057</v>
      </c>
      <c r="AD59" s="57">
        <f t="shared" si="4"/>
        <v>441.37985162115336</v>
      </c>
      <c r="AE59" s="57">
        <f t="shared" si="5"/>
        <v>237.09629629629629</v>
      </c>
      <c r="AF59" s="57">
        <f t="shared" si="6"/>
        <v>529.45192831215957</v>
      </c>
      <c r="AG59" s="62">
        <f>IF(U59=0,0,G59/U59)</f>
        <v>426.26805847347907</v>
      </c>
      <c r="AH59" s="57"/>
      <c r="AI59" s="57">
        <f t="shared" si="7"/>
        <v>1058.1023030303031</v>
      </c>
      <c r="AJ59" s="57">
        <f t="shared" si="8"/>
        <v>15518.610294117647</v>
      </c>
      <c r="AK59" s="57">
        <f t="shared" si="9"/>
        <v>2882.4444444444443</v>
      </c>
      <c r="AL59" s="57">
        <f t="shared" si="10"/>
        <v>214.58285714285716</v>
      </c>
      <c r="AM59" s="62">
        <f>IF(AA59=0,0,M59/AA59)</f>
        <v>12101.730771535582</v>
      </c>
      <c r="AN59" s="57"/>
      <c r="AO59" s="4"/>
      <c r="AP59" s="4"/>
      <c r="AQ59" s="4"/>
      <c r="AR59" s="4"/>
      <c r="AS59" s="4"/>
      <c r="AT59" s="4"/>
      <c r="AU59" s="4"/>
    </row>
    <row r="60" spans="1:47" x14ac:dyDescent="0.2">
      <c r="A60" s="4"/>
      <c r="B60" s="93">
        <v>42984</v>
      </c>
      <c r="C60" s="57">
        <f>Q60*AC60</f>
        <v>39477.9343438914</v>
      </c>
      <c r="D60" s="57">
        <f>R60*AD60</f>
        <v>135157.64895265421</v>
      </c>
      <c r="E60" s="57">
        <f>AE60*S60</f>
        <v>2559.9999999999995</v>
      </c>
      <c r="F60" s="57">
        <f>T60*AF60</f>
        <v>17280.074281609195</v>
      </c>
      <c r="G60" s="72">
        <f>SUM(C60:F60)</f>
        <v>194475.65757815482</v>
      </c>
      <c r="H60" s="57"/>
      <c r="I60" s="57">
        <f>W60*AI60</f>
        <v>11401.450666666668</v>
      </c>
      <c r="J60" s="57">
        <f>AJ60*X60</f>
        <v>1289072.7878787881</v>
      </c>
      <c r="K60" s="57">
        <f>Y60*AK60</f>
        <v>9320.5333333333328</v>
      </c>
      <c r="L60" s="57">
        <f>Z60*AL60</f>
        <v>1923.8399999999997</v>
      </c>
      <c r="M60" s="72">
        <f>SUM(I60:L60)</f>
        <v>1311718.6118787883</v>
      </c>
      <c r="N60" s="57"/>
      <c r="O60" s="4"/>
      <c r="P60" s="93">
        <v>42984</v>
      </c>
      <c r="Q60" s="57">
        <f t="shared" si="0"/>
        <v>99</v>
      </c>
      <c r="R60" s="57">
        <f t="shared" si="1"/>
        <v>252.5</v>
      </c>
      <c r="S60" s="57">
        <v>9</v>
      </c>
      <c r="T60" s="57">
        <v>29.5</v>
      </c>
      <c r="U60" s="62">
        <f>SUM(Q60:T60)</f>
        <v>390</v>
      </c>
      <c r="V60" s="57"/>
      <c r="W60" s="57">
        <v>11</v>
      </c>
      <c r="X60" s="57">
        <f t="shared" si="2"/>
        <v>68</v>
      </c>
      <c r="Y60" s="57">
        <v>3</v>
      </c>
      <c r="Z60" s="57">
        <v>7</v>
      </c>
      <c r="AA60" s="62">
        <f>SUM(W60:Z60)</f>
        <v>89</v>
      </c>
      <c r="AB60" s="57"/>
      <c r="AC60" s="57">
        <f t="shared" si="3"/>
        <v>398.76701357466061</v>
      </c>
      <c r="AD60" s="57">
        <f t="shared" si="4"/>
        <v>535.27781763427413</v>
      </c>
      <c r="AE60" s="57">
        <f t="shared" si="5"/>
        <v>284.4444444444444</v>
      </c>
      <c r="AF60" s="57">
        <f t="shared" si="6"/>
        <v>585.76522988505747</v>
      </c>
      <c r="AG60" s="62">
        <f>IF(U60=0,0,G60/U60)</f>
        <v>498.65553225167901</v>
      </c>
      <c r="AH60" s="57"/>
      <c r="AI60" s="57">
        <f t="shared" si="7"/>
        <v>1036.4955151515153</v>
      </c>
      <c r="AJ60" s="57">
        <f t="shared" si="8"/>
        <v>18956.952762923353</v>
      </c>
      <c r="AK60" s="57">
        <f t="shared" si="9"/>
        <v>3106.8444444444444</v>
      </c>
      <c r="AL60" s="57">
        <f t="shared" si="10"/>
        <v>274.83428571428567</v>
      </c>
      <c r="AM60" s="62">
        <f>IF(AA60=0,0,M60/AA60)</f>
        <v>14738.411369424588</v>
      </c>
      <c r="AN60" s="57"/>
      <c r="AO60" s="4"/>
      <c r="AP60" s="4"/>
      <c r="AQ60" s="4"/>
      <c r="AR60" s="4"/>
      <c r="AS60" s="4"/>
      <c r="AT60" s="4"/>
      <c r="AU60" s="4"/>
    </row>
    <row r="61" spans="1:47" x14ac:dyDescent="0.2">
      <c r="A61" s="4"/>
      <c r="B61" s="93">
        <v>43015</v>
      </c>
      <c r="C61" s="57">
        <f>Q61*AC61</f>
        <v>49058.477478788198</v>
      </c>
      <c r="D61" s="57">
        <f>R61*AD61</f>
        <v>165624.74661668288</v>
      </c>
      <c r="E61" s="57">
        <f>AE61*S61</f>
        <v>2630.8333333333335</v>
      </c>
      <c r="F61" s="57">
        <f>T61*AF61</f>
        <v>16473.596336206898</v>
      </c>
      <c r="G61" s="72">
        <f>SUM(C61:F61)</f>
        <v>233787.65376501132</v>
      </c>
      <c r="H61" s="57"/>
      <c r="I61" s="57">
        <f>W61*AI61</f>
        <v>13595.885333333335</v>
      </c>
      <c r="J61" s="57">
        <f>AJ61*X61</f>
        <v>1234713.3285714285</v>
      </c>
      <c r="K61" s="57">
        <f>Y61*AK61</f>
        <v>7868.5066666666662</v>
      </c>
      <c r="L61" s="57">
        <f>Z61*AL61</f>
        <v>2352.6400000000003</v>
      </c>
      <c r="M61" s="72">
        <f>SUM(I61:L61)</f>
        <v>1258530.3605714284</v>
      </c>
      <c r="N61" s="57"/>
      <c r="O61" s="4"/>
      <c r="P61" s="93">
        <v>43015</v>
      </c>
      <c r="Q61" s="57">
        <f t="shared" si="0"/>
        <v>98</v>
      </c>
      <c r="R61" s="57">
        <f t="shared" si="1"/>
        <v>252</v>
      </c>
      <c r="S61" s="57">
        <v>8.75</v>
      </c>
      <c r="T61" s="57">
        <v>27.875</v>
      </c>
      <c r="U61" s="62">
        <f>SUM(Q61:T61)</f>
        <v>386.625</v>
      </c>
      <c r="V61" s="57"/>
      <c r="W61" s="57">
        <v>11</v>
      </c>
      <c r="X61" s="57">
        <f t="shared" si="2"/>
        <v>68</v>
      </c>
      <c r="Y61" s="57">
        <v>3</v>
      </c>
      <c r="Z61" s="57">
        <v>7</v>
      </c>
      <c r="AA61" s="62">
        <f>SUM(W61:Z61)</f>
        <v>89</v>
      </c>
      <c r="AB61" s="57"/>
      <c r="AC61" s="57">
        <f t="shared" si="3"/>
        <v>500.5967089672265</v>
      </c>
      <c r="AD61" s="57">
        <f t="shared" si="4"/>
        <v>657.24105800270979</v>
      </c>
      <c r="AE61" s="57">
        <f t="shared" si="5"/>
        <v>300.66666666666669</v>
      </c>
      <c r="AF61" s="57">
        <f t="shared" si="6"/>
        <v>590.98103448275867</v>
      </c>
      <c r="AG61" s="62">
        <f>IF(U61=0,0,G61/U61)</f>
        <v>604.68840288396075</v>
      </c>
      <c r="AH61" s="57"/>
      <c r="AI61" s="57">
        <f t="shared" si="7"/>
        <v>1235.9895757575759</v>
      </c>
      <c r="AJ61" s="57">
        <f t="shared" si="8"/>
        <v>18157.548949579832</v>
      </c>
      <c r="AK61" s="57">
        <f t="shared" si="9"/>
        <v>2622.8355555555554</v>
      </c>
      <c r="AL61" s="57">
        <f t="shared" si="10"/>
        <v>336.09142857142859</v>
      </c>
      <c r="AM61" s="62">
        <f>IF(AA61=0,0,M61/AA61)</f>
        <v>14140.790568218297</v>
      </c>
      <c r="AN61" s="57"/>
      <c r="AO61" s="4"/>
      <c r="AP61" s="4"/>
      <c r="AQ61" s="4"/>
      <c r="AR61" s="4"/>
      <c r="AS61" s="4"/>
      <c r="AT61" s="4"/>
      <c r="AU61" s="4"/>
    </row>
    <row r="62" spans="1:47" x14ac:dyDescent="0.2">
      <c r="A62" s="4"/>
      <c r="B62" s="93">
        <v>43046</v>
      </c>
      <c r="C62" s="57">
        <f>Q62*AC62</f>
        <v>56971.538461538461</v>
      </c>
      <c r="D62" s="57">
        <f>R62*AD62</f>
        <v>189800.25777622557</v>
      </c>
      <c r="E62" s="57">
        <f>AE62*S62</f>
        <v>3578.4722222222222</v>
      </c>
      <c r="F62" s="57">
        <f>T62*AF62</f>
        <v>21595.287962962961</v>
      </c>
      <c r="G62" s="72">
        <f>SUM(C62:F62)</f>
        <v>271945.55642294919</v>
      </c>
      <c r="H62" s="57"/>
      <c r="I62" s="57">
        <f>W62*AI62</f>
        <v>14728.653333333334</v>
      </c>
      <c r="J62" s="57">
        <f>AJ62*X62</f>
        <v>524114.29999999993</v>
      </c>
      <c r="K62" s="57">
        <f>Y62*AK62</f>
        <v>7375.7333333333327</v>
      </c>
      <c r="L62" s="57">
        <f>Z62*AL62</f>
        <v>2642.24</v>
      </c>
      <c r="M62" s="72">
        <f>SUM(I62:L62)</f>
        <v>548860.92666666652</v>
      </c>
      <c r="N62" s="57"/>
      <c r="O62" s="4"/>
      <c r="P62" s="93">
        <v>43046</v>
      </c>
      <c r="Q62" s="57">
        <f t="shared" si="0"/>
        <v>99</v>
      </c>
      <c r="R62" s="57">
        <f t="shared" si="1"/>
        <v>251</v>
      </c>
      <c r="S62" s="57">
        <v>9.375</v>
      </c>
      <c r="T62" s="57">
        <v>27.5</v>
      </c>
      <c r="U62" s="62">
        <f>SUM(Q62:T62)</f>
        <v>386.875</v>
      </c>
      <c r="V62" s="57"/>
      <c r="W62" s="57">
        <v>11</v>
      </c>
      <c r="X62" s="57">
        <f t="shared" si="2"/>
        <v>72</v>
      </c>
      <c r="Y62" s="57">
        <v>3</v>
      </c>
      <c r="Z62" s="57">
        <v>7</v>
      </c>
      <c r="AA62" s="62">
        <f>SUM(W62:Z62)</f>
        <v>93</v>
      </c>
      <c r="AB62" s="57"/>
      <c r="AC62" s="57">
        <f t="shared" si="3"/>
        <v>575.47008547008545</v>
      </c>
      <c r="AD62" s="57">
        <f t="shared" si="4"/>
        <v>756.1763258016955</v>
      </c>
      <c r="AE62" s="57">
        <f t="shared" si="5"/>
        <v>381.7037037037037</v>
      </c>
      <c r="AF62" s="57">
        <f t="shared" si="6"/>
        <v>785.28319865319861</v>
      </c>
      <c r="AG62" s="62">
        <f>IF(U62=0,0,G62/U62)</f>
        <v>702.92874035011096</v>
      </c>
      <c r="AH62" s="57"/>
      <c r="AI62" s="57">
        <f t="shared" si="7"/>
        <v>1338.9684848484849</v>
      </c>
      <c r="AJ62" s="57">
        <f t="shared" si="8"/>
        <v>7279.365277777777</v>
      </c>
      <c r="AK62" s="57">
        <f t="shared" si="9"/>
        <v>2458.5777777777776</v>
      </c>
      <c r="AL62" s="57">
        <f t="shared" si="10"/>
        <v>377.4628571428571</v>
      </c>
      <c r="AM62" s="62">
        <f>IF(AA62=0,0,M62/AA62)</f>
        <v>5901.7303942652316</v>
      </c>
      <c r="AN62" s="57"/>
      <c r="AO62" s="4"/>
      <c r="AP62" s="4"/>
      <c r="AQ62" s="4"/>
      <c r="AR62" s="4"/>
      <c r="AS62" s="4"/>
      <c r="AT62" s="4"/>
      <c r="AU62" s="4"/>
    </row>
    <row r="63" spans="1:47" x14ac:dyDescent="0.2">
      <c r="A63" s="4"/>
      <c r="B63" s="93">
        <v>43077</v>
      </c>
      <c r="C63" s="57">
        <f>Q63*AC63</f>
        <v>77827.198447034432</v>
      </c>
      <c r="D63" s="57">
        <f>R63*AD63</f>
        <v>248842.30816733069</v>
      </c>
      <c r="E63" s="57">
        <f>AE63*S63</f>
        <v>4541.5185185185182</v>
      </c>
      <c r="F63" s="57">
        <f>T63*AF63</f>
        <v>20372.384615384617</v>
      </c>
      <c r="G63" s="72">
        <f>SUM(C63:F63)</f>
        <v>351583.40974826831</v>
      </c>
      <c r="H63" s="57"/>
      <c r="I63" s="57">
        <f>W63*AI63</f>
        <v>26938.530666666673</v>
      </c>
      <c r="J63" s="57">
        <f>AJ63*X63</f>
        <v>873521.99295774661</v>
      </c>
      <c r="K63" s="57">
        <f>Y63*AK63</f>
        <v>5885.1733333333341</v>
      </c>
      <c r="L63" s="57">
        <f>Z63*AL63</f>
        <v>1887.04</v>
      </c>
      <c r="M63" s="72">
        <f>SUM(I63:L63)</f>
        <v>908232.73695774667</v>
      </c>
      <c r="N63" s="57"/>
      <c r="O63" s="4"/>
      <c r="P63" s="93">
        <v>43077</v>
      </c>
      <c r="Q63" s="57">
        <f t="shared" si="0"/>
        <v>98</v>
      </c>
      <c r="R63" s="57">
        <f t="shared" si="1"/>
        <v>252</v>
      </c>
      <c r="S63" s="57">
        <v>8.5</v>
      </c>
      <c r="T63" s="57">
        <v>26.5</v>
      </c>
      <c r="U63" s="62">
        <f>SUM(Q63:T63)</f>
        <v>385</v>
      </c>
      <c r="V63" s="57"/>
      <c r="W63" s="57">
        <v>11</v>
      </c>
      <c r="X63" s="57">
        <f t="shared" si="2"/>
        <v>72</v>
      </c>
      <c r="Y63" s="57">
        <v>3</v>
      </c>
      <c r="Z63" s="57">
        <v>7</v>
      </c>
      <c r="AA63" s="62">
        <f>SUM(W63:Z63)</f>
        <v>93</v>
      </c>
      <c r="AB63" s="57"/>
      <c r="AC63" s="57">
        <f t="shared" si="3"/>
        <v>794.15508619422894</v>
      </c>
      <c r="AD63" s="57">
        <f t="shared" si="4"/>
        <v>987.46947685448686</v>
      </c>
      <c r="AE63" s="57">
        <f t="shared" si="5"/>
        <v>534.2962962962963</v>
      </c>
      <c r="AF63" s="57">
        <f t="shared" si="6"/>
        <v>768.76923076923083</v>
      </c>
      <c r="AG63" s="62">
        <f>IF(U63=0,0,G63/U63)</f>
        <v>913.20366168381383</v>
      </c>
      <c r="AH63" s="57"/>
      <c r="AI63" s="57">
        <f t="shared" si="7"/>
        <v>2448.9573333333337</v>
      </c>
      <c r="AJ63" s="57">
        <f t="shared" si="8"/>
        <v>12132.249902190924</v>
      </c>
      <c r="AK63" s="57">
        <f t="shared" si="9"/>
        <v>1961.7244444444448</v>
      </c>
      <c r="AL63" s="57">
        <f t="shared" si="10"/>
        <v>269.57714285714286</v>
      </c>
      <c r="AM63" s="62">
        <f>IF(AA63=0,0,M63/AA63)</f>
        <v>9765.9434081478139</v>
      </c>
      <c r="AN63" s="57"/>
      <c r="AO63" s="4"/>
      <c r="AP63" s="4"/>
      <c r="AQ63" s="4"/>
      <c r="AR63" s="4"/>
      <c r="AS63" s="4"/>
      <c r="AT63" s="4"/>
      <c r="AU63" s="4"/>
    </row>
    <row r="64" spans="1:47" x14ac:dyDescent="0.2">
      <c r="A64" s="4" t="s">
        <v>58</v>
      </c>
      <c r="B64" s="93">
        <v>43101</v>
      </c>
      <c r="C64" s="57">
        <f>Q64*AC64</f>
        <v>89629.926791574821</v>
      </c>
      <c r="D64" s="57">
        <f>R64*AD64</f>
        <v>303424.98113791301</v>
      </c>
      <c r="E64" s="57">
        <f>AE64*S64</f>
        <v>6074.6464646464647</v>
      </c>
      <c r="F64" s="57">
        <f>T64*AF64</f>
        <v>24657.839717393585</v>
      </c>
      <c r="G64" s="72">
        <f>SUM(C64:F64)</f>
        <v>423787.39411152783</v>
      </c>
      <c r="H64" s="57"/>
      <c r="I64" s="57">
        <f>W64*AI64</f>
        <v>29056.947853333331</v>
      </c>
      <c r="J64" s="57">
        <f>AJ64*X64</f>
        <v>650402.27692307695</v>
      </c>
      <c r="K64" s="57">
        <f>Y64*AK64</f>
        <v>4850.3809777777788</v>
      </c>
      <c r="L64" s="57">
        <f>Z64*AL64</f>
        <v>4414.7466666666678</v>
      </c>
      <c r="M64" s="72">
        <f>SUM(I64:L64)</f>
        <v>688724.35242085473</v>
      </c>
      <c r="N64" s="57"/>
      <c r="O64" s="4" t="s">
        <v>58</v>
      </c>
      <c r="P64" s="93">
        <v>43101</v>
      </c>
      <c r="Q64" s="57">
        <f>Q52+$Q$13</f>
        <v>96</v>
      </c>
      <c r="R64" s="57">
        <v>254</v>
      </c>
      <c r="S64" s="57">
        <v>9</v>
      </c>
      <c r="T64" s="57">
        <v>26.625</v>
      </c>
      <c r="U64" s="62">
        <f>SUM(Q64:T64)</f>
        <v>385.625</v>
      </c>
      <c r="V64" s="57"/>
      <c r="W64" s="57">
        <v>11</v>
      </c>
      <c r="X64" s="57">
        <f t="shared" si="2"/>
        <v>71</v>
      </c>
      <c r="Y64" s="57">
        <v>3</v>
      </c>
      <c r="Z64" s="57">
        <v>7</v>
      </c>
      <c r="AA64" s="62">
        <f>SUM(W64:Z64)</f>
        <v>92</v>
      </c>
      <c r="AB64" s="57"/>
      <c r="AC64" s="57">
        <f t="shared" si="3"/>
        <v>933.64507074557105</v>
      </c>
      <c r="AD64" s="57">
        <f>(AD52+AD40+AD28)/3*$AD$13</f>
        <v>1194.5865399130435</v>
      </c>
      <c r="AE64" s="57">
        <f>(AE52+AE39+AE28)/3*$AE$13</f>
        <v>674.96071829405162</v>
      </c>
      <c r="AF64" s="57">
        <f>(AF52+AF39+AF28)/3*$AF$13</f>
        <v>926.11604572370265</v>
      </c>
      <c r="AG64" s="62">
        <f>IF(U64=0,0,G64/U64)</f>
        <v>1098.9624482632812</v>
      </c>
      <c r="AH64" s="57"/>
      <c r="AI64" s="57">
        <f>(AI52+AI40+AI28)/3*$AI$13</f>
        <v>2641.5407139393938</v>
      </c>
      <c r="AJ64" s="57">
        <f>(AJ52+AJ40+AJ28)/3*$AJ$13</f>
        <v>9160.5954496208014</v>
      </c>
      <c r="AK64" s="57">
        <f>(AK52+AK40+AK28)/3*$AK$13</f>
        <v>1616.7936592592596</v>
      </c>
      <c r="AL64" s="57">
        <f>(AL52+AL40+AL28)/3*$AL$13</f>
        <v>630.67809523809535</v>
      </c>
      <c r="AM64" s="62">
        <f>IF(AA64=0,0,M64/AA64)</f>
        <v>7486.1342654440732</v>
      </c>
      <c r="AN64" s="57"/>
      <c r="AO64" s="4"/>
      <c r="AP64" s="4"/>
      <c r="AQ64" s="4"/>
      <c r="AR64" s="4"/>
      <c r="AS64" s="4"/>
      <c r="AT64" s="4"/>
      <c r="AU64" s="4"/>
    </row>
    <row r="65" spans="1:47" x14ac:dyDescent="0.2">
      <c r="A65" s="4"/>
      <c r="B65" s="93">
        <v>43132</v>
      </c>
      <c r="C65" s="57">
        <f>Q65*AC65</f>
        <v>78773.002315266785</v>
      </c>
      <c r="D65" s="57">
        <f>R65*AD65</f>
        <v>264702.77155225218</v>
      </c>
      <c r="E65" s="57">
        <f>AE65*S65</f>
        <v>5579.7777777777774</v>
      </c>
      <c r="F65" s="57">
        <f>T65*AF65</f>
        <v>24301.264574252134</v>
      </c>
      <c r="G65" s="72">
        <f>SUM(C65:F65)</f>
        <v>373356.81621954887</v>
      </c>
      <c r="H65" s="57"/>
      <c r="I65" s="57">
        <f>W65*AI65</f>
        <v>24833.814268888884</v>
      </c>
      <c r="J65" s="57">
        <f>AJ65*X65</f>
        <v>622336.75384615385</v>
      </c>
      <c r="K65" s="57">
        <f>Y65*AK65</f>
        <v>4318.0018666666656</v>
      </c>
      <c r="L65" s="57">
        <f>Z65*AL65</f>
        <v>3635.0000000000005</v>
      </c>
      <c r="M65" s="72">
        <f>SUM(I65:L65)</f>
        <v>655123.56998170947</v>
      </c>
      <c r="N65" s="57"/>
      <c r="O65" s="4"/>
      <c r="P65" s="93">
        <v>43132</v>
      </c>
      <c r="Q65" s="57">
        <f t="shared" ref="Q65:Q75" si="11">Q53+$Q$13</f>
        <v>96</v>
      </c>
      <c r="R65" s="57">
        <v>252.75</v>
      </c>
      <c r="S65" s="57">
        <v>9</v>
      </c>
      <c r="T65" s="57">
        <v>25.875</v>
      </c>
      <c r="U65" s="62">
        <f>SUM(Q65:T65)</f>
        <v>383.625</v>
      </c>
      <c r="V65" s="57"/>
      <c r="W65" s="57">
        <v>11</v>
      </c>
      <c r="X65" s="57">
        <f t="shared" si="2"/>
        <v>71</v>
      </c>
      <c r="Y65" s="57">
        <v>3</v>
      </c>
      <c r="Z65" s="57">
        <v>7</v>
      </c>
      <c r="AA65" s="62">
        <f>SUM(W65:Z65)</f>
        <v>92</v>
      </c>
      <c r="AB65" s="57"/>
      <c r="AC65" s="57">
        <f>(AC53+AC41+AC29)/3*$AC$13</f>
        <v>820.55210745069564</v>
      </c>
      <c r="AD65" s="57">
        <f t="shared" ref="AD65:AD75" si="12">(AD53+AD41+AD29)/3*$AD$13</f>
        <v>1047.2908864579711</v>
      </c>
      <c r="AE65" s="57">
        <f t="shared" ref="AE65:AE75" si="13">(AE53+AE40+AE29)/3*$AE$13</f>
        <v>619.97530864197529</v>
      </c>
      <c r="AF65" s="57">
        <f t="shared" ref="AF65:AF75" si="14">(AF53+AF40+AF29)/3*$AF$13</f>
        <v>939.17930721747382</v>
      </c>
      <c r="AG65" s="62">
        <f>IF(U65=0,0,G65/U65)</f>
        <v>973.23379920377681</v>
      </c>
      <c r="AH65" s="57"/>
      <c r="AI65" s="57">
        <f t="shared" ref="AI65:AI75" si="15">(AI53+AI41+AI29)/3*$AI$13</f>
        <v>2257.6194789898987</v>
      </c>
      <c r="AJ65" s="57">
        <f t="shared" ref="AJ65:AJ75" si="16">(AJ53+AJ41+AJ29)/3*$AJ$13</f>
        <v>8765.3063921993507</v>
      </c>
      <c r="AK65" s="57">
        <f t="shared" ref="AK65:AK75" si="17">(AK53+AK41+AK29)/3*$AK$13</f>
        <v>1439.3339555555553</v>
      </c>
      <c r="AL65" s="57">
        <f t="shared" ref="AL65:AL75" si="18">(AL53+AL41+AL29)/3*$AL$13</f>
        <v>519.28571428571433</v>
      </c>
      <c r="AM65" s="62">
        <f>IF(AA65=0,0,M65/AA65)</f>
        <v>7120.908369366407</v>
      </c>
      <c r="AN65" s="57"/>
      <c r="AO65" s="4"/>
      <c r="AP65" s="4"/>
      <c r="AQ65" s="4"/>
      <c r="AR65" s="4"/>
      <c r="AS65" s="4"/>
      <c r="AT65" s="4"/>
      <c r="AU65" s="4"/>
    </row>
    <row r="66" spans="1:47" x14ac:dyDescent="0.2">
      <c r="A66" s="4"/>
      <c r="B66" s="93">
        <v>43163</v>
      </c>
      <c r="C66" s="57">
        <f>Q66*AC66</f>
        <v>72402.82135452074</v>
      </c>
      <c r="D66" s="57">
        <f>R66*AD66</f>
        <v>254029.3928060295</v>
      </c>
      <c r="E66" s="57">
        <f>AE66*S66</f>
        <v>4598.7777777777783</v>
      </c>
      <c r="F66" s="57">
        <f>T66*AF66</f>
        <v>25795.076197331266</v>
      </c>
      <c r="G66" s="72">
        <f>SUM(C66:F66)</f>
        <v>356826.06813565927</v>
      </c>
      <c r="H66" s="57"/>
      <c r="I66" s="57">
        <f>W66*AI66</f>
        <v>20165.07916222222</v>
      </c>
      <c r="J66" s="57">
        <f>AJ66*X66</f>
        <v>591920.78125</v>
      </c>
      <c r="K66" s="57">
        <f>Y66*AK66</f>
        <v>3872.8301333333343</v>
      </c>
      <c r="L66" s="57">
        <f>Z66*AL66</f>
        <v>5069.6400000000003</v>
      </c>
      <c r="M66" s="72">
        <f>SUM(I66:L66)</f>
        <v>621028.33054555557</v>
      </c>
      <c r="N66" s="57"/>
      <c r="O66" s="4"/>
      <c r="P66" s="93">
        <v>43163</v>
      </c>
      <c r="Q66" s="57">
        <f t="shared" si="11"/>
        <v>96</v>
      </c>
      <c r="R66" s="57">
        <v>252.25</v>
      </c>
      <c r="S66" s="57">
        <v>9</v>
      </c>
      <c r="T66" s="57">
        <v>25.6875</v>
      </c>
      <c r="U66" s="62">
        <f>SUM(Q66:T66)</f>
        <v>382.9375</v>
      </c>
      <c r="V66" s="57"/>
      <c r="W66" s="57">
        <v>11</v>
      </c>
      <c r="X66" s="57">
        <f t="shared" si="2"/>
        <v>70</v>
      </c>
      <c r="Y66" s="57">
        <v>3</v>
      </c>
      <c r="Z66" s="57">
        <v>7</v>
      </c>
      <c r="AA66" s="62">
        <f>SUM(W66:Z66)</f>
        <v>91</v>
      </c>
      <c r="AB66" s="57"/>
      <c r="AC66" s="57">
        <f t="shared" ref="AC66:AC75" si="19">(AC54+AC42+AC30)/3*$AC$13</f>
        <v>754.19605577625771</v>
      </c>
      <c r="AD66" s="57">
        <f t="shared" si="12"/>
        <v>1007.0540844639426</v>
      </c>
      <c r="AE66" s="57">
        <f t="shared" si="13"/>
        <v>510.97530864197535</v>
      </c>
      <c r="AF66" s="57">
        <f t="shared" si="14"/>
        <v>1004.1878811613144</v>
      </c>
      <c r="AG66" s="62">
        <f>IF(U66=0,0,G66/U66)</f>
        <v>931.81281053868918</v>
      </c>
      <c r="AH66" s="57"/>
      <c r="AI66" s="57">
        <f t="shared" si="15"/>
        <v>1833.1890147474746</v>
      </c>
      <c r="AJ66" s="57">
        <f t="shared" si="16"/>
        <v>8456.0111607142862</v>
      </c>
      <c r="AK66" s="57">
        <f t="shared" si="17"/>
        <v>1290.9433777777781</v>
      </c>
      <c r="AL66" s="57">
        <f t="shared" si="18"/>
        <v>724.23428571428576</v>
      </c>
      <c r="AM66" s="62">
        <f>IF(AA66=0,0,M66/AA66)</f>
        <v>6824.4871488522585</v>
      </c>
      <c r="AN66" s="57"/>
      <c r="AO66" s="4"/>
      <c r="AP66" s="4"/>
      <c r="AQ66" s="4"/>
      <c r="AR66" s="4"/>
      <c r="AS66" s="4"/>
      <c r="AT66" s="4"/>
      <c r="AU66" s="4"/>
    </row>
    <row r="67" spans="1:47" x14ac:dyDescent="0.2">
      <c r="A67" s="4"/>
      <c r="B67" s="93">
        <v>43194</v>
      </c>
      <c r="C67" s="57">
        <f>Q67*AC67</f>
        <v>62695.220114328702</v>
      </c>
      <c r="D67" s="57">
        <f>R67*AD67</f>
        <v>211600.86129479404</v>
      </c>
      <c r="E67" s="57">
        <f>AE67*S67</f>
        <v>3652.1111111111113</v>
      </c>
      <c r="F67" s="57">
        <f>T67*AF67</f>
        <v>20523.226053794864</v>
      </c>
      <c r="G67" s="72">
        <f>SUM(C67:F67)</f>
        <v>298471.41857402871</v>
      </c>
      <c r="H67" s="57"/>
      <c r="I67" s="57">
        <f>W67*AI67</f>
        <v>18584.93908</v>
      </c>
      <c r="J67" s="57">
        <f>AJ67*X67</f>
        <v>590046.6875</v>
      </c>
      <c r="K67" s="57">
        <f>Y67*AK67</f>
        <v>4733.8563555555556</v>
      </c>
      <c r="L67" s="57">
        <f>Z67*AL67</f>
        <v>2599.8666666666668</v>
      </c>
      <c r="M67" s="72">
        <f>SUM(I67:L67)</f>
        <v>615965.34960222233</v>
      </c>
      <c r="N67" s="57"/>
      <c r="O67" s="4"/>
      <c r="P67" s="93">
        <v>43194</v>
      </c>
      <c r="Q67" s="57">
        <f t="shared" si="11"/>
        <v>95</v>
      </c>
      <c r="R67" s="57">
        <v>252.25</v>
      </c>
      <c r="S67" s="57">
        <v>9</v>
      </c>
      <c r="T67" s="57">
        <v>27.75</v>
      </c>
      <c r="U67" s="62">
        <f>SUM(Q67:T67)</f>
        <v>384</v>
      </c>
      <c r="V67" s="57"/>
      <c r="W67" s="57">
        <v>11</v>
      </c>
      <c r="X67" s="57">
        <f t="shared" si="2"/>
        <v>72</v>
      </c>
      <c r="Y67" s="57">
        <v>3</v>
      </c>
      <c r="Z67" s="57">
        <v>7</v>
      </c>
      <c r="AA67" s="62">
        <f>SUM(W67:Z67)</f>
        <v>93</v>
      </c>
      <c r="AB67" s="57"/>
      <c r="AC67" s="57">
        <f t="shared" si="19"/>
        <v>659.94968541398634</v>
      </c>
      <c r="AD67" s="57">
        <f t="shared" si="12"/>
        <v>838.85376132723104</v>
      </c>
      <c r="AE67" s="57">
        <f t="shared" si="13"/>
        <v>405.79012345679013</v>
      </c>
      <c r="AF67" s="57">
        <f t="shared" si="14"/>
        <v>739.57571365026536</v>
      </c>
      <c r="AG67" s="62">
        <f>IF(U67=0,0,G67/U67)</f>
        <v>777.26931920319976</v>
      </c>
      <c r="AH67" s="57"/>
      <c r="AI67" s="57">
        <f t="shared" si="15"/>
        <v>1689.5399163636364</v>
      </c>
      <c r="AJ67" s="57">
        <f t="shared" si="16"/>
        <v>8195.0928819444453</v>
      </c>
      <c r="AK67" s="57">
        <f t="shared" si="17"/>
        <v>1577.9521185185185</v>
      </c>
      <c r="AL67" s="57">
        <f t="shared" si="18"/>
        <v>371.40952380952382</v>
      </c>
      <c r="AM67" s="62">
        <f>IF(AA67=0,0,M67/AA67)</f>
        <v>6623.2833290561539</v>
      </c>
      <c r="AN67" s="57"/>
      <c r="AO67" s="4"/>
      <c r="AP67" s="4"/>
      <c r="AQ67" s="4"/>
      <c r="AR67" s="4"/>
      <c r="AS67" s="4"/>
      <c r="AT67" s="4"/>
      <c r="AU67" s="4"/>
    </row>
    <row r="68" spans="1:47" x14ac:dyDescent="0.2">
      <c r="A68" s="4"/>
      <c r="B68" s="93">
        <v>43225</v>
      </c>
      <c r="C68" s="57">
        <f>Q68*AC68</f>
        <v>48589.415055794823</v>
      </c>
      <c r="D68" s="57">
        <f>R68*AD68</f>
        <v>167966.1378772782</v>
      </c>
      <c r="E68" s="57">
        <f>AE68*S68</f>
        <v>3112.8888888888887</v>
      </c>
      <c r="F68" s="57">
        <f>T68*AF68</f>
        <v>17158.542066743827</v>
      </c>
      <c r="G68" s="72">
        <f>SUM(C68:F68)</f>
        <v>236826.98388870573</v>
      </c>
      <c r="H68" s="57"/>
      <c r="I68" s="57">
        <f>W68*AI68</f>
        <v>13609.083157777777</v>
      </c>
      <c r="J68" s="57">
        <f>AJ68*X68</f>
        <v>568609.34848484839</v>
      </c>
      <c r="K68" s="57">
        <f>Y68*AK68</f>
        <v>3856.8877333333344</v>
      </c>
      <c r="L68" s="57">
        <f>Z68*AL68</f>
        <v>4657.68</v>
      </c>
      <c r="M68" s="72">
        <f>SUM(I68:L68)</f>
        <v>590732.99937595951</v>
      </c>
      <c r="N68" s="57"/>
      <c r="O68" s="4"/>
      <c r="P68" s="93">
        <v>43225</v>
      </c>
      <c r="Q68" s="57">
        <f t="shared" si="11"/>
        <v>97</v>
      </c>
      <c r="R68" s="57">
        <v>252.5</v>
      </c>
      <c r="S68" s="57">
        <v>9</v>
      </c>
      <c r="T68" s="57">
        <v>28.25</v>
      </c>
      <c r="U68" s="62">
        <f>SUM(Q68:T68)</f>
        <v>386.75</v>
      </c>
      <c r="V68" s="57"/>
      <c r="W68" s="57">
        <v>11</v>
      </c>
      <c r="X68" s="57">
        <f t="shared" si="2"/>
        <v>68</v>
      </c>
      <c r="Y68" s="57">
        <v>3</v>
      </c>
      <c r="Z68" s="57">
        <v>7</v>
      </c>
      <c r="AA68" s="62">
        <f>SUM(W68:Z68)</f>
        <v>89</v>
      </c>
      <c r="AB68" s="57"/>
      <c r="AC68" s="57">
        <f t="shared" si="19"/>
        <v>500.92180469891571</v>
      </c>
      <c r="AD68" s="57">
        <f t="shared" si="12"/>
        <v>665.21242723674538</v>
      </c>
      <c r="AE68" s="57">
        <f t="shared" si="13"/>
        <v>345.8765432098765</v>
      </c>
      <c r="AF68" s="57">
        <f t="shared" si="14"/>
        <v>607.38202006172833</v>
      </c>
      <c r="AG68" s="62">
        <f>IF(U68=0,0,G68/U68)</f>
        <v>612.35160669348602</v>
      </c>
      <c r="AH68" s="57"/>
      <c r="AI68" s="57">
        <f t="shared" si="15"/>
        <v>1237.1893779797979</v>
      </c>
      <c r="AJ68" s="57">
        <f t="shared" si="16"/>
        <v>8361.9021836007123</v>
      </c>
      <c r="AK68" s="57">
        <f t="shared" si="17"/>
        <v>1285.6292444444448</v>
      </c>
      <c r="AL68" s="57">
        <f t="shared" si="18"/>
        <v>665.38285714285712</v>
      </c>
      <c r="AM68" s="62">
        <f>IF(AA68=0,0,M68/AA68)</f>
        <v>6637.4494311905564</v>
      </c>
      <c r="AN68" s="57"/>
      <c r="AO68" s="4"/>
      <c r="AP68" s="4"/>
      <c r="AQ68" s="4"/>
      <c r="AR68" s="4"/>
      <c r="AS68" s="4"/>
      <c r="AT68" s="4"/>
      <c r="AU68" s="4"/>
    </row>
    <row r="69" spans="1:47" x14ac:dyDescent="0.2">
      <c r="A69" s="4"/>
      <c r="B69" s="93">
        <v>43256</v>
      </c>
      <c r="C69" s="57">
        <f>Q69*AC69</f>
        <v>43543.370502464015</v>
      </c>
      <c r="D69" s="57">
        <f>R69*AD69</f>
        <v>141881.93787424121</v>
      </c>
      <c r="E69" s="57">
        <f>AE69*S69</f>
        <v>2494.8888888888887</v>
      </c>
      <c r="F69" s="57">
        <f>T69*AF69</f>
        <v>16502.791466049377</v>
      </c>
      <c r="G69" s="72">
        <f>SUM(C69:F69)</f>
        <v>204422.98873164348</v>
      </c>
      <c r="H69" s="57"/>
      <c r="I69" s="57">
        <f>W69*AI69</f>
        <v>14230.883277777775</v>
      </c>
      <c r="J69" s="57">
        <f>AJ69*X69</f>
        <v>847017.50000000012</v>
      </c>
      <c r="K69" s="57">
        <f>Y69*AK69</f>
        <v>5490.691644444445</v>
      </c>
      <c r="L69" s="57">
        <f>Z69*AL69</f>
        <v>2022.92</v>
      </c>
      <c r="M69" s="72">
        <f>SUM(I69:L69)</f>
        <v>868761.99492222245</v>
      </c>
      <c r="N69" s="57"/>
      <c r="O69" s="4"/>
      <c r="P69" s="93">
        <v>43256</v>
      </c>
      <c r="Q69" s="57">
        <f t="shared" si="11"/>
        <v>96</v>
      </c>
      <c r="R69" s="57">
        <v>252.5</v>
      </c>
      <c r="S69" s="57">
        <v>9</v>
      </c>
      <c r="T69" s="57">
        <v>29</v>
      </c>
      <c r="U69" s="62">
        <f>SUM(Q69:T69)</f>
        <v>386.5</v>
      </c>
      <c r="V69" s="57"/>
      <c r="W69" s="57">
        <v>11</v>
      </c>
      <c r="X69" s="57">
        <f t="shared" si="2"/>
        <v>68</v>
      </c>
      <c r="Y69" s="57">
        <v>3</v>
      </c>
      <c r="Z69" s="57">
        <v>7</v>
      </c>
      <c r="AA69" s="62">
        <f>SUM(W69:Z69)</f>
        <v>89</v>
      </c>
      <c r="AB69" s="57"/>
      <c r="AC69" s="57">
        <f t="shared" si="19"/>
        <v>453.57677606733347</v>
      </c>
      <c r="AD69" s="57">
        <f t="shared" si="12"/>
        <v>561.90866484848004</v>
      </c>
      <c r="AE69" s="57">
        <f t="shared" si="13"/>
        <v>277.20987654320987</v>
      </c>
      <c r="AF69" s="57">
        <f t="shared" si="14"/>
        <v>569.06177469135787</v>
      </c>
      <c r="AG69" s="62">
        <f>IF(U69=0,0,G69/U69)</f>
        <v>528.9081209098149</v>
      </c>
      <c r="AH69" s="57"/>
      <c r="AI69" s="57">
        <f t="shared" si="15"/>
        <v>1293.7166616161614</v>
      </c>
      <c r="AJ69" s="57">
        <f t="shared" si="16"/>
        <v>12456.139705882355</v>
      </c>
      <c r="AK69" s="57">
        <f t="shared" si="17"/>
        <v>1830.2305481481485</v>
      </c>
      <c r="AL69" s="57">
        <f t="shared" si="18"/>
        <v>288.98857142857145</v>
      </c>
      <c r="AM69" s="62">
        <f>IF(AA69=0,0,M69/AA69)</f>
        <v>9761.3707294631731</v>
      </c>
      <c r="AN69" s="57"/>
      <c r="AO69" s="4"/>
      <c r="AP69" s="4"/>
      <c r="AQ69" s="4"/>
      <c r="AR69" s="4"/>
      <c r="AS69" s="4"/>
      <c r="AT69" s="4"/>
      <c r="AU69" s="4"/>
    </row>
    <row r="70" spans="1:47" x14ac:dyDescent="0.2">
      <c r="A70" s="4"/>
      <c r="B70" s="93">
        <v>43287</v>
      </c>
      <c r="C70" s="57">
        <f>Q70*AC70</f>
        <v>39359.494670211359</v>
      </c>
      <c r="D70" s="57">
        <f>R70*AD70</f>
        <v>130875.31595057057</v>
      </c>
      <c r="E70" s="57">
        <f>AE70*S70</f>
        <v>2466.8888888888891</v>
      </c>
      <c r="F70" s="57">
        <f>T70*AF70</f>
        <v>17339.729509502922</v>
      </c>
      <c r="G70" s="72">
        <f>SUM(C70:F70)</f>
        <v>190041.42901917372</v>
      </c>
      <c r="H70" s="57"/>
      <c r="I70" s="57">
        <f>W70*AI70</f>
        <v>12912.318488888888</v>
      </c>
      <c r="J70" s="57">
        <f>AJ70*X70</f>
        <v>1029329</v>
      </c>
      <c r="K70" s="57">
        <f>Y70*AK70</f>
        <v>8148.5639111111141</v>
      </c>
      <c r="L70" s="57">
        <f>Z70*AL70</f>
        <v>1848.6799999999998</v>
      </c>
      <c r="M70" s="72">
        <f>SUM(I70:L70)</f>
        <v>1052238.5623999999</v>
      </c>
      <c r="N70" s="57"/>
      <c r="O70" s="4"/>
      <c r="P70" s="93">
        <v>43287</v>
      </c>
      <c r="Q70" s="57">
        <f t="shared" si="11"/>
        <v>97</v>
      </c>
      <c r="R70" s="57">
        <v>253.75</v>
      </c>
      <c r="S70" s="57">
        <v>9</v>
      </c>
      <c r="T70" s="57">
        <v>28.625</v>
      </c>
      <c r="U70" s="62">
        <f>SUM(Q70:T70)</f>
        <v>388.375</v>
      </c>
      <c r="V70" s="57"/>
      <c r="W70" s="57">
        <v>11</v>
      </c>
      <c r="X70" s="57">
        <f t="shared" si="2"/>
        <v>68</v>
      </c>
      <c r="Y70" s="57">
        <v>3</v>
      </c>
      <c r="Z70" s="57">
        <v>7</v>
      </c>
      <c r="AA70" s="62">
        <f>SUM(W70:Z70)</f>
        <v>89</v>
      </c>
      <c r="AB70" s="57"/>
      <c r="AC70" s="57">
        <f t="shared" si="19"/>
        <v>405.76798629083873</v>
      </c>
      <c r="AD70" s="57">
        <f t="shared" si="12"/>
        <v>515.76479192343083</v>
      </c>
      <c r="AE70" s="57">
        <f t="shared" si="13"/>
        <v>274.09876543209879</v>
      </c>
      <c r="AF70" s="57">
        <f t="shared" si="14"/>
        <v>605.75474269005838</v>
      </c>
      <c r="AG70" s="62">
        <f>IF(U70=0,0,G70/U70)</f>
        <v>489.32456779961046</v>
      </c>
      <c r="AH70" s="57"/>
      <c r="AI70" s="57">
        <f t="shared" si="15"/>
        <v>1173.8471353535354</v>
      </c>
      <c r="AJ70" s="57">
        <f t="shared" si="16"/>
        <v>15137.191176470587</v>
      </c>
      <c r="AK70" s="57">
        <f t="shared" si="17"/>
        <v>2716.1879703703712</v>
      </c>
      <c r="AL70" s="57">
        <f t="shared" si="18"/>
        <v>264.09714285714284</v>
      </c>
      <c r="AM70" s="62">
        <f>IF(AA70=0,0,M70/AA70)</f>
        <v>11822.905195505617</v>
      </c>
      <c r="AN70" s="57"/>
      <c r="AO70" s="4"/>
      <c r="AP70" s="4"/>
      <c r="AQ70" s="4"/>
      <c r="AR70" s="4"/>
      <c r="AS70" s="4"/>
      <c r="AT70" s="4"/>
      <c r="AU70" s="4"/>
    </row>
    <row r="71" spans="1:47" x14ac:dyDescent="0.2">
      <c r="A71" s="4"/>
      <c r="B71" s="93">
        <v>43318</v>
      </c>
      <c r="C71" s="57">
        <f>Q71*AC71</f>
        <v>36799.708722283402</v>
      </c>
      <c r="D71" s="57">
        <f>R71*AD71</f>
        <v>111613.25972010416</v>
      </c>
      <c r="E71" s="57">
        <f>AE71*S71</f>
        <v>2488.6222222222223</v>
      </c>
      <c r="F71" s="57">
        <f>T71*AF71</f>
        <v>15521.879686083699</v>
      </c>
      <c r="G71" s="72">
        <f>SUM(C71:F71)</f>
        <v>166423.47035069347</v>
      </c>
      <c r="H71" s="57"/>
      <c r="I71" s="57">
        <f>W71*AI71</f>
        <v>11848.784242222224</v>
      </c>
      <c r="J71" s="57">
        <f>AJ71*X71</f>
        <v>1055265.4999999998</v>
      </c>
      <c r="K71" s="57">
        <f>Y71*AK71</f>
        <v>8215.4711111111119</v>
      </c>
      <c r="L71" s="57">
        <f>Z71*AL71</f>
        <v>1404.36</v>
      </c>
      <c r="M71" s="72">
        <f>SUM(I71:L71)</f>
        <v>1076734.1153533333</v>
      </c>
      <c r="N71" s="57"/>
      <c r="O71" s="4"/>
      <c r="P71" s="93">
        <v>43318</v>
      </c>
      <c r="Q71" s="57">
        <f t="shared" si="11"/>
        <v>97</v>
      </c>
      <c r="R71" s="57">
        <v>253.5</v>
      </c>
      <c r="S71" s="57">
        <v>9</v>
      </c>
      <c r="T71" s="57">
        <v>28.625</v>
      </c>
      <c r="U71" s="62">
        <f>SUM(Q71:T71)</f>
        <v>388.125</v>
      </c>
      <c r="V71" s="57"/>
      <c r="W71" s="57">
        <v>11</v>
      </c>
      <c r="X71" s="57">
        <f t="shared" si="2"/>
        <v>68</v>
      </c>
      <c r="Y71" s="57">
        <v>3</v>
      </c>
      <c r="Z71" s="57">
        <v>7</v>
      </c>
      <c r="AA71" s="62">
        <f>SUM(W71:Z71)</f>
        <v>89</v>
      </c>
      <c r="AB71" s="57"/>
      <c r="AC71" s="57">
        <f t="shared" si="19"/>
        <v>379.37844043591139</v>
      </c>
      <c r="AD71" s="57">
        <f t="shared" si="12"/>
        <v>440.28899297871465</v>
      </c>
      <c r="AE71" s="57">
        <f t="shared" si="13"/>
        <v>276.51358024691359</v>
      </c>
      <c r="AF71" s="57">
        <f t="shared" si="14"/>
        <v>542.24907200292398</v>
      </c>
      <c r="AG71" s="62">
        <f>IF(U71=0,0,G71/U71)</f>
        <v>428.78832940597351</v>
      </c>
      <c r="AH71" s="57"/>
      <c r="AI71" s="57">
        <f t="shared" si="15"/>
        <v>1077.1622038383839</v>
      </c>
      <c r="AJ71" s="57">
        <f t="shared" si="16"/>
        <v>15518.610294117645</v>
      </c>
      <c r="AK71" s="57">
        <f t="shared" si="17"/>
        <v>2738.4903703703708</v>
      </c>
      <c r="AL71" s="57">
        <f t="shared" si="18"/>
        <v>200.62285714285713</v>
      </c>
      <c r="AM71" s="62">
        <f>IF(AA71=0,0,M71/AA71)</f>
        <v>12098.136127565544</v>
      </c>
      <c r="AN71" s="57"/>
      <c r="AO71" s="4"/>
      <c r="AP71" s="4"/>
      <c r="AQ71" s="4"/>
      <c r="AR71" s="4"/>
      <c r="AS71" s="4"/>
      <c r="AT71" s="4"/>
      <c r="AU71" s="4"/>
    </row>
    <row r="72" spans="1:47" x14ac:dyDescent="0.2">
      <c r="A72" s="4"/>
      <c r="B72" s="93">
        <v>43349</v>
      </c>
      <c r="C72" s="57">
        <f>Q72*AC72</f>
        <v>39270.796545126053</v>
      </c>
      <c r="D72" s="57">
        <f>R72*AD72</f>
        <v>132159.21349415815</v>
      </c>
      <c r="E72" s="57">
        <f>AE72*S72</f>
        <v>2669.9999999999995</v>
      </c>
      <c r="F72" s="57">
        <f>T72*AF72</f>
        <v>15662.220208516081</v>
      </c>
      <c r="G72" s="72">
        <f>SUM(C72:F72)</f>
        <v>189762.23024780027</v>
      </c>
      <c r="H72" s="57"/>
      <c r="I72" s="57">
        <f>W72*AI72</f>
        <v>10887.758484444445</v>
      </c>
      <c r="J72" s="57">
        <f>AJ72*X72</f>
        <v>1289072.7878787881</v>
      </c>
      <c r="K72" s="57">
        <f>Y72*AK72</f>
        <v>8615.5151111111118</v>
      </c>
      <c r="L72" s="57">
        <f>Z72*AL72</f>
        <v>1895.2799999999997</v>
      </c>
      <c r="M72" s="72">
        <f>SUM(I72:L72)</f>
        <v>1310471.3414743436</v>
      </c>
      <c r="N72" s="57"/>
      <c r="O72" s="4"/>
      <c r="P72" s="93">
        <v>43349</v>
      </c>
      <c r="Q72" s="57">
        <f t="shared" si="11"/>
        <v>99</v>
      </c>
      <c r="R72" s="57">
        <v>253.125</v>
      </c>
      <c r="S72" s="57">
        <v>9</v>
      </c>
      <c r="T72" s="57">
        <v>29.75</v>
      </c>
      <c r="U72" s="62">
        <f>SUM(Q72:T72)</f>
        <v>390.875</v>
      </c>
      <c r="V72" s="57"/>
      <c r="W72" s="57">
        <v>11</v>
      </c>
      <c r="X72" s="57">
        <f t="shared" si="2"/>
        <v>68</v>
      </c>
      <c r="Y72" s="57">
        <v>3</v>
      </c>
      <c r="Z72" s="57">
        <v>7</v>
      </c>
      <c r="AA72" s="62">
        <f>SUM(W72:Z72)</f>
        <v>89</v>
      </c>
      <c r="AB72" s="57"/>
      <c r="AC72" s="57">
        <f t="shared" si="19"/>
        <v>396.67471257703085</v>
      </c>
      <c r="AD72" s="57">
        <f t="shared" si="12"/>
        <v>522.11047306334081</v>
      </c>
      <c r="AE72" s="57">
        <f t="shared" si="13"/>
        <v>296.66666666666663</v>
      </c>
      <c r="AF72" s="57">
        <f t="shared" si="14"/>
        <v>526.46118347953211</v>
      </c>
      <c r="AG72" s="62">
        <f>IF(U72=0,0,G72/U72)</f>
        <v>485.48060184918523</v>
      </c>
      <c r="AH72" s="57"/>
      <c r="AI72" s="57">
        <f t="shared" si="15"/>
        <v>989.7962258585859</v>
      </c>
      <c r="AJ72" s="57">
        <f t="shared" si="16"/>
        <v>18956.952762923353</v>
      </c>
      <c r="AK72" s="57">
        <f t="shared" si="17"/>
        <v>2871.8383703703703</v>
      </c>
      <c r="AL72" s="57">
        <f t="shared" si="18"/>
        <v>270.75428571428569</v>
      </c>
      <c r="AM72" s="62">
        <f>IF(AA72=0,0,M72/AA72)</f>
        <v>14724.397095217344</v>
      </c>
      <c r="AN72" s="57"/>
      <c r="AO72" s="4"/>
      <c r="AP72" s="4"/>
      <c r="AQ72" s="4"/>
      <c r="AR72" s="4"/>
      <c r="AS72" s="4"/>
      <c r="AT72" s="4"/>
      <c r="AU72" s="4"/>
    </row>
    <row r="73" spans="1:47" x14ac:dyDescent="0.2">
      <c r="A73" s="4"/>
      <c r="B73" s="93">
        <v>43380</v>
      </c>
      <c r="C73" s="57">
        <f>Q73*AC73</f>
        <v>49599.128655002482</v>
      </c>
      <c r="D73" s="57">
        <f>R73*AD73</f>
        <v>173252.22644701917</v>
      </c>
      <c r="E73" s="57">
        <f>AE73*S73</f>
        <v>2582.3888888888887</v>
      </c>
      <c r="F73" s="57">
        <f>T73*AF73</f>
        <v>16979.084737531564</v>
      </c>
      <c r="G73" s="72">
        <f>SUM(C73:F73)</f>
        <v>242412.82872844208</v>
      </c>
      <c r="H73" s="57"/>
      <c r="I73" s="57">
        <f>W73*AI73</f>
        <v>13939.32300888889</v>
      </c>
      <c r="J73" s="57">
        <f>AJ73*X73</f>
        <v>1234713.3285714288</v>
      </c>
      <c r="K73" s="57">
        <f>Y73*AK73</f>
        <v>7658.6790222222226</v>
      </c>
      <c r="L73" s="57">
        <f>Z73*AL73</f>
        <v>2255.5466666666666</v>
      </c>
      <c r="M73" s="72">
        <f>SUM(I73:L73)</f>
        <v>1258566.8772692066</v>
      </c>
      <c r="N73" s="57"/>
      <c r="O73" s="4"/>
      <c r="P73" s="93">
        <v>43380</v>
      </c>
      <c r="Q73" s="57">
        <f t="shared" si="11"/>
        <v>98</v>
      </c>
      <c r="R73" s="57">
        <v>254.9375</v>
      </c>
      <c r="S73" s="57">
        <v>8.625</v>
      </c>
      <c r="T73" s="57">
        <v>28.0625</v>
      </c>
      <c r="U73" s="62">
        <f>SUM(Q73:T73)</f>
        <v>389.625</v>
      </c>
      <c r="V73" s="57"/>
      <c r="W73" s="57">
        <v>11</v>
      </c>
      <c r="X73" s="57">
        <f t="shared" si="2"/>
        <v>68</v>
      </c>
      <c r="Y73" s="57">
        <v>3</v>
      </c>
      <c r="Z73" s="57">
        <v>7</v>
      </c>
      <c r="AA73" s="62">
        <f>SUM(W73:Z73)</f>
        <v>89</v>
      </c>
      <c r="AB73" s="57"/>
      <c r="AC73" s="57">
        <f t="shared" si="19"/>
        <v>506.11355770410694</v>
      </c>
      <c r="AD73" s="57">
        <f t="shared" si="12"/>
        <v>679.58706132687098</v>
      </c>
      <c r="AE73" s="57">
        <f t="shared" si="13"/>
        <v>299.40740740740739</v>
      </c>
      <c r="AF73" s="57">
        <f t="shared" si="14"/>
        <v>605.04533585858576</v>
      </c>
      <c r="AG73" s="62">
        <f>IF(U73=0,0,G73/U73)</f>
        <v>622.16959570982885</v>
      </c>
      <c r="AH73" s="57"/>
      <c r="AI73" s="57">
        <f t="shared" si="15"/>
        <v>1267.2111826262628</v>
      </c>
      <c r="AJ73" s="57">
        <f t="shared" si="16"/>
        <v>18157.548949579836</v>
      </c>
      <c r="AK73" s="57">
        <f t="shared" si="17"/>
        <v>2552.8930074074074</v>
      </c>
      <c r="AL73" s="57">
        <f t="shared" si="18"/>
        <v>322.22095238095238</v>
      </c>
      <c r="AM73" s="62">
        <f>IF(AA73=0,0,M73/AA73)</f>
        <v>14141.200868193333</v>
      </c>
      <c r="AN73" s="57"/>
      <c r="AO73" s="4"/>
      <c r="AP73" s="4"/>
      <c r="AQ73" s="4"/>
      <c r="AR73" s="4"/>
      <c r="AS73" s="4"/>
      <c r="AT73" s="4"/>
      <c r="AU73" s="4"/>
    </row>
    <row r="74" spans="1:47" x14ac:dyDescent="0.2">
      <c r="A74" s="4"/>
      <c r="B74" s="93">
        <v>43411</v>
      </c>
      <c r="C74" s="57">
        <f>Q74*AC74</f>
        <v>58015.97947619047</v>
      </c>
      <c r="D74" s="57">
        <f>R74*AD74</f>
        <v>192217.78348543169</v>
      </c>
      <c r="E74" s="57">
        <f>AE74*S74</f>
        <v>3298.570987654321</v>
      </c>
      <c r="F74" s="57">
        <f>T74*AF74</f>
        <v>18876.27889024972</v>
      </c>
      <c r="G74" s="72">
        <f>SUM(C74:F74)</f>
        <v>272408.61283952621</v>
      </c>
      <c r="H74" s="57"/>
      <c r="I74" s="57">
        <f>W74*AI74</f>
        <v>15906.113088888889</v>
      </c>
      <c r="J74" s="57">
        <f>AJ74*X74</f>
        <v>524114.29999999987</v>
      </c>
      <c r="K74" s="57">
        <f>Y74*AK74</f>
        <v>7051.0257777777788</v>
      </c>
      <c r="L74" s="57">
        <f>Z74*AL74</f>
        <v>2619.746666666666</v>
      </c>
      <c r="M74" s="72">
        <f>SUM(I74:L74)</f>
        <v>549691.18553333322</v>
      </c>
      <c r="N74" s="57"/>
      <c r="O74" s="4"/>
      <c r="P74" s="93">
        <v>43411</v>
      </c>
      <c r="Q74" s="57">
        <f t="shared" si="11"/>
        <v>99</v>
      </c>
      <c r="R74" s="57">
        <v>251.75</v>
      </c>
      <c r="S74" s="57">
        <v>8.5625</v>
      </c>
      <c r="T74" s="57">
        <v>27.25</v>
      </c>
      <c r="U74" s="62">
        <f>SUM(Q74:T74)</f>
        <v>386.5625</v>
      </c>
      <c r="V74" s="57"/>
      <c r="W74" s="57">
        <v>11</v>
      </c>
      <c r="X74" s="57">
        <f t="shared" si="2"/>
        <v>72</v>
      </c>
      <c r="Y74" s="57">
        <v>3</v>
      </c>
      <c r="Z74" s="57">
        <v>7</v>
      </c>
      <c r="AA74" s="62">
        <f>SUM(W74:Z74)</f>
        <v>93</v>
      </c>
      <c r="AB74" s="57"/>
      <c r="AC74" s="57">
        <f t="shared" si="19"/>
        <v>586.01999470899466</v>
      </c>
      <c r="AD74" s="57">
        <f t="shared" si="12"/>
        <v>763.52644880012588</v>
      </c>
      <c r="AE74" s="57">
        <f t="shared" si="13"/>
        <v>385.23456790123458</v>
      </c>
      <c r="AF74" s="57">
        <f t="shared" si="14"/>
        <v>692.70748221099882</v>
      </c>
      <c r="AG74" s="62">
        <f>IF(U74=0,0,G74/U74)</f>
        <v>704.69487557516879</v>
      </c>
      <c r="AH74" s="57"/>
      <c r="AI74" s="57">
        <f t="shared" si="15"/>
        <v>1446.0102808080808</v>
      </c>
      <c r="AJ74" s="57">
        <f t="shared" si="16"/>
        <v>7279.3652777777761</v>
      </c>
      <c r="AK74" s="57">
        <f t="shared" si="17"/>
        <v>2350.3419259259263</v>
      </c>
      <c r="AL74" s="57">
        <f t="shared" si="18"/>
        <v>374.24952380952374</v>
      </c>
      <c r="AM74" s="62">
        <f>IF(AA74=0,0,M74/AA74)</f>
        <v>5910.6579089605721</v>
      </c>
      <c r="AN74" s="57"/>
      <c r="AO74" s="4"/>
      <c r="AP74" s="4"/>
      <c r="AQ74" s="4"/>
      <c r="AR74" s="4"/>
      <c r="AS74" s="4"/>
      <c r="AT74" s="4"/>
      <c r="AU74" s="4"/>
    </row>
    <row r="75" spans="1:47" x14ac:dyDescent="0.2">
      <c r="A75" s="4"/>
      <c r="B75" s="93">
        <v>43442</v>
      </c>
      <c r="C75" s="57">
        <f>Q75*AC75</f>
        <v>80007.975684288089</v>
      </c>
      <c r="D75" s="57">
        <v>252427.9375</v>
      </c>
      <c r="E75" s="57">
        <f>AE75*S75</f>
        <v>4979.8117283950623</v>
      </c>
      <c r="F75" s="57">
        <f>T75*AF75</f>
        <v>21962.127564102564</v>
      </c>
      <c r="G75" s="72">
        <f>SUM(C75:F75)</f>
        <v>359377.85247678572</v>
      </c>
      <c r="H75" s="57"/>
      <c r="I75" s="57">
        <f>W75*AI75</f>
        <v>27890.518284444446</v>
      </c>
      <c r="J75" s="57">
        <f>AJ75*X75</f>
        <v>873521.99295774661</v>
      </c>
      <c r="K75" s="57">
        <f>Y75*AK75</f>
        <v>5179.5745777777793</v>
      </c>
      <c r="L75" s="57">
        <f>Z75*AL75</f>
        <v>2395.3466666666668</v>
      </c>
      <c r="M75" s="72">
        <f>SUM(I75:L75)</f>
        <v>908987.43248663552</v>
      </c>
      <c r="N75" s="57"/>
      <c r="O75" s="4"/>
      <c r="P75" s="93">
        <v>43442</v>
      </c>
      <c r="Q75" s="57">
        <f t="shared" si="11"/>
        <v>98</v>
      </c>
      <c r="R75" s="57">
        <v>253.1875</v>
      </c>
      <c r="S75" s="57">
        <v>9.25</v>
      </c>
      <c r="T75" s="57">
        <v>26.25</v>
      </c>
      <c r="U75" s="62">
        <f>SUM(Q75:T75)</f>
        <v>386.6875</v>
      </c>
      <c r="V75" s="57"/>
      <c r="W75" s="57">
        <v>11</v>
      </c>
      <c r="X75" s="57">
        <f t="shared" si="2"/>
        <v>72</v>
      </c>
      <c r="Y75" s="57">
        <v>3</v>
      </c>
      <c r="Z75" s="57">
        <v>7</v>
      </c>
      <c r="AA75" s="62">
        <f>SUM(W75:Z75)</f>
        <v>93</v>
      </c>
      <c r="AB75" s="57"/>
      <c r="AC75" s="57">
        <f t="shared" si="19"/>
        <v>816.40791514579678</v>
      </c>
      <c r="AD75" s="57">
        <f t="shared" si="12"/>
        <v>1013.37623688579</v>
      </c>
      <c r="AE75" s="57">
        <f t="shared" si="13"/>
        <v>538.35802469135808</v>
      </c>
      <c r="AF75" s="57">
        <f t="shared" si="14"/>
        <v>836.65247863247862</v>
      </c>
      <c r="AG75" s="62">
        <f>IF(U75=0,0,G75/U75)</f>
        <v>929.37540643746104</v>
      </c>
      <c r="AH75" s="57"/>
      <c r="AI75" s="57">
        <f t="shared" si="15"/>
        <v>2535.5016622222224</v>
      </c>
      <c r="AJ75" s="57">
        <f t="shared" si="16"/>
        <v>12132.249902190924</v>
      </c>
      <c r="AK75" s="57">
        <f t="shared" si="17"/>
        <v>1726.5248592592598</v>
      </c>
      <c r="AL75" s="57">
        <f t="shared" si="18"/>
        <v>342.19238095238097</v>
      </c>
      <c r="AM75" s="62">
        <f>IF(AA75=0,0,M75/AA75)</f>
        <v>9774.0584138347913</v>
      </c>
      <c r="AN75" s="57"/>
      <c r="AO75" s="4"/>
      <c r="AP75" s="4"/>
      <c r="AQ75" s="4"/>
      <c r="AR75" s="4"/>
      <c r="AS75" s="4"/>
      <c r="AT75" s="4"/>
      <c r="AU75" s="4"/>
    </row>
    <row r="76" spans="1:47" s="56" customFormat="1" x14ac:dyDescent="0.2">
      <c r="A76" s="95"/>
      <c r="B76" s="96"/>
      <c r="C76" s="66"/>
      <c r="D76" s="66"/>
      <c r="E76" s="66"/>
      <c r="F76" s="66"/>
      <c r="G76" s="66"/>
      <c r="H76" s="67"/>
      <c r="I76" s="66"/>
      <c r="J76" s="66"/>
      <c r="K76" s="66"/>
      <c r="L76" s="66"/>
      <c r="M76" s="67"/>
      <c r="N76" s="67"/>
      <c r="O76" s="67"/>
      <c r="P76" s="67"/>
      <c r="Q76" s="66"/>
      <c r="R76" s="66"/>
      <c r="S76" s="66"/>
      <c r="T76" s="66"/>
      <c r="U76" s="66"/>
      <c r="V76" s="67"/>
      <c r="W76" s="66"/>
      <c r="X76" s="57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7"/>
      <c r="AO76" s="95"/>
      <c r="AP76" s="95"/>
      <c r="AQ76" s="95"/>
      <c r="AR76" s="95"/>
      <c r="AS76" s="95"/>
      <c r="AT76" s="95"/>
      <c r="AU76" s="95"/>
    </row>
    <row r="77" spans="1:47" x14ac:dyDescent="0.2">
      <c r="A77" s="4"/>
      <c r="B77" s="4"/>
      <c r="C77" s="4"/>
      <c r="D77" s="4"/>
      <c r="E77" s="4"/>
      <c r="F77" s="4"/>
      <c r="G77" s="4"/>
      <c r="H77" s="4"/>
      <c r="I77" s="4"/>
      <c r="J77" s="13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">
      <c r="A78" s="4"/>
      <c r="B78" s="4"/>
      <c r="C78" s="4"/>
      <c r="D78" s="4"/>
      <c r="E78" s="4"/>
      <c r="F78" s="4"/>
      <c r="G78" s="4"/>
      <c r="H78" s="4"/>
      <c r="I78" s="4"/>
      <c r="J78" s="13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">
      <c r="A79" s="4"/>
      <c r="B79" s="4"/>
      <c r="C79" s="4"/>
      <c r="D79" s="4"/>
      <c r="E79" s="4"/>
      <c r="F79" s="4"/>
      <c r="G79" s="4"/>
      <c r="H79" s="4"/>
      <c r="I79" s="4"/>
      <c r="J79" s="13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">
      <c r="A80" s="4"/>
      <c r="B80" s="4"/>
      <c r="C80" s="4"/>
      <c r="D80" s="4"/>
      <c r="E80" s="4"/>
      <c r="F80" s="4"/>
      <c r="G80" s="4"/>
      <c r="H80" s="4"/>
      <c r="I80" s="4"/>
      <c r="J80" s="13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">
      <c r="A81" s="4"/>
      <c r="B81" s="4"/>
      <c r="C81" s="4"/>
      <c r="D81" s="4"/>
      <c r="E81" s="4"/>
      <c r="F81" s="4"/>
      <c r="G81" s="4"/>
      <c r="H81" s="4"/>
      <c r="I81" s="4"/>
      <c r="J81" s="13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">
      <c r="A82" s="4"/>
      <c r="B82" s="4"/>
      <c r="C82" s="4"/>
      <c r="D82" s="4"/>
      <c r="E82" s="4"/>
      <c r="F82" s="4"/>
      <c r="G82" s="4"/>
      <c r="H82" s="4"/>
      <c r="I82" s="4"/>
      <c r="J82" s="13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">
      <c r="A83" s="4"/>
      <c r="B83" s="4"/>
      <c r="C83" s="4"/>
      <c r="D83" s="4"/>
      <c r="E83" s="4"/>
      <c r="F83" s="4"/>
      <c r="G83" s="4"/>
      <c r="H83" s="4"/>
      <c r="I83" s="4"/>
      <c r="J83" s="13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">
      <c r="A84" s="4"/>
      <c r="B84" s="4"/>
      <c r="C84" s="4"/>
      <c r="D84" s="4"/>
      <c r="E84" s="4"/>
      <c r="F84" s="4"/>
      <c r="G84" s="4"/>
      <c r="H84" s="4"/>
      <c r="I84" s="4"/>
      <c r="J84" s="13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">
      <c r="A85" s="4"/>
      <c r="B85" s="4"/>
      <c r="C85" s="4"/>
      <c r="D85" s="4"/>
      <c r="E85" s="4"/>
      <c r="F85" s="4"/>
      <c r="G85" s="4"/>
      <c r="H85" s="4"/>
      <c r="I85" s="4"/>
      <c r="J85" s="13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">
      <c r="A86" s="4"/>
      <c r="B86" s="4"/>
      <c r="C86" s="4"/>
      <c r="D86" s="4"/>
      <c r="E86" s="4"/>
      <c r="F86" s="4"/>
      <c r="G86" s="4"/>
      <c r="H86" s="4"/>
      <c r="I86" s="4"/>
      <c r="J86" s="13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">
      <c r="A87" s="4"/>
      <c r="B87" s="4"/>
      <c r="C87" s="4"/>
      <c r="D87" s="4"/>
      <c r="E87" s="4"/>
      <c r="F87" s="4"/>
      <c r="G87" s="4"/>
      <c r="H87" s="4"/>
      <c r="I87" s="4"/>
      <c r="J87" s="13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">
      <c r="A88" s="4"/>
      <c r="B88" s="4"/>
      <c r="C88" s="4"/>
      <c r="D88" s="4"/>
      <c r="E88" s="4"/>
      <c r="F88" s="4"/>
      <c r="G88" s="4"/>
      <c r="H88" s="4"/>
      <c r="I88" s="4"/>
      <c r="J88" s="13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">
      <c r="A89" s="4"/>
      <c r="B89" s="4"/>
      <c r="C89" s="4"/>
      <c r="D89" s="4"/>
      <c r="E89" s="4"/>
      <c r="F89" s="4"/>
      <c r="G89" s="4"/>
      <c r="H89" s="4"/>
      <c r="I89" s="4"/>
      <c r="J89" s="13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">
      <c r="A90" s="4"/>
      <c r="B90" s="4"/>
      <c r="C90" s="4"/>
      <c r="D90" s="4"/>
      <c r="E90" s="4"/>
      <c r="F90" s="4"/>
      <c r="G90" s="4"/>
      <c r="H90" s="4"/>
      <c r="I90" s="4"/>
      <c r="J90" s="13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">
      <c r="A91" s="4"/>
      <c r="B91" s="4"/>
      <c r="C91" s="4"/>
      <c r="D91" s="4"/>
      <c r="E91" s="4"/>
      <c r="F91" s="4"/>
      <c r="G91" s="4"/>
      <c r="H91" s="4"/>
      <c r="I91" s="4"/>
      <c r="J91" s="13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">
      <c r="A92" s="4"/>
      <c r="B92" s="4"/>
      <c r="C92" s="4"/>
      <c r="D92" s="4"/>
      <c r="E92" s="4"/>
      <c r="F92" s="4"/>
      <c r="G92" s="4"/>
      <c r="H92" s="4"/>
      <c r="I92" s="4"/>
      <c r="J92" s="1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">
      <c r="A93" s="4"/>
      <c r="B93" s="4"/>
      <c r="C93" s="4"/>
      <c r="D93" s="4"/>
      <c r="E93" s="4"/>
      <c r="F93" s="4"/>
      <c r="G93" s="4"/>
      <c r="H93" s="4"/>
      <c r="I93" s="4"/>
      <c r="J93" s="13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">
      <c r="A94" s="4"/>
      <c r="B94" s="4"/>
      <c r="C94" s="4"/>
      <c r="D94" s="4"/>
      <c r="E94" s="4"/>
      <c r="F94" s="4"/>
      <c r="G94" s="4"/>
      <c r="H94" s="4"/>
      <c r="I94" s="4"/>
      <c r="J94" s="13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">
      <c r="A95" s="4"/>
      <c r="B95" s="4"/>
      <c r="C95" s="4"/>
      <c r="D95" s="4"/>
      <c r="E95" s="4"/>
      <c r="F95" s="4"/>
      <c r="G95" s="4"/>
      <c r="H95" s="4"/>
      <c r="I95" s="4"/>
      <c r="J95" s="13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">
      <c r="A96" s="4"/>
      <c r="B96" s="4"/>
      <c r="C96" s="4"/>
      <c r="D96" s="4"/>
      <c r="E96" s="4"/>
      <c r="F96" s="4"/>
      <c r="G96" s="4"/>
      <c r="H96" s="4"/>
      <c r="I96" s="4"/>
      <c r="J96" s="13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">
      <c r="A97" s="4"/>
      <c r="B97" s="4"/>
      <c r="C97" s="4"/>
      <c r="D97" s="4"/>
      <c r="E97" s="4"/>
      <c r="F97" s="4"/>
      <c r="G97" s="4"/>
      <c r="H97" s="4"/>
      <c r="I97" s="4"/>
      <c r="J97" s="13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">
      <c r="A98" s="4"/>
      <c r="B98" s="4"/>
      <c r="C98" s="4"/>
      <c r="D98" s="4"/>
      <c r="E98" s="4"/>
      <c r="F98" s="4"/>
      <c r="G98" s="4"/>
      <c r="H98" s="4"/>
      <c r="I98" s="4"/>
      <c r="J98" s="13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</sheetData>
  <mergeCells count="5">
    <mergeCell ref="AI10:AL10"/>
    <mergeCell ref="C10:E10"/>
    <mergeCell ref="I10:K10"/>
    <mergeCell ref="Q10:S10"/>
    <mergeCell ref="AC10:AE10"/>
  </mergeCells>
  <phoneticPr fontId="0" type="noConversion"/>
  <printOptions horizontalCentered="1"/>
  <pageMargins left="0.23622047244094491" right="0.11811023622047245" top="0.23622047244094491" bottom="0.23622047244094491" header="0.51181102362204722" footer="0.51181102362204722"/>
  <pageSetup scale="78" fitToWidth="3" orientation="portrait" horizontalDpi="200" verticalDpi="200" r:id="rId1"/>
  <headerFooter alignWithMargins="0"/>
  <colBreaks count="2" manualBreakCount="2">
    <brk id="13" max="1048575" man="1"/>
    <brk id="2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>8</Primary0>
    <C_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992BD610-9D45-4FE8-B4B3-5A6BA522C64B}"/>
</file>

<file path=customXml/itemProps2.xml><?xml version="1.0" encoding="utf-8"?>
<ds:datastoreItem xmlns:ds="http://schemas.openxmlformats.org/officeDocument/2006/customXml" ds:itemID="{5C14CE15-DA22-4608-9913-588F7A24449E}"/>
</file>

<file path=customXml/itemProps3.xml><?xml version="1.0" encoding="utf-8"?>
<ds:datastoreItem xmlns:ds="http://schemas.openxmlformats.org/officeDocument/2006/customXml" ds:itemID="{D5A0AD37-91F6-4B6A-9829-E1198F623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Total YEC</vt:lpstr>
      <vt:lpstr>WAF</vt:lpstr>
      <vt:lpstr>Mayo Dawson Combined</vt:lpstr>
      <vt:lpstr>Dawson with hydro</vt:lpstr>
      <vt:lpstr>Mayo</vt:lpstr>
      <vt:lpstr>N Klondike Hwy</vt:lpstr>
      <vt:lpstr>WAF Res &amp; Com</vt:lpstr>
      <vt:lpstr>'Dawson with hydro'!Print_Area</vt:lpstr>
      <vt:lpstr>'Mayo Dawson Combined'!Print_Area</vt:lpstr>
      <vt:lpstr>'Total YEC'!Print_Area</vt:lpstr>
      <vt:lpstr>ttlannualsales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2017-09-25T20:21:47Z</dcterms:created>
  <dcterms:modified xsi:type="dcterms:W3CDTF">2017-09-25T20:41:24Z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0x01010070D4C50305BE10458CD404A5428DFAFC</vt:lpwstr>
  </property>
  <property fmtid="{D5CDD505-2E9C-101B-9397-08002B2CF9AE}" pid="3" name="_dlc_DocIdItemGuid">
    <vt:lpwstr>264dbb35-0621-4e53-a9aa-08fec5eb20b6</vt:lpwstr>
  </property>
  <property fmtid="{D5CDD505-2E9C-101B-9397-08002B2CF9AE}" pid="4" name="_dlc_DocId">
    <vt:lpwstr>7UVQ43MC76ES-870-2182</vt:lpwstr>
  </property>
  <property fmtid="{D5CDD505-2E9C-101B-9397-08002B2CF9AE}" pid="5" name="_dlc_DocIdUrl">
    <vt:lpwstr>https://sp2010.yec.yk.ca/Projects/2716/_layouts/DocIdRedir.aspx?ID=7UVQ43MC76ES-870-2182, 7UVQ43MC76ES-870-2182</vt:lpwstr>
  </property>
</Properties>
</file>