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66925"/>
  <xr:revisionPtr revIDLastSave="0" documentId="13_ncr:1_{49C162D9-404D-4115-8562-0DCB600EB7CC}" xr6:coauthVersionLast="47" xr6:coauthVersionMax="47" xr10:uidLastSave="{00000000-0000-0000-0000-000000000000}"/>
  <bookViews>
    <workbookView xWindow="33720" yWindow="-7395" windowWidth="29040" windowHeight="15840" tabRatio="636" xr2:uid="{5EDB7FDC-9550-4F7C-8CEC-01EB9AA4E884}"/>
  </bookViews>
  <sheets>
    <sheet name="Table 1 Total" sheetId="13" r:id="rId1"/>
    <sheet name="Table 1A Life" sheetId="1" r:id="rId2"/>
    <sheet name="Table 1B Net Salvage" sheetId="4" r:id="rId3"/>
    <sheet name="Table 2 Total" sheetId="20" r:id="rId4"/>
    <sheet name="Table 2A Life" sheetId="21" r:id="rId5"/>
    <sheet name="Table 2B Net Salvage" sheetId="19" r:id="rId6"/>
    <sheet name="TOTAL ALG WHOLE LIFE" sheetId="11" state="hidden" r:id="rId7"/>
    <sheet name="LIFE ONLY ALG WL" sheetId="10" state="hidden" r:id="rId8"/>
    <sheet name="ALG RL" sheetId="12" state="hidden" r:id="rId9"/>
    <sheet name="ELG Whole Life_Total" sheetId="16" state="hidden" r:id="rId10"/>
    <sheet name="ELG Whole Life_Life" sheetId="14" state="hidden" r:id="rId11"/>
    <sheet name="ALG Remaining Life_Life" sheetId="25" state="hidden" r:id="rId12"/>
  </sheets>
  <definedNames>
    <definedName name="Export_ALG_Remaining_Life">'ALG Remaining Life_Life'!$A$1:$M$27</definedName>
    <definedName name="Export_ELG_Whole_Life">'ELG Whole Life_Life'!$A$1:$M$26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'Table 1 Total'!$A$1:$P$63</definedName>
    <definedName name="_xlnm.Print_Area" localSheetId="1">'Table 1A Life'!$A$1:$N$63</definedName>
    <definedName name="_xlnm.Print_Area" localSheetId="2">'Table 1B Net Salvage'!$A$1:$N$63</definedName>
    <definedName name="_xlnm.Print_Area" localSheetId="3">'Table 2 Total'!$A$1:$R$67</definedName>
    <definedName name="_xlnm.Print_Area" localSheetId="4">'Table 2A Life'!$A$1:$R$67</definedName>
    <definedName name="_xlnm.Print_Area" localSheetId="5">'Table 2B Net Salvage'!$A$1:$Q$65</definedName>
    <definedName name="_xlnm.Print_Titles" localSheetId="0">'Table 1 Total'!$1:$8</definedName>
    <definedName name="_xlnm.Print_Titles" localSheetId="1">'Table 1A Life'!$1:$8</definedName>
    <definedName name="_xlnm.Print_Titles" localSheetId="2">'Table 1B Net Salvage'!$1:$8</definedName>
    <definedName name="_xlnm.Print_Titles" localSheetId="3">'Table 2 Total'!$1:$7</definedName>
    <definedName name="_xlnm.Print_Titles" localSheetId="4">'Table 2A Life'!$1:$7</definedName>
    <definedName name="_xlnm.Print_Titles" localSheetId="5">'Table 2B Net Salvage'!$1:$7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20" l="1"/>
  <c r="D13" i="13" l="1"/>
  <c r="F53" i="13"/>
  <c r="F54" i="13"/>
  <c r="F55" i="13"/>
  <c r="F56" i="13"/>
  <c r="F57" i="13"/>
  <c r="F58" i="13"/>
  <c r="F59" i="13"/>
  <c r="F60" i="13"/>
  <c r="F52" i="13"/>
  <c r="D32" i="1"/>
  <c r="D38" i="1"/>
  <c r="D39" i="1"/>
  <c r="D40" i="1"/>
  <c r="D41" i="1"/>
  <c r="D42" i="1"/>
  <c r="D43" i="1"/>
  <c r="D44" i="1"/>
  <c r="D45" i="1"/>
  <c r="D46" i="1"/>
  <c r="D47" i="1"/>
  <c r="D48" i="1"/>
  <c r="N53" i="13"/>
  <c r="N54" i="13"/>
  <c r="N55" i="13"/>
  <c r="N56" i="13"/>
  <c r="N57" i="13"/>
  <c r="N58" i="13"/>
  <c r="N59" i="13"/>
  <c r="N60" i="13"/>
  <c r="N52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36" i="13"/>
  <c r="N32" i="13"/>
  <c r="L53" i="13"/>
  <c r="G52" i="20" s="1"/>
  <c r="L54" i="13"/>
  <c r="G53" i="20" s="1"/>
  <c r="L55" i="13"/>
  <c r="G54" i="20" s="1"/>
  <c r="L56" i="13"/>
  <c r="G55" i="20" s="1"/>
  <c r="L57" i="13"/>
  <c r="G56" i="20" s="1"/>
  <c r="L58" i="13"/>
  <c r="G57" i="20" s="1"/>
  <c r="L59" i="13"/>
  <c r="G58" i="20" s="1"/>
  <c r="L60" i="13"/>
  <c r="G59" i="20" s="1"/>
  <c r="L52" i="13"/>
  <c r="G51" i="20" s="1"/>
  <c r="L37" i="13"/>
  <c r="G36" i="20" s="1"/>
  <c r="L38" i="13"/>
  <c r="G37" i="20" s="1"/>
  <c r="L39" i="13"/>
  <c r="G38" i="20" s="1"/>
  <c r="L40" i="13"/>
  <c r="G39" i="20" s="1"/>
  <c r="L41" i="13"/>
  <c r="G40" i="20" s="1"/>
  <c r="L42" i="13"/>
  <c r="G41" i="20" s="1"/>
  <c r="L43" i="13"/>
  <c r="G42" i="20" s="1"/>
  <c r="L44" i="13"/>
  <c r="G43" i="20" s="1"/>
  <c r="L45" i="13"/>
  <c r="G44" i="20" s="1"/>
  <c r="L46" i="13"/>
  <c r="G45" i="20" s="1"/>
  <c r="L47" i="13"/>
  <c r="G46" i="20" s="1"/>
  <c r="L48" i="13"/>
  <c r="G47" i="20" s="1"/>
  <c r="L36" i="13"/>
  <c r="G35" i="20" s="1"/>
  <c r="L32" i="13"/>
  <c r="G31" i="20" s="1"/>
  <c r="J53" i="13"/>
  <c r="E52" i="20" s="1"/>
  <c r="J54" i="13"/>
  <c r="E53" i="20" s="1"/>
  <c r="J55" i="13"/>
  <c r="E54" i="19" s="1"/>
  <c r="J56" i="13"/>
  <c r="E55" i="19" s="1"/>
  <c r="J57" i="13"/>
  <c r="E56" i="21" s="1"/>
  <c r="J58" i="13"/>
  <c r="E57" i="21" s="1"/>
  <c r="J59" i="13"/>
  <c r="E58" i="20" s="1"/>
  <c r="J60" i="13"/>
  <c r="E59" i="20" s="1"/>
  <c r="J52" i="13"/>
  <c r="E51" i="20" s="1"/>
  <c r="J37" i="13"/>
  <c r="E36" i="19" s="1"/>
  <c r="J38" i="13"/>
  <c r="E37" i="20" s="1"/>
  <c r="J39" i="13"/>
  <c r="E38" i="19" s="1"/>
  <c r="J40" i="13"/>
  <c r="E39" i="21" s="1"/>
  <c r="J41" i="13"/>
  <c r="E40" i="20" s="1"/>
  <c r="J42" i="13"/>
  <c r="E41" i="20" s="1"/>
  <c r="J43" i="13"/>
  <c r="E42" i="20" s="1"/>
  <c r="J44" i="13"/>
  <c r="E43" i="20" s="1"/>
  <c r="J45" i="13"/>
  <c r="E44" i="20" s="1"/>
  <c r="J46" i="13"/>
  <c r="E45" i="20" s="1"/>
  <c r="J47" i="13"/>
  <c r="E46" i="19" s="1"/>
  <c r="J48" i="13"/>
  <c r="E47" i="21" s="1"/>
  <c r="J36" i="13"/>
  <c r="E35" i="21" s="1"/>
  <c r="J32" i="13"/>
  <c r="E31" i="20" s="1"/>
  <c r="F37" i="13"/>
  <c r="F38" i="13"/>
  <c r="F39" i="13"/>
  <c r="F40" i="13"/>
  <c r="F41" i="13"/>
  <c r="F42" i="13"/>
  <c r="F43" i="13"/>
  <c r="F44" i="13"/>
  <c r="F45" i="13"/>
  <c r="F46" i="13"/>
  <c r="F47" i="13"/>
  <c r="F48" i="13"/>
  <c r="F36" i="13"/>
  <c r="F32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36" i="13"/>
  <c r="D32" i="13"/>
  <c r="D53" i="13"/>
  <c r="D54" i="13"/>
  <c r="D55" i="13"/>
  <c r="D56" i="13"/>
  <c r="D57" i="13"/>
  <c r="D58" i="13"/>
  <c r="D59" i="13"/>
  <c r="D60" i="13"/>
  <c r="D52" i="13"/>
  <c r="E45" i="19" l="1"/>
  <c r="E37" i="19"/>
  <c r="E53" i="19"/>
  <c r="E46" i="21"/>
  <c r="E38" i="21"/>
  <c r="E55" i="21"/>
  <c r="E35" i="20"/>
  <c r="E39" i="20"/>
  <c r="E57" i="20"/>
  <c r="E44" i="19"/>
  <c r="E51" i="19"/>
  <c r="E52" i="19"/>
  <c r="E45" i="21"/>
  <c r="E37" i="21"/>
  <c r="E54" i="21"/>
  <c r="E46" i="20"/>
  <c r="E38" i="20"/>
  <c r="E56" i="20"/>
  <c r="E43" i="19"/>
  <c r="E59" i="19"/>
  <c r="E44" i="21"/>
  <c r="E36" i="21"/>
  <c r="E53" i="21"/>
  <c r="E55" i="20"/>
  <c r="E31" i="19"/>
  <c r="E42" i="19"/>
  <c r="E58" i="19"/>
  <c r="E43" i="21"/>
  <c r="E51" i="21"/>
  <c r="E52" i="21"/>
  <c r="E36" i="20"/>
  <c r="E54" i="20"/>
  <c r="E35" i="19"/>
  <c r="E41" i="19"/>
  <c r="E57" i="19"/>
  <c r="E42" i="21"/>
  <c r="E59" i="21"/>
  <c r="E47" i="20"/>
  <c r="E40" i="19"/>
  <c r="E56" i="19"/>
  <c r="E31" i="21"/>
  <c r="E41" i="21"/>
  <c r="E58" i="21"/>
  <c r="E47" i="19"/>
  <c r="E39" i="19"/>
  <c r="E40" i="21"/>
  <c r="P21" i="21"/>
  <c r="O21" i="21" s="1"/>
  <c r="P22" i="21"/>
  <c r="O22" i="21" s="1"/>
  <c r="P23" i="21"/>
  <c r="O23" i="21" s="1"/>
  <c r="P24" i="21"/>
  <c r="O24" i="21" s="1"/>
  <c r="P20" i="21"/>
  <c r="O20" i="21" s="1"/>
  <c r="I12" i="20"/>
  <c r="I13" i="20"/>
  <c r="I14" i="20"/>
  <c r="I15" i="20"/>
  <c r="I16" i="20"/>
  <c r="I20" i="20"/>
  <c r="I21" i="20"/>
  <c r="I22" i="20"/>
  <c r="I23" i="20"/>
  <c r="I24" i="20"/>
  <c r="I25" i="20"/>
  <c r="I31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52" i="20"/>
  <c r="I53" i="20"/>
  <c r="I54" i="20"/>
  <c r="I55" i="20"/>
  <c r="I57" i="20"/>
  <c r="I58" i="20"/>
  <c r="I59" i="20"/>
  <c r="I52" i="21"/>
  <c r="I53" i="21"/>
  <c r="I54" i="21"/>
  <c r="I55" i="21"/>
  <c r="I56" i="21"/>
  <c r="I57" i="21"/>
  <c r="I58" i="21"/>
  <c r="I59" i="21"/>
  <c r="I51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35" i="21"/>
  <c r="I31" i="21"/>
  <c r="I21" i="21"/>
  <c r="I22" i="21"/>
  <c r="I23" i="21"/>
  <c r="I24" i="21"/>
  <c r="I25" i="21"/>
  <c r="I20" i="21"/>
  <c r="I13" i="21"/>
  <c r="I14" i="21"/>
  <c r="I15" i="21"/>
  <c r="I16" i="21"/>
  <c r="D13" i="1"/>
  <c r="I20" i="19" l="1"/>
  <c r="I38" i="19"/>
  <c r="I46" i="19"/>
  <c r="I23" i="19"/>
  <c r="I41" i="19"/>
  <c r="I42" i="19"/>
  <c r="I59" i="19"/>
  <c r="I55" i="19"/>
  <c r="I39" i="19"/>
  <c r="I26" i="20"/>
  <c r="I56" i="19"/>
  <c r="I44" i="19"/>
  <c r="I36" i="19"/>
  <c r="I57" i="19"/>
  <c r="I45" i="19"/>
  <c r="I37" i="19"/>
  <c r="I43" i="19"/>
  <c r="I35" i="19"/>
  <c r="I54" i="19"/>
  <c r="I25" i="19"/>
  <c r="I40" i="19"/>
  <c r="I24" i="19"/>
  <c r="I53" i="19"/>
  <c r="I58" i="19"/>
  <c r="I22" i="19"/>
  <c r="I21" i="19"/>
  <c r="I26" i="21"/>
  <c r="I15" i="19"/>
  <c r="I14" i="19"/>
  <c r="I13" i="19"/>
  <c r="I16" i="19"/>
  <c r="I31" i="19"/>
  <c r="I47" i="19"/>
  <c r="I52" i="19"/>
  <c r="I26" i="19" l="1"/>
  <c r="P21" i="19" l="1"/>
  <c r="O21" i="19" s="1"/>
  <c r="P22" i="19"/>
  <c r="O22" i="19" s="1"/>
  <c r="P23" i="19"/>
  <c r="O23" i="19" s="1"/>
  <c r="P24" i="19"/>
  <c r="O24" i="19" s="1"/>
  <c r="P25" i="19"/>
  <c r="O25" i="19" s="1"/>
  <c r="P20" i="19"/>
  <c r="O20" i="19" s="1"/>
  <c r="P25" i="21"/>
  <c r="O25" i="21" s="1"/>
  <c r="P20" i="20"/>
  <c r="O20" i="20" s="1"/>
  <c r="P21" i="20"/>
  <c r="O21" i="20" s="1"/>
  <c r="P22" i="20"/>
  <c r="O22" i="20" s="1"/>
  <c r="P23" i="20"/>
  <c r="O23" i="20" s="1"/>
  <c r="P24" i="20"/>
  <c r="O24" i="20" s="1"/>
  <c r="P25" i="20"/>
  <c r="O25" i="20" s="1"/>
  <c r="H22" i="4"/>
  <c r="H23" i="4"/>
  <c r="H24" i="4"/>
  <c r="H25" i="4"/>
  <c r="H26" i="4"/>
  <c r="H21" i="4"/>
  <c r="D22" i="4"/>
  <c r="D23" i="4"/>
  <c r="D24" i="4"/>
  <c r="D25" i="4"/>
  <c r="D26" i="4"/>
  <c r="D21" i="4"/>
  <c r="L22" i="1"/>
  <c r="L23" i="1"/>
  <c r="L24" i="1"/>
  <c r="L25" i="1"/>
  <c r="L26" i="1"/>
  <c r="L21" i="1"/>
  <c r="N22" i="13"/>
  <c r="N23" i="13"/>
  <c r="N24" i="13"/>
  <c r="N25" i="13"/>
  <c r="N26" i="13"/>
  <c r="L22" i="13"/>
  <c r="G21" i="20" s="1"/>
  <c r="L23" i="13"/>
  <c r="G22" i="20" s="1"/>
  <c r="L24" i="13"/>
  <c r="G23" i="20" s="1"/>
  <c r="L25" i="13"/>
  <c r="G24" i="20" s="1"/>
  <c r="L26" i="13"/>
  <c r="G25" i="20" s="1"/>
  <c r="J22" i="13"/>
  <c r="J23" i="13"/>
  <c r="J24" i="13"/>
  <c r="J25" i="13"/>
  <c r="J26" i="13"/>
  <c r="F22" i="13"/>
  <c r="F23" i="13"/>
  <c r="F24" i="13"/>
  <c r="F25" i="13"/>
  <c r="F26" i="13"/>
  <c r="D26" i="13"/>
  <c r="J22" i="1"/>
  <c r="G21" i="21" s="1"/>
  <c r="J23" i="1"/>
  <c r="G22" i="21" s="1"/>
  <c r="J24" i="1"/>
  <c r="G23" i="21" s="1"/>
  <c r="J25" i="1"/>
  <c r="G24" i="21" s="1"/>
  <c r="J26" i="1"/>
  <c r="G25" i="21" s="1"/>
  <c r="J21" i="1"/>
  <c r="G20" i="21" s="1"/>
  <c r="H22" i="1"/>
  <c r="H23" i="1"/>
  <c r="H24" i="1"/>
  <c r="H25" i="1"/>
  <c r="H26" i="1"/>
  <c r="H21" i="1"/>
  <c r="F22" i="1"/>
  <c r="F23" i="1"/>
  <c r="F24" i="1"/>
  <c r="F25" i="1"/>
  <c r="F26" i="1"/>
  <c r="F21" i="1"/>
  <c r="D22" i="1"/>
  <c r="D23" i="1"/>
  <c r="D24" i="1"/>
  <c r="D25" i="1"/>
  <c r="D26" i="1"/>
  <c r="D21" i="1"/>
  <c r="N21" i="13"/>
  <c r="L21" i="13"/>
  <c r="G20" i="20" s="1"/>
  <c r="J21" i="13"/>
  <c r="F21" i="13"/>
  <c r="D22" i="13"/>
  <c r="D23" i="13"/>
  <c r="D24" i="13"/>
  <c r="D25" i="13"/>
  <c r="D21" i="13"/>
  <c r="H27" i="1" l="1"/>
  <c r="E24" i="19"/>
  <c r="E24" i="20"/>
  <c r="E24" i="21"/>
  <c r="E23" i="20"/>
  <c r="E23" i="21"/>
  <c r="E23" i="19"/>
  <c r="E22" i="20"/>
  <c r="E22" i="21"/>
  <c r="E22" i="19"/>
  <c r="E20" i="21"/>
  <c r="E20" i="19"/>
  <c r="E20" i="20"/>
  <c r="E25" i="19"/>
  <c r="E25" i="20"/>
  <c r="E25" i="21"/>
  <c r="E21" i="20"/>
  <c r="E21" i="21"/>
  <c r="E21" i="19"/>
  <c r="L27" i="13"/>
  <c r="N27" i="13"/>
  <c r="H27" i="4"/>
  <c r="N24" i="1"/>
  <c r="N23" i="1"/>
  <c r="N22" i="1"/>
  <c r="L22" i="4"/>
  <c r="N22" i="4" s="1"/>
  <c r="G26" i="21"/>
  <c r="J27" i="1"/>
  <c r="L27" i="1"/>
  <c r="J27" i="13"/>
  <c r="F26" i="4"/>
  <c r="J25" i="4"/>
  <c r="G24" i="19" s="1"/>
  <c r="K24" i="19" s="1"/>
  <c r="J23" i="4"/>
  <c r="G22" i="19" s="1"/>
  <c r="K22" i="19" s="1"/>
  <c r="F25" i="4"/>
  <c r="N26" i="1"/>
  <c r="N25" i="1"/>
  <c r="L25" i="4"/>
  <c r="N25" i="4" s="1"/>
  <c r="F24" i="4"/>
  <c r="F23" i="4"/>
  <c r="J22" i="4"/>
  <c r="G21" i="19" s="1"/>
  <c r="K21" i="19" s="1"/>
  <c r="F22" i="4"/>
  <c r="L24" i="4"/>
  <c r="N24" i="4" s="1"/>
  <c r="J26" i="4"/>
  <c r="G25" i="19" s="1"/>
  <c r="P23" i="13"/>
  <c r="J24" i="4"/>
  <c r="G23" i="19" s="1"/>
  <c r="K23" i="19" s="1"/>
  <c r="L23" i="4"/>
  <c r="N23" i="4" s="1"/>
  <c r="P25" i="13"/>
  <c r="P24" i="13"/>
  <c r="P26" i="13"/>
  <c r="P22" i="13"/>
  <c r="L26" i="4"/>
  <c r="N26" i="4" s="1"/>
  <c r="G26" i="20" l="1"/>
  <c r="E26" i="19"/>
  <c r="E26" i="20"/>
  <c r="E26" i="21"/>
  <c r="K25" i="19"/>
  <c r="J14" i="4" l="1"/>
  <c r="G13" i="19" s="1"/>
  <c r="J15" i="4"/>
  <c r="G14" i="19" s="1"/>
  <c r="J16" i="4"/>
  <c r="G15" i="19" s="1"/>
  <c r="J17" i="4"/>
  <c r="G16" i="19" s="1"/>
  <c r="J13" i="4"/>
  <c r="G12" i="19" s="1"/>
  <c r="P52" i="19"/>
  <c r="O52" i="19" s="1"/>
  <c r="P53" i="19"/>
  <c r="O53" i="19" s="1"/>
  <c r="P54" i="19"/>
  <c r="O54" i="19" s="1"/>
  <c r="P55" i="19"/>
  <c r="O55" i="19" s="1"/>
  <c r="P56" i="19"/>
  <c r="O56" i="19" s="1"/>
  <c r="P57" i="19"/>
  <c r="O57" i="19" s="1"/>
  <c r="P58" i="19"/>
  <c r="O58" i="19" s="1"/>
  <c r="P59" i="19"/>
  <c r="O59" i="19" s="1"/>
  <c r="P51" i="19"/>
  <c r="O51" i="19" s="1"/>
  <c r="P31" i="19"/>
  <c r="O31" i="19" s="1"/>
  <c r="P36" i="19"/>
  <c r="O36" i="19" s="1"/>
  <c r="P37" i="19"/>
  <c r="O37" i="19" s="1"/>
  <c r="P38" i="19"/>
  <c r="O38" i="19" s="1"/>
  <c r="P39" i="19"/>
  <c r="O39" i="19" s="1"/>
  <c r="P40" i="19"/>
  <c r="O40" i="19" s="1"/>
  <c r="P41" i="19"/>
  <c r="O41" i="19" s="1"/>
  <c r="P42" i="19"/>
  <c r="O42" i="19" s="1"/>
  <c r="P43" i="19"/>
  <c r="O43" i="19" s="1"/>
  <c r="P44" i="19"/>
  <c r="O44" i="19" s="1"/>
  <c r="P45" i="19"/>
  <c r="O45" i="19" s="1"/>
  <c r="P46" i="19"/>
  <c r="O46" i="19" s="1"/>
  <c r="P47" i="19"/>
  <c r="O47" i="19" s="1"/>
  <c r="P35" i="19"/>
  <c r="O35" i="19" s="1"/>
  <c r="L13" i="13"/>
  <c r="G12" i="20" s="1"/>
  <c r="L54" i="1"/>
  <c r="P52" i="21"/>
  <c r="O52" i="21" s="1"/>
  <c r="P53" i="21"/>
  <c r="O53" i="21" s="1"/>
  <c r="P54" i="21"/>
  <c r="O54" i="21" s="1"/>
  <c r="P55" i="21"/>
  <c r="O55" i="21" s="1"/>
  <c r="P56" i="21"/>
  <c r="O56" i="21" s="1"/>
  <c r="P57" i="21"/>
  <c r="O57" i="21" s="1"/>
  <c r="P58" i="21"/>
  <c r="O58" i="21" s="1"/>
  <c r="P59" i="21"/>
  <c r="O59" i="21" s="1"/>
  <c r="P51" i="21"/>
  <c r="O51" i="21" s="1"/>
  <c r="P36" i="21"/>
  <c r="O36" i="21" s="1"/>
  <c r="P37" i="21"/>
  <c r="O37" i="21" s="1"/>
  <c r="P38" i="21"/>
  <c r="O38" i="21" s="1"/>
  <c r="P39" i="21"/>
  <c r="O39" i="21" s="1"/>
  <c r="P40" i="21"/>
  <c r="O40" i="21" s="1"/>
  <c r="P41" i="21"/>
  <c r="O41" i="21" s="1"/>
  <c r="P42" i="21"/>
  <c r="O42" i="21" s="1"/>
  <c r="P43" i="21"/>
  <c r="O43" i="21" s="1"/>
  <c r="P44" i="21"/>
  <c r="O44" i="21" s="1"/>
  <c r="P45" i="21"/>
  <c r="O45" i="21" s="1"/>
  <c r="P46" i="21"/>
  <c r="O46" i="21" s="1"/>
  <c r="P47" i="21"/>
  <c r="O47" i="21" s="1"/>
  <c r="P35" i="21"/>
  <c r="O35" i="21" s="1"/>
  <c r="P31" i="21"/>
  <c r="O31" i="21" s="1"/>
  <c r="P52" i="20"/>
  <c r="O52" i="20" s="1"/>
  <c r="P53" i="20"/>
  <c r="O53" i="20" s="1"/>
  <c r="P54" i="20"/>
  <c r="O54" i="20" s="1"/>
  <c r="P55" i="20"/>
  <c r="O55" i="20" s="1"/>
  <c r="P56" i="20"/>
  <c r="O56" i="20" s="1"/>
  <c r="P57" i="20"/>
  <c r="O57" i="20" s="1"/>
  <c r="P58" i="20"/>
  <c r="O58" i="20" s="1"/>
  <c r="P59" i="20"/>
  <c r="O59" i="20" s="1"/>
  <c r="P51" i="20"/>
  <c r="O51" i="20" s="1"/>
  <c r="I51" i="20"/>
  <c r="I51" i="19" s="1"/>
  <c r="P36" i="20"/>
  <c r="O36" i="20" s="1"/>
  <c r="P37" i="20"/>
  <c r="O37" i="20" s="1"/>
  <c r="P38" i="20"/>
  <c r="O38" i="20" s="1"/>
  <c r="P39" i="20"/>
  <c r="O39" i="20" s="1"/>
  <c r="P40" i="20"/>
  <c r="O40" i="20" s="1"/>
  <c r="P41" i="20"/>
  <c r="O41" i="20" s="1"/>
  <c r="P42" i="20"/>
  <c r="O42" i="20" s="1"/>
  <c r="P43" i="20"/>
  <c r="O43" i="20" s="1"/>
  <c r="P44" i="20"/>
  <c r="O44" i="20" s="1"/>
  <c r="P45" i="20"/>
  <c r="O45" i="20" s="1"/>
  <c r="P46" i="20"/>
  <c r="O46" i="20" s="1"/>
  <c r="P47" i="20"/>
  <c r="O47" i="20" s="1"/>
  <c r="P35" i="20"/>
  <c r="O35" i="20" s="1"/>
  <c r="P31" i="20"/>
  <c r="O31" i="20" s="1"/>
  <c r="H32" i="4"/>
  <c r="D32" i="4"/>
  <c r="H53" i="4"/>
  <c r="H54" i="4"/>
  <c r="H55" i="4"/>
  <c r="H56" i="4"/>
  <c r="H57" i="4"/>
  <c r="H58" i="4"/>
  <c r="H59" i="4"/>
  <c r="H60" i="4"/>
  <c r="H52" i="4"/>
  <c r="D53" i="4"/>
  <c r="D54" i="4"/>
  <c r="D55" i="4"/>
  <c r="D56" i="4"/>
  <c r="D57" i="4"/>
  <c r="D58" i="4"/>
  <c r="D59" i="4"/>
  <c r="D60" i="4"/>
  <c r="D52" i="4"/>
  <c r="H37" i="4"/>
  <c r="H38" i="4"/>
  <c r="H39" i="4"/>
  <c r="H40" i="4"/>
  <c r="H41" i="4"/>
  <c r="H42" i="4"/>
  <c r="H43" i="4"/>
  <c r="H44" i="4"/>
  <c r="H45" i="4"/>
  <c r="H46" i="4"/>
  <c r="H47" i="4"/>
  <c r="H48" i="4"/>
  <c r="H36" i="4"/>
  <c r="D37" i="4"/>
  <c r="D38" i="4"/>
  <c r="D39" i="4"/>
  <c r="D40" i="4"/>
  <c r="D41" i="4"/>
  <c r="D42" i="4"/>
  <c r="D43" i="4"/>
  <c r="D44" i="4"/>
  <c r="D45" i="4"/>
  <c r="D46" i="4"/>
  <c r="D47" i="4"/>
  <c r="D48" i="4"/>
  <c r="D36" i="4"/>
  <c r="L53" i="1"/>
  <c r="L55" i="1"/>
  <c r="L56" i="1"/>
  <c r="L57" i="1"/>
  <c r="L58" i="1"/>
  <c r="L59" i="1"/>
  <c r="L60" i="1"/>
  <c r="L52" i="1"/>
  <c r="J53" i="1"/>
  <c r="G52" i="21" s="1"/>
  <c r="J54" i="1"/>
  <c r="G53" i="21" s="1"/>
  <c r="J55" i="1"/>
  <c r="G54" i="21" s="1"/>
  <c r="J56" i="1"/>
  <c r="G55" i="21" s="1"/>
  <c r="J57" i="1"/>
  <c r="G56" i="21" s="1"/>
  <c r="J58" i="1"/>
  <c r="G57" i="21" s="1"/>
  <c r="J59" i="1"/>
  <c r="G58" i="21" s="1"/>
  <c r="J60" i="1"/>
  <c r="G59" i="21" s="1"/>
  <c r="J52" i="1"/>
  <c r="G51" i="21" s="1"/>
  <c r="H53" i="1"/>
  <c r="H54" i="1"/>
  <c r="H55" i="1"/>
  <c r="H56" i="1"/>
  <c r="H57" i="1"/>
  <c r="H58" i="1"/>
  <c r="H59" i="1"/>
  <c r="H60" i="1"/>
  <c r="H52" i="1"/>
  <c r="F53" i="1"/>
  <c r="F53" i="4" s="1"/>
  <c r="F54" i="1"/>
  <c r="F54" i="4" s="1"/>
  <c r="F55" i="1"/>
  <c r="F55" i="4" s="1"/>
  <c r="F56" i="1"/>
  <c r="F56" i="4" s="1"/>
  <c r="F57" i="1"/>
  <c r="F57" i="4" s="1"/>
  <c r="F58" i="1"/>
  <c r="F58" i="4" s="1"/>
  <c r="F59" i="1"/>
  <c r="F59" i="4" s="1"/>
  <c r="F60" i="1"/>
  <c r="F60" i="4" s="1"/>
  <c r="F52" i="1"/>
  <c r="F52" i="4" s="1"/>
  <c r="D53" i="1"/>
  <c r="D54" i="1"/>
  <c r="D55" i="1"/>
  <c r="D56" i="1"/>
  <c r="D57" i="1"/>
  <c r="D58" i="1"/>
  <c r="D59" i="1"/>
  <c r="D60" i="1"/>
  <c r="D52" i="1"/>
  <c r="L37" i="1"/>
  <c r="L38" i="1"/>
  <c r="L39" i="1"/>
  <c r="L40" i="1"/>
  <c r="L41" i="1"/>
  <c r="L42" i="1"/>
  <c r="L43" i="1"/>
  <c r="L44" i="1"/>
  <c r="L45" i="1"/>
  <c r="L46" i="1"/>
  <c r="L47" i="1"/>
  <c r="L48" i="1"/>
  <c r="L36" i="1"/>
  <c r="J37" i="1"/>
  <c r="G36" i="21" s="1"/>
  <c r="J38" i="1"/>
  <c r="G37" i="21" s="1"/>
  <c r="J39" i="1"/>
  <c r="G38" i="21" s="1"/>
  <c r="J40" i="1"/>
  <c r="G39" i="21" s="1"/>
  <c r="J41" i="1"/>
  <c r="G40" i="21" s="1"/>
  <c r="J42" i="1"/>
  <c r="G41" i="21" s="1"/>
  <c r="J43" i="1"/>
  <c r="G42" i="21" s="1"/>
  <c r="J44" i="1"/>
  <c r="G43" i="21" s="1"/>
  <c r="J45" i="1"/>
  <c r="G44" i="21" s="1"/>
  <c r="J46" i="1"/>
  <c r="G45" i="21" s="1"/>
  <c r="J47" i="1"/>
  <c r="G46" i="21" s="1"/>
  <c r="J48" i="1"/>
  <c r="G47" i="21" s="1"/>
  <c r="J36" i="1"/>
  <c r="G35" i="21" s="1"/>
  <c r="H37" i="1"/>
  <c r="H38" i="1"/>
  <c r="H39" i="1"/>
  <c r="H40" i="1"/>
  <c r="H41" i="1"/>
  <c r="H42" i="1"/>
  <c r="H43" i="1"/>
  <c r="H44" i="1"/>
  <c r="H45" i="1"/>
  <c r="H46" i="1"/>
  <c r="H47" i="1"/>
  <c r="H48" i="1"/>
  <c r="H36" i="1"/>
  <c r="D37" i="1"/>
  <c r="D36" i="1"/>
  <c r="F37" i="1"/>
  <c r="F38" i="1"/>
  <c r="F39" i="1"/>
  <c r="F40" i="1"/>
  <c r="F41" i="1"/>
  <c r="F42" i="1"/>
  <c r="F43" i="1"/>
  <c r="F44" i="1"/>
  <c r="F45" i="1"/>
  <c r="F46" i="1"/>
  <c r="F47" i="1"/>
  <c r="F48" i="1"/>
  <c r="F36" i="1"/>
  <c r="L32" i="1"/>
  <c r="J32" i="1"/>
  <c r="G31" i="21" s="1"/>
  <c r="H32" i="1"/>
  <c r="F32" i="1"/>
  <c r="P12" i="21"/>
  <c r="F21" i="4" l="1"/>
  <c r="K55" i="21"/>
  <c r="J37" i="4"/>
  <c r="G36" i="19" s="1"/>
  <c r="J53" i="4"/>
  <c r="G52" i="19" s="1"/>
  <c r="H14" i="1"/>
  <c r="H15" i="1"/>
  <c r="H16" i="1"/>
  <c r="H17" i="1"/>
  <c r="H13" i="1"/>
  <c r="L21" i="4" l="1"/>
  <c r="K23" i="20"/>
  <c r="M23" i="20" s="1"/>
  <c r="T23" i="20" s="1"/>
  <c r="R23" i="20" s="1"/>
  <c r="M23" i="19"/>
  <c r="T23" i="19" s="1"/>
  <c r="K22" i="20"/>
  <c r="M22" i="20" s="1"/>
  <c r="T22" i="20" s="1"/>
  <c r="R22" i="20" s="1"/>
  <c r="M22" i="19"/>
  <c r="T22" i="19" s="1"/>
  <c r="K24" i="20"/>
  <c r="M24" i="20" s="1"/>
  <c r="T24" i="20" s="1"/>
  <c r="R24" i="20" s="1"/>
  <c r="M24" i="19"/>
  <c r="T24" i="19" s="1"/>
  <c r="K21" i="20"/>
  <c r="M21" i="20" s="1"/>
  <c r="T21" i="20" s="1"/>
  <c r="R21" i="20" s="1"/>
  <c r="M21" i="19"/>
  <c r="T21" i="19" s="1"/>
  <c r="K25" i="20"/>
  <c r="M25" i="20" s="1"/>
  <c r="T25" i="20" s="1"/>
  <c r="R25" i="20" s="1"/>
  <c r="M25" i="19"/>
  <c r="T25" i="19" s="1"/>
  <c r="R25" i="19" s="1"/>
  <c r="Q25" i="19" s="1"/>
  <c r="K20" i="20"/>
  <c r="J21" i="4"/>
  <c r="K22" i="21"/>
  <c r="M22" i="21" s="1"/>
  <c r="T22" i="21" s="1"/>
  <c r="R22" i="21" s="1"/>
  <c r="Q22" i="21" s="1"/>
  <c r="K21" i="21"/>
  <c r="M21" i="21" s="1"/>
  <c r="T21" i="21" s="1"/>
  <c r="R21" i="21" s="1"/>
  <c r="Q21" i="21" s="1"/>
  <c r="K25" i="21"/>
  <c r="M25" i="21" s="1"/>
  <c r="T25" i="21" s="1"/>
  <c r="R25" i="21" s="1"/>
  <c r="Q25" i="21" s="1"/>
  <c r="K24" i="21"/>
  <c r="M24" i="21" s="1"/>
  <c r="T24" i="21" s="1"/>
  <c r="R24" i="21" s="1"/>
  <c r="Q24" i="21" s="1"/>
  <c r="K23" i="21"/>
  <c r="M23" i="21" s="1"/>
  <c r="T23" i="21" s="1"/>
  <c r="R23" i="21" s="1"/>
  <c r="Q23" i="21" s="1"/>
  <c r="E60" i="20"/>
  <c r="N21" i="1"/>
  <c r="G20" i="19" l="1"/>
  <c r="G26" i="19" s="1"/>
  <c r="J27" i="4"/>
  <c r="J29" i="4" s="1"/>
  <c r="N21" i="4"/>
  <c r="L27" i="4"/>
  <c r="K26" i="20"/>
  <c r="Q25" i="20"/>
  <c r="R21" i="19"/>
  <c r="Q21" i="19" s="1"/>
  <c r="Q21" i="20" s="1"/>
  <c r="R23" i="19"/>
  <c r="Q23" i="19" s="1"/>
  <c r="Q23" i="20" s="1"/>
  <c r="R24" i="19"/>
  <c r="Q24" i="19" s="1"/>
  <c r="Q24" i="20" s="1"/>
  <c r="R22" i="19"/>
  <c r="Q22" i="19" s="1"/>
  <c r="Q22" i="20" s="1"/>
  <c r="K20" i="21"/>
  <c r="K26" i="21" s="1"/>
  <c r="M20" i="20"/>
  <c r="T20" i="20" s="1"/>
  <c r="R20" i="20" s="1"/>
  <c r="D14" i="1"/>
  <c r="D15" i="1"/>
  <c r="D16" i="1"/>
  <c r="D17" i="1"/>
  <c r="L14" i="1"/>
  <c r="L15" i="1"/>
  <c r="L16" i="1"/>
  <c r="L17" i="1"/>
  <c r="L13" i="1"/>
  <c r="J14" i="1"/>
  <c r="G13" i="21" s="1"/>
  <c r="J15" i="1"/>
  <c r="G14" i="21" s="1"/>
  <c r="J16" i="1"/>
  <c r="G15" i="21" s="1"/>
  <c r="J17" i="1"/>
  <c r="G16" i="21" s="1"/>
  <c r="J13" i="1"/>
  <c r="G12" i="21" s="1"/>
  <c r="K20" i="19" l="1"/>
  <c r="K26" i="19" s="1"/>
  <c r="N27" i="4"/>
  <c r="M20" i="21"/>
  <c r="T20" i="21" s="1"/>
  <c r="R20" i="21" s="1"/>
  <c r="Q20" i="21" s="1"/>
  <c r="Q26" i="21" s="1"/>
  <c r="F14" i="1"/>
  <c r="F15" i="1"/>
  <c r="F16" i="1"/>
  <c r="F17" i="1"/>
  <c r="F13" i="1"/>
  <c r="M20" i="19" l="1"/>
  <c r="T20" i="19" s="1"/>
  <c r="R20" i="19" s="1"/>
  <c r="Q20" i="19" s="1"/>
  <c r="P13" i="20"/>
  <c r="O13" i="20" s="1"/>
  <c r="P14" i="20"/>
  <c r="O14" i="20" s="1"/>
  <c r="P15" i="20"/>
  <c r="O15" i="20" s="1"/>
  <c r="P16" i="20"/>
  <c r="O16" i="20" s="1"/>
  <c r="P12" i="20"/>
  <c r="O12" i="20" s="1"/>
  <c r="P13" i="21"/>
  <c r="O13" i="21" s="1"/>
  <c r="P14" i="21"/>
  <c r="O14" i="21" s="1"/>
  <c r="P15" i="21"/>
  <c r="O15" i="21" s="1"/>
  <c r="P16" i="21"/>
  <c r="O16" i="21" s="1"/>
  <c r="O12" i="21"/>
  <c r="P13" i="19"/>
  <c r="O13" i="19" s="1"/>
  <c r="P14" i="19"/>
  <c r="O14" i="19" s="1"/>
  <c r="P15" i="19"/>
  <c r="O15" i="19" s="1"/>
  <c r="P16" i="19"/>
  <c r="O16" i="19" s="1"/>
  <c r="P12" i="19"/>
  <c r="O12" i="19" s="1"/>
  <c r="I32" i="19"/>
  <c r="L53" i="4"/>
  <c r="L54" i="4"/>
  <c r="L55" i="4"/>
  <c r="L56" i="4"/>
  <c r="L57" i="4"/>
  <c r="L58" i="4"/>
  <c r="L59" i="4"/>
  <c r="L60" i="4"/>
  <c r="L52" i="4"/>
  <c r="N14" i="13"/>
  <c r="L14" i="4" s="1"/>
  <c r="N15" i="13"/>
  <c r="L15" i="4" s="1"/>
  <c r="N16" i="13"/>
  <c r="L16" i="4" s="1"/>
  <c r="N17" i="13"/>
  <c r="L17" i="4" s="1"/>
  <c r="L29" i="4" s="1"/>
  <c r="N13" i="13"/>
  <c r="L14" i="13"/>
  <c r="G13" i="20" s="1"/>
  <c r="L15" i="13"/>
  <c r="G14" i="20" s="1"/>
  <c r="L16" i="13"/>
  <c r="G15" i="20" s="1"/>
  <c r="L17" i="13"/>
  <c r="G16" i="20" s="1"/>
  <c r="J14" i="13"/>
  <c r="J15" i="13"/>
  <c r="J16" i="13"/>
  <c r="J17" i="13"/>
  <c r="J13" i="13"/>
  <c r="F14" i="13"/>
  <c r="F14" i="4" s="1"/>
  <c r="F15" i="13"/>
  <c r="F15" i="4" s="1"/>
  <c r="F16" i="13"/>
  <c r="F16" i="4" s="1"/>
  <c r="F17" i="13"/>
  <c r="F17" i="4" s="1"/>
  <c r="F13" i="13"/>
  <c r="F13" i="4" s="1"/>
  <c r="D14" i="13"/>
  <c r="D15" i="13"/>
  <c r="D16" i="13"/>
  <c r="D17" i="13"/>
  <c r="L32" i="4"/>
  <c r="L33" i="4" s="1"/>
  <c r="F32" i="4"/>
  <c r="L37" i="4"/>
  <c r="L38" i="4"/>
  <c r="L39" i="4"/>
  <c r="L40" i="4"/>
  <c r="L41" i="4"/>
  <c r="L42" i="4"/>
  <c r="L43" i="4"/>
  <c r="L44" i="4"/>
  <c r="L45" i="4"/>
  <c r="L46" i="4"/>
  <c r="L47" i="4"/>
  <c r="L48" i="4"/>
  <c r="L36" i="4"/>
  <c r="F37" i="4"/>
  <c r="F38" i="4"/>
  <c r="F39" i="4"/>
  <c r="F40" i="4"/>
  <c r="F41" i="4"/>
  <c r="F42" i="4"/>
  <c r="F43" i="4"/>
  <c r="F44" i="4"/>
  <c r="F45" i="4"/>
  <c r="F46" i="4"/>
  <c r="F47" i="4"/>
  <c r="F48" i="4"/>
  <c r="F36" i="4"/>
  <c r="L33" i="1"/>
  <c r="G32" i="21"/>
  <c r="H33" i="1"/>
  <c r="N38" i="1"/>
  <c r="N46" i="1"/>
  <c r="H14" i="4"/>
  <c r="H15" i="4"/>
  <c r="H16" i="4"/>
  <c r="H17" i="4"/>
  <c r="H29" i="4" s="1"/>
  <c r="H13" i="4"/>
  <c r="D14" i="4"/>
  <c r="D15" i="4"/>
  <c r="D16" i="4"/>
  <c r="D17" i="4"/>
  <c r="D13" i="4"/>
  <c r="H33" i="4"/>
  <c r="I32" i="20"/>
  <c r="I12" i="21"/>
  <c r="I32" i="21"/>
  <c r="E12" i="20" l="1"/>
  <c r="E12" i="21"/>
  <c r="E12" i="19"/>
  <c r="E16" i="20"/>
  <c r="E16" i="21"/>
  <c r="E16" i="19"/>
  <c r="P13" i="13"/>
  <c r="E14" i="20"/>
  <c r="E14" i="21"/>
  <c r="E14" i="19"/>
  <c r="E13" i="21"/>
  <c r="E13" i="19"/>
  <c r="E13" i="20"/>
  <c r="E15" i="20"/>
  <c r="E15" i="21"/>
  <c r="E15" i="19"/>
  <c r="L13" i="4"/>
  <c r="L18" i="4" s="1"/>
  <c r="N29" i="4"/>
  <c r="Q20" i="20"/>
  <c r="Q26" i="20" s="1"/>
  <c r="Q26" i="19"/>
  <c r="N33" i="1"/>
  <c r="I12" i="19"/>
  <c r="I17" i="19" s="1"/>
  <c r="I28" i="19" s="1"/>
  <c r="L18" i="13"/>
  <c r="L29" i="13" s="1"/>
  <c r="J18" i="13"/>
  <c r="J29" i="13" s="1"/>
  <c r="I60" i="19"/>
  <c r="I48" i="19"/>
  <c r="I48" i="21"/>
  <c r="I60" i="21"/>
  <c r="I17" i="21"/>
  <c r="I28" i="21" s="1"/>
  <c r="N55" i="4"/>
  <c r="E32" i="19"/>
  <c r="G32" i="20"/>
  <c r="J32" i="4"/>
  <c r="G31" i="19" s="1"/>
  <c r="J36" i="4"/>
  <c r="G35" i="19" s="1"/>
  <c r="J41" i="4"/>
  <c r="G40" i="19" s="1"/>
  <c r="J52" i="4"/>
  <c r="G51" i="19" s="1"/>
  <c r="K52" i="20"/>
  <c r="M52" i="20" s="1"/>
  <c r="K52" i="19"/>
  <c r="M52" i="19" s="1"/>
  <c r="K59" i="20"/>
  <c r="M59" i="20" s="1"/>
  <c r="J60" i="4"/>
  <c r="G59" i="19" s="1"/>
  <c r="K14" i="20"/>
  <c r="J47" i="4"/>
  <c r="G46" i="19" s="1"/>
  <c r="J39" i="4"/>
  <c r="G38" i="19" s="1"/>
  <c r="K12" i="20"/>
  <c r="M12" i="20" s="1"/>
  <c r="K58" i="20"/>
  <c r="M58" i="20" s="1"/>
  <c r="J59" i="4"/>
  <c r="G58" i="19" s="1"/>
  <c r="J44" i="4"/>
  <c r="G43" i="19" s="1"/>
  <c r="J40" i="4"/>
  <c r="G39" i="19" s="1"/>
  <c r="J46" i="4"/>
  <c r="G45" i="19" s="1"/>
  <c r="J38" i="4"/>
  <c r="G37" i="19" s="1"/>
  <c r="K16" i="20"/>
  <c r="K57" i="20"/>
  <c r="M57" i="20" s="1"/>
  <c r="J58" i="4"/>
  <c r="G57" i="19" s="1"/>
  <c r="J48" i="4"/>
  <c r="G47" i="19" s="1"/>
  <c r="J45" i="4"/>
  <c r="G44" i="19" s="1"/>
  <c r="K15" i="20"/>
  <c r="K56" i="20"/>
  <c r="M56" i="20" s="1"/>
  <c r="J57" i="4"/>
  <c r="G56" i="19" s="1"/>
  <c r="K55" i="20"/>
  <c r="M55" i="20" s="1"/>
  <c r="J56" i="4"/>
  <c r="G55" i="19" s="1"/>
  <c r="J55" i="4"/>
  <c r="G54" i="19" s="1"/>
  <c r="J43" i="4"/>
  <c r="G42" i="19" s="1"/>
  <c r="K13" i="20"/>
  <c r="J42" i="4"/>
  <c r="G41" i="19" s="1"/>
  <c r="K53" i="20"/>
  <c r="M53" i="20" s="1"/>
  <c r="J54" i="4"/>
  <c r="G53" i="19" s="1"/>
  <c r="K43" i="21"/>
  <c r="M43" i="21" s="1"/>
  <c r="K42" i="21"/>
  <c r="M42" i="21" s="1"/>
  <c r="L61" i="4"/>
  <c r="I60" i="20"/>
  <c r="N61" i="13"/>
  <c r="H61" i="4"/>
  <c r="N44" i="4"/>
  <c r="I17" i="20"/>
  <c r="I28" i="20" s="1"/>
  <c r="H49" i="4"/>
  <c r="H49" i="1"/>
  <c r="H61" i="1"/>
  <c r="N56" i="4"/>
  <c r="J61" i="1"/>
  <c r="L49" i="4"/>
  <c r="H18" i="1"/>
  <c r="H29" i="1" s="1"/>
  <c r="N49" i="13"/>
  <c r="N59" i="1"/>
  <c r="I48" i="20"/>
  <c r="N48" i="4"/>
  <c r="N40" i="4"/>
  <c r="N48" i="1"/>
  <c r="N40" i="1"/>
  <c r="N60" i="1"/>
  <c r="N45" i="4"/>
  <c r="N37" i="4"/>
  <c r="N16" i="4"/>
  <c r="N57" i="1"/>
  <c r="N17" i="4"/>
  <c r="N53" i="4"/>
  <c r="N47" i="4"/>
  <c r="N39" i="4"/>
  <c r="N47" i="1"/>
  <c r="N39" i="1"/>
  <c r="N13" i="1"/>
  <c r="N60" i="4"/>
  <c r="N46" i="4"/>
  <c r="N38" i="4"/>
  <c r="H18" i="4"/>
  <c r="N17" i="1"/>
  <c r="N58" i="1"/>
  <c r="N59" i="4"/>
  <c r="N45" i="1"/>
  <c r="N37" i="1"/>
  <c r="N16" i="1"/>
  <c r="N58" i="4"/>
  <c r="N15" i="4"/>
  <c r="N44" i="1"/>
  <c r="N15" i="1"/>
  <c r="N56" i="1"/>
  <c r="N57" i="4"/>
  <c r="N43" i="4"/>
  <c r="N14" i="4"/>
  <c r="N43" i="1"/>
  <c r="N14" i="1"/>
  <c r="N55" i="1"/>
  <c r="N42" i="4"/>
  <c r="N42" i="1"/>
  <c r="N54" i="1"/>
  <c r="N41" i="4"/>
  <c r="N36" i="1"/>
  <c r="N41" i="1"/>
  <c r="N52" i="1"/>
  <c r="N53" i="1"/>
  <c r="N54" i="4"/>
  <c r="N36" i="4"/>
  <c r="N32" i="4"/>
  <c r="N52" i="4"/>
  <c r="L49" i="1"/>
  <c r="J49" i="1"/>
  <c r="J18" i="1"/>
  <c r="J29" i="1" s="1"/>
  <c r="G60" i="21"/>
  <c r="L18" i="1"/>
  <c r="N32" i="1"/>
  <c r="L61" i="1"/>
  <c r="J33" i="1"/>
  <c r="K41" i="21"/>
  <c r="M41" i="21" s="1"/>
  <c r="K40" i="21"/>
  <c r="M40" i="21" s="1"/>
  <c r="K46" i="21"/>
  <c r="M46" i="21" s="1"/>
  <c r="K38" i="21"/>
  <c r="M38" i="21" s="1"/>
  <c r="K47" i="21"/>
  <c r="M47" i="21" s="1"/>
  <c r="K45" i="21"/>
  <c r="M45" i="21" s="1"/>
  <c r="K37" i="21"/>
  <c r="M37" i="21" s="1"/>
  <c r="K39" i="21"/>
  <c r="M39" i="21" s="1"/>
  <c r="K44" i="21"/>
  <c r="M44" i="21" s="1"/>
  <c r="K36" i="21"/>
  <c r="M36" i="21" s="1"/>
  <c r="L49" i="13"/>
  <c r="L61" i="13"/>
  <c r="J33" i="13"/>
  <c r="L33" i="13"/>
  <c r="P39" i="13"/>
  <c r="P32" i="13"/>
  <c r="N33" i="13"/>
  <c r="P46" i="13"/>
  <c r="P38" i="13"/>
  <c r="P17" i="13"/>
  <c r="N18" i="13"/>
  <c r="P44" i="13"/>
  <c r="P15" i="13"/>
  <c r="P60" i="13"/>
  <c r="J49" i="13"/>
  <c r="J61" i="13"/>
  <c r="P43" i="13"/>
  <c r="P14" i="13"/>
  <c r="P59" i="13"/>
  <c r="P42" i="13"/>
  <c r="P58" i="13"/>
  <c r="P36" i="13"/>
  <c r="P41" i="13"/>
  <c r="P57" i="13"/>
  <c r="P48" i="13"/>
  <c r="P40" i="13"/>
  <c r="P56" i="13"/>
  <c r="P47" i="13"/>
  <c r="P55" i="13"/>
  <c r="P54" i="13"/>
  <c r="E32" i="20"/>
  <c r="P45" i="13"/>
  <c r="P37" i="13"/>
  <c r="P21" i="13"/>
  <c r="P16" i="13"/>
  <c r="P52" i="13"/>
  <c r="P53" i="13"/>
  <c r="E32" i="21"/>
  <c r="G17" i="21"/>
  <c r="G28" i="21" s="1"/>
  <c r="G48" i="21"/>
  <c r="K57" i="21"/>
  <c r="K35" i="21"/>
  <c r="M35" i="21" s="1"/>
  <c r="K53" i="21"/>
  <c r="K59" i="21"/>
  <c r="K52" i="21"/>
  <c r="K54" i="21"/>
  <c r="K58" i="21"/>
  <c r="K56" i="21"/>
  <c r="K15" i="21"/>
  <c r="N13" i="4" l="1"/>
  <c r="P33" i="13"/>
  <c r="N49" i="4"/>
  <c r="N18" i="4"/>
  <c r="N61" i="4"/>
  <c r="L29" i="1"/>
  <c r="N29" i="1" s="1"/>
  <c r="N18" i="1"/>
  <c r="N29" i="13"/>
  <c r="P29" i="13" s="1"/>
  <c r="P18" i="13"/>
  <c r="N61" i="1"/>
  <c r="N49" i="1"/>
  <c r="P49" i="13"/>
  <c r="P61" i="13"/>
  <c r="K53" i="19"/>
  <c r="M53" i="19" s="1"/>
  <c r="K54" i="19"/>
  <c r="M54" i="19" s="1"/>
  <c r="K55" i="19"/>
  <c r="M55" i="19" s="1"/>
  <c r="K56" i="19"/>
  <c r="M56" i="19" s="1"/>
  <c r="K15" i="19"/>
  <c r="M15" i="19" s="1"/>
  <c r="T15" i="19" s="1"/>
  <c r="K47" i="19"/>
  <c r="M47" i="19" s="1"/>
  <c r="T47" i="19" s="1"/>
  <c r="K57" i="19"/>
  <c r="M57" i="19" s="1"/>
  <c r="K58" i="19"/>
  <c r="M58" i="19" s="1"/>
  <c r="K46" i="19"/>
  <c r="M46" i="19" s="1"/>
  <c r="T46" i="19" s="1"/>
  <c r="G32" i="19"/>
  <c r="I62" i="21"/>
  <c r="I62" i="20"/>
  <c r="N27" i="1"/>
  <c r="I62" i="19"/>
  <c r="H63" i="4"/>
  <c r="H63" i="1"/>
  <c r="E17" i="19"/>
  <c r="E28" i="19" s="1"/>
  <c r="G60" i="20"/>
  <c r="J33" i="4"/>
  <c r="J18" i="4"/>
  <c r="K54" i="20"/>
  <c r="M54" i="20" s="1"/>
  <c r="G48" i="20"/>
  <c r="G17" i="20"/>
  <c r="G28" i="20" s="1"/>
  <c r="E60" i="19"/>
  <c r="G17" i="19"/>
  <c r="G28" i="19" s="1"/>
  <c r="M16" i="20"/>
  <c r="T16" i="20" s="1"/>
  <c r="R16" i="20" s="1"/>
  <c r="M54" i="21"/>
  <c r="T54" i="21" s="1"/>
  <c r="R54" i="21" s="1"/>
  <c r="M15" i="20"/>
  <c r="T15" i="20" s="1"/>
  <c r="R15" i="20" s="1"/>
  <c r="M58" i="21"/>
  <c r="T58" i="21" s="1"/>
  <c r="R58" i="21" s="1"/>
  <c r="M52" i="21"/>
  <c r="T52" i="21" s="1"/>
  <c r="R52" i="21" s="1"/>
  <c r="M59" i="21"/>
  <c r="T59" i="21" s="1"/>
  <c r="R59" i="21" s="1"/>
  <c r="M14" i="20"/>
  <c r="T14" i="20" s="1"/>
  <c r="R14" i="20" s="1"/>
  <c r="M55" i="21"/>
  <c r="T55" i="21" s="1"/>
  <c r="R55" i="21" s="1"/>
  <c r="M57" i="21"/>
  <c r="T57" i="21" s="1"/>
  <c r="R57" i="21" s="1"/>
  <c r="M53" i="21"/>
  <c r="T53" i="21" s="1"/>
  <c r="R53" i="21" s="1"/>
  <c r="E48" i="19"/>
  <c r="J49" i="4"/>
  <c r="M56" i="21"/>
  <c r="T56" i="21" s="1"/>
  <c r="R56" i="21" s="1"/>
  <c r="M13" i="20"/>
  <c r="T13" i="20" s="1"/>
  <c r="R13" i="20" s="1"/>
  <c r="M15" i="21"/>
  <c r="T15" i="21" s="1"/>
  <c r="R15" i="21" s="1"/>
  <c r="J61" i="4"/>
  <c r="K51" i="19"/>
  <c r="M51" i="19" s="1"/>
  <c r="L63" i="4"/>
  <c r="N63" i="13"/>
  <c r="J63" i="1"/>
  <c r="L63" i="1"/>
  <c r="L63" i="13"/>
  <c r="E60" i="21"/>
  <c r="E17" i="21"/>
  <c r="E28" i="21" s="1"/>
  <c r="E48" i="21"/>
  <c r="E17" i="20"/>
  <c r="E28" i="20" s="1"/>
  <c r="E48" i="20"/>
  <c r="K17" i="20"/>
  <c r="K28" i="20" s="1"/>
  <c r="G62" i="21"/>
  <c r="T35" i="21"/>
  <c r="R35" i="21" s="1"/>
  <c r="K48" i="21"/>
  <c r="T42" i="21"/>
  <c r="R42" i="21" s="1"/>
  <c r="T41" i="21"/>
  <c r="R41" i="21" s="1"/>
  <c r="T40" i="21"/>
  <c r="R40" i="21" s="1"/>
  <c r="T45" i="21"/>
  <c r="R45" i="21" s="1"/>
  <c r="T47" i="21"/>
  <c r="R47" i="21" s="1"/>
  <c r="T39" i="21"/>
  <c r="R39" i="21" s="1"/>
  <c r="T43" i="21"/>
  <c r="R43" i="21" s="1"/>
  <c r="T37" i="21"/>
  <c r="R37" i="21" s="1"/>
  <c r="T44" i="21"/>
  <c r="R44" i="21" s="1"/>
  <c r="T38" i="21"/>
  <c r="R38" i="21" s="1"/>
  <c r="T36" i="21"/>
  <c r="R36" i="21" s="1"/>
  <c r="T46" i="21"/>
  <c r="R46" i="21" s="1"/>
  <c r="R47" i="19" l="1"/>
  <c r="Q47" i="19" s="1"/>
  <c r="R15" i="19"/>
  <c r="Q15" i="19" s="1"/>
  <c r="R46" i="19"/>
  <c r="Q46" i="19" s="1"/>
  <c r="Q15" i="21"/>
  <c r="K31" i="19"/>
  <c r="M31" i="19" s="1"/>
  <c r="T31" i="19" s="1"/>
  <c r="G60" i="19"/>
  <c r="G48" i="19"/>
  <c r="N63" i="4"/>
  <c r="N63" i="1"/>
  <c r="G62" i="20"/>
  <c r="J63" i="4"/>
  <c r="E62" i="21"/>
  <c r="E62" i="20"/>
  <c r="E62" i="19"/>
  <c r="Q15" i="20" l="1"/>
  <c r="R31" i="19"/>
  <c r="Q31" i="19" s="1"/>
  <c r="Q32" i="19" s="1"/>
  <c r="K32" i="19"/>
  <c r="G62" i="19"/>
  <c r="T51" i="19"/>
  <c r="T52" i="19"/>
  <c r="T53" i="19"/>
  <c r="T54" i="19"/>
  <c r="T55" i="19"/>
  <c r="T56" i="19"/>
  <c r="T57" i="19"/>
  <c r="T58" i="19"/>
  <c r="T53" i="20"/>
  <c r="R53" i="20" s="1"/>
  <c r="T54" i="20"/>
  <c r="R54" i="20" s="1"/>
  <c r="T55" i="20"/>
  <c r="R55" i="20" s="1"/>
  <c r="T56" i="20"/>
  <c r="R56" i="20" s="1"/>
  <c r="T57" i="20"/>
  <c r="R57" i="20" s="1"/>
  <c r="T58" i="20"/>
  <c r="R58" i="20" s="1"/>
  <c r="R52" i="19" l="1"/>
  <c r="Q52" i="19" s="1"/>
  <c r="R53" i="19"/>
  <c r="Q53" i="19" s="1"/>
  <c r="R51" i="19"/>
  <c r="Q51" i="19" s="1"/>
  <c r="R56" i="19"/>
  <c r="Q56" i="19" s="1"/>
  <c r="R58" i="19"/>
  <c r="Q58" i="19" s="1"/>
  <c r="R57" i="19"/>
  <c r="Q57" i="19" s="1"/>
  <c r="R55" i="19"/>
  <c r="Q55" i="19" s="1"/>
  <c r="R54" i="19"/>
  <c r="Q54" i="19" s="1"/>
  <c r="Q57" i="21"/>
  <c r="Q58" i="21"/>
  <c r="Q56" i="21"/>
  <c r="Q55" i="21"/>
  <c r="Q54" i="21"/>
  <c r="Q53" i="21"/>
  <c r="Q52" i="21"/>
  <c r="Q52" i="20" l="1"/>
  <c r="Q54" i="20"/>
  <c r="Q56" i="20"/>
  <c r="Q58" i="20"/>
  <c r="Q55" i="20"/>
  <c r="Q57" i="20"/>
  <c r="K16" i="21" l="1"/>
  <c r="K31" i="21"/>
  <c r="M31" i="21" s="1"/>
  <c r="K13" i="21"/>
  <c r="K12" i="21"/>
  <c r="M12" i="21" s="1"/>
  <c r="K12" i="19"/>
  <c r="M13" i="21" l="1"/>
  <c r="T13" i="21" s="1"/>
  <c r="R13" i="21" s="1"/>
  <c r="M16" i="21"/>
  <c r="T16" i="21" s="1"/>
  <c r="R16" i="21" s="1"/>
  <c r="T12" i="21"/>
  <c r="R12" i="21" s="1"/>
  <c r="T31" i="21"/>
  <c r="R31" i="21" s="1"/>
  <c r="K32" i="21"/>
  <c r="M12" i="19"/>
  <c r="Q37" i="21"/>
  <c r="Q42" i="21"/>
  <c r="Q59" i="21"/>
  <c r="Q53" i="20" s="1"/>
  <c r="K40" i="19"/>
  <c r="K35" i="19"/>
  <c r="K37" i="20"/>
  <c r="M37" i="20" s="1"/>
  <c r="K45" i="20"/>
  <c r="M45" i="20" s="1"/>
  <c r="K44" i="20"/>
  <c r="M44" i="20" s="1"/>
  <c r="K40" i="20"/>
  <c r="M40" i="20" s="1"/>
  <c r="K46" i="20"/>
  <c r="M46" i="20" s="1"/>
  <c r="K51" i="20"/>
  <c r="K39" i="20"/>
  <c r="M39" i="20" s="1"/>
  <c r="K43" i="20"/>
  <c r="M43" i="20" s="1"/>
  <c r="K47" i="20"/>
  <c r="M47" i="20" s="1"/>
  <c r="K41" i="20"/>
  <c r="M41" i="20" s="1"/>
  <c r="K31" i="20"/>
  <c r="M31" i="20" s="1"/>
  <c r="K36" i="20"/>
  <c r="M36" i="20" s="1"/>
  <c r="K38" i="20"/>
  <c r="M38" i="20" s="1"/>
  <c r="K42" i="20"/>
  <c r="M42" i="20" s="1"/>
  <c r="K14" i="21"/>
  <c r="K14" i="19"/>
  <c r="M14" i="19" s="1"/>
  <c r="K51" i="21"/>
  <c r="M51" i="21" s="1"/>
  <c r="K60" i="20" l="1"/>
  <c r="M51" i="20"/>
  <c r="T51" i="20" s="1"/>
  <c r="R51" i="20" s="1"/>
  <c r="M14" i="21"/>
  <c r="T14" i="21" s="1"/>
  <c r="R14" i="21" s="1"/>
  <c r="T31" i="20"/>
  <c r="R31" i="20" s="1"/>
  <c r="K32" i="20"/>
  <c r="K17" i="21"/>
  <c r="K28" i="21" s="1"/>
  <c r="T51" i="21"/>
  <c r="R51" i="21" s="1"/>
  <c r="K60" i="21"/>
  <c r="M35" i="19"/>
  <c r="T35" i="19" s="1"/>
  <c r="Q12" i="21"/>
  <c r="Q31" i="21"/>
  <c r="Q31" i="20" s="1"/>
  <c r="Q40" i="21"/>
  <c r="Q38" i="21"/>
  <c r="Q44" i="21"/>
  <c r="Q41" i="21"/>
  <c r="Q39" i="21"/>
  <c r="Q43" i="21"/>
  <c r="Q45" i="21"/>
  <c r="Q46" i="21"/>
  <c r="Q46" i="20" s="1"/>
  <c r="Q36" i="21"/>
  <c r="Q47" i="21"/>
  <c r="Q47" i="20" s="1"/>
  <c r="Q35" i="21"/>
  <c r="K16" i="19"/>
  <c r="K13" i="19"/>
  <c r="M13" i="19" s="1"/>
  <c r="M40" i="19"/>
  <c r="T40" i="19" s="1"/>
  <c r="R40" i="19" s="1"/>
  <c r="K37" i="19"/>
  <c r="K39" i="19"/>
  <c r="K36" i="19"/>
  <c r="K41" i="19"/>
  <c r="K45" i="19"/>
  <c r="K44" i="19"/>
  <c r="K42" i="19"/>
  <c r="K38" i="19"/>
  <c r="K43" i="19"/>
  <c r="K59" i="19"/>
  <c r="T42" i="20"/>
  <c r="R42" i="20" s="1"/>
  <c r="T47" i="20"/>
  <c r="R47" i="20" s="1"/>
  <c r="T40" i="20"/>
  <c r="R40" i="20" s="1"/>
  <c r="T59" i="20"/>
  <c r="R59" i="20" s="1"/>
  <c r="T38" i="20"/>
  <c r="R38" i="20" s="1"/>
  <c r="T41" i="20"/>
  <c r="R41" i="20" s="1"/>
  <c r="T37" i="20"/>
  <c r="R37" i="20" s="1"/>
  <c r="T45" i="20"/>
  <c r="R45" i="20" s="1"/>
  <c r="T43" i="20"/>
  <c r="R43" i="20" s="1"/>
  <c r="T44" i="20"/>
  <c r="R44" i="20" s="1"/>
  <c r="T36" i="20"/>
  <c r="R36" i="20" s="1"/>
  <c r="T52" i="20"/>
  <c r="R52" i="20" s="1"/>
  <c r="T39" i="20"/>
  <c r="R39" i="20" s="1"/>
  <c r="T46" i="20"/>
  <c r="R46" i="20" s="1"/>
  <c r="K35" i="20"/>
  <c r="R35" i="19" l="1"/>
  <c r="Q35" i="19" s="1"/>
  <c r="Q35" i="20" s="1"/>
  <c r="Q51" i="21"/>
  <c r="K48" i="20"/>
  <c r="K62" i="20" s="1"/>
  <c r="M35" i="20"/>
  <c r="T35" i="20" s="1"/>
  <c r="R35" i="20" s="1"/>
  <c r="K48" i="19"/>
  <c r="K60" i="19"/>
  <c r="M59" i="19"/>
  <c r="T59" i="19" s="1"/>
  <c r="Q32" i="21"/>
  <c r="Q32" i="20"/>
  <c r="K62" i="21"/>
  <c r="Q48" i="21"/>
  <c r="K17" i="19"/>
  <c r="K28" i="19" s="1"/>
  <c r="Q13" i="21"/>
  <c r="Q16" i="21"/>
  <c r="T13" i="19"/>
  <c r="R13" i="19" s="1"/>
  <c r="M16" i="19"/>
  <c r="T16" i="19" s="1"/>
  <c r="R16" i="19" s="1"/>
  <c r="Q40" i="19"/>
  <c r="Q40" i="20" s="1"/>
  <c r="M36" i="19"/>
  <c r="T36" i="19" s="1"/>
  <c r="R36" i="19" s="1"/>
  <c r="M41" i="19"/>
  <c r="T41" i="19" s="1"/>
  <c r="R41" i="19" s="1"/>
  <c r="M39" i="19"/>
  <c r="T39" i="19" s="1"/>
  <c r="R39" i="19" s="1"/>
  <c r="M43" i="19"/>
  <c r="T43" i="19" s="1"/>
  <c r="R43" i="19" s="1"/>
  <c r="M37" i="19"/>
  <c r="T37" i="19" s="1"/>
  <c r="R37" i="19" s="1"/>
  <c r="M45" i="19"/>
  <c r="T45" i="19" s="1"/>
  <c r="R45" i="19" s="1"/>
  <c r="M38" i="19"/>
  <c r="T38" i="19" s="1"/>
  <c r="R38" i="19" s="1"/>
  <c r="M44" i="19"/>
  <c r="T44" i="19" s="1"/>
  <c r="R44" i="19" s="1"/>
  <c r="M42" i="19"/>
  <c r="T42" i="19" s="1"/>
  <c r="R42" i="19" s="1"/>
  <c r="T14" i="19"/>
  <c r="R14" i="19" s="1"/>
  <c r="R59" i="19" l="1"/>
  <c r="Q59" i="19" s="1"/>
  <c r="Q59" i="20" s="1"/>
  <c r="Q51" i="20"/>
  <c r="Q60" i="21"/>
  <c r="K62" i="19"/>
  <c r="T12" i="20"/>
  <c r="R12" i="20" s="1"/>
  <c r="Q16" i="19"/>
  <c r="Q16" i="20" s="1"/>
  <c r="Q14" i="19"/>
  <c r="Q13" i="19"/>
  <c r="Q13" i="20" s="1"/>
  <c r="Q45" i="19"/>
  <c r="Q45" i="20" s="1"/>
  <c r="Q43" i="19"/>
  <c r="Q37" i="19"/>
  <c r="Q37" i="20" s="1"/>
  <c r="Q39" i="19"/>
  <c r="Q39" i="20" s="1"/>
  <c r="Q42" i="19"/>
  <c r="Q42" i="20" s="1"/>
  <c r="Q44" i="19"/>
  <c r="Q44" i="20" s="1"/>
  <c r="Q36" i="19"/>
  <c r="Q36" i="20" s="1"/>
  <c r="Q41" i="19"/>
  <c r="Q38" i="19"/>
  <c r="Q14" i="21"/>
  <c r="Q60" i="19" l="1"/>
  <c r="Q60" i="20"/>
  <c r="Q14" i="20"/>
  <c r="Q43" i="20"/>
  <c r="Q38" i="20"/>
  <c r="Q41" i="20"/>
  <c r="Q17" i="21"/>
  <c r="Q48" i="19"/>
  <c r="Q48" i="20" l="1"/>
  <c r="T12" i="19"/>
  <c r="R12" i="19" s="1"/>
  <c r="Q12" i="19" l="1"/>
  <c r="Q12" i="20" l="1"/>
  <c r="Q17" i="20" s="1"/>
  <c r="Q17" i="19"/>
  <c r="J63" i="13"/>
  <c r="P27" i="13"/>
  <c r="P63" i="13" l="1"/>
  <c r="H16" i="13"/>
  <c r="H14" i="13"/>
  <c r="H38" i="13"/>
  <c r="H32" i="13"/>
  <c r="H22" i="13"/>
  <c r="H25" i="13"/>
  <c r="H59" i="13"/>
  <c r="H57" i="13"/>
  <c r="H56" i="13"/>
  <c r="H21" i="13"/>
  <c r="H44" i="13"/>
  <c r="H46" i="13"/>
  <c r="H39" i="13"/>
  <c r="H40" i="13"/>
  <c r="H60" i="13"/>
  <c r="H41" i="13"/>
  <c r="H58" i="13"/>
  <c r="H24" i="13"/>
  <c r="H53" i="13"/>
  <c r="H37" i="13"/>
  <c r="H54" i="13"/>
  <c r="H55" i="13"/>
  <c r="H47" i="13"/>
  <c r="H48" i="13"/>
  <c r="H36" i="13"/>
  <c r="H23" i="13"/>
  <c r="H15" i="13"/>
  <c r="H42" i="13"/>
  <c r="H52" i="13"/>
  <c r="H45" i="13"/>
  <c r="H17" i="13"/>
  <c r="H13" i="13"/>
  <c r="H43" i="13"/>
  <c r="H26" i="13"/>
  <c r="Q28" i="21" l="1"/>
  <c r="Q62" i="21" l="1"/>
  <c r="Q28" i="20"/>
  <c r="Q28" i="19" l="1"/>
  <c r="Q62" i="20"/>
  <c r="Q62" i="19" l="1"/>
</calcChain>
</file>

<file path=xl/sharedStrings.xml><?xml version="1.0" encoding="utf-8"?>
<sst xmlns="http://schemas.openxmlformats.org/spreadsheetml/2006/main" count="854" uniqueCount="135">
  <si>
    <t>ATCO ELECTRIC YUKON</t>
  </si>
  <si>
    <t>TABLE 1. SUMMARY OF SERVICE LIFE AND NET SALVAGE ESTIMATES AND CALCULATED ANNUAL AND</t>
  </si>
  <si>
    <t>ACCRUED DEPRECIATION RELATED TO THE RECOVERY OF AVERAGE ORIGINAL COST IN ELECTRIC PLANT</t>
  </si>
  <si>
    <t>BASED ON ORIGINAL COSTS AS OF DECEMBER 31, 2022</t>
  </si>
  <si>
    <t xml:space="preserve">"TOTAL" </t>
  </si>
  <si>
    <t>COMPLIANCE FILING PER DECISION 2024-01</t>
  </si>
  <si>
    <t>Account</t>
  </si>
  <si>
    <t>Description</t>
  </si>
  <si>
    <t>Estimated
Survivor
Curve</t>
  </si>
  <si>
    <t>Net
Salvage
Percent</t>
  </si>
  <si>
    <t>Investment Percentage</t>
  </si>
  <si>
    <t>Surviving
Original Cost
as of 12/31/2022</t>
  </si>
  <si>
    <t>Calculated Accrued 
Depreciation</t>
  </si>
  <si>
    <t>Annual
Accrual
Amount</t>
  </si>
  <si>
    <t>Annual
Accrual
Rate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</si>
  <si>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</si>
  <si>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</si>
  <si>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</si>
  <si>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</si>
  <si>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</si>
  <si>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</si>
  <si>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</si>
  <si>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</si>
  <si>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</si>
  <si>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PLANT IN SERVICE</t>
  </si>
  <si>
    <t>GENERATION</t>
  </si>
  <si>
    <t>HYDRO GENERATION</t>
  </si>
  <si>
    <t>Structures and Improvements</t>
  </si>
  <si>
    <t>Reservoirs, Dams, and Waterways</t>
  </si>
  <si>
    <t>Water Wheels, Turbines and Generators</t>
  </si>
  <si>
    <t>Accessory Electric Equipment</t>
  </si>
  <si>
    <t>Miscellaneous Power Plant Equipment</t>
  </si>
  <si>
    <t>TOTAL HYDRO GENERATION</t>
  </si>
  <si>
    <t>DIESEL GENERATION</t>
  </si>
  <si>
    <t>Int Combust Structures</t>
  </si>
  <si>
    <t>Int Combust Fuel Holders, Producers and Accessories</t>
  </si>
  <si>
    <t>Int Combust Generators</t>
  </si>
  <si>
    <t>Int Combust Accessory</t>
  </si>
  <si>
    <t>Int Combust Miscellaneous</t>
  </si>
  <si>
    <t>Renewable Energy Storage</t>
  </si>
  <si>
    <t>TOTAL DIESEL GENERATION</t>
  </si>
  <si>
    <t>TOTAL GENERATION</t>
  </si>
  <si>
    <t>SUBSTATION PLANT</t>
  </si>
  <si>
    <t>Station Equipment</t>
  </si>
  <si>
    <t>TOTAL SUBSTATION PLANT</t>
  </si>
  <si>
    <t>DISTRIBUTION PLANT</t>
  </si>
  <si>
    <t>Land Rights</t>
  </si>
  <si>
    <t>System Communication &amp; Control</t>
  </si>
  <si>
    <t>Poles, Towers and Fixtures</t>
  </si>
  <si>
    <t>Overhead Conductors and Devices</t>
  </si>
  <si>
    <t>Overhead Services</t>
  </si>
  <si>
    <t>Underground Conductor and Devices</t>
  </si>
  <si>
    <t>Underground Services</t>
  </si>
  <si>
    <t>Line Transformers</t>
  </si>
  <si>
    <t>Conventional Meters</t>
  </si>
  <si>
    <t>Automated Meters</t>
  </si>
  <si>
    <t>Street Lights</t>
  </si>
  <si>
    <t>Sentinel Lights</t>
  </si>
  <si>
    <t>TOTAL DISTRIBUTION PLANT</t>
  </si>
  <si>
    <t>GENERAL PLANT</t>
  </si>
  <si>
    <t>Structures and Improvements - Houses</t>
  </si>
  <si>
    <t>Office Furniture and Equipment</t>
  </si>
  <si>
    <t>Computer Hardware &amp; Voice and Data Network Equipment</t>
  </si>
  <si>
    <t>Computer Software and Applications Major (10 YR)</t>
  </si>
  <si>
    <t>Transportation Equipment, Fleet Vehicles, Category 2</t>
  </si>
  <si>
    <t>Transportation Equipment, Fleet Vehicles, Category 3</t>
  </si>
  <si>
    <t>Transportation Equipment, Fleet Vehicles, Category 4</t>
  </si>
  <si>
    <t>Tools, Shop, Garage, Stores and Laboratory Equipment</t>
  </si>
  <si>
    <t>TOTAL GENERAL PLANT</t>
  </si>
  <si>
    <t>TOTAL PLANT STUDIED</t>
  </si>
  <si>
    <t>TABLE 1A. SUMMARY OF SERVICE LIFE AND NET SALVAGE ESTIMATES AND CALCULATED ANNUAL AND</t>
  </si>
  <si>
    <t xml:space="preserve">"LIFE" </t>
  </si>
  <si>
    <t>TABLE 1B. SUMMARY OF SERVICE LIFE AND NET SALVAGE ESTIMATES AND CALCULATED ANNUAL AND</t>
  </si>
  <si>
    <t xml:space="preserve">"NET SALVAGE" </t>
  </si>
  <si>
    <t>Calculated
Accrued 
Depreciation</t>
  </si>
  <si>
    <t>TABLE 2.  CALCULATED ACCRUED DEPRECIATION, BOOK ACCUMULATED DEPRECIATION AND DETERMINATION OF ANNUAL PROVISION</t>
  </si>
  <si>
    <t>FOR TRUE-UP RELATED TO ESTIMATED ORIGINAL COST AS OF DECEMBER 31, 2022</t>
  </si>
  <si>
    <t>"TOTAL"</t>
  </si>
  <si>
    <t>Calculated 
Accrued 
Depreciation</t>
  </si>
  <si>
    <t>Book
Accumulated
Depreciation</t>
  </si>
  <si>
    <t>Accumulated
Depreciation 
Variance Amount</t>
  </si>
  <si>
    <t>Accumulated
Depreciation 
Variance Percent</t>
  </si>
  <si>
    <t>Probable
Remaining Life</t>
  </si>
  <si>
    <t>Annual
Provision
for True-up</t>
  </si>
  <si>
    <t>(6) = (4)-(5)</t>
  </si>
  <si>
    <t>(7)=(6)/(4)</t>
  </si>
  <si>
    <t>(9)=(6)/(8)</t>
  </si>
  <si>
    <t xml:space="preserve">* True-Up is calculated only when a variance of 5% or greater exists. </t>
  </si>
  <si>
    <t>** True up relates to either Net Salvage or Life only</t>
  </si>
  <si>
    <t xml:space="preserve"> +  Remaining life is limited to be no less than 3 years.</t>
  </si>
  <si>
    <t>TABLE 2A.  CALCULATED ACCRUED DEPRECIATION, BOOK ACCUMULATED DEPRECIATION AND DETERMINATION OF ANNUAL PROVISION</t>
  </si>
  <si>
    <t>"LIFE"</t>
  </si>
  <si>
    <t>TABLE 2B.  CALCULATED ACCRUED DEPRECIATION, BOOK ACCUMULATED DEPRECIATION AND DETERMINATION OF ANNUAL PROVISION</t>
  </si>
  <si>
    <t>"NET SALVAGE"</t>
  </si>
  <si>
    <t>* True-Up is calculated only when a variance of 5% or greater exists.</t>
  </si>
  <si>
    <t>ACCOUNT</t>
  </si>
  <si>
    <t>Booked Reserve</t>
  </si>
  <si>
    <t>TRUNC DATE</t>
  </si>
  <si>
    <t>ASL</t>
  </si>
  <si>
    <t>CURVE</t>
  </si>
  <si>
    <t>NET SALVAGE</t>
  </si>
  <si>
    <t>ORGINAL COST</t>
  </si>
  <si>
    <t>CALCULATED ACCUMULATED DEPRECIATION</t>
  </si>
  <si>
    <t>ANNUAL ACCRUAL</t>
  </si>
  <si>
    <t>COMPOSITE ANNUAL ACCRUAL RATE</t>
  </si>
  <si>
    <t>REMAINING LIFE</t>
  </si>
  <si>
    <t>THEORETICAL ACCUMULATED DEPRECIATION FACTOR</t>
  </si>
  <si>
    <t>R3</t>
  </si>
  <si>
    <t>R4</t>
  </si>
  <si>
    <t>S2</t>
  </si>
  <si>
    <t>R2.5</t>
  </si>
  <si>
    <t>R2</t>
  </si>
  <si>
    <t>R5</t>
  </si>
  <si>
    <t>S2.5</t>
  </si>
  <si>
    <t>L4</t>
  </si>
  <si>
    <t>L3</t>
  </si>
  <si>
    <t>SQ</t>
  </si>
  <si>
    <t>L1</t>
  </si>
  <si>
    <t>R1.5</t>
  </si>
  <si>
    <t>S1</t>
  </si>
  <si>
    <t>S1.5</t>
  </si>
  <si>
    <t>AGE</t>
  </si>
  <si>
    <t>Age</t>
  </si>
  <si>
    <t>Notes</t>
  </si>
  <si>
    <t>Updated for compliance filing</t>
  </si>
  <si>
    <t>Updated October 27</t>
  </si>
  <si>
    <t>R0.5</t>
  </si>
  <si>
    <t>L0</t>
  </si>
  <si>
    <t>Exported On: 6/3/2024 3:51:03 PM</t>
  </si>
  <si>
    <t>Life</t>
  </si>
  <si>
    <t>Life - Updated October 25</t>
  </si>
  <si>
    <t>Life - has been adjusted for retired balances beyond curve 101923</t>
  </si>
  <si>
    <t>Exported On: 10/25/2023 7:02:36 PM</t>
  </si>
  <si>
    <t>Curve</t>
  </si>
  <si>
    <t>Exported On: 10/25/2023 7:06:05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</si>
</sst>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_(* #,##0.0_);_(* \(#,##0.0\);_(* &quot;-&quot;??_);_(@_)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11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1"/>
      <color rgb="FFFF0000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0" xfId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49" fontId="11" fillId="0" borderId="0" xfId="0" applyNumberFormat="1" applyFont="1" applyAlignment="1">
      <alignment horizontal="left"/>
    </xf>
    <xf numFmtId="0" fontId="11" fillId="0" borderId="0" xfId="0" quotePrefix="1" applyFont="1" applyAlignment="1">
      <alignment horizontal="right"/>
    </xf>
    <xf numFmtId="0" fontId="9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0" xfId="1" applyNumberFormat="1" applyFont="1" applyBorder="1" applyAlignment="1">
      <alignment horizontal="right"/>
    </xf>
    <xf numFmtId="41" fontId="7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/>
    <xf numFmtId="41" fontId="7" fillId="0" borderId="0" xfId="1" applyNumberFormat="1" applyFont="1" applyFill="1" applyBorder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/>
    </xf>
    <xf numFmtId="0" fontId="10" fillId="0" borderId="0" xfId="0" applyFont="1"/>
    <xf numFmtId="49" fontId="10" fillId="0" borderId="0" xfId="0" applyNumberFormat="1" applyFont="1" applyAlignment="1">
      <alignment horizontal="right"/>
    </xf>
    <xf numFmtId="43" fontId="10" fillId="0" borderId="0" xfId="1" applyFont="1" applyBorder="1" applyAlignment="1">
      <alignment horizontal="right"/>
    </xf>
    <xf numFmtId="164" fontId="10" fillId="0" borderId="0" xfId="1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/>
    </xf>
    <xf numFmtId="0" fontId="9" fillId="2" borderId="0" xfId="0" applyFont="1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64" fontId="6" fillId="0" borderId="0" xfId="1" applyNumberFormat="1" applyFont="1" applyFill="1" applyBorder="1"/>
    <xf numFmtId="164" fontId="6" fillId="0" borderId="0" xfId="1" applyNumberFormat="1" applyFont="1" applyFill="1" applyBorder="1" applyAlignment="1">
      <alignment horizontal="right"/>
    </xf>
    <xf numFmtId="49" fontId="11" fillId="0" borderId="0" xfId="1" applyNumberFormat="1" applyFont="1" applyFill="1" applyBorder="1" applyAlignment="1">
      <alignment horizontal="left"/>
    </xf>
    <xf numFmtId="164" fontId="11" fillId="0" borderId="0" xfId="1" quotePrefix="1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49" fontId="11" fillId="0" borderId="0" xfId="0" quotePrefix="1" applyNumberFormat="1" applyFont="1" applyAlignment="1">
      <alignment horizontal="right"/>
    </xf>
    <xf numFmtId="49" fontId="11" fillId="0" borderId="0" xfId="0" applyNumberFormat="1" applyFont="1" applyAlignment="1">
      <alignment horizontal="right"/>
    </xf>
    <xf numFmtId="164" fontId="11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49" fontId="10" fillId="0" borderId="0" xfId="0" applyNumberFormat="1" applyFont="1" applyAlignment="1">
      <alignment horizontal="center"/>
    </xf>
    <xf numFmtId="43" fontId="14" fillId="0" borderId="0" xfId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4" fontId="11" fillId="2" borderId="0" xfId="1" applyNumberFormat="1" applyFont="1" applyFill="1" applyBorder="1" applyAlignment="1">
      <alignment horizontal="right"/>
    </xf>
    <xf numFmtId="37" fontId="11" fillId="0" borderId="0" xfId="1" applyNumberFormat="1" applyFont="1" applyFill="1" applyBorder="1" applyAlignment="1">
      <alignment horizontal="right"/>
    </xf>
    <xf numFmtId="49" fontId="11" fillId="0" borderId="0" xfId="1" applyNumberFormat="1" applyFont="1" applyFill="1" applyBorder="1" applyAlignment="1">
      <alignment horizontal="right"/>
    </xf>
    <xf numFmtId="43" fontId="7" fillId="0" borderId="0" xfId="0" applyNumberFormat="1" applyFont="1" applyAlignment="1">
      <alignment horizontal="right" vertical="center"/>
    </xf>
    <xf numFmtId="164" fontId="9" fillId="0" borderId="0" xfId="1" applyNumberFormat="1" applyFont="1" applyFill="1" applyBorder="1"/>
    <xf numFmtId="0" fontId="7" fillId="0" borderId="0" xfId="0" applyFont="1" applyAlignment="1">
      <alignment vertical="center"/>
    </xf>
    <xf numFmtId="164" fontId="7" fillId="0" borderId="0" xfId="1" applyNumberFormat="1" applyFont="1" applyFill="1" applyBorder="1" applyAlignme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16" fillId="0" borderId="0" xfId="1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41" fontId="10" fillId="0" borderId="0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 vertical="center" wrapText="1"/>
    </xf>
    <xf numFmtId="41" fontId="10" fillId="0" borderId="0" xfId="0" applyNumberFormat="1" applyFont="1" applyAlignment="1">
      <alignment horizontal="right"/>
    </xf>
    <xf numFmtId="165" fontId="10" fillId="0" borderId="0" xfId="1" applyNumberFormat="1" applyFont="1" applyFill="1" applyBorder="1" applyAlignment="1">
      <alignment horizontal="right"/>
    </xf>
    <xf numFmtId="166" fontId="10" fillId="0" borderId="0" xfId="1" applyNumberFormat="1" applyFont="1" applyFill="1" applyBorder="1" applyAlignment="1">
      <alignment horizontal="right"/>
    </xf>
    <xf numFmtId="0" fontId="17" fillId="0" borderId="0" xfId="0" applyFont="1"/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horizontal="right" wrapText="1"/>
    </xf>
    <xf numFmtId="10" fontId="7" fillId="0" borderId="0" xfId="10" applyNumberFormat="1" applyFont="1" applyFill="1" applyBorder="1" applyAlignment="1">
      <alignment horizontal="right"/>
    </xf>
    <xf numFmtId="0" fontId="4" fillId="0" borderId="0" xfId="3"/>
    <xf numFmtId="164" fontId="7" fillId="0" borderId="0" xfId="0" applyNumberFormat="1" applyFon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37" fontId="11" fillId="0" borderId="0" xfId="1" quotePrefix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41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10" fontId="15" fillId="0" borderId="0" xfId="10" applyNumberFormat="1" applyFont="1" applyAlignment="1">
      <alignment horizontal="right" vertical="center"/>
    </xf>
    <xf numFmtId="10" fontId="10" fillId="0" borderId="0" xfId="10" applyNumberFormat="1" applyFont="1" applyAlignment="1">
      <alignment horizontal="right"/>
    </xf>
    <xf numFmtId="10" fontId="12" fillId="0" borderId="0" xfId="10" applyNumberFormat="1" applyFont="1" applyAlignment="1">
      <alignment horizontal="right"/>
    </xf>
    <xf numFmtId="10" fontId="11" fillId="2" borderId="0" xfId="10" applyNumberFormat="1" applyFont="1" applyFill="1" applyAlignment="1">
      <alignment horizontal="right" wrapText="1"/>
    </xf>
    <xf numFmtId="10" fontId="10" fillId="0" borderId="0" xfId="10" applyNumberFormat="1" applyFont="1" applyFill="1" applyBorder="1" applyAlignment="1">
      <alignment horizontal="right"/>
    </xf>
    <xf numFmtId="10" fontId="8" fillId="0" borderId="0" xfId="10" applyNumberFormat="1" applyFont="1" applyAlignment="1">
      <alignment horizontal="left"/>
    </xf>
    <xf numFmtId="10" fontId="6" fillId="0" borderId="0" xfId="10" applyNumberFormat="1" applyFont="1" applyAlignment="1">
      <alignment horizontal="right"/>
    </xf>
    <xf numFmtId="10" fontId="6" fillId="0" borderId="0" xfId="10" applyNumberFormat="1" applyFont="1" applyFill="1" applyBorder="1" applyAlignment="1">
      <alignment horizontal="right"/>
    </xf>
    <xf numFmtId="164" fontId="10" fillId="0" borderId="1" xfId="1" applyNumberFormat="1" applyFont="1" applyFill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43" fontId="7" fillId="0" borderId="0" xfId="1" applyFont="1"/>
    <xf numFmtId="164" fontId="0" fillId="0" borderId="0" xfId="0" applyNumberFormat="1"/>
    <xf numFmtId="10" fontId="16" fillId="0" borderId="0" xfId="10" applyNumberFormat="1" applyFont="1" applyAlignment="1">
      <alignment horizontal="right" vertical="center"/>
    </xf>
    <xf numFmtId="10" fontId="7" fillId="0" borderId="0" xfId="10" applyNumberFormat="1" applyFont="1" applyAlignment="1">
      <alignment horizontal="right"/>
    </xf>
    <xf numFmtId="10" fontId="13" fillId="0" borderId="0" xfId="10" applyNumberFormat="1" applyFont="1" applyAlignment="1">
      <alignment horizontal="right"/>
    </xf>
    <xf numFmtId="10" fontId="11" fillId="2" borderId="0" xfId="10" applyNumberFormat="1" applyFont="1" applyFill="1" applyBorder="1" applyAlignment="1">
      <alignment horizontal="right" wrapText="1"/>
    </xf>
    <xf numFmtId="10" fontId="7" fillId="0" borderId="1" xfId="10" applyNumberFormat="1" applyFont="1" applyFill="1" applyBorder="1" applyAlignment="1">
      <alignment horizontal="right"/>
    </xf>
    <xf numFmtId="0" fontId="11" fillId="0" borderId="0" xfId="1" quotePrefix="1" applyNumberFormat="1" applyFont="1" applyFill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41" fontId="7" fillId="0" borderId="2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>
      <alignment horizontal="right"/>
    </xf>
    <xf numFmtId="10" fontId="0" fillId="0" borderId="0" xfId="0" applyNumberFormat="1"/>
    <xf numFmtId="9" fontId="7" fillId="0" borderId="0" xfId="10" applyFont="1" applyFill="1" applyBorder="1" applyAlignment="1">
      <alignment horizontal="right"/>
    </xf>
    <xf numFmtId="49" fontId="11" fillId="0" borderId="0" xfId="10" applyNumberFormat="1" applyFont="1" applyFill="1" applyBorder="1" applyAlignment="1">
      <alignment horizontal="right"/>
    </xf>
    <xf numFmtId="49" fontId="11" fillId="0" borderId="0" xfId="10" quotePrefix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0" fontId="10" fillId="0" borderId="1" xfId="10" applyNumberFormat="1" applyFont="1" applyFill="1" applyBorder="1" applyAlignment="1">
      <alignment horizontal="right"/>
    </xf>
    <xf numFmtId="41" fontId="7" fillId="0" borderId="0" xfId="1" applyNumberFormat="1" applyFont="1" applyAlignment="1">
      <alignment horizontal="right"/>
    </xf>
    <xf numFmtId="9" fontId="7" fillId="0" borderId="0" xfId="10" applyFont="1" applyAlignment="1">
      <alignment horizontal="right"/>
    </xf>
    <xf numFmtId="166" fontId="7" fillId="0" borderId="0" xfId="1" applyNumberFormat="1" applyFont="1" applyAlignment="1">
      <alignment horizontal="right"/>
    </xf>
    <xf numFmtId="41" fontId="7" fillId="0" borderId="0" xfId="1" applyNumberFormat="1" applyFont="1" applyBorder="1" applyAlignment="1">
      <alignment horizontal="right"/>
    </xf>
    <xf numFmtId="41" fontId="7" fillId="0" borderId="1" xfId="1" applyNumberFormat="1" applyFont="1" applyBorder="1" applyAlignment="1">
      <alignment horizontal="right"/>
    </xf>
    <xf numFmtId="41" fontId="7" fillId="0" borderId="2" xfId="1" applyNumberFormat="1" applyFont="1" applyBorder="1" applyAlignment="1">
      <alignment horizontal="right"/>
    </xf>
  </cellXfs>
  <cellStyles count="11">
    <cellStyle name="Comma" xfId="1" builtinId="3"/>
    <cellStyle name="Comma 2" xfId="4" xr:uid="{00000000-0005-0000-0000-000001000000}"/>
    <cellStyle name="Comma 3" xfId="8" xr:uid="{00000000-0005-0000-0000-000034000000}"/>
    <cellStyle name="Normal" xfId="0" builtinId="0"/>
    <cellStyle name="Normal 2" xfId="3" xr:uid="{00000000-0005-0000-0000-000003000000}"/>
    <cellStyle name="Normal 2 2" xfId="9" xr:uid="{CFA2D5C3-83DD-43C7-A232-481F1F713BC3}"/>
    <cellStyle name="Normal 3" xfId="5" xr:uid="{00000000-0005-0000-0000-000004000000}"/>
    <cellStyle name="Normal 4" xfId="2" xr:uid="{00000000-0005-0000-0000-000030000000}"/>
    <cellStyle name="Normal 5" xfId="6" xr:uid="{00000000-0005-0000-0000-000033000000}"/>
    <cellStyle name="Normal 6" xfId="7" xr:uid="{00000000-0005-0000-0000-000035000000}"/>
    <cellStyle name="Percent" xfId="10" builtinId="5"/>
  </cellStyles>
  <dxfs count="24"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4F5FD-9D32-4198-BBFE-D5EDDF44720F}">
  <dimension ref="A1:T63"/>
  <sheetViews>
    <sheetView tabSelected="1" zoomScaleNormal="100" workbookViewId="0">
      <selection activeCell="R16" sqref="R16"/>
    </sheetView>
  </sheetViews>
  <sheetFormatPr defaultColWidth="9.1796875" defaultRowHeight="12.5" x14ac:dyDescent="0.25"/>
  <cols>
    <col min="1" max="1" width="8.7265625" style="21" customWidth="1"/>
    <col min="2" max="2" width="2.81640625" style="21" customWidth="1"/>
    <col min="3" max="3" width="47.54296875" style="21" bestFit="1" customWidth="1"/>
    <col min="4" max="4" width="9.54296875" style="2" bestFit="1" customWidth="1"/>
    <col min="5" max="5" width="1.7265625" style="2" customWidth="1"/>
    <col min="6" max="6" width="7.81640625" style="2" bestFit="1" customWidth="1"/>
    <col min="7" max="7" width="3.453125" style="2" customWidth="1"/>
    <col min="8" max="8" width="12.81640625" style="88" customWidth="1"/>
    <col min="9" max="9" width="1.7265625" style="2" customWidth="1"/>
    <col min="10" max="10" width="17.26953125" style="3" bestFit="1" customWidth="1"/>
    <col min="11" max="11" width="1.7265625" style="2" customWidth="1"/>
    <col min="12" max="12" width="17.26953125" style="4" bestFit="1" customWidth="1"/>
    <col min="13" max="13" width="1.7265625" style="2" customWidth="1"/>
    <col min="14" max="14" width="16" style="4" bestFit="1" customWidth="1"/>
    <col min="15" max="15" width="1.7265625" style="2" customWidth="1"/>
    <col min="16" max="16" width="9.453125" style="88" bestFit="1" customWidth="1"/>
    <col min="17" max="17" width="15" style="2" bestFit="1" customWidth="1"/>
    <col min="18" max="18" width="23.1796875" style="1" customWidth="1"/>
    <col min="19" max="19" width="9.1796875" style="1"/>
    <col min="20" max="20" width="12.7265625" style="1" bestFit="1" customWidth="1"/>
    <col min="21" max="21" width="13" style="1" bestFit="1" customWidth="1"/>
    <col min="22" max="22" width="13.26953125" style="1" bestFit="1" customWidth="1"/>
    <col min="23" max="16384" width="9.1796875" style="1"/>
  </cols>
  <sheetData>
    <row r="1" spans="1:19" s="59" customFormat="1" ht="30" customHeight="1" x14ac:dyDescent="0.25">
      <c r="A1" s="57" t="s">
        <v>0</v>
      </c>
      <c r="B1" s="57"/>
      <c r="C1" s="57"/>
      <c r="D1" s="58"/>
      <c r="E1" s="58"/>
      <c r="F1" s="58"/>
      <c r="G1" s="58"/>
      <c r="H1" s="94"/>
      <c r="I1" s="58"/>
      <c r="J1" s="58"/>
      <c r="K1" s="58"/>
      <c r="L1" s="58"/>
      <c r="M1" s="58"/>
      <c r="N1" s="58"/>
      <c r="O1" s="58"/>
      <c r="P1" s="82"/>
      <c r="Q1" s="62"/>
    </row>
    <row r="2" spans="1:19" s="8" customFormat="1" ht="15" customHeight="1" x14ac:dyDescent="0.3">
      <c r="A2" s="14" t="s">
        <v>1</v>
      </c>
      <c r="B2" s="14"/>
      <c r="C2" s="14"/>
      <c r="D2" s="13"/>
      <c r="E2" s="13"/>
      <c r="F2" s="13"/>
      <c r="G2" s="13"/>
      <c r="H2" s="95"/>
      <c r="I2" s="13"/>
      <c r="J2" s="13"/>
      <c r="K2" s="13"/>
      <c r="L2" s="13"/>
      <c r="M2" s="13"/>
      <c r="N2" s="13"/>
      <c r="O2" s="13"/>
      <c r="P2" s="83"/>
      <c r="Q2" s="10"/>
    </row>
    <row r="3" spans="1:19" s="8" customFormat="1" ht="15" customHeight="1" x14ac:dyDescent="0.3">
      <c r="A3" s="14" t="s">
        <v>2</v>
      </c>
      <c r="B3" s="14"/>
      <c r="C3" s="14"/>
      <c r="D3" s="13"/>
      <c r="E3" s="13"/>
      <c r="F3" s="13"/>
      <c r="G3" s="13"/>
      <c r="H3" s="95"/>
      <c r="I3" s="13"/>
      <c r="J3" s="13"/>
      <c r="K3" s="13"/>
      <c r="L3" s="13"/>
      <c r="M3" s="13"/>
      <c r="N3" s="13"/>
      <c r="O3" s="13"/>
      <c r="P3" s="83"/>
      <c r="Q3" s="10"/>
    </row>
    <row r="4" spans="1:19" s="8" customFormat="1" ht="15" customHeight="1" x14ac:dyDescent="0.3">
      <c r="A4" s="14" t="s">
        <v>3</v>
      </c>
      <c r="B4" s="14"/>
      <c r="C4" s="14"/>
      <c r="D4" s="13"/>
      <c r="E4" s="13"/>
      <c r="F4" s="13"/>
      <c r="G4" s="13"/>
      <c r="H4" s="95"/>
      <c r="I4" s="13"/>
      <c r="J4" s="13"/>
      <c r="K4" s="13"/>
      <c r="L4" s="13"/>
      <c r="M4" s="13"/>
      <c r="N4" s="13"/>
      <c r="O4" s="13"/>
      <c r="P4" s="83"/>
      <c r="Q4" s="10"/>
    </row>
    <row r="5" spans="1:19" s="18" customFormat="1" ht="25" customHeight="1" x14ac:dyDescent="0.35">
      <c r="A5" s="16" t="s">
        <v>4</v>
      </c>
      <c r="B5" s="16"/>
      <c r="C5" s="16"/>
      <c r="D5" s="17"/>
      <c r="E5" s="17"/>
      <c r="F5" s="17"/>
      <c r="G5" s="17"/>
      <c r="H5" s="96"/>
      <c r="I5" s="17"/>
      <c r="J5" s="17"/>
      <c r="K5" s="17"/>
      <c r="L5" s="17"/>
      <c r="M5" s="17"/>
      <c r="N5" s="17"/>
      <c r="O5" s="17"/>
      <c r="P5" s="84"/>
      <c r="Q5" s="46"/>
    </row>
    <row r="6" spans="1:19" s="18" customFormat="1" ht="25" customHeight="1" x14ac:dyDescent="0.35">
      <c r="A6" s="16" t="s">
        <v>5</v>
      </c>
      <c r="B6" s="16"/>
      <c r="C6" s="16"/>
      <c r="D6" s="17"/>
      <c r="E6" s="17"/>
      <c r="F6" s="17"/>
      <c r="G6" s="17"/>
      <c r="H6" s="96"/>
      <c r="I6" s="17"/>
      <c r="J6" s="17"/>
      <c r="K6" s="17"/>
      <c r="L6" s="17"/>
      <c r="M6" s="17"/>
      <c r="N6" s="17"/>
      <c r="O6" s="17"/>
      <c r="P6" s="84"/>
      <c r="Q6" s="46"/>
    </row>
    <row r="7" spans="1:19" s="30" customFormat="1" ht="34.5" x14ac:dyDescent="0.25">
      <c r="A7" s="27" t="s">
        <v>6</v>
      </c>
      <c r="B7" s="27"/>
      <c r="C7" s="27" t="s">
        <v>7</v>
      </c>
      <c r="D7" s="28" t="s">
        <v>8</v>
      </c>
      <c r="E7" s="29"/>
      <c r="F7" s="28" t="s">
        <v>9</v>
      </c>
      <c r="G7" s="28"/>
      <c r="H7" s="97" t="s">
        <v>10</v>
      </c>
      <c r="I7" s="49"/>
      <c r="J7" s="28" t="s">
        <v>11</v>
      </c>
      <c r="K7" s="50"/>
      <c r="L7" s="28" t="s">
        <v>12</v>
      </c>
      <c r="M7" s="50"/>
      <c r="N7" s="28" t="s">
        <v>13</v>
      </c>
      <c r="O7" s="29"/>
      <c r="P7" s="85" t="s">
        <v>14</v>
      </c>
    </row>
    <row r="8" spans="1:19" s="7" customFormat="1" ht="11.5" x14ac:dyDescent="0.25">
      <c r="A8" s="5" t="s">
        <v>15</v>
      </c>
      <c r="B8" s="5"/>
      <c r="C8" s="5" t="s">
        <v>16</v>
      </c>
      <c r="D8" s="39" t="s">
        <v>17</v>
      </c>
      <c r="E8" s="39"/>
      <c r="F8" s="78" t="s">
        <v>18</v>
      </c>
      <c r="G8" s="51"/>
      <c r="H8" s="105" t="s">
        <v>19</v>
      </c>
      <c r="I8" s="37"/>
      <c r="J8" s="52" t="s">
        <v>20</v>
      </c>
      <c r="K8" s="39"/>
      <c r="L8" s="39" t="s">
        <v>21</v>
      </c>
      <c r="M8" s="39"/>
      <c r="N8" s="106" t="s">
        <v>22</v>
      </c>
      <c r="O8" s="39"/>
      <c r="P8" s="106" t="s">
        <v>23</v>
      </c>
      <c r="Q8" s="45"/>
    </row>
    <row r="9" spans="1:19" s="22" customFormat="1" ht="25" customHeight="1" x14ac:dyDescent="0.3">
      <c r="A9" s="74" t="s">
        <v>24</v>
      </c>
      <c r="B9" s="74"/>
      <c r="C9" s="31"/>
      <c r="D9" s="23"/>
      <c r="E9" s="23"/>
      <c r="F9" s="23"/>
      <c r="G9" s="23"/>
      <c r="H9" s="95"/>
      <c r="I9" s="23"/>
      <c r="J9" s="24"/>
      <c r="K9" s="13"/>
      <c r="L9" s="25"/>
      <c r="M9" s="13"/>
      <c r="N9" s="25"/>
      <c r="O9" s="13"/>
      <c r="P9" s="83"/>
      <c r="Q9"/>
      <c r="R9"/>
      <c r="S9"/>
    </row>
    <row r="10" spans="1:19" s="22" customFormat="1" ht="25" customHeight="1" x14ac:dyDescent="0.3">
      <c r="A10" s="31" t="s">
        <v>25</v>
      </c>
      <c r="B10" s="31"/>
      <c r="C10" s="31"/>
      <c r="D10" s="23"/>
      <c r="E10" s="23"/>
      <c r="F10" s="23"/>
      <c r="G10" s="23"/>
      <c r="H10" s="95"/>
      <c r="I10" s="23"/>
      <c r="J10" s="24"/>
      <c r="K10" s="13"/>
      <c r="L10" s="25"/>
      <c r="M10" s="13"/>
      <c r="N10" s="25"/>
      <c r="O10" s="13"/>
      <c r="P10" s="83"/>
      <c r="Q10"/>
      <c r="R10"/>
      <c r="S10"/>
    </row>
    <row r="11" spans="1:19" s="22" customFormat="1" ht="16.5" customHeight="1" x14ac:dyDescent="0.3">
      <c r="A11" s="31"/>
      <c r="B11" s="31"/>
      <c r="C11" s="31"/>
      <c r="D11" s="23"/>
      <c r="E11" s="23"/>
      <c r="F11" s="23"/>
      <c r="G11" s="23"/>
      <c r="H11" s="95"/>
      <c r="I11" s="23"/>
      <c r="J11" s="24"/>
      <c r="K11" s="13"/>
      <c r="L11" s="25"/>
      <c r="M11" s="13"/>
      <c r="N11" s="25"/>
      <c r="O11" s="13"/>
      <c r="P11" s="83"/>
      <c r="Q11"/>
      <c r="R11"/>
      <c r="S11"/>
    </row>
    <row r="12" spans="1:19" s="22" customFormat="1" ht="16.5" customHeight="1" x14ac:dyDescent="0.3">
      <c r="A12" s="31" t="s">
        <v>26</v>
      </c>
      <c r="B12" s="31"/>
      <c r="C12" s="31"/>
      <c r="D12" s="23"/>
      <c r="E12" s="23"/>
      <c r="F12" s="23"/>
      <c r="G12" s="23"/>
      <c r="H12" s="95"/>
      <c r="I12" s="23"/>
      <c r="J12" s="24"/>
      <c r="K12" s="13"/>
      <c r="L12" s="25"/>
      <c r="M12" s="13"/>
      <c r="N12" s="25"/>
      <c r="O12" s="13"/>
      <c r="P12" s="83"/>
      <c r="Q12" s="93"/>
      <c r="R12"/>
      <c r="S12"/>
    </row>
    <row r="13" spans="1:19" s="8" customFormat="1" ht="14" x14ac:dyDescent="0.3">
      <c r="A13" s="77">
        <v>331</v>
      </c>
      <c r="B13" s="77"/>
      <c r="C13" s="21" t="s">
        <v>27</v>
      </c>
      <c r="D13" s="53" t="str">
        <f>_xlfn.CONCAT(VLOOKUP(A13,'ELG Whole Life_Total'!A$1:M$28,4,FALSE),"-",VLOOKUP('Table 1 Total'!A13,'ELG Whole Life_Total'!A$1:M$28,5,FALSE))</f>
        <v>70-R2</v>
      </c>
      <c r="E13" s="23"/>
      <c r="F13" s="10">
        <f>VLOOKUP(A13,'ELG Whole Life_Total'!A$1:M$28,6,FALSE)*100</f>
        <v>0</v>
      </c>
      <c r="G13" s="23"/>
      <c r="H13" s="95">
        <f>J13/$J$63</f>
        <v>6.2763217251024014E-3</v>
      </c>
      <c r="I13" s="23"/>
      <c r="J13" s="11">
        <f>VLOOKUP(A13,'ELG Whole Life_Total'!A$1:M$28,7,FALSE)</f>
        <v>1668035.55</v>
      </c>
      <c r="K13" s="13"/>
      <c r="L13" s="11">
        <f>VLOOKUP(A13,'ELG Whole Life_Total'!A$1:M$226,8,FALSE)</f>
        <v>260801.16710174701</v>
      </c>
      <c r="M13" s="13"/>
      <c r="N13" s="11">
        <f>VLOOKUP(A13,'ELG Whole Life_Total'!A$1:M$28,9,FALSE)</f>
        <v>29091.6052526731</v>
      </c>
      <c r="O13" s="13"/>
      <c r="P13" s="71">
        <f>N13/J13</f>
        <v>1.7440638631876341E-2</v>
      </c>
      <c r="Q13" s="10"/>
    </row>
    <row r="14" spans="1:19" s="8" customFormat="1" ht="13.5" x14ac:dyDescent="0.25">
      <c r="A14" s="77">
        <v>332</v>
      </c>
      <c r="B14" s="77"/>
      <c r="C14" s="21" t="s">
        <v>28</v>
      </c>
      <c r="D14" s="53" t="str">
        <f>_xlfn.CONCAT(VLOOKUP(A14,'ELG Whole Life_Total'!A$1:M$28,4,FALSE),"-",VLOOKUP('Table 1 Total'!A14,'ELG Whole Life_Total'!A$1:M$28,5,FALSE))</f>
        <v>100-R3</v>
      </c>
      <c r="E14" s="9"/>
      <c r="F14" s="10">
        <f>VLOOKUP(A14,'ELG Whole Life_Total'!A$1:M$28,6,FALSE)*100</f>
        <v>-2</v>
      </c>
      <c r="G14" s="10"/>
      <c r="H14" s="95">
        <f>J14/$J$63</f>
        <v>3.3184895254511099E-2</v>
      </c>
      <c r="I14" s="9"/>
      <c r="J14" s="11">
        <f>VLOOKUP(A14,'ELG Whole Life_Total'!A$1:M$28,7,FALSE)</f>
        <v>8819430.7799999993</v>
      </c>
      <c r="K14" s="11"/>
      <c r="L14" s="11">
        <f>VLOOKUP(A14,'ELG Whole Life_Total'!A$1:M$28,8,FALSE)</f>
        <v>794003.19415029895</v>
      </c>
      <c r="M14" s="11"/>
      <c r="N14" s="11">
        <f>VLOOKUP(A14,'ELG Whole Life_Total'!A$1:M$28,9,FALSE)</f>
        <v>102543.684992403</v>
      </c>
      <c r="O14" s="20"/>
      <c r="P14" s="71">
        <f t="shared" ref="P14:P63" si="0">N14/J14</f>
        <v>1.1627018517447109E-2</v>
      </c>
      <c r="Q14"/>
      <c r="R14"/>
      <c r="S14"/>
    </row>
    <row r="15" spans="1:19" s="8" customFormat="1" ht="13.5" x14ac:dyDescent="0.25">
      <c r="A15" s="77">
        <v>333</v>
      </c>
      <c r="B15" s="77"/>
      <c r="C15" s="21" t="s">
        <v>29</v>
      </c>
      <c r="D15" s="53" t="str">
        <f>_xlfn.CONCAT(VLOOKUP(A15,'ELG Whole Life_Total'!A$1:M$28,4,FALSE),"-",VLOOKUP('Table 1 Total'!A15,'ELG Whole Life_Total'!A$1:M$28,5,FALSE))</f>
        <v>85-R3</v>
      </c>
      <c r="E15" s="9"/>
      <c r="F15" s="10">
        <f>VLOOKUP(A15,'ELG Whole Life_Total'!A$1:M$28,6,FALSE)*100</f>
        <v>-2</v>
      </c>
      <c r="G15" s="10"/>
      <c r="H15" s="95">
        <f>J15/$J$63</f>
        <v>1.2391269939792027E-2</v>
      </c>
      <c r="I15" s="9"/>
      <c r="J15" s="11">
        <f>VLOOKUP(A15,'ELG Whole Life_Total'!A$1:M$28,7,FALSE)</f>
        <v>3293183.44</v>
      </c>
      <c r="K15" s="11"/>
      <c r="L15" s="11">
        <f>VLOOKUP(A15,'ELG Whole Life_Total'!A$1:M$28,8,FALSE)</f>
        <v>459173.25642393302</v>
      </c>
      <c r="M15" s="11"/>
      <c r="N15" s="11">
        <f>VLOOKUP(A15,'ELG Whole Life_Total'!A$1:M$28,9,FALSE)</f>
        <v>44515.636939828699</v>
      </c>
      <c r="O15" s="20"/>
      <c r="P15" s="71">
        <f t="shared" si="0"/>
        <v>1.3517509045845529E-2</v>
      </c>
      <c r="Q15"/>
      <c r="R15"/>
      <c r="S15"/>
    </row>
    <row r="16" spans="1:19" s="8" customFormat="1" ht="13.5" x14ac:dyDescent="0.25">
      <c r="A16" s="77">
        <v>334</v>
      </c>
      <c r="B16" s="77"/>
      <c r="C16" s="21" t="s">
        <v>30</v>
      </c>
      <c r="D16" s="53" t="str">
        <f>_xlfn.CONCAT(VLOOKUP(A16,'ELG Whole Life_Total'!A$1:M$28,4,FALSE),"-",VLOOKUP('Table 1 Total'!A16,'ELG Whole Life_Total'!A$1:M$28,5,FALSE))</f>
        <v>40-R2.5</v>
      </c>
      <c r="E16" s="9"/>
      <c r="F16" s="10">
        <f>VLOOKUP(A16,'ELG Whole Life_Total'!A$1:M$28,6,FALSE)*100</f>
        <v>0</v>
      </c>
      <c r="G16" s="10"/>
      <c r="H16" s="95">
        <f>J16/$J$63</f>
        <v>3.056888837766637E-4</v>
      </c>
      <c r="I16" s="9"/>
      <c r="J16" s="11">
        <f>VLOOKUP(A16,'ELG Whole Life_Total'!A$1:M$28,7,FALSE)</f>
        <v>81241.84</v>
      </c>
      <c r="K16" s="11"/>
      <c r="L16" s="11">
        <f>VLOOKUP(A16,'ELG Whole Life_Total'!A$1:M$28,8,FALSE)</f>
        <v>53973.179439533</v>
      </c>
      <c r="M16" s="11"/>
      <c r="N16" s="11">
        <f>VLOOKUP(A16,'ELG Whole Life_Total'!A$1:M$28,9,FALSE)</f>
        <v>1884.99139157533</v>
      </c>
      <c r="O16" s="20"/>
      <c r="P16" s="71">
        <f t="shared" si="0"/>
        <v>2.3202224267388948E-2</v>
      </c>
      <c r="Q16"/>
      <c r="R16"/>
      <c r="S16"/>
    </row>
    <row r="17" spans="1:19" s="22" customFormat="1" ht="14.25" customHeight="1" x14ac:dyDescent="0.3">
      <c r="A17" s="77">
        <v>335</v>
      </c>
      <c r="B17" s="77"/>
      <c r="C17" s="21" t="s">
        <v>31</v>
      </c>
      <c r="D17" s="53" t="str">
        <f>_xlfn.CONCAT(VLOOKUP(A17,'ELG Whole Life_Total'!A$1:M$28,4,FALSE),"-",VLOOKUP('Table 1 Total'!A17,'ELG Whole Life_Total'!A$1:M$28,5,FALSE))</f>
        <v>51-R4</v>
      </c>
      <c r="E17" s="9"/>
      <c r="F17" s="10">
        <f>VLOOKUP(A17,'ELG Whole Life_Total'!A$1:M$28,6,FALSE)*100</f>
        <v>0</v>
      </c>
      <c r="G17" s="10"/>
      <c r="H17" s="95">
        <f>J17/$J$63</f>
        <v>4.1331850868137006E-4</v>
      </c>
      <c r="I17" s="9"/>
      <c r="J17" s="81">
        <f>VLOOKUP(A17,'ELG Whole Life_Total'!A$1:M$28,7,FALSE)</f>
        <v>109846.18</v>
      </c>
      <c r="K17" s="11"/>
      <c r="L17" s="81">
        <f>VLOOKUP(A17,'ELG Whole Life_Total'!A$1:M$28,8,FALSE)</f>
        <v>11491.272300676501</v>
      </c>
      <c r="M17" s="11"/>
      <c r="N17" s="81">
        <f>VLOOKUP(A17,'ELG Whole Life_Total'!A$1:M$28,9,FALSE)</f>
        <v>2285.9139495673098</v>
      </c>
      <c r="O17" s="20"/>
      <c r="P17" s="98">
        <f t="shared" si="0"/>
        <v>2.081013604266721E-2</v>
      </c>
      <c r="Q17"/>
      <c r="R17"/>
      <c r="S17"/>
    </row>
    <row r="18" spans="1:19" s="22" customFormat="1" ht="16.5" customHeight="1" x14ac:dyDescent="0.3">
      <c r="A18" s="14" t="s">
        <v>32</v>
      </c>
      <c r="B18" s="14"/>
      <c r="C18" s="21"/>
      <c r="D18" s="53"/>
      <c r="E18" s="9"/>
      <c r="F18" s="10"/>
      <c r="G18" s="10"/>
      <c r="H18" s="95"/>
      <c r="I18" s="9"/>
      <c r="J18" s="25">
        <f>_xlfn.IFNA(SUM(J13:J17),0)</f>
        <v>13971737.789999999</v>
      </c>
      <c r="K18" s="11"/>
      <c r="L18" s="25">
        <f>_xlfn.IFNA(SUM(L13:L17),0)</f>
        <v>1579442.0694161884</v>
      </c>
      <c r="M18" s="11"/>
      <c r="N18" s="25">
        <f>_xlfn.IFNA(SUM(N13:N17),0)</f>
        <v>180321.83252604742</v>
      </c>
      <c r="O18" s="20"/>
      <c r="P18" s="86">
        <f t="shared" si="0"/>
        <v>1.2906184988320442E-2</v>
      </c>
      <c r="Q18"/>
      <c r="R18"/>
      <c r="S18"/>
    </row>
    <row r="19" spans="1:19" s="22" customFormat="1" ht="16.5" customHeight="1" x14ac:dyDescent="0.3">
      <c r="A19" s="14"/>
      <c r="B19" s="14"/>
      <c r="C19" s="21"/>
      <c r="D19" s="53"/>
      <c r="E19" s="9"/>
      <c r="F19" s="10"/>
      <c r="G19" s="10"/>
      <c r="H19" s="95"/>
      <c r="I19" s="9"/>
      <c r="J19" s="11"/>
      <c r="K19" s="11"/>
      <c r="L19" s="11"/>
      <c r="M19" s="11"/>
      <c r="N19" s="11"/>
      <c r="O19" s="20"/>
      <c r="P19" s="71"/>
      <c r="Q19"/>
      <c r="R19"/>
      <c r="S19"/>
    </row>
    <row r="20" spans="1:19" s="22" customFormat="1" ht="16.5" customHeight="1" x14ac:dyDescent="0.3">
      <c r="A20" s="14" t="s">
        <v>33</v>
      </c>
      <c r="B20" s="14"/>
      <c r="C20" s="21"/>
      <c r="D20" s="53"/>
      <c r="E20" s="9"/>
      <c r="F20" s="10"/>
      <c r="G20" s="10"/>
      <c r="H20" s="95"/>
      <c r="I20" s="9"/>
      <c r="J20" s="11"/>
      <c r="K20" s="11"/>
      <c r="L20" s="11"/>
      <c r="M20" s="11"/>
      <c r="N20" s="11"/>
      <c r="O20" s="20"/>
      <c r="P20" s="71"/>
      <c r="Q20"/>
      <c r="R20"/>
      <c r="S20"/>
    </row>
    <row r="21" spans="1:19" s="8" customFormat="1" ht="13.5" x14ac:dyDescent="0.25">
      <c r="A21" s="77">
        <v>341.2</v>
      </c>
      <c r="B21" s="77"/>
      <c r="C21" s="21" t="s">
        <v>34</v>
      </c>
      <c r="D21" s="53" t="str">
        <f>_xlfn.CONCAT(VLOOKUP(A21,'ELG Whole Life_Total'!A$1:M$226,4,FALSE),"-",VLOOKUP('Table 1 Total'!A21,'ELG Whole Life_Total'!A$1:M$226,5,FALSE))</f>
        <v>40-R2</v>
      </c>
      <c r="E21" s="9"/>
      <c r="F21" s="10">
        <f>VLOOKUP(A21,'ELG Whole Life_Total'!A$1:M$226,6,FALSE)*100</f>
        <v>-1</v>
      </c>
      <c r="G21" s="10"/>
      <c r="H21" s="95">
        <f t="shared" ref="H21:H26" si="1">J21/$J$63</f>
        <v>2.295835704398818E-2</v>
      </c>
      <c r="I21" s="9"/>
      <c r="J21" s="11">
        <f>VLOOKUP(A21,'ELG Whole Life_Total'!A$1:M$146,7,FALSE)</f>
        <v>6101560.3399999999</v>
      </c>
      <c r="K21" s="11"/>
      <c r="L21" s="11">
        <f>VLOOKUP(A21,'ELG Whole Life_Total'!A$1:M$146,8,FALSE)</f>
        <v>2108018.84766754</v>
      </c>
      <c r="M21" s="11"/>
      <c r="N21" s="11">
        <f>VLOOKUP(A21,'ELG Whole Life_Total'!A$1:M$146,9,FALSE)</f>
        <v>168149.65884363899</v>
      </c>
      <c r="O21" s="20"/>
      <c r="P21" s="71">
        <f t="shared" si="0"/>
        <v>2.7558468567671166E-2</v>
      </c>
      <c r="Q21" s="93"/>
      <c r="R21" s="103"/>
      <c r="S21"/>
    </row>
    <row r="22" spans="1:19" s="8" customFormat="1" ht="13.5" x14ac:dyDescent="0.25">
      <c r="A22" s="77">
        <v>342.2</v>
      </c>
      <c r="B22" s="77"/>
      <c r="C22" s="21" t="s">
        <v>35</v>
      </c>
      <c r="D22" s="53" t="str">
        <f>_xlfn.CONCAT(VLOOKUP(A22,'ELG Whole Life_Total'!A$1:M$226,4,FALSE),"-",VLOOKUP('Table 1 Total'!A22,'ELG Whole Life_Total'!A$1:M$226,5,FALSE))</f>
        <v>40-R3</v>
      </c>
      <c r="E22" s="9"/>
      <c r="F22" s="10">
        <f>VLOOKUP(A22,'ELG Whole Life_Total'!A$1:M$226,6,FALSE)*100</f>
        <v>-1</v>
      </c>
      <c r="G22" s="10"/>
      <c r="H22" s="95">
        <f t="shared" si="1"/>
        <v>1.290880774786343E-2</v>
      </c>
      <c r="I22" s="9"/>
      <c r="J22" s="11">
        <f>VLOOKUP(A22,'ELG Whole Life_Total'!A$1:M$146,7,FALSE)</f>
        <v>3430727.61</v>
      </c>
      <c r="K22" s="11"/>
      <c r="L22" s="11">
        <f>VLOOKUP(A22,'ELG Whole Life_Total'!A$1:M$146,8,FALSE)</f>
        <v>1635805.4552229401</v>
      </c>
      <c r="M22" s="11"/>
      <c r="N22" s="11">
        <f>VLOOKUP(A22,'ELG Whole Life_Total'!A$1:M$146,9,FALSE)</f>
        <v>89063.201888927098</v>
      </c>
      <c r="O22" s="20"/>
      <c r="P22" s="71">
        <f t="shared" si="0"/>
        <v>2.5960441053181457E-2</v>
      </c>
      <c r="Q22" s="93"/>
      <c r="R22" s="103"/>
      <c r="S22"/>
    </row>
    <row r="23" spans="1:19" s="8" customFormat="1" ht="13.5" x14ac:dyDescent="0.25">
      <c r="A23" s="77">
        <v>343.2</v>
      </c>
      <c r="B23" s="77"/>
      <c r="C23" s="21" t="s">
        <v>36</v>
      </c>
      <c r="D23" s="53" t="str">
        <f>_xlfn.CONCAT(VLOOKUP(A23,'ELG Whole Life_Total'!A$1:M$226,4,FALSE),"-",VLOOKUP('Table 1 Total'!A23,'ELG Whole Life_Total'!A$1:M$226,5,FALSE))</f>
        <v>26-S2</v>
      </c>
      <c r="E23" s="9"/>
      <c r="F23" s="10">
        <f>VLOOKUP(A23,'ELG Whole Life_Total'!A$1:M$226,6,FALSE)*100</f>
        <v>-5</v>
      </c>
      <c r="G23" s="10"/>
      <c r="H23" s="95">
        <f t="shared" si="1"/>
        <v>7.7180808243053151E-2</v>
      </c>
      <c r="I23" s="9"/>
      <c r="J23" s="11">
        <f>VLOOKUP(A23,'ELG Whole Life_Total'!A$1:M$146,7,FALSE)</f>
        <v>20512067.030000001</v>
      </c>
      <c r="K23" s="11"/>
      <c r="L23" s="11">
        <f>VLOOKUP(A23,'ELG Whole Life_Total'!A$1:M$146,8,FALSE)</f>
        <v>7074654.1500118999</v>
      </c>
      <c r="M23" s="11"/>
      <c r="N23" s="11">
        <f>VLOOKUP(A23,'ELG Whole Life_Total'!A$1:M$146,9,FALSE)</f>
        <v>877890.33432079095</v>
      </c>
      <c r="O23" s="20"/>
      <c r="P23" s="71">
        <f t="shared" si="0"/>
        <v>4.2798725893242698E-2</v>
      </c>
      <c r="Q23" s="93"/>
      <c r="R23" s="103"/>
      <c r="S23"/>
    </row>
    <row r="24" spans="1:19" s="8" customFormat="1" ht="13.5" x14ac:dyDescent="0.25">
      <c r="A24" s="77">
        <v>345.2</v>
      </c>
      <c r="B24" s="77"/>
      <c r="C24" s="21" t="s">
        <v>37</v>
      </c>
      <c r="D24" s="53" t="str">
        <f>_xlfn.CONCAT(VLOOKUP(A24,'ELG Whole Life_Total'!A$1:M$226,4,FALSE),"-",VLOOKUP('Table 1 Total'!A24,'ELG Whole Life_Total'!A$1:M$226,5,FALSE))</f>
        <v>35-R3</v>
      </c>
      <c r="E24" s="9"/>
      <c r="F24" s="10">
        <f>VLOOKUP(A24,'ELG Whole Life_Total'!A$1:M$226,6,FALSE)*100</f>
        <v>0</v>
      </c>
      <c r="G24" s="10"/>
      <c r="H24" s="95">
        <f t="shared" si="1"/>
        <v>1.9399751697222606E-2</v>
      </c>
      <c r="I24" s="9"/>
      <c r="J24" s="11">
        <f>VLOOKUP(A24,'ELG Whole Life_Total'!A$1:M$146,7,FALSE)</f>
        <v>5155802.54</v>
      </c>
      <c r="K24" s="11"/>
      <c r="L24" s="11">
        <f>VLOOKUP(A24,'ELG Whole Life_Total'!A$1:M$146,8,FALSE)</f>
        <v>1940458.2848495599</v>
      </c>
      <c r="M24" s="11"/>
      <c r="N24" s="11">
        <f>VLOOKUP(A24,'ELG Whole Life_Total'!A$1:M$146,9,FALSE)</f>
        <v>154372.29560875401</v>
      </c>
      <c r="O24" s="20"/>
      <c r="P24" s="71">
        <f t="shared" si="0"/>
        <v>2.9941467775597551E-2</v>
      </c>
      <c r="Q24" s="93"/>
      <c r="R24" s="103"/>
      <c r="S24"/>
    </row>
    <row r="25" spans="1:19" s="8" customFormat="1" ht="13.5" x14ac:dyDescent="0.25">
      <c r="A25" s="77">
        <v>346.2</v>
      </c>
      <c r="B25" s="77"/>
      <c r="C25" s="21" t="s">
        <v>38</v>
      </c>
      <c r="D25" s="53" t="str">
        <f>_xlfn.CONCAT(VLOOKUP(A25,'ELG Whole Life_Total'!A$1:M$226,4,FALSE),"-",VLOOKUP('Table 1 Total'!A25,'ELG Whole Life_Total'!A$1:M$226,5,FALSE))</f>
        <v>40-R3</v>
      </c>
      <c r="E25" s="9"/>
      <c r="F25" s="10">
        <f>VLOOKUP(A25,'ELG Whole Life_Total'!A$1:M$226,6,FALSE)*100</f>
        <v>-2</v>
      </c>
      <c r="G25" s="10"/>
      <c r="H25" s="95">
        <f t="shared" si="1"/>
        <v>4.1907196318167195E-3</v>
      </c>
      <c r="I25" s="9"/>
      <c r="J25" s="11">
        <f>VLOOKUP(A25,'ELG Whole Life_Total'!A$1:M$146,7,FALSE)</f>
        <v>1113752.55</v>
      </c>
      <c r="K25" s="11"/>
      <c r="L25" s="11">
        <f>VLOOKUP(A25,'ELG Whole Life_Total'!A$1:M$146,8,FALSE)</f>
        <v>403939.13237289799</v>
      </c>
      <c r="M25" s="11"/>
      <c r="N25" s="11">
        <f>VLOOKUP(A25,'ELG Whole Life_Total'!A$1:M$146,9,FALSE)</f>
        <v>30137.468626378999</v>
      </c>
      <c r="O25" s="20"/>
      <c r="P25" s="71">
        <f t="shared" si="0"/>
        <v>2.7059393602626543E-2</v>
      </c>
      <c r="Q25" s="93"/>
      <c r="R25" s="103"/>
      <c r="S25"/>
    </row>
    <row r="26" spans="1:19" s="8" customFormat="1" ht="13.5" x14ac:dyDescent="0.25">
      <c r="A26" s="77">
        <v>347.2</v>
      </c>
      <c r="B26" s="77"/>
      <c r="C26" s="21" t="s">
        <v>39</v>
      </c>
      <c r="D26" s="53" t="str">
        <f>_xlfn.CONCAT(VLOOKUP(A26,'ELG Whole Life_Total'!A$1:M$226,4,FALSE),"-",VLOOKUP('Table 1 Total'!A26,'ELG Whole Life_Total'!A$1:M$226,5,FALSE))</f>
        <v>25-R3</v>
      </c>
      <c r="E26" s="9"/>
      <c r="F26" s="10">
        <f>VLOOKUP(A26,'ELG Whole Life_Total'!A$1:M$226,6,FALSE)*100</f>
        <v>0</v>
      </c>
      <c r="G26" s="10"/>
      <c r="H26" s="95">
        <f t="shared" si="1"/>
        <v>1.330590261168176E-2</v>
      </c>
      <c r="I26" s="9"/>
      <c r="J26" s="100">
        <f>VLOOKUP(A26,'ELG Whole Life_Total'!A$1:M$146,7,FALSE)</f>
        <v>3536262.09</v>
      </c>
      <c r="K26" s="11"/>
      <c r="L26" s="81">
        <f>VLOOKUP(A26,'ELG Whole Life_Total'!A$1:M$146,8,FALSE)</f>
        <v>242926.26078229299</v>
      </c>
      <c r="M26" s="11"/>
      <c r="N26" s="81">
        <f>VLOOKUP(A26,'ELG Whole Life_Total'!A$1:M$146,9,FALSE)</f>
        <v>161950.840521529</v>
      </c>
      <c r="O26" s="20"/>
      <c r="P26" s="98">
        <f t="shared" si="0"/>
        <v>4.5797182561637846E-2</v>
      </c>
      <c r="Q26"/>
      <c r="R26"/>
      <c r="S26"/>
    </row>
    <row r="27" spans="1:19" s="8" customFormat="1" ht="14" x14ac:dyDescent="0.3">
      <c r="A27" s="14" t="s">
        <v>40</v>
      </c>
      <c r="B27" s="14"/>
      <c r="C27" s="21"/>
      <c r="D27" s="53"/>
      <c r="E27" s="9"/>
      <c r="F27" s="10"/>
      <c r="G27" s="10"/>
      <c r="H27" s="95"/>
      <c r="I27" s="9"/>
      <c r="J27" s="25">
        <f>SUM(J21:J26)</f>
        <v>39850172.159999996</v>
      </c>
      <c r="K27" s="11"/>
      <c r="L27" s="25">
        <f>SUM(L21:L26)</f>
        <v>13405802.130907129</v>
      </c>
      <c r="M27" s="11"/>
      <c r="N27" s="25">
        <f>SUM(N21:N26)</f>
        <v>1481563.7998100193</v>
      </c>
      <c r="O27" s="20"/>
      <c r="P27" s="86">
        <f>N27/J27</f>
        <v>3.7178353806389668E-2</v>
      </c>
      <c r="Q27"/>
      <c r="R27"/>
      <c r="S27"/>
    </row>
    <row r="28" spans="1:19" s="8" customFormat="1" ht="13.5" x14ac:dyDescent="0.25">
      <c r="A28" s="15"/>
      <c r="B28" s="15"/>
      <c r="C28" s="21"/>
      <c r="D28" s="53"/>
      <c r="E28" s="9"/>
      <c r="F28" s="10"/>
      <c r="G28" s="10"/>
      <c r="H28" s="95"/>
      <c r="I28" s="9"/>
      <c r="J28" s="11"/>
      <c r="K28" s="11"/>
      <c r="L28" s="11"/>
      <c r="M28" s="11"/>
      <c r="N28" s="11"/>
      <c r="O28" s="20"/>
      <c r="P28" s="71"/>
      <c r="Q28"/>
      <c r="R28"/>
      <c r="S28"/>
    </row>
    <row r="29" spans="1:19" s="8" customFormat="1" ht="14" x14ac:dyDescent="0.3">
      <c r="A29" s="14" t="s">
        <v>41</v>
      </c>
      <c r="B29" s="14"/>
      <c r="C29" s="21"/>
      <c r="D29" s="53"/>
      <c r="E29" s="9"/>
      <c r="F29" s="10"/>
      <c r="G29" s="10"/>
      <c r="H29" s="95"/>
      <c r="I29" s="9"/>
      <c r="J29" s="25">
        <f>J27+J18</f>
        <v>53821909.949999996</v>
      </c>
      <c r="K29" s="11"/>
      <c r="L29" s="25">
        <f>L27+L18</f>
        <v>14985244.200323317</v>
      </c>
      <c r="M29" s="11"/>
      <c r="N29" s="25">
        <f>N27+N18</f>
        <v>1661885.6323360668</v>
      </c>
      <c r="O29" s="20"/>
      <c r="P29" s="86">
        <f>N29/J29</f>
        <v>3.0877492714025599E-2</v>
      </c>
      <c r="Q29"/>
      <c r="R29"/>
      <c r="S29"/>
    </row>
    <row r="30" spans="1:19" s="8" customFormat="1" ht="13.5" x14ac:dyDescent="0.25">
      <c r="A30" s="15"/>
      <c r="B30" s="15"/>
      <c r="C30" s="21"/>
      <c r="D30" s="53"/>
      <c r="E30" s="9"/>
      <c r="F30" s="10"/>
      <c r="G30" s="10"/>
      <c r="H30" s="95"/>
      <c r="I30" s="9"/>
      <c r="J30" s="11"/>
      <c r="K30" s="11"/>
      <c r="L30" s="11"/>
      <c r="M30" s="11"/>
      <c r="N30" s="11"/>
      <c r="O30" s="20"/>
      <c r="P30" s="71"/>
      <c r="Q30"/>
      <c r="R30"/>
      <c r="S30"/>
    </row>
    <row r="31" spans="1:19" s="8" customFormat="1" ht="14" x14ac:dyDescent="0.3">
      <c r="A31" s="14" t="s">
        <v>42</v>
      </c>
      <c r="B31" s="14"/>
      <c r="C31" s="21"/>
      <c r="D31" s="53"/>
      <c r="E31" s="9"/>
      <c r="F31" s="10"/>
      <c r="G31" s="10"/>
      <c r="H31" s="95"/>
      <c r="I31" s="9"/>
      <c r="J31" s="11"/>
      <c r="K31" s="11"/>
      <c r="L31" s="11"/>
      <c r="M31" s="11"/>
      <c r="N31" s="11"/>
      <c r="O31" s="20"/>
      <c r="P31" s="71"/>
      <c r="Q31"/>
      <c r="R31"/>
      <c r="S31"/>
    </row>
    <row r="32" spans="1:19" s="8" customFormat="1" ht="13.5" x14ac:dyDescent="0.25">
      <c r="A32" s="77">
        <v>353</v>
      </c>
      <c r="B32" s="77"/>
      <c r="C32" s="21" t="s">
        <v>43</v>
      </c>
      <c r="D32" s="53" t="str">
        <f>_xlfn.CONCAT(VLOOKUP(A32,'ELG Whole Life_Total'!A$1:M$226,4,FALSE),"-",VLOOKUP('Table 1 Total'!A32,'ELG Whole Life_Total'!A$1:M$226,5,FALSE))</f>
        <v>50-R3</v>
      </c>
      <c r="E32" s="9"/>
      <c r="F32" s="10">
        <f>VLOOKUP(A32,'ELG Whole Life_Total'!A$1:M$226,6,FALSE)*100</f>
        <v>0</v>
      </c>
      <c r="G32" s="10"/>
      <c r="H32" s="95">
        <f t="shared" ref="H32" si="2">J32/$J$63</f>
        <v>4.3056206042699392E-3</v>
      </c>
      <c r="I32" s="9"/>
      <c r="J32" s="81">
        <f>VLOOKUP(A32,'ELG Whole Life_Total'!A$1:M$146,7,FALSE)</f>
        <v>1144289.3700000001</v>
      </c>
      <c r="K32" s="11"/>
      <c r="L32" s="81">
        <f>VLOOKUP(A32,'ELG Whole Life_Total'!A$1:M$146,8,FALSE)</f>
        <v>705899.65733429499</v>
      </c>
      <c r="M32" s="11"/>
      <c r="N32" s="81">
        <f>VLOOKUP(A32,'ELG Whole Life_Total'!A$1:M$146,9,FALSE)</f>
        <v>22278.812101662701</v>
      </c>
      <c r="O32" s="20"/>
      <c r="P32" s="98">
        <f t="shared" si="0"/>
        <v>1.9469561358996718E-2</v>
      </c>
      <c r="Q32"/>
      <c r="R32"/>
      <c r="S32"/>
    </row>
    <row r="33" spans="1:20" s="8" customFormat="1" ht="14" x14ac:dyDescent="0.3">
      <c r="A33" s="14" t="s">
        <v>44</v>
      </c>
      <c r="B33" s="14"/>
      <c r="C33" s="21"/>
      <c r="D33" s="53"/>
      <c r="E33" s="9"/>
      <c r="F33" s="10"/>
      <c r="G33" s="10"/>
      <c r="H33" s="95"/>
      <c r="I33" s="9"/>
      <c r="J33" s="25">
        <f>SUM(J32)</f>
        <v>1144289.3700000001</v>
      </c>
      <c r="K33" s="11"/>
      <c r="L33" s="25">
        <f>SUM(L32)</f>
        <v>705899.65733429499</v>
      </c>
      <c r="M33" s="11"/>
      <c r="N33" s="25">
        <f>SUM(N32)</f>
        <v>22278.812101662701</v>
      </c>
      <c r="O33" s="20"/>
      <c r="P33" s="86">
        <f t="shared" si="0"/>
        <v>1.9469561358996718E-2</v>
      </c>
      <c r="Q33"/>
      <c r="R33"/>
      <c r="S33"/>
    </row>
    <row r="34" spans="1:20" s="8" customFormat="1" ht="13.5" x14ac:dyDescent="0.25">
      <c r="A34" s="15"/>
      <c r="B34" s="15"/>
      <c r="C34" s="21"/>
      <c r="D34" s="53"/>
      <c r="E34" s="9"/>
      <c r="F34" s="10"/>
      <c r="G34" s="10"/>
      <c r="H34" s="95"/>
      <c r="I34" s="9"/>
      <c r="J34" s="11"/>
      <c r="K34" s="11"/>
      <c r="L34" s="11"/>
      <c r="M34" s="11"/>
      <c r="N34" s="11"/>
      <c r="O34" s="20"/>
      <c r="P34" s="71"/>
      <c r="Q34"/>
      <c r="R34" s="93"/>
      <c r="S34"/>
    </row>
    <row r="35" spans="1:20" s="8" customFormat="1" ht="14" x14ac:dyDescent="0.3">
      <c r="A35" s="14" t="s">
        <v>45</v>
      </c>
      <c r="B35" s="14"/>
      <c r="C35" s="21"/>
      <c r="D35" s="53"/>
      <c r="E35" s="9"/>
      <c r="F35" s="10"/>
      <c r="G35" s="10"/>
      <c r="H35" s="95"/>
      <c r="I35" s="9"/>
      <c r="J35" s="11"/>
      <c r="K35" s="11"/>
      <c r="L35" s="11"/>
      <c r="M35" s="11"/>
      <c r="N35" s="11"/>
      <c r="O35" s="20"/>
      <c r="P35" s="71"/>
      <c r="Q35"/>
      <c r="R35"/>
      <c r="S35"/>
    </row>
    <row r="36" spans="1:20" s="8" customFormat="1" ht="13.5" x14ac:dyDescent="0.25">
      <c r="A36" s="77">
        <v>360.1</v>
      </c>
      <c r="B36" s="77"/>
      <c r="C36" s="21" t="s">
        <v>46</v>
      </c>
      <c r="D36" s="53" t="str">
        <f>_xlfn.CONCAT(VLOOKUP(A36,'ELG Whole Life_Total'!A$1:M$226,4,FALSE),"-",VLOOKUP('Table 1 Total'!A36,'ELG Whole Life_Total'!A$1:M$226,5,FALSE))</f>
        <v>75-R3</v>
      </c>
      <c r="E36" s="9"/>
      <c r="F36" s="10">
        <f>VLOOKUP(A36,'ELG Whole Life_Total'!A$1:M$226,6,FALSE)*100</f>
        <v>0</v>
      </c>
      <c r="G36" s="10"/>
      <c r="H36" s="95">
        <f t="shared" ref="H36:H48" si="3">J36/$J$63</f>
        <v>8.1300308643847009E-3</v>
      </c>
      <c r="I36" s="9"/>
      <c r="J36" s="11">
        <f>VLOOKUP(A36,'ELG Whole Life_Total'!A$1:M$146,7,FALSE)</f>
        <v>2160689.19</v>
      </c>
      <c r="K36" s="11"/>
      <c r="L36" s="11">
        <f>VLOOKUP(A36,'ELG Whole Life_Total'!A$1:M$146,8,FALSE)</f>
        <v>425114.992152847</v>
      </c>
      <c r="M36" s="11"/>
      <c r="N36" s="11">
        <f>VLOOKUP(A36,'ELG Whole Life_Total'!A$1:M$146,9,FALSE)</f>
        <v>32059.288958398</v>
      </c>
      <c r="O36" s="20"/>
      <c r="P36" s="71">
        <f t="shared" si="0"/>
        <v>1.4837529204465544E-2</v>
      </c>
      <c r="Q36"/>
      <c r="R36"/>
      <c r="S36"/>
    </row>
    <row r="37" spans="1:20" s="8" customFormat="1" ht="13.5" x14ac:dyDescent="0.25">
      <c r="A37" s="77">
        <v>362</v>
      </c>
      <c r="B37" s="77"/>
      <c r="C37" s="21" t="s">
        <v>43</v>
      </c>
      <c r="D37" s="53" t="str">
        <f>_xlfn.CONCAT(VLOOKUP(A37,'ELG Whole Life_Total'!A$1:M$226,4,FALSE),"-",VLOOKUP('Table 1 Total'!A37,'ELG Whole Life_Total'!A$1:M$226,5,FALSE))</f>
        <v>40-R2.5</v>
      </c>
      <c r="E37" s="9"/>
      <c r="F37" s="10">
        <f>VLOOKUP(A37,'ELG Whole Life_Total'!A$1:M$226,6,FALSE)*100</f>
        <v>0</v>
      </c>
      <c r="G37" s="10"/>
      <c r="H37" s="95">
        <f t="shared" si="3"/>
        <v>2.8383844827143546E-2</v>
      </c>
      <c r="I37" s="9"/>
      <c r="J37" s="11">
        <f>VLOOKUP(A37,'ELG Whole Life_Total'!A$1:M$146,7,FALSE)</f>
        <v>7543472.7999999998</v>
      </c>
      <c r="K37" s="11"/>
      <c r="L37" s="11">
        <f>VLOOKUP(A37,'ELG Whole Life_Total'!A$1:M$146,8,FALSE)</f>
        <v>2905181.4543050299</v>
      </c>
      <c r="M37" s="11"/>
      <c r="N37" s="11">
        <f>VLOOKUP(A37,'ELG Whole Life_Total'!A$1:M$146,9,FALSE)</f>
        <v>198815.61372298701</v>
      </c>
      <c r="O37" s="20"/>
      <c r="P37" s="71">
        <f t="shared" si="0"/>
        <v>2.63559794002289E-2</v>
      </c>
      <c r="Q37"/>
      <c r="R37"/>
      <c r="S37"/>
    </row>
    <row r="38" spans="1:20" s="8" customFormat="1" ht="13.5" x14ac:dyDescent="0.25">
      <c r="A38" s="77">
        <v>362.1</v>
      </c>
      <c r="B38" s="77"/>
      <c r="C38" s="21" t="s">
        <v>47</v>
      </c>
      <c r="D38" s="53" t="str">
        <f>_xlfn.CONCAT(VLOOKUP(A38,'ELG Whole Life_Total'!A$1:M$226,4,FALSE),"-",VLOOKUP('Table 1 Total'!A38,'ELG Whole Life_Total'!A$1:M$226,5,FALSE))</f>
        <v>15-SQ</v>
      </c>
      <c r="E38" s="9"/>
      <c r="F38" s="10">
        <f>VLOOKUP(A38,'ELG Whole Life_Total'!A$1:M$226,6,FALSE)*100</f>
        <v>-1</v>
      </c>
      <c r="G38" s="10"/>
      <c r="H38" s="95">
        <f t="shared" si="3"/>
        <v>3.6742859512005214E-3</v>
      </c>
      <c r="I38" s="9"/>
      <c r="J38" s="11">
        <f>VLOOKUP(A38,'ELG Whole Life_Total'!A$1:M$146,7,FALSE)</f>
        <v>976501.82</v>
      </c>
      <c r="K38" s="11"/>
      <c r="L38" s="11">
        <f>VLOOKUP(A38,'ELG Whole Life_Total'!A$1:M$146,8,FALSE)</f>
        <v>615980.20524666703</v>
      </c>
      <c r="M38" s="11"/>
      <c r="N38" s="11">
        <f>VLOOKUP(A38,'ELG Whole Life_Total'!A$1:M$146,9,FALSE)</f>
        <v>65751.122546666695</v>
      </c>
      <c r="O38" s="20"/>
      <c r="P38" s="71">
        <f t="shared" si="0"/>
        <v>6.733333333333337E-2</v>
      </c>
      <c r="Q38"/>
      <c r="R38"/>
      <c r="S38"/>
    </row>
    <row r="39" spans="1:20" s="8" customFormat="1" ht="13.5" x14ac:dyDescent="0.25">
      <c r="A39" s="77">
        <v>364</v>
      </c>
      <c r="B39" s="77"/>
      <c r="C39" s="21" t="s">
        <v>48</v>
      </c>
      <c r="D39" s="53" t="str">
        <f>_xlfn.CONCAT(VLOOKUP(A39,'ELG Whole Life_Total'!A$1:M$226,4,FALSE),"-",VLOOKUP('Table 1 Total'!A39,'ELG Whole Life_Total'!A$1:M$226,5,FALSE))</f>
        <v>50-R2</v>
      </c>
      <c r="E39" s="9"/>
      <c r="F39" s="10">
        <f>VLOOKUP(A39,'ELG Whole Life_Total'!A$1:M$226,6,FALSE)*100</f>
        <v>-20</v>
      </c>
      <c r="G39" s="10"/>
      <c r="H39" s="95">
        <f t="shared" si="3"/>
        <v>0.20057816119327768</v>
      </c>
      <c r="I39" s="9"/>
      <c r="J39" s="11">
        <f>VLOOKUP(A39,'ELG Whole Life_Total'!A$1:M$146,7,FALSE)</f>
        <v>53306939.649999999</v>
      </c>
      <c r="K39" s="11"/>
      <c r="L39" s="11">
        <f>VLOOKUP(A39,'ELG Whole Life_Total'!A$1:M$146,8,FALSE)</f>
        <v>20687809.076978602</v>
      </c>
      <c r="M39" s="11"/>
      <c r="N39" s="11">
        <f>VLOOKUP(A39,'ELG Whole Life_Total'!A$1:M$146,9,FALSE)</f>
        <v>1434316.1642559599</v>
      </c>
      <c r="O39" s="20"/>
      <c r="P39" s="71">
        <f t="shared" si="0"/>
        <v>2.6906743731178722E-2</v>
      </c>
      <c r="Q39"/>
      <c r="R39"/>
      <c r="S39"/>
      <c r="T39" s="73"/>
    </row>
    <row r="40" spans="1:20" s="8" customFormat="1" ht="13.5" x14ac:dyDescent="0.25">
      <c r="A40" s="77">
        <v>365</v>
      </c>
      <c r="B40" s="77"/>
      <c r="C40" s="21" t="s">
        <v>49</v>
      </c>
      <c r="D40" s="53" t="str">
        <f>_xlfn.CONCAT(VLOOKUP(A40,'ELG Whole Life_Total'!A$1:M$226,4,FALSE),"-",VLOOKUP('Table 1 Total'!A40,'ELG Whole Life_Total'!A$1:M$226,5,FALSE))</f>
        <v>50-R3</v>
      </c>
      <c r="E40" s="9"/>
      <c r="F40" s="10">
        <f>VLOOKUP(A40,'ELG Whole Life_Total'!A$1:M$226,6,FALSE)*100</f>
        <v>-5</v>
      </c>
      <c r="G40" s="10"/>
      <c r="H40" s="95">
        <f t="shared" si="3"/>
        <v>0.10834026987873878</v>
      </c>
      <c r="I40" s="9"/>
      <c r="J40" s="11">
        <f>VLOOKUP(A40,'ELG Whole Life_Total'!A$1:M$146,7,FALSE)</f>
        <v>28793205.57</v>
      </c>
      <c r="K40" s="11"/>
      <c r="L40" s="11">
        <f>VLOOKUP(A40,'ELG Whole Life_Total'!A$1:M$146,8,FALSE)</f>
        <v>11252261.400219399</v>
      </c>
      <c r="M40" s="11"/>
      <c r="N40" s="11">
        <f>VLOOKUP(A40,'ELG Whole Life_Total'!A$1:M$146,9,FALSE)</f>
        <v>638457.17864762305</v>
      </c>
      <c r="O40" s="20"/>
      <c r="P40" s="71">
        <f t="shared" si="0"/>
        <v>2.2173883248096542E-2</v>
      </c>
      <c r="Q40"/>
      <c r="R40"/>
      <c r="S40"/>
      <c r="T40" s="73"/>
    </row>
    <row r="41" spans="1:20" s="8" customFormat="1" ht="13.5" x14ac:dyDescent="0.25">
      <c r="A41" s="77">
        <v>365.1</v>
      </c>
      <c r="B41" s="77"/>
      <c r="C41" s="21" t="s">
        <v>50</v>
      </c>
      <c r="D41" s="53" t="str">
        <f>_xlfn.CONCAT(VLOOKUP(A41,'ELG Whole Life_Total'!A$1:M$226,4,FALSE),"-",VLOOKUP('Table 1 Total'!A41,'ELG Whole Life_Total'!A$1:M$226,5,FALSE))</f>
        <v>50-R2.5</v>
      </c>
      <c r="E41" s="9"/>
      <c r="F41" s="10">
        <f>VLOOKUP(A41,'ELG Whole Life_Total'!A$1:M$226,6,FALSE)*100</f>
        <v>-8</v>
      </c>
      <c r="G41" s="10"/>
      <c r="H41" s="95">
        <f t="shared" si="3"/>
        <v>1.9694933309202269E-2</v>
      </c>
      <c r="I41" s="9"/>
      <c r="J41" s="11">
        <f>VLOOKUP(A41,'ELG Whole Life_Total'!A$1:M$146,7,FALSE)</f>
        <v>5234251.9000000004</v>
      </c>
      <c r="K41" s="11"/>
      <c r="L41" s="11">
        <f>VLOOKUP(A41,'ELG Whole Life_Total'!A$1:M$146,8,FALSE)</f>
        <v>1787055.7671684399</v>
      </c>
      <c r="M41" s="11"/>
      <c r="N41" s="11">
        <f>VLOOKUP(A41,'ELG Whole Life_Total'!A$1:M$146,9,FALSE)</f>
        <v>124889.38885553701</v>
      </c>
      <c r="O41" s="20"/>
      <c r="P41" s="71">
        <f t="shared" si="0"/>
        <v>2.3860026464438404E-2</v>
      </c>
      <c r="Q41"/>
      <c r="R41"/>
      <c r="S41"/>
      <c r="T41" s="73"/>
    </row>
    <row r="42" spans="1:20" s="8" customFormat="1" ht="13.5" x14ac:dyDescent="0.25">
      <c r="A42" s="77">
        <v>367</v>
      </c>
      <c r="B42" s="77"/>
      <c r="C42" s="21" t="s">
        <v>51</v>
      </c>
      <c r="D42" s="53" t="str">
        <f>_xlfn.CONCAT(VLOOKUP(A42,'ELG Whole Life_Total'!A$1:M$226,4,FALSE),"-",VLOOKUP('Table 1 Total'!A42,'ELG Whole Life_Total'!A$1:M$226,5,FALSE))</f>
        <v>50-R3</v>
      </c>
      <c r="E42" s="9"/>
      <c r="F42" s="10">
        <f>VLOOKUP(A42,'ELG Whole Life_Total'!A$1:M$226,6,FALSE)*100</f>
        <v>-10</v>
      </c>
      <c r="G42" s="10"/>
      <c r="H42" s="95">
        <f t="shared" si="3"/>
        <v>0.12860429156453948</v>
      </c>
      <c r="I42" s="9"/>
      <c r="J42" s="11">
        <f>VLOOKUP(A42,'ELG Whole Life_Total'!A$1:M$146,7,FALSE)</f>
        <v>34178702.049999997</v>
      </c>
      <c r="K42" s="11"/>
      <c r="L42" s="11">
        <f>VLOOKUP(A42,'ELG Whole Life_Total'!A$1:M$146,8,FALSE)</f>
        <v>12606436.8662303</v>
      </c>
      <c r="M42" s="11"/>
      <c r="N42" s="11">
        <f>VLOOKUP(A42,'ELG Whole Life_Total'!A$1:M$146,9,FALSE)</f>
        <v>804628.13782408496</v>
      </c>
      <c r="O42" s="20"/>
      <c r="P42" s="71">
        <f t="shared" si="0"/>
        <v>2.3541799119433941E-2</v>
      </c>
      <c r="Q42"/>
      <c r="R42"/>
      <c r="S42"/>
      <c r="T42" s="73"/>
    </row>
    <row r="43" spans="1:20" s="8" customFormat="1" ht="13.5" x14ac:dyDescent="0.25">
      <c r="A43" s="77">
        <v>367.1</v>
      </c>
      <c r="B43" s="77"/>
      <c r="C43" s="21" t="s">
        <v>52</v>
      </c>
      <c r="D43" s="53" t="str">
        <f>_xlfn.CONCAT(VLOOKUP(A43,'ELG Whole Life_Total'!A$1:M$226,4,FALSE),"-",VLOOKUP('Table 1 Total'!A43,'ELG Whole Life_Total'!A$1:M$226,5,FALSE))</f>
        <v>50-R4</v>
      </c>
      <c r="E43" s="9"/>
      <c r="F43" s="10">
        <f>VLOOKUP(A43,'ELG Whole Life_Total'!A$1:M$226,6,FALSE)*100</f>
        <v>-5</v>
      </c>
      <c r="G43" s="10"/>
      <c r="H43" s="95">
        <f t="shared" si="3"/>
        <v>2.3577659063247689E-2</v>
      </c>
      <c r="I43" s="9"/>
      <c r="J43" s="11">
        <f>VLOOKUP(A43,'ELG Whole Life_Total'!A$1:M$146,7,FALSE)</f>
        <v>6266150.0199999996</v>
      </c>
      <c r="K43" s="11"/>
      <c r="L43" s="11">
        <f>VLOOKUP(A43,'ELG Whole Life_Total'!A$1:M$146,8,FALSE)</f>
        <v>1696034.5997227901</v>
      </c>
      <c r="M43" s="11"/>
      <c r="N43" s="11">
        <f>VLOOKUP(A43,'ELG Whole Life_Total'!A$1:M$146,9,FALSE)</f>
        <v>137787.922933975</v>
      </c>
      <c r="O43" s="20"/>
      <c r="P43" s="71">
        <f t="shared" si="0"/>
        <v>2.1989247383830592E-2</v>
      </c>
      <c r="Q43"/>
      <c r="R43"/>
      <c r="S43"/>
      <c r="T43" s="73"/>
    </row>
    <row r="44" spans="1:20" s="8" customFormat="1" ht="13.5" x14ac:dyDescent="0.25">
      <c r="A44" s="77">
        <v>368</v>
      </c>
      <c r="B44" s="77"/>
      <c r="C44" s="21" t="s">
        <v>53</v>
      </c>
      <c r="D44" s="53" t="str">
        <f>_xlfn.CONCAT(VLOOKUP(A44,'ELG Whole Life_Total'!A$1:M$226,4,FALSE),"-",VLOOKUP('Table 1 Total'!A44,'ELG Whole Life_Total'!A$1:M$226,5,FALSE))</f>
        <v>45-R2.5</v>
      </c>
      <c r="E44" s="9"/>
      <c r="F44" s="10">
        <f>VLOOKUP(A44,'ELG Whole Life_Total'!A$1:M$226,6,FALSE)*100</f>
        <v>-10</v>
      </c>
      <c r="G44" s="10"/>
      <c r="H44" s="95">
        <f t="shared" si="3"/>
        <v>0.15377098302484521</v>
      </c>
      <c r="I44" s="9"/>
      <c r="J44" s="11">
        <f>VLOOKUP(A44,'ELG Whole Life_Total'!A$1:M$146,7,FALSE)</f>
        <v>40867163.520000003</v>
      </c>
      <c r="K44" s="11"/>
      <c r="L44" s="11">
        <f>VLOOKUP(A44,'ELG Whole Life_Total'!A$1:M$146,8,FALSE)</f>
        <v>15706401.848820399</v>
      </c>
      <c r="M44" s="11"/>
      <c r="N44" s="11">
        <f>VLOOKUP(A44,'ELG Whole Life_Total'!A$1:M$146,9,FALSE)</f>
        <v>1080836.36069553</v>
      </c>
      <c r="O44" s="20"/>
      <c r="P44" s="71">
        <f t="shared" si="0"/>
        <v>2.6447550248173669E-2</v>
      </c>
      <c r="Q44"/>
      <c r="R44"/>
      <c r="S44"/>
      <c r="T44" s="73"/>
    </row>
    <row r="45" spans="1:20" s="8" customFormat="1" ht="13.5" x14ac:dyDescent="0.25">
      <c r="A45" s="77">
        <v>370</v>
      </c>
      <c r="B45" s="77"/>
      <c r="C45" s="21" t="s">
        <v>54</v>
      </c>
      <c r="D45" s="53" t="str">
        <f>_xlfn.CONCAT(VLOOKUP(A45,'ELG Whole Life_Total'!A$1:M$226,4,FALSE),"-",VLOOKUP('Table 1 Total'!A45,'ELG Whole Life_Total'!A$1:M$226,5,FALSE))</f>
        <v>15-R0.5</v>
      </c>
      <c r="E45" s="9"/>
      <c r="F45" s="10">
        <f>VLOOKUP(A45,'ELG Whole Life_Total'!A$1:M$226,6,FALSE)*100</f>
        <v>-2</v>
      </c>
      <c r="G45" s="10"/>
      <c r="H45" s="95">
        <f t="shared" si="3"/>
        <v>1.1124678919226179E-2</v>
      </c>
      <c r="I45" s="9"/>
      <c r="J45" s="11">
        <f>VLOOKUP(A45,'ELG Whole Life_Total'!A$1:M$146,7,FALSE)</f>
        <v>2956566.08</v>
      </c>
      <c r="K45" s="11"/>
      <c r="L45" s="11">
        <f>VLOOKUP(A45,'ELG Whole Life_Total'!A$1:M$146,8,FALSE)</f>
        <v>1772017.8706182099</v>
      </c>
      <c r="M45" s="11"/>
      <c r="N45" s="11">
        <f>VLOOKUP(A45,'ELG Whole Life_Total'!A$1:M$146,9,FALSE)</f>
        <v>170191.02667229201</v>
      </c>
      <c r="O45" s="20"/>
      <c r="P45" s="71">
        <f t="shared" si="0"/>
        <v>5.7563748641901488E-2</v>
      </c>
      <c r="Q45"/>
      <c r="R45"/>
      <c r="S45"/>
      <c r="T45" s="73"/>
    </row>
    <row r="46" spans="1:20" s="8" customFormat="1" ht="13.5" x14ac:dyDescent="0.25">
      <c r="A46" s="77">
        <v>371</v>
      </c>
      <c r="B46" s="77"/>
      <c r="C46" s="21" t="s">
        <v>55</v>
      </c>
      <c r="D46" s="53" t="str">
        <f>_xlfn.CONCAT(VLOOKUP(A46,'ELG Whole Life_Total'!A$1:M$226,4,FALSE),"-",VLOOKUP('Table 1 Total'!A46,'ELG Whole Life_Total'!A$1:M$226,5,FALSE))</f>
        <v>15-R2.5</v>
      </c>
      <c r="E46" s="9"/>
      <c r="F46" s="10">
        <f>VLOOKUP(A46,'ELG Whole Life_Total'!A$1:M$226,6,FALSE)*100</f>
        <v>0</v>
      </c>
      <c r="G46" s="10"/>
      <c r="H46" s="95">
        <f t="shared" si="3"/>
        <v>6.5120781845233509E-4</v>
      </c>
      <c r="I46" s="9"/>
      <c r="J46" s="11">
        <f>VLOOKUP(A46,'ELG Whole Life_Total'!A$1:M$146,7,FALSE)</f>
        <v>173069.17</v>
      </c>
      <c r="K46" s="11"/>
      <c r="L46" s="11">
        <f>VLOOKUP(A46,'ELG Whole Life_Total'!A$1:M$146,8,FALSE)</f>
        <v>71540.126080192407</v>
      </c>
      <c r="M46" s="11"/>
      <c r="N46" s="11">
        <f>VLOOKUP(A46,'ELG Whole Life_Total'!A$1:M$146,9,FALSE)</f>
        <v>12166.3648045599</v>
      </c>
      <c r="O46" s="20"/>
      <c r="P46" s="71">
        <f t="shared" si="0"/>
        <v>7.0297701228704684E-2</v>
      </c>
      <c r="Q46"/>
      <c r="R46"/>
      <c r="S46"/>
      <c r="T46" s="73"/>
    </row>
    <row r="47" spans="1:20" s="8" customFormat="1" ht="13.5" x14ac:dyDescent="0.25">
      <c r="A47" s="77">
        <v>373</v>
      </c>
      <c r="B47" s="77"/>
      <c r="C47" s="21" t="s">
        <v>56</v>
      </c>
      <c r="D47" s="53" t="str">
        <f>_xlfn.CONCAT(VLOOKUP(A47,'ELG Whole Life_Total'!A$1:M$226,4,FALSE),"-",VLOOKUP('Table 1 Total'!A47,'ELG Whole Life_Total'!A$1:M$226,5,FALSE))</f>
        <v>30-R3</v>
      </c>
      <c r="E47" s="9"/>
      <c r="F47" s="10">
        <f>VLOOKUP(A47,'ELG Whole Life_Total'!A$1:M$226,6,FALSE)*100</f>
        <v>-10</v>
      </c>
      <c r="G47" s="10"/>
      <c r="H47" s="95">
        <f t="shared" si="3"/>
        <v>5.1310797452062289E-2</v>
      </c>
      <c r="I47" s="9"/>
      <c r="J47" s="11">
        <f>VLOOKUP(A47,'ELG Whole Life_Total'!A$1:M$146,7,FALSE)</f>
        <v>13636686.9</v>
      </c>
      <c r="K47" s="11"/>
      <c r="L47" s="11">
        <f>VLOOKUP(A47,'ELG Whole Life_Total'!A$1:M$146,8,FALSE)</f>
        <v>7722035.2911523804</v>
      </c>
      <c r="M47" s="11"/>
      <c r="N47" s="11">
        <f>VLOOKUP(A47,'ELG Whole Life_Total'!A$1:M$146,9,FALSE)</f>
        <v>493417.70134156599</v>
      </c>
      <c r="O47" s="20"/>
      <c r="P47" s="71">
        <f t="shared" si="0"/>
        <v>3.6183107008313432E-2</v>
      </c>
      <c r="Q47"/>
      <c r="R47"/>
      <c r="S47"/>
      <c r="T47" s="73"/>
    </row>
    <row r="48" spans="1:20" s="26" customFormat="1" ht="14" x14ac:dyDescent="0.25">
      <c r="A48" s="77">
        <v>373.1</v>
      </c>
      <c r="B48" s="77"/>
      <c r="C48" s="21" t="s">
        <v>57</v>
      </c>
      <c r="D48" s="53" t="str">
        <f>_xlfn.CONCAT(VLOOKUP(A48,'ELG Whole Life_Total'!A$1:M$226,4,FALSE),"-",VLOOKUP('Table 1 Total'!A48,'ELG Whole Life_Total'!A$1:M$226,5,FALSE))</f>
        <v>23-R2</v>
      </c>
      <c r="E48" s="9"/>
      <c r="F48" s="10">
        <f>VLOOKUP(A48,'ELG Whole Life_Total'!A$1:M$226,6,FALSE)*100</f>
        <v>10</v>
      </c>
      <c r="G48" s="10"/>
      <c r="H48" s="95">
        <f t="shared" si="3"/>
        <v>1.0742066321500884E-3</v>
      </c>
      <c r="I48" s="9"/>
      <c r="J48" s="81">
        <f>VLOOKUP(A48,'ELG Whole Life_Total'!A$1:M$146,7,FALSE)</f>
        <v>285488.05</v>
      </c>
      <c r="K48" s="11"/>
      <c r="L48" s="81">
        <f>VLOOKUP(A48,'ELG Whole Life_Total'!A$1:M$146,8,FALSE)</f>
        <v>243584.30881214101</v>
      </c>
      <c r="M48" s="11"/>
      <c r="N48" s="81">
        <f>VLOOKUP(A48,'ELG Whole Life_Total'!A$1:M$146,9,FALSE)</f>
        <v>4673.5872055381897</v>
      </c>
      <c r="O48" s="20"/>
      <c r="P48" s="98">
        <f t="shared" si="0"/>
        <v>1.6370517804644328E-2</v>
      </c>
      <c r="Q48"/>
      <c r="R48"/>
      <c r="S48"/>
      <c r="T48" s="73"/>
    </row>
    <row r="49" spans="1:20" s="26" customFormat="1" ht="14" x14ac:dyDescent="0.3">
      <c r="A49" s="14" t="s">
        <v>58</v>
      </c>
      <c r="B49" s="14"/>
      <c r="C49" s="21"/>
      <c r="D49" s="53"/>
      <c r="E49" s="9"/>
      <c r="F49" s="10"/>
      <c r="G49" s="10"/>
      <c r="H49" s="95"/>
      <c r="I49" s="9"/>
      <c r="J49" s="25">
        <f>_xlfn.IFNA(SUM(J36:J48),0)</f>
        <v>196378886.72000003</v>
      </c>
      <c r="K49" s="11"/>
      <c r="L49" s="25">
        <f>_xlfn.IFNA(SUM(L36:L48),0)</f>
        <v>77491453.807507396</v>
      </c>
      <c r="M49" s="11"/>
      <c r="N49" s="25">
        <f>_xlfn.IFNA(SUM(N36:N48),0)</f>
        <v>5197989.8584647179</v>
      </c>
      <c r="O49" s="20"/>
      <c r="P49" s="86">
        <f t="shared" si="0"/>
        <v>2.6469188950419553E-2</v>
      </c>
      <c r="Q49"/>
      <c r="R49"/>
      <c r="S49"/>
      <c r="T49" s="73"/>
    </row>
    <row r="50" spans="1:20" s="26" customFormat="1" ht="14" x14ac:dyDescent="0.25">
      <c r="A50" s="15"/>
      <c r="B50" s="15"/>
      <c r="C50" s="21"/>
      <c r="D50" s="53"/>
      <c r="E50" s="9"/>
      <c r="F50" s="10"/>
      <c r="G50" s="10"/>
      <c r="H50" s="95"/>
      <c r="I50" s="9"/>
      <c r="J50" s="11"/>
      <c r="K50" s="11"/>
      <c r="L50" s="11"/>
      <c r="M50" s="11"/>
      <c r="N50" s="11"/>
      <c r="O50" s="20"/>
      <c r="P50" s="71"/>
      <c r="Q50"/>
      <c r="R50"/>
      <c r="S50"/>
      <c r="T50" s="73"/>
    </row>
    <row r="51" spans="1:20" s="26" customFormat="1" ht="14" x14ac:dyDescent="0.3">
      <c r="A51" s="14" t="s">
        <v>59</v>
      </c>
      <c r="B51" s="14"/>
      <c r="C51" s="21"/>
      <c r="D51" s="53"/>
      <c r="E51" s="9"/>
      <c r="F51" s="10"/>
      <c r="G51" s="10"/>
      <c r="H51" s="95"/>
      <c r="I51" s="9"/>
      <c r="J51" s="11"/>
      <c r="K51" s="11"/>
      <c r="L51" s="11"/>
      <c r="M51" s="11"/>
      <c r="N51" s="11"/>
      <c r="O51" s="20"/>
      <c r="P51" s="71"/>
      <c r="Q51"/>
      <c r="R51"/>
      <c r="S51"/>
      <c r="T51" s="73"/>
    </row>
    <row r="52" spans="1:20" s="22" customFormat="1" ht="14" x14ac:dyDescent="0.3">
      <c r="A52" s="77">
        <v>390</v>
      </c>
      <c r="B52" s="77"/>
      <c r="C52" s="21" t="s">
        <v>27</v>
      </c>
      <c r="D52" s="53" t="str">
        <f>_xlfn.CONCAT(VLOOKUP(A52,'ELG Whole Life_Total'!A$1:M$296,4,FALSE),"-",VLOOKUP('Table 1 Total'!A52,'ELG Whole Life_Total'!A$1:M$296,5,FALSE))</f>
        <v>40-L3</v>
      </c>
      <c r="E52" s="9"/>
      <c r="F52" s="10">
        <f>VLOOKUP(A52,'ELG Whole Life_Total'!A$1:M$226,6,FALSE)*100</f>
        <v>-5</v>
      </c>
      <c r="G52" s="10"/>
      <c r="H52" s="95">
        <f t="shared" ref="H52:H60" si="4">J52/$J$63</f>
        <v>1.9555790334987434E-2</v>
      </c>
      <c r="I52" s="9"/>
      <c r="J52" s="11">
        <f>VLOOKUP(A52,'ELG Whole Life_Total'!A$1:M$146,7,FALSE)</f>
        <v>5197272.37</v>
      </c>
      <c r="K52" s="11"/>
      <c r="L52" s="11">
        <f>VLOOKUP(A52,'ELG Whole Life_Total'!A$1:M$146,8,FALSE)</f>
        <v>2826166.5153364898</v>
      </c>
      <c r="M52" s="11"/>
      <c r="N52" s="11">
        <f>VLOOKUP(A52,'ELG Whole Life_Total'!A$1:M$146,9,FALSE)</f>
        <v>137390.74868142401</v>
      </c>
      <c r="O52" s="20"/>
      <c r="P52" s="71">
        <f t="shared" si="0"/>
        <v>2.6435164236240326E-2</v>
      </c>
      <c r="Q52"/>
      <c r="R52"/>
      <c r="S52"/>
      <c r="T52" s="73"/>
    </row>
    <row r="53" spans="1:20" s="8" customFormat="1" ht="13.5" x14ac:dyDescent="0.25">
      <c r="A53" s="77">
        <v>390.01</v>
      </c>
      <c r="B53" s="77"/>
      <c r="C53" s="21" t="s">
        <v>60</v>
      </c>
      <c r="D53" s="53" t="str">
        <f>_xlfn.CONCAT(VLOOKUP(A53,'ELG Whole Life_Total'!A$1:M$296,4,FALSE),"-",VLOOKUP('Table 1 Total'!A53,'ELG Whole Life_Total'!A$1:M$296,5,FALSE))</f>
        <v>40-R3</v>
      </c>
      <c r="E53" s="9"/>
      <c r="F53" s="10">
        <f>VLOOKUP(A53,'ELG Whole Life_Total'!A$1:M$226,6,FALSE)*100</f>
        <v>0</v>
      </c>
      <c r="G53" s="10"/>
      <c r="H53" s="95">
        <f t="shared" si="4"/>
        <v>1.6990575842092911E-3</v>
      </c>
      <c r="I53" s="9"/>
      <c r="J53" s="11">
        <f>VLOOKUP(A53,'ELG Whole Life_Total'!A$1:M$146,7,FALSE)</f>
        <v>451552.45</v>
      </c>
      <c r="K53" s="11"/>
      <c r="L53" s="11">
        <f>VLOOKUP(A53,'ELG Whole Life_Total'!A$1:M$146,8,FALSE)</f>
        <v>190027.84960775901</v>
      </c>
      <c r="M53" s="11"/>
      <c r="N53" s="11">
        <f>VLOOKUP(A53,'ELG Whole Life_Total'!A$1:M$146,9,FALSE)</f>
        <v>11729.923687865299</v>
      </c>
      <c r="O53" s="20"/>
      <c r="P53" s="71">
        <f t="shared" si="0"/>
        <v>2.5976879735378024E-2</v>
      </c>
      <c r="Q53"/>
      <c r="R53"/>
      <c r="S53"/>
      <c r="T53" s="73"/>
    </row>
    <row r="54" spans="1:20" s="8" customFormat="1" ht="13.5" x14ac:dyDescent="0.25">
      <c r="A54" s="77">
        <v>391</v>
      </c>
      <c r="B54" s="77"/>
      <c r="C54" s="21" t="s">
        <v>61</v>
      </c>
      <c r="D54" s="53" t="str">
        <f>_xlfn.CONCAT(VLOOKUP(A54,'ELG Whole Life_Total'!A$1:M$296,4,FALSE),"-",VLOOKUP('Table 1 Total'!A54,'ELG Whole Life_Total'!A$1:M$296,5,FALSE))</f>
        <v>15-SQ</v>
      </c>
      <c r="E54" s="9"/>
      <c r="F54" s="10">
        <f>VLOOKUP(A54,'ELG Whole Life_Total'!A$1:M$226,6,FALSE)*100</f>
        <v>0</v>
      </c>
      <c r="G54" s="10"/>
      <c r="H54" s="95">
        <f t="shared" si="4"/>
        <v>1.0442235739932877E-3</v>
      </c>
      <c r="I54" s="9"/>
      <c r="J54" s="11">
        <f>VLOOKUP(A54,'ELG Whole Life_Total'!A$1:M$146,7,FALSE)</f>
        <v>277519.56</v>
      </c>
      <c r="K54" s="11"/>
      <c r="L54" s="11">
        <f>VLOOKUP(A54,'ELG Whole Life_Total'!A$1:M$146,8,FALSE)</f>
        <v>156316.25266666699</v>
      </c>
      <c r="M54" s="11"/>
      <c r="N54" s="11">
        <f>VLOOKUP(A54,'ELG Whole Life_Total'!A$1:M$146,9,FALSE)</f>
        <v>18501.304</v>
      </c>
      <c r="O54" s="20"/>
      <c r="P54" s="71">
        <f t="shared" si="0"/>
        <v>6.6666666666666666E-2</v>
      </c>
      <c r="Q54"/>
      <c r="R54"/>
      <c r="S54"/>
      <c r="T54" s="73"/>
    </row>
    <row r="55" spans="1:20" s="8" customFormat="1" ht="13.5" x14ac:dyDescent="0.25">
      <c r="A55" s="77">
        <v>391.1</v>
      </c>
      <c r="B55" s="77"/>
      <c r="C55" s="21" t="s">
        <v>62</v>
      </c>
      <c r="D55" s="53" t="str">
        <f>_xlfn.CONCAT(VLOOKUP(A55,'ELG Whole Life_Total'!A$1:M$296,4,FALSE),"-",VLOOKUP('Table 1 Total'!A55,'ELG Whole Life_Total'!A$1:M$296,5,FALSE))</f>
        <v>5-SQ</v>
      </c>
      <c r="E55" s="9"/>
      <c r="F55" s="10">
        <f>VLOOKUP(A55,'ELG Whole Life_Total'!A$1:M$226,6,FALSE)*100</f>
        <v>0</v>
      </c>
      <c r="G55" s="10"/>
      <c r="H55" s="95">
        <f t="shared" si="4"/>
        <v>2.2842234999282494E-4</v>
      </c>
      <c r="I55" s="9"/>
      <c r="J55" s="11">
        <f>VLOOKUP(A55,'ELG Whole Life_Total'!A$1:M$146,7,FALSE)</f>
        <v>60706.99</v>
      </c>
      <c r="K55" s="11"/>
      <c r="L55" s="11">
        <f>VLOOKUP(A55,'ELG Whole Life_Total'!A$1:M$146,8,FALSE)</f>
        <v>34244.695</v>
      </c>
      <c r="M55" s="11"/>
      <c r="N55" s="11">
        <f>VLOOKUP(A55,'ELG Whole Life_Total'!A$1:M$146,9,FALSE)</f>
        <v>12141.397999999999</v>
      </c>
      <c r="O55" s="20"/>
      <c r="P55" s="71">
        <f t="shared" si="0"/>
        <v>0.19999999999999998</v>
      </c>
      <c r="Q55"/>
      <c r="R55"/>
      <c r="S55"/>
      <c r="T55" s="73"/>
    </row>
    <row r="56" spans="1:20" s="8" customFormat="1" ht="13.5" x14ac:dyDescent="0.25">
      <c r="A56" s="77">
        <v>391.22</v>
      </c>
      <c r="B56" s="77"/>
      <c r="C56" s="21" t="s">
        <v>63</v>
      </c>
      <c r="D56" s="53" t="str">
        <f>_xlfn.CONCAT(VLOOKUP(A56,'ELG Whole Life_Total'!A$1:M$296,4,FALSE),"-",VLOOKUP('Table 1 Total'!A56,'ELG Whole Life_Total'!A$1:M$296,5,FALSE))</f>
        <v>10-SQ</v>
      </c>
      <c r="E56" s="9"/>
      <c r="F56" s="10">
        <f>VLOOKUP(A56,'ELG Whole Life_Total'!A$1:M$226,6,FALSE)*100</f>
        <v>0</v>
      </c>
      <c r="G56" s="10"/>
      <c r="H56" s="95">
        <f t="shared" si="4"/>
        <v>2.9252188167064029E-3</v>
      </c>
      <c r="I56" s="9"/>
      <c r="J56" s="11">
        <f>VLOOKUP(A56,'ELG Whole Life_Total'!A$1:M$146,7,FALSE)</f>
        <v>777424.93</v>
      </c>
      <c r="K56" s="11"/>
      <c r="L56" s="11">
        <f>VLOOKUP(A56,'ELG Whole Life_Total'!A$1:M$146,8,FALSE)</f>
        <v>421980.05550000002</v>
      </c>
      <c r="M56" s="11"/>
      <c r="N56" s="11">
        <f>VLOOKUP(A56,'ELG Whole Life_Total'!A$1:M$146,9,FALSE)</f>
        <v>77742.493000000002</v>
      </c>
      <c r="O56" s="20"/>
      <c r="P56" s="71">
        <f t="shared" si="0"/>
        <v>9.9999999999999992E-2</v>
      </c>
      <c r="Q56"/>
      <c r="R56"/>
      <c r="S56"/>
      <c r="T56" s="73"/>
    </row>
    <row r="57" spans="1:20" s="8" customFormat="1" ht="13.5" x14ac:dyDescent="0.25">
      <c r="A57" s="77">
        <v>392.2</v>
      </c>
      <c r="B57" s="77"/>
      <c r="C57" s="21" t="s">
        <v>64</v>
      </c>
      <c r="D57" s="53" t="str">
        <f>_xlfn.CONCAT(VLOOKUP(A57,'ELG Whole Life_Total'!A$1:M$296,4,FALSE),"-",VLOOKUP('Table 1 Total'!A57,'ELG Whole Life_Total'!A$1:M$296,5,FALSE))</f>
        <v>12-L3</v>
      </c>
      <c r="E57" s="9"/>
      <c r="F57" s="10">
        <f>VLOOKUP(A57,'ELG Whole Life_Total'!A$1:M$226,6,FALSE)*100</f>
        <v>10</v>
      </c>
      <c r="G57" s="10"/>
      <c r="H57" s="95">
        <f t="shared" si="4"/>
        <v>1.1121350658255529E-2</v>
      </c>
      <c r="I57" s="9"/>
      <c r="J57" s="11">
        <f>VLOOKUP(A57,'ELG Whole Life_Total'!A$1:M$146,7,FALSE)</f>
        <v>2955681.54</v>
      </c>
      <c r="K57" s="11"/>
      <c r="L57" s="11">
        <f>VLOOKUP(A57,'ELG Whole Life_Total'!A$1:M$146,8,FALSE)</f>
        <v>1268173.6965989701</v>
      </c>
      <c r="M57" s="11"/>
      <c r="N57" s="11">
        <f>VLOOKUP(A57,'ELG Whole Life_Total'!A$1:M$146,9,FALSE)</f>
        <v>224349.914392081</v>
      </c>
      <c r="O57" s="20"/>
      <c r="P57" s="71">
        <f t="shared" si="0"/>
        <v>7.5904630237018364E-2</v>
      </c>
      <c r="Q57"/>
      <c r="R57"/>
      <c r="S57"/>
      <c r="T57" s="73"/>
    </row>
    <row r="58" spans="1:20" s="8" customFormat="1" ht="13.5" x14ac:dyDescent="0.25">
      <c r="A58" s="77">
        <v>392.3</v>
      </c>
      <c r="B58" s="77"/>
      <c r="C58" s="21" t="s">
        <v>65</v>
      </c>
      <c r="D58" s="53" t="str">
        <f>_xlfn.CONCAT(VLOOKUP(A58,'ELG Whole Life_Total'!A$1:M$296,4,FALSE),"-",VLOOKUP('Table 1 Total'!A58,'ELG Whole Life_Total'!A$1:M$296,5,FALSE))</f>
        <v>15-L3</v>
      </c>
      <c r="E58" s="9"/>
      <c r="F58" s="10">
        <f>VLOOKUP(A58,'ELG Whole Life_Total'!A$1:M$226,6,FALSE)*100</f>
        <v>0</v>
      </c>
      <c r="G58" s="10"/>
      <c r="H58" s="95">
        <f t="shared" si="4"/>
        <v>1.0373666843750613E-2</v>
      </c>
      <c r="I58" s="9"/>
      <c r="J58" s="11">
        <f>VLOOKUP(A58,'ELG Whole Life_Total'!A$1:M$146,7,FALSE)</f>
        <v>2756972.29</v>
      </c>
      <c r="K58" s="11"/>
      <c r="L58" s="11">
        <f>VLOOKUP(A58,'ELG Whole Life_Total'!A$1:M$146,8,FALSE)</f>
        <v>1421934.04747861</v>
      </c>
      <c r="M58" s="11"/>
      <c r="N58" s="11">
        <f>VLOOKUP(A58,'ELG Whole Life_Total'!A$1:M$146,9,FALSE)</f>
        <v>184560.571599191</v>
      </c>
      <c r="O58" s="20"/>
      <c r="P58" s="71">
        <f t="shared" si="0"/>
        <v>6.69432087760269E-2</v>
      </c>
      <c r="Q58"/>
      <c r="R58"/>
      <c r="S58"/>
      <c r="T58" s="73"/>
    </row>
    <row r="59" spans="1:20" s="8" customFormat="1" ht="13.5" x14ac:dyDescent="0.25">
      <c r="A59" s="77">
        <v>392.4</v>
      </c>
      <c r="B59" s="77"/>
      <c r="C59" s="21" t="s">
        <v>66</v>
      </c>
      <c r="D59" s="53" t="str">
        <f>_xlfn.CONCAT(VLOOKUP(A59,'ELG Whole Life_Total'!A$1:M$296,4,FALSE),"-",VLOOKUP('Table 1 Total'!A59,'ELG Whole Life_Total'!A$1:M$296,5,FALSE))</f>
        <v>12-L0</v>
      </c>
      <c r="E59" s="9"/>
      <c r="F59" s="10">
        <f>VLOOKUP(A59,'ELG Whole Life_Total'!A$1:M$226,6,FALSE)*100</f>
        <v>0</v>
      </c>
      <c r="G59" s="10"/>
      <c r="H59" s="95">
        <f t="shared" si="4"/>
        <v>8.7107656709966923E-4</v>
      </c>
      <c r="I59" s="9"/>
      <c r="J59" s="11">
        <f>VLOOKUP(A59,'ELG Whole Life_Total'!A$1:M$146,7,FALSE)</f>
        <v>231502.9</v>
      </c>
      <c r="K59" s="11"/>
      <c r="L59" s="11">
        <f>VLOOKUP(A59,'ELG Whole Life_Total'!A$1:M$146,8,FALSE)</f>
        <v>127712.295988563</v>
      </c>
      <c r="M59" s="11"/>
      <c r="N59" s="11">
        <f>VLOOKUP(A59,'ELG Whole Life_Total'!A$1:M$146,9,FALSE)</f>
        <v>16904.867415301102</v>
      </c>
      <c r="O59" s="20"/>
      <c r="P59" s="71">
        <f t="shared" si="0"/>
        <v>7.3022270629443956E-2</v>
      </c>
      <c r="Q59"/>
      <c r="R59"/>
      <c r="S59"/>
      <c r="T59" s="73"/>
    </row>
    <row r="60" spans="1:20" s="8" customFormat="1" ht="13.5" x14ac:dyDescent="0.25">
      <c r="A60" s="77">
        <v>394</v>
      </c>
      <c r="B60" s="77"/>
      <c r="C60" s="21" t="s">
        <v>67</v>
      </c>
      <c r="D60" s="53" t="str">
        <f>_xlfn.CONCAT(VLOOKUP(A60,'ELG Whole Life_Total'!A$1:M$296,4,FALSE),"-",VLOOKUP('Table 1 Total'!A60,'ELG Whole Life_Total'!A$1:M$296,5,FALSE))</f>
        <v>15-SQ</v>
      </c>
      <c r="E60" s="9"/>
      <c r="F60" s="10">
        <f>VLOOKUP(A60,'ELG Whole Life_Total'!A$1:M$226,6,FALSE)*100</f>
        <v>0</v>
      </c>
      <c r="G60" s="10"/>
      <c r="H60" s="95">
        <f t="shared" si="4"/>
        <v>6.444380880774714E-3</v>
      </c>
      <c r="I60" s="9"/>
      <c r="J60" s="81">
        <f>VLOOKUP(A60,'ELG Whole Life_Total'!A$1:M$146,7,FALSE)</f>
        <v>1712700.03</v>
      </c>
      <c r="K60" s="11"/>
      <c r="L60" s="81">
        <f>VLOOKUP(A60,'ELG Whole Life_Total'!A$1:M$146,8,FALSE)</f>
        <v>785216.995666667</v>
      </c>
      <c r="M60" s="11"/>
      <c r="N60" s="81">
        <f>VLOOKUP(A60,'ELG Whole Life_Total'!A$1:M$146,9,FALSE)</f>
        <v>114180.00199999999</v>
      </c>
      <c r="O60" s="20"/>
      <c r="P60" s="98">
        <f t="shared" si="0"/>
        <v>6.6666666666666666E-2</v>
      </c>
      <c r="Q60"/>
      <c r="R60"/>
      <c r="S60"/>
      <c r="T60" s="73"/>
    </row>
    <row r="61" spans="1:20" ht="14" x14ac:dyDescent="0.3">
      <c r="A61" s="14" t="s">
        <v>68</v>
      </c>
      <c r="B61" s="14"/>
      <c r="C61" s="31"/>
      <c r="D61" s="53"/>
      <c r="E61" s="9"/>
      <c r="F61" s="10"/>
      <c r="G61" s="10"/>
      <c r="H61" s="95"/>
      <c r="I61" s="9"/>
      <c r="J61" s="25">
        <f>_xlfn.IFNA(SUM(J52:J60),0)</f>
        <v>14421333.059999999</v>
      </c>
      <c r="K61" s="25"/>
      <c r="L61" s="25">
        <f>_xlfn.IFNA(SUM(L52:L60),0)</f>
        <v>7231772.403843726</v>
      </c>
      <c r="M61" s="25"/>
      <c r="N61" s="25">
        <f>_xlfn.IFNA(SUM(N52:N60),0)</f>
        <v>797501.22277586232</v>
      </c>
      <c r="O61" s="64"/>
      <c r="P61" s="86">
        <f t="shared" si="0"/>
        <v>5.5300104328625942E-2</v>
      </c>
      <c r="Q61"/>
      <c r="R61"/>
      <c r="S61"/>
    </row>
    <row r="62" spans="1:20" ht="14" x14ac:dyDescent="0.3">
      <c r="A62" s="14"/>
      <c r="B62" s="14"/>
      <c r="C62" s="31"/>
      <c r="D62" s="53"/>
      <c r="E62" s="9"/>
      <c r="F62" s="10"/>
      <c r="G62" s="10"/>
      <c r="H62" s="95"/>
      <c r="I62" s="9"/>
      <c r="J62" s="25"/>
      <c r="K62" s="25"/>
      <c r="L62" s="25"/>
      <c r="M62" s="25"/>
      <c r="N62" s="25"/>
      <c r="O62" s="64"/>
      <c r="P62" s="86"/>
      <c r="Q62"/>
      <c r="R62"/>
      <c r="S62"/>
    </row>
    <row r="63" spans="1:20" ht="14" x14ac:dyDescent="0.3">
      <c r="A63" s="14" t="s">
        <v>69</v>
      </c>
      <c r="B63" s="14"/>
      <c r="C63" s="31"/>
      <c r="D63" s="53"/>
      <c r="E63" s="9"/>
      <c r="F63" s="10"/>
      <c r="G63" s="10"/>
      <c r="H63" s="95"/>
      <c r="I63" s="9"/>
      <c r="J63" s="91">
        <f>SUM(J61,J49,J33,J27,J18)</f>
        <v>265766419.10000002</v>
      </c>
      <c r="K63" s="25"/>
      <c r="L63" s="91">
        <f>SUM(L61,L49,L33,L27,L18)</f>
        <v>100414370.06900875</v>
      </c>
      <c r="M63" s="25"/>
      <c r="N63" s="91">
        <f>SUM(N61,N49,N33,N27,N18)</f>
        <v>7679655.5256783105</v>
      </c>
      <c r="O63" s="64"/>
      <c r="P63" s="108">
        <f t="shared" si="0"/>
        <v>2.8896259925106204E-2</v>
      </c>
      <c r="Q63"/>
      <c r="R63"/>
      <c r="S63"/>
    </row>
  </sheetData>
  <phoneticPr fontId="18" type="noConversion"/>
  <conditionalFormatting sqref="A9:P63">
    <cfRule type="expression" dxfId="23" priority="1">
      <formula>MOD(ROW(),2)=0</formula>
    </cfRule>
  </conditionalFormatting>
  <printOptions horizontalCentered="1"/>
  <pageMargins left="0.7" right="0.7" top="0.75" bottom="0.75" header="0.3" footer="0.3"/>
  <pageSetup scale="75" orientation="landscape" r:id="rId1"/>
  <headerFooter>
    <oddHeader>&amp;R&amp;"Arial,Bold"Attachment 4
&amp;A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F539D-1804-45A1-BD64-F8EA50C56BC5}">
  <sheetPr>
    <pageSetUpPr fitToPage="1"/>
  </sheetPr>
  <dimension ref="A1:N36"/>
  <sheetViews>
    <sheetView workbookViewId="0">
      <selection activeCell="G5" sqref="G5"/>
    </sheetView>
  </sheetViews>
  <sheetFormatPr defaultColWidth="17" defaultRowHeight="14.5" x14ac:dyDescent="0.35"/>
  <cols>
    <col min="1" max="2" width="17" style="68"/>
    <col min="3" max="3" width="9.81640625" style="68" customWidth="1"/>
    <col min="4" max="4" width="9.1796875" style="68" customWidth="1"/>
    <col min="5" max="5" width="11" style="68" customWidth="1"/>
    <col min="6" max="16384" width="17" style="68"/>
  </cols>
  <sheetData>
    <row r="1" spans="1:14" x14ac:dyDescent="0.35">
      <c r="A1" s="68" t="s">
        <v>95</v>
      </c>
      <c r="B1" s="68" t="s">
        <v>96</v>
      </c>
      <c r="C1" s="68" t="s">
        <v>97</v>
      </c>
      <c r="D1" s="68" t="s">
        <v>98</v>
      </c>
      <c r="E1" s="68" t="s">
        <v>99</v>
      </c>
      <c r="F1" s="68" t="s">
        <v>100</v>
      </c>
      <c r="G1" s="68" t="s">
        <v>101</v>
      </c>
      <c r="H1" s="68" t="s">
        <v>102</v>
      </c>
      <c r="I1" s="68" t="s">
        <v>103</v>
      </c>
      <c r="J1" s="68" t="s">
        <v>104</v>
      </c>
      <c r="K1" s="68" t="s">
        <v>105</v>
      </c>
      <c r="L1" s="68" t="s">
        <v>106</v>
      </c>
      <c r="M1" s="68" t="s">
        <v>122</v>
      </c>
      <c r="N1" s="68" t="s">
        <v>123</v>
      </c>
    </row>
    <row r="2" spans="1:14" x14ac:dyDescent="0.35">
      <c r="A2" s="68">
        <v>331</v>
      </c>
      <c r="B2" s="69">
        <v>368030.01</v>
      </c>
      <c r="D2" s="68">
        <v>70</v>
      </c>
      <c r="E2" s="68" t="s">
        <v>111</v>
      </c>
      <c r="F2" s="68">
        <v>0</v>
      </c>
      <c r="G2" s="69">
        <v>1668035.55</v>
      </c>
      <c r="H2" s="68">
        <v>260801.16710174701</v>
      </c>
      <c r="I2" s="68">
        <v>29091.6052526731</v>
      </c>
      <c r="J2" s="68">
        <v>1.7440638631876299E-2</v>
      </c>
      <c r="K2" s="68">
        <v>48.300267339413097</v>
      </c>
      <c r="L2" s="68">
        <v>0.156352283440091</v>
      </c>
      <c r="M2" s="68">
        <v>9.1198871960492696</v>
      </c>
      <c r="N2" s="68" t="s">
        <v>124</v>
      </c>
    </row>
    <row r="3" spans="1:14" x14ac:dyDescent="0.35">
      <c r="A3" s="68">
        <v>332</v>
      </c>
      <c r="B3" s="69">
        <v>445133.92</v>
      </c>
      <c r="D3" s="68">
        <v>100</v>
      </c>
      <c r="E3" s="68" t="s">
        <v>107</v>
      </c>
      <c r="F3" s="68">
        <v>-0.02</v>
      </c>
      <c r="G3" s="69">
        <v>8819430.7799999993</v>
      </c>
      <c r="H3" s="68">
        <v>794003.19415029895</v>
      </c>
      <c r="I3" s="68">
        <v>102543.684992403</v>
      </c>
      <c r="J3" s="68">
        <v>1.16270185174471E-2</v>
      </c>
      <c r="K3" s="68">
        <v>79.961871001878805</v>
      </c>
      <c r="L3" s="68">
        <v>9.00288481146512E-2</v>
      </c>
      <c r="M3" s="68">
        <v>7.7727061587074404</v>
      </c>
      <c r="N3" s="68" t="s">
        <v>124</v>
      </c>
    </row>
    <row r="4" spans="1:14" x14ac:dyDescent="0.35">
      <c r="A4" s="68">
        <v>333</v>
      </c>
      <c r="B4" s="69">
        <v>1651556.44</v>
      </c>
      <c r="D4" s="68">
        <v>85</v>
      </c>
      <c r="E4" s="68" t="s">
        <v>107</v>
      </c>
      <c r="F4" s="68">
        <v>-0.02</v>
      </c>
      <c r="G4" s="69">
        <v>3293183.44</v>
      </c>
      <c r="H4" s="68">
        <v>459173.25642393302</v>
      </c>
      <c r="I4" s="68">
        <v>44515.636939828699</v>
      </c>
      <c r="J4" s="68">
        <v>1.35175090458455E-2</v>
      </c>
      <c r="K4" s="68">
        <v>65.085035485241605</v>
      </c>
      <c r="L4" s="68">
        <v>0.13943142396705799</v>
      </c>
      <c r="M4" s="68">
        <v>10.389802354891</v>
      </c>
      <c r="N4" s="68" t="s">
        <v>124</v>
      </c>
    </row>
    <row r="5" spans="1:14" x14ac:dyDescent="0.35">
      <c r="A5" s="68">
        <v>334</v>
      </c>
      <c r="B5" s="69">
        <v>87001.96</v>
      </c>
      <c r="D5" s="68">
        <v>40</v>
      </c>
      <c r="E5" s="68" t="s">
        <v>110</v>
      </c>
      <c r="F5" s="68">
        <v>0</v>
      </c>
      <c r="G5" s="69">
        <v>81241.84</v>
      </c>
      <c r="H5" s="68">
        <v>53973.179439533</v>
      </c>
      <c r="I5" s="68">
        <v>1884.99139157533</v>
      </c>
      <c r="J5" s="68">
        <v>2.3202224267389E-2</v>
      </c>
      <c r="K5" s="68">
        <v>14.3022734879833</v>
      </c>
      <c r="L5" s="68">
        <v>0.664352006792719</v>
      </c>
      <c r="M5" s="68">
        <v>28.928845653914301</v>
      </c>
    </row>
    <row r="6" spans="1:14" x14ac:dyDescent="0.35">
      <c r="A6" s="68">
        <v>335</v>
      </c>
      <c r="B6" s="69">
        <v>10014.9</v>
      </c>
      <c r="D6" s="68">
        <v>51</v>
      </c>
      <c r="E6" s="68" t="s">
        <v>108</v>
      </c>
      <c r="F6" s="68">
        <v>0</v>
      </c>
      <c r="G6" s="69">
        <v>109846.18</v>
      </c>
      <c r="H6" s="68">
        <v>11491.272300676501</v>
      </c>
      <c r="I6" s="68">
        <v>2285.9139495673098</v>
      </c>
      <c r="J6" s="68">
        <v>2.08101360426672E-2</v>
      </c>
      <c r="K6" s="68">
        <v>43.018799284579799</v>
      </c>
      <c r="L6" s="68">
        <v>0.10461239799760499</v>
      </c>
      <c r="M6" s="68">
        <v>5.0349527857955598</v>
      </c>
      <c r="N6" s="68" t="s">
        <v>124</v>
      </c>
    </row>
    <row r="7" spans="1:14" x14ac:dyDescent="0.35">
      <c r="A7" s="68">
        <v>341.2</v>
      </c>
      <c r="B7" s="69">
        <v>2232316.2599999998</v>
      </c>
      <c r="D7" s="68">
        <v>40</v>
      </c>
      <c r="E7" s="68" t="s">
        <v>111</v>
      </c>
      <c r="F7" s="68">
        <v>-0.01</v>
      </c>
      <c r="G7" s="69">
        <v>6101560.3399999999</v>
      </c>
      <c r="H7" s="68">
        <v>2108018.84766754</v>
      </c>
      <c r="I7" s="68">
        <v>168149.65884363899</v>
      </c>
      <c r="J7" s="68">
        <v>2.7558468567671201E-2</v>
      </c>
      <c r="K7" s="68">
        <v>23.5450891111748</v>
      </c>
      <c r="L7" s="68">
        <v>0.345488486583997</v>
      </c>
      <c r="M7" s="68">
        <v>13.667196633836801</v>
      </c>
      <c r="N7" s="68" t="s">
        <v>124</v>
      </c>
    </row>
    <row r="8" spans="1:14" x14ac:dyDescent="0.35">
      <c r="A8" s="68">
        <v>342.2</v>
      </c>
      <c r="B8" s="69">
        <v>1983291.11</v>
      </c>
      <c r="D8" s="68">
        <v>40</v>
      </c>
      <c r="E8" s="68" t="s">
        <v>107</v>
      </c>
      <c r="F8" s="68">
        <v>-0.01</v>
      </c>
      <c r="G8" s="69">
        <v>3430727.61</v>
      </c>
      <c r="H8" s="68">
        <v>1635805.4552229401</v>
      </c>
      <c r="I8" s="68">
        <v>89063.201888927098</v>
      </c>
      <c r="J8" s="68">
        <v>2.5960441053181401E-2</v>
      </c>
      <c r="K8" s="68">
        <v>20.243973239126198</v>
      </c>
      <c r="L8" s="68">
        <v>0.47681006514619201</v>
      </c>
      <c r="M8" s="68">
        <v>18.801852900528001</v>
      </c>
      <c r="N8" s="68" t="s">
        <v>124</v>
      </c>
    </row>
    <row r="9" spans="1:14" x14ac:dyDescent="0.35">
      <c r="A9" s="68">
        <v>343.2</v>
      </c>
      <c r="B9" s="69">
        <v>4957034.92</v>
      </c>
      <c r="D9" s="68">
        <v>26</v>
      </c>
      <c r="E9" s="68" t="s">
        <v>109</v>
      </c>
      <c r="F9" s="68">
        <v>-0.05</v>
      </c>
      <c r="G9" s="69">
        <v>20512067.030000001</v>
      </c>
      <c r="H9" s="68">
        <v>7074654.1500118999</v>
      </c>
      <c r="I9" s="68">
        <v>877890.33432079095</v>
      </c>
      <c r="J9" s="68">
        <v>4.2798725893242698E-2</v>
      </c>
      <c r="K9" s="68">
        <v>15.8120420365982</v>
      </c>
      <c r="L9" s="68">
        <v>0.34490205885466502</v>
      </c>
      <c r="M9" s="68">
        <v>9.2672300937288803</v>
      </c>
      <c r="N9" s="68" t="s">
        <v>124</v>
      </c>
    </row>
    <row r="10" spans="1:14" x14ac:dyDescent="0.35">
      <c r="A10" s="68">
        <v>345.2</v>
      </c>
      <c r="B10" s="69">
        <v>2131015.1800000002</v>
      </c>
      <c r="D10" s="68">
        <v>35</v>
      </c>
      <c r="E10" s="68" t="s">
        <v>107</v>
      </c>
      <c r="F10" s="68">
        <v>0</v>
      </c>
      <c r="G10" s="69">
        <v>5155802.54</v>
      </c>
      <c r="H10" s="68">
        <v>1940458.2848495599</v>
      </c>
      <c r="I10" s="68">
        <v>154372.29560875401</v>
      </c>
      <c r="J10" s="68">
        <v>2.9941467775597499E-2</v>
      </c>
      <c r="K10" s="68">
        <v>20.239812246053202</v>
      </c>
      <c r="L10" s="68">
        <v>0.37636396463887101</v>
      </c>
      <c r="M10" s="68">
        <v>13.5089528603242</v>
      </c>
      <c r="N10" s="68" t="s">
        <v>124</v>
      </c>
    </row>
    <row r="11" spans="1:14" x14ac:dyDescent="0.35">
      <c r="A11" s="68">
        <v>346.2</v>
      </c>
      <c r="B11" s="69">
        <v>467259.87</v>
      </c>
      <c r="D11" s="68">
        <v>40</v>
      </c>
      <c r="E11" s="68" t="s">
        <v>107</v>
      </c>
      <c r="F11" s="68">
        <v>-0.02</v>
      </c>
      <c r="G11" s="69">
        <v>1113752.55</v>
      </c>
      <c r="H11" s="68">
        <v>403939.13237289799</v>
      </c>
      <c r="I11" s="68">
        <v>30137.468626378999</v>
      </c>
      <c r="J11" s="68">
        <v>2.7059393602626498E-2</v>
      </c>
      <c r="K11" s="68">
        <v>23.834851420958099</v>
      </c>
      <c r="L11" s="68">
        <v>0.36268301461837099</v>
      </c>
      <c r="M11" s="68">
        <v>14.067195819215</v>
      </c>
      <c r="N11" s="68" t="s">
        <v>124</v>
      </c>
    </row>
    <row r="12" spans="1:14" x14ac:dyDescent="0.35">
      <c r="A12" s="68">
        <v>347.2</v>
      </c>
      <c r="B12" s="69">
        <v>169269.1</v>
      </c>
      <c r="D12" s="68">
        <v>25</v>
      </c>
      <c r="E12" s="68" t="s">
        <v>107</v>
      </c>
      <c r="F12" s="68">
        <v>0</v>
      </c>
      <c r="G12" s="69">
        <v>3536262.09</v>
      </c>
      <c r="H12" s="68">
        <v>242926.26078229299</v>
      </c>
      <c r="I12" s="68">
        <v>161950.840521529</v>
      </c>
      <c r="J12" s="68">
        <v>4.5797182561637798E-2</v>
      </c>
      <c r="K12" s="68">
        <v>20.335404364757899</v>
      </c>
      <c r="L12" s="68">
        <v>6.8695773842456703E-2</v>
      </c>
      <c r="M12" s="68">
        <v>1.5</v>
      </c>
    </row>
    <row r="13" spans="1:14" x14ac:dyDescent="0.35">
      <c r="A13" s="68">
        <v>353</v>
      </c>
      <c r="B13" s="69">
        <v>819893.79</v>
      </c>
      <c r="D13" s="68">
        <v>50</v>
      </c>
      <c r="E13" s="68" t="s">
        <v>107</v>
      </c>
      <c r="F13" s="68">
        <v>0</v>
      </c>
      <c r="G13" s="69">
        <v>1144289.3700000001</v>
      </c>
      <c r="H13" s="68">
        <v>705899.65733429499</v>
      </c>
      <c r="I13" s="68">
        <v>22278.812101662701</v>
      </c>
      <c r="J13" s="68">
        <v>1.94695613589967E-2</v>
      </c>
      <c r="K13" s="68">
        <v>19.419155588495101</v>
      </c>
      <c r="L13" s="68">
        <v>0.61688911549907599</v>
      </c>
      <c r="M13" s="68">
        <v>32.164320074912503</v>
      </c>
    </row>
    <row r="14" spans="1:14" x14ac:dyDescent="0.35">
      <c r="A14" s="68">
        <v>360.1</v>
      </c>
      <c r="B14" s="69">
        <v>434786.54</v>
      </c>
      <c r="D14" s="68">
        <v>75</v>
      </c>
      <c r="E14" s="68" t="s">
        <v>107</v>
      </c>
      <c r="F14" s="68">
        <v>0</v>
      </c>
      <c r="G14" s="69">
        <v>2160689.19</v>
      </c>
      <c r="H14" s="68">
        <v>425114.992152847</v>
      </c>
      <c r="I14" s="68">
        <v>32059.288958398</v>
      </c>
      <c r="J14" s="68">
        <v>1.48375292044655E-2</v>
      </c>
      <c r="K14" s="68">
        <v>53.972717126870599</v>
      </c>
      <c r="L14" s="68">
        <v>0.19674971954334999</v>
      </c>
      <c r="M14" s="68">
        <v>13.4747007805412</v>
      </c>
    </row>
    <row r="15" spans="1:14" x14ac:dyDescent="0.35">
      <c r="A15" s="68">
        <v>362</v>
      </c>
      <c r="B15" s="69">
        <v>2978316.34</v>
      </c>
      <c r="D15" s="68">
        <v>40</v>
      </c>
      <c r="E15" s="68" t="s">
        <v>110</v>
      </c>
      <c r="F15" s="68">
        <v>0</v>
      </c>
      <c r="G15" s="69">
        <v>7543472.7999999998</v>
      </c>
      <c r="H15" s="68">
        <v>2905181.4543050299</v>
      </c>
      <c r="I15" s="68">
        <v>198815.61372298701</v>
      </c>
      <c r="J15" s="68">
        <v>2.63559794002288E-2</v>
      </c>
      <c r="K15" s="68">
        <v>22.241111577138</v>
      </c>
      <c r="L15" s="68">
        <v>0.38512519781406601</v>
      </c>
      <c r="M15" s="68">
        <v>16.526691589581901</v>
      </c>
      <c r="N15" s="68" t="s">
        <v>124</v>
      </c>
    </row>
    <row r="16" spans="1:14" x14ac:dyDescent="0.35">
      <c r="A16" s="68">
        <v>362.1</v>
      </c>
      <c r="B16" s="69">
        <v>1270158.43</v>
      </c>
      <c r="D16" s="68">
        <v>15</v>
      </c>
      <c r="E16" s="68" t="s">
        <v>116</v>
      </c>
      <c r="F16" s="68">
        <v>-0.01</v>
      </c>
      <c r="G16" s="69">
        <v>976501.82</v>
      </c>
      <c r="H16" s="68">
        <v>615980.20524666703</v>
      </c>
      <c r="I16" s="68">
        <v>65751.122546666695</v>
      </c>
      <c r="J16" s="68">
        <v>6.7333333333333301E-2</v>
      </c>
      <c r="K16" s="68">
        <v>5.6316397136873801</v>
      </c>
      <c r="L16" s="68">
        <v>0.63080292594505005</v>
      </c>
      <c r="M16" s="68">
        <v>9.3683602863126296</v>
      </c>
      <c r="N16" s="68" t="s">
        <v>124</v>
      </c>
    </row>
    <row r="17" spans="1:14" x14ac:dyDescent="0.35">
      <c r="A17" s="68">
        <v>364</v>
      </c>
      <c r="B17" s="69">
        <v>23402284.760000002</v>
      </c>
      <c r="D17" s="68">
        <v>50</v>
      </c>
      <c r="E17" s="68" t="s">
        <v>111</v>
      </c>
      <c r="F17" s="68">
        <v>-0.2</v>
      </c>
      <c r="G17" s="69">
        <v>53306939.649999999</v>
      </c>
      <c r="H17" s="68">
        <v>20687809.076978602</v>
      </c>
      <c r="I17" s="68">
        <v>1434316.1642559599</v>
      </c>
      <c r="J17" s="68">
        <v>2.6906743731178798E-2</v>
      </c>
      <c r="K17" s="68">
        <v>29.485785254411802</v>
      </c>
      <c r="L17" s="68">
        <v>0.38808847802574198</v>
      </c>
      <c r="M17" s="68">
        <v>15.9113501920008</v>
      </c>
      <c r="N17" s="68" t="s">
        <v>124</v>
      </c>
    </row>
    <row r="18" spans="1:14" x14ac:dyDescent="0.35">
      <c r="A18" s="68">
        <v>365</v>
      </c>
      <c r="B18" s="69">
        <v>14482228.539999999</v>
      </c>
      <c r="D18" s="68">
        <v>50</v>
      </c>
      <c r="E18" s="68" t="s">
        <v>107</v>
      </c>
      <c r="F18" s="68">
        <v>-0.05</v>
      </c>
      <c r="G18" s="69">
        <v>28793205.57</v>
      </c>
      <c r="H18" s="68">
        <v>11252261.400219399</v>
      </c>
      <c r="I18" s="68">
        <v>638457.17864762305</v>
      </c>
      <c r="J18" s="68">
        <v>2.2173883248096601E-2</v>
      </c>
      <c r="K18" s="68">
        <v>29.139926551872399</v>
      </c>
      <c r="L18" s="68">
        <v>0.39079571647080602</v>
      </c>
      <c r="M18" s="68">
        <v>18.486979071535199</v>
      </c>
      <c r="N18" s="68" t="s">
        <v>124</v>
      </c>
    </row>
    <row r="19" spans="1:14" x14ac:dyDescent="0.35">
      <c r="A19" s="68">
        <v>365.1</v>
      </c>
      <c r="B19" s="69">
        <v>1974230.72</v>
      </c>
      <c r="D19" s="68">
        <v>50</v>
      </c>
      <c r="E19" s="68" t="s">
        <v>110</v>
      </c>
      <c r="F19" s="68">
        <v>-0.08</v>
      </c>
      <c r="G19" s="69">
        <v>5234251.9000000004</v>
      </c>
      <c r="H19" s="68">
        <v>1787055.7671684399</v>
      </c>
      <c r="I19" s="68">
        <v>124889.38885553701</v>
      </c>
      <c r="J19" s="68">
        <v>2.38600264644383E-2</v>
      </c>
      <c r="K19" s="68">
        <v>29.900516339660999</v>
      </c>
      <c r="L19" s="68">
        <v>0.341415698233485</v>
      </c>
      <c r="M19" s="68">
        <v>16.168059091691799</v>
      </c>
      <c r="N19" s="68" t="s">
        <v>124</v>
      </c>
    </row>
    <row r="20" spans="1:14" x14ac:dyDescent="0.35">
      <c r="A20" s="68">
        <v>367</v>
      </c>
      <c r="B20" s="69">
        <v>11988411.34</v>
      </c>
      <c r="D20" s="68">
        <v>50</v>
      </c>
      <c r="E20" s="68" t="s">
        <v>107</v>
      </c>
      <c r="F20" s="68">
        <v>-0.1</v>
      </c>
      <c r="G20" s="69">
        <v>34178702.049999997</v>
      </c>
      <c r="H20" s="68">
        <v>12606436.8662303</v>
      </c>
      <c r="I20" s="68">
        <v>804628.13782408496</v>
      </c>
      <c r="J20" s="68">
        <v>2.3541799119434E-2</v>
      </c>
      <c r="K20" s="68">
        <v>30.590025217285501</v>
      </c>
      <c r="L20" s="68">
        <v>0.36883895847737003</v>
      </c>
      <c r="M20" s="68">
        <v>16.3100971584437</v>
      </c>
      <c r="N20" s="68" t="s">
        <v>124</v>
      </c>
    </row>
    <row r="21" spans="1:14" x14ac:dyDescent="0.35">
      <c r="A21" s="68">
        <v>367.1</v>
      </c>
      <c r="B21" s="69">
        <v>2030489.56</v>
      </c>
      <c r="D21" s="68">
        <v>50</v>
      </c>
      <c r="E21" s="68" t="s">
        <v>108</v>
      </c>
      <c r="F21" s="68">
        <v>-0.05</v>
      </c>
      <c r="G21" s="69">
        <v>6266150.0199999996</v>
      </c>
      <c r="H21" s="68">
        <v>1696034.5997227901</v>
      </c>
      <c r="I21" s="68">
        <v>137787.922933975</v>
      </c>
      <c r="J21" s="68">
        <v>2.1989247383830599E-2</v>
      </c>
      <c r="K21" s="68">
        <v>35.232764752461598</v>
      </c>
      <c r="L21" s="68">
        <v>0.270666133799777</v>
      </c>
      <c r="M21" s="68">
        <v>12.5430727718198</v>
      </c>
    </row>
    <row r="22" spans="1:14" x14ac:dyDescent="0.35">
      <c r="A22" s="68">
        <v>368</v>
      </c>
      <c r="B22" s="69">
        <v>16341422.23</v>
      </c>
      <c r="D22" s="68">
        <v>45</v>
      </c>
      <c r="E22" s="68" t="s">
        <v>110</v>
      </c>
      <c r="F22" s="68">
        <v>-0.1</v>
      </c>
      <c r="G22" s="69">
        <v>40867163.520000003</v>
      </c>
      <c r="H22" s="68">
        <v>15706401.848820399</v>
      </c>
      <c r="I22" s="68">
        <v>1080836.36069553</v>
      </c>
      <c r="J22" s="68">
        <v>2.6447550248173701E-2</v>
      </c>
      <c r="K22" s="68">
        <v>26.322277932660999</v>
      </c>
      <c r="L22" s="68">
        <v>0.38432816217190702</v>
      </c>
      <c r="M22" s="68">
        <v>15.827353345026101</v>
      </c>
      <c r="N22" s="68" t="s">
        <v>125</v>
      </c>
    </row>
    <row r="23" spans="1:14" x14ac:dyDescent="0.35">
      <c r="A23" s="68">
        <v>370</v>
      </c>
      <c r="B23" s="69">
        <v>1984910.3</v>
      </c>
      <c r="D23" s="68">
        <v>15</v>
      </c>
      <c r="E23" s="68" t="s">
        <v>126</v>
      </c>
      <c r="F23" s="68">
        <v>-0.02</v>
      </c>
      <c r="G23" s="69">
        <v>2956566.08</v>
      </c>
      <c r="H23" s="68">
        <v>1772017.8706182099</v>
      </c>
      <c r="I23" s="68">
        <v>170191.02667229201</v>
      </c>
      <c r="J23" s="68">
        <v>5.7563748641901502E-2</v>
      </c>
      <c r="K23" s="68">
        <v>6.53268726935132</v>
      </c>
      <c r="L23" s="68">
        <v>0.599349996810559</v>
      </c>
      <c r="M23" s="68">
        <v>12.386725440616599</v>
      </c>
      <c r="N23" s="68" t="s">
        <v>124</v>
      </c>
    </row>
    <row r="24" spans="1:14" x14ac:dyDescent="0.35">
      <c r="A24" s="68">
        <v>371</v>
      </c>
      <c r="B24" s="69">
        <v>31746.47</v>
      </c>
      <c r="D24" s="68">
        <v>15</v>
      </c>
      <c r="E24" s="68" t="s">
        <v>110</v>
      </c>
      <c r="F24" s="68">
        <v>0</v>
      </c>
      <c r="G24" s="69">
        <v>173069.17</v>
      </c>
      <c r="H24" s="68">
        <v>71540.126080192407</v>
      </c>
      <c r="I24" s="68">
        <v>12166.3648045599</v>
      </c>
      <c r="J24" s="68">
        <v>7.0297701228704601E-2</v>
      </c>
      <c r="K24" s="68">
        <v>7.7800017335192404</v>
      </c>
      <c r="L24" s="68">
        <v>0.41336146744213598</v>
      </c>
      <c r="M24" s="68">
        <v>6.857198685358</v>
      </c>
    </row>
    <row r="25" spans="1:14" x14ac:dyDescent="0.35">
      <c r="A25" s="68">
        <v>373</v>
      </c>
      <c r="B25" s="69">
        <v>7756012.3200000003</v>
      </c>
      <c r="D25" s="68">
        <v>30</v>
      </c>
      <c r="E25" s="68" t="s">
        <v>107</v>
      </c>
      <c r="F25" s="68">
        <v>-0.1</v>
      </c>
      <c r="G25" s="69">
        <v>13636686.9</v>
      </c>
      <c r="H25" s="68">
        <v>7722035.2911523804</v>
      </c>
      <c r="I25" s="68">
        <v>493417.70134156599</v>
      </c>
      <c r="J25" s="68">
        <v>3.6183107008313398E-2</v>
      </c>
      <c r="K25" s="68">
        <v>13.860739593751701</v>
      </c>
      <c r="L25" s="68">
        <v>0.566269164041038</v>
      </c>
      <c r="M25" s="68">
        <v>17.126614469677399</v>
      </c>
    </row>
    <row r="26" spans="1:14" x14ac:dyDescent="0.35">
      <c r="A26" s="68">
        <v>373.1</v>
      </c>
      <c r="B26" s="69">
        <v>108666.57</v>
      </c>
      <c r="D26" s="68">
        <v>23</v>
      </c>
      <c r="E26" s="68" t="s">
        <v>111</v>
      </c>
      <c r="F26" s="68">
        <v>0.1</v>
      </c>
      <c r="G26" s="69">
        <v>285488.05</v>
      </c>
      <c r="H26" s="68">
        <v>243584.30881214101</v>
      </c>
      <c r="I26" s="68">
        <v>4673.5872055381897</v>
      </c>
      <c r="J26" s="68">
        <v>1.63705178046443E-2</v>
      </c>
      <c r="K26" s="68">
        <v>1.5160097723444399</v>
      </c>
      <c r="L26" s="68">
        <v>0.85322068230926096</v>
      </c>
      <c r="M26" s="68">
        <v>38.796812213330803</v>
      </c>
    </row>
    <row r="27" spans="1:14" x14ac:dyDescent="0.35">
      <c r="A27" s="68">
        <v>390</v>
      </c>
      <c r="B27" s="69">
        <v>2949753.27</v>
      </c>
      <c r="D27" s="68">
        <v>40</v>
      </c>
      <c r="E27" s="68" t="s">
        <v>115</v>
      </c>
      <c r="F27" s="68">
        <v>-0.05</v>
      </c>
      <c r="G27" s="69">
        <v>5197272.37</v>
      </c>
      <c r="H27" s="68">
        <v>2826166.5153364898</v>
      </c>
      <c r="I27" s="68">
        <v>137390.74868142401</v>
      </c>
      <c r="J27" s="68">
        <v>2.6435164236240299E-2</v>
      </c>
      <c r="K27" s="68">
        <v>18.354447856683301</v>
      </c>
      <c r="L27" s="68">
        <v>0.54377879667224305</v>
      </c>
      <c r="M27" s="68">
        <v>21.939024295353601</v>
      </c>
      <c r="N27" s="68" t="s">
        <v>124</v>
      </c>
    </row>
    <row r="28" spans="1:14" x14ac:dyDescent="0.35">
      <c r="A28" s="68">
        <v>390.01</v>
      </c>
      <c r="B28" s="69">
        <v>-160352.06</v>
      </c>
      <c r="D28" s="68">
        <v>40</v>
      </c>
      <c r="E28" s="68" t="s">
        <v>107</v>
      </c>
      <c r="F28" s="68">
        <v>0</v>
      </c>
      <c r="G28" s="69">
        <v>451552.45</v>
      </c>
      <c r="H28" s="68">
        <v>190027.84960775901</v>
      </c>
      <c r="I28" s="68">
        <v>11729.923687865299</v>
      </c>
      <c r="J28" s="68">
        <v>2.5976879735377999E-2</v>
      </c>
      <c r="K28" s="68">
        <v>21.776015141364699</v>
      </c>
      <c r="L28" s="68">
        <v>0.42083228561324099</v>
      </c>
      <c r="M28" s="68">
        <v>16.954773393434099</v>
      </c>
      <c r="N28" s="68" t="s">
        <v>124</v>
      </c>
    </row>
    <row r="29" spans="1:14" x14ac:dyDescent="0.35">
      <c r="A29" s="68">
        <v>391</v>
      </c>
      <c r="B29" s="69">
        <v>184724.79</v>
      </c>
      <c r="D29" s="68">
        <v>15</v>
      </c>
      <c r="E29" s="68" t="s">
        <v>116</v>
      </c>
      <c r="F29" s="68">
        <v>0</v>
      </c>
      <c r="G29" s="69">
        <v>277519.56</v>
      </c>
      <c r="H29" s="68">
        <v>156316.25266666699</v>
      </c>
      <c r="I29" s="68">
        <v>18501.304</v>
      </c>
      <c r="J29" s="68">
        <v>6.6666666666666693E-2</v>
      </c>
      <c r="K29" s="68">
        <v>6.5510683643343901</v>
      </c>
      <c r="L29" s="68">
        <v>0.56326210904437402</v>
      </c>
      <c r="M29" s="68">
        <v>8.4489316356656108</v>
      </c>
    </row>
    <row r="30" spans="1:14" x14ac:dyDescent="0.35">
      <c r="A30" s="68">
        <v>391.1</v>
      </c>
      <c r="B30" s="69">
        <v>107227.6</v>
      </c>
      <c r="D30" s="68">
        <v>5</v>
      </c>
      <c r="E30" s="68" t="s">
        <v>116</v>
      </c>
      <c r="F30" s="68">
        <v>0</v>
      </c>
      <c r="G30" s="69">
        <v>60706.99</v>
      </c>
      <c r="H30" s="68">
        <v>34244.695</v>
      </c>
      <c r="I30" s="68">
        <v>12141.397999999999</v>
      </c>
      <c r="J30" s="68">
        <v>0.2</v>
      </c>
      <c r="K30" s="68">
        <v>2.1795097236743199</v>
      </c>
      <c r="L30" s="68">
        <v>0.56409805526513501</v>
      </c>
      <c r="M30" s="68">
        <v>2.8204902763256801</v>
      </c>
    </row>
    <row r="31" spans="1:14" x14ac:dyDescent="0.35">
      <c r="A31" s="68">
        <v>391.22</v>
      </c>
      <c r="B31" s="69">
        <v>469333.45</v>
      </c>
      <c r="D31" s="68">
        <v>10</v>
      </c>
      <c r="E31" s="68" t="s">
        <v>116</v>
      </c>
      <c r="F31" s="68">
        <v>0</v>
      </c>
      <c r="G31" s="69">
        <v>777424.93</v>
      </c>
      <c r="H31" s="68">
        <v>421980.05550000002</v>
      </c>
      <c r="I31" s="68">
        <v>77742.493000000002</v>
      </c>
      <c r="J31" s="68">
        <v>0.1</v>
      </c>
      <c r="K31" s="68">
        <v>4.5720797054964502</v>
      </c>
      <c r="L31" s="68">
        <v>0.54279202945035498</v>
      </c>
      <c r="M31" s="68">
        <v>5.4279202945035498</v>
      </c>
    </row>
    <row r="32" spans="1:14" x14ac:dyDescent="0.35">
      <c r="A32" s="68">
        <v>392.2</v>
      </c>
      <c r="B32" s="69">
        <v>2329918.88</v>
      </c>
      <c r="D32" s="68">
        <v>12</v>
      </c>
      <c r="E32" s="68" t="s">
        <v>115</v>
      </c>
      <c r="F32" s="68">
        <v>0.1</v>
      </c>
      <c r="G32" s="69">
        <v>2955681.54</v>
      </c>
      <c r="H32" s="68">
        <v>1268173.6965989701</v>
      </c>
      <c r="I32" s="68">
        <v>224349.914392081</v>
      </c>
      <c r="J32" s="68">
        <v>7.5904630237018295E-2</v>
      </c>
      <c r="K32" s="68">
        <v>5.9235532208372197</v>
      </c>
      <c r="L32" s="68">
        <v>0.42906303654045602</v>
      </c>
      <c r="M32" s="68">
        <v>6.1349799105894203</v>
      </c>
    </row>
    <row r="33" spans="1:13" x14ac:dyDescent="0.35">
      <c r="A33" s="68">
        <v>392.3</v>
      </c>
      <c r="B33" s="69">
        <v>1026342.81</v>
      </c>
      <c r="D33" s="68">
        <v>15</v>
      </c>
      <c r="E33" s="68" t="s">
        <v>115</v>
      </c>
      <c r="F33" s="68">
        <v>0</v>
      </c>
      <c r="G33" s="69">
        <v>2756972.29</v>
      </c>
      <c r="H33" s="68">
        <v>1421934.04747861</v>
      </c>
      <c r="I33" s="68">
        <v>184560.571599191</v>
      </c>
      <c r="J33" s="68">
        <v>6.6943208776027094E-2</v>
      </c>
      <c r="K33" s="68">
        <v>6.8673073329315004</v>
      </c>
      <c r="L33" s="68">
        <v>0.51575928152640504</v>
      </c>
      <c r="M33" s="68">
        <v>8.7487952717145401</v>
      </c>
    </row>
    <row r="34" spans="1:13" x14ac:dyDescent="0.35">
      <c r="A34" s="68">
        <v>392.4</v>
      </c>
      <c r="B34" s="69">
        <v>86978.07</v>
      </c>
      <c r="D34" s="68">
        <v>12</v>
      </c>
      <c r="E34" s="68" t="s">
        <v>127</v>
      </c>
      <c r="F34" s="68">
        <v>0</v>
      </c>
      <c r="G34" s="69">
        <v>231502.9</v>
      </c>
      <c r="H34" s="68">
        <v>127712.295988563</v>
      </c>
      <c r="I34" s="68">
        <v>16904.867415301102</v>
      </c>
      <c r="J34" s="68">
        <v>7.3022270629444094E-2</v>
      </c>
      <c r="K34" s="68">
        <v>6.0393087379279597</v>
      </c>
      <c r="L34" s="68">
        <v>0.55166607411208801</v>
      </c>
      <c r="M34" s="68">
        <v>8.4932384864293304</v>
      </c>
    </row>
    <row r="35" spans="1:13" x14ac:dyDescent="0.35">
      <c r="A35" s="68">
        <v>394</v>
      </c>
      <c r="B35" s="69">
        <v>792168.16</v>
      </c>
      <c r="D35" s="68">
        <v>15</v>
      </c>
      <c r="E35" s="68" t="s">
        <v>116</v>
      </c>
      <c r="F35" s="68">
        <v>0</v>
      </c>
      <c r="G35" s="69">
        <v>1712700.03</v>
      </c>
      <c r="H35" s="68">
        <v>785216.995666667</v>
      </c>
      <c r="I35" s="68">
        <v>114180.00199999999</v>
      </c>
      <c r="J35" s="68">
        <v>6.6666666666666693E-2</v>
      </c>
      <c r="K35" s="68">
        <v>8.1229901741754507</v>
      </c>
      <c r="L35" s="68">
        <v>0.45846732172163701</v>
      </c>
      <c r="M35" s="68">
        <v>6.8770098258245502</v>
      </c>
    </row>
    <row r="36" spans="1:13" x14ac:dyDescent="0.35">
      <c r="A36" s="68" t="s">
        <v>128</v>
      </c>
    </row>
  </sheetData>
  <pageMargins left="0.7" right="0.7" top="0.75" bottom="0.75" header="0.3" footer="0.3"/>
  <pageSetup scale="53" fitToHeight="0" orientation="landscape" r:id="rId1"/>
  <headerFooter>
    <oddHeader>&amp;R&amp;"Arial,Bold"Attachment 4
&amp;A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D23E-7BEE-4C1F-A595-B6B315B433A8}">
  <sheetPr>
    <pageSetUpPr fitToPage="1"/>
  </sheetPr>
  <dimension ref="A1:N36"/>
  <sheetViews>
    <sheetView topLeftCell="A3" workbookViewId="0">
      <selection activeCell="A22" sqref="A22"/>
    </sheetView>
  </sheetViews>
  <sheetFormatPr defaultColWidth="14.453125" defaultRowHeight="14.5" x14ac:dyDescent="0.35"/>
  <cols>
    <col min="1" max="1" width="14.453125" style="68"/>
    <col min="2" max="2" width="15.26953125" style="68" bestFit="1" customWidth="1"/>
    <col min="3" max="6" width="14.453125" style="68"/>
    <col min="7" max="7" width="16.81640625" style="68" bestFit="1" customWidth="1"/>
    <col min="8" max="8" width="15.26953125" style="68" bestFit="1" customWidth="1"/>
    <col min="9" max="16384" width="14.453125" style="68"/>
  </cols>
  <sheetData>
    <row r="1" spans="1:14" x14ac:dyDescent="0.35">
      <c r="A1" s="68" t="s">
        <v>95</v>
      </c>
      <c r="B1" s="68" t="s">
        <v>96</v>
      </c>
      <c r="C1" s="68" t="s">
        <v>97</v>
      </c>
      <c r="D1" s="68" t="s">
        <v>98</v>
      </c>
      <c r="E1" s="68" t="s">
        <v>99</v>
      </c>
      <c r="F1" s="68" t="s">
        <v>100</v>
      </c>
      <c r="G1" s="68" t="s">
        <v>101</v>
      </c>
      <c r="H1" s="68" t="s">
        <v>102</v>
      </c>
      <c r="I1" s="68" t="s">
        <v>103</v>
      </c>
      <c r="J1" s="68" t="s">
        <v>104</v>
      </c>
      <c r="K1" s="68" t="s">
        <v>105</v>
      </c>
      <c r="L1" s="68" t="s">
        <v>106</v>
      </c>
      <c r="M1" s="68" t="s">
        <v>122</v>
      </c>
      <c r="N1" s="68" t="s">
        <v>123</v>
      </c>
    </row>
    <row r="2" spans="1:14" x14ac:dyDescent="0.35">
      <c r="A2" s="68">
        <v>331</v>
      </c>
      <c r="B2" s="69">
        <v>320112.42</v>
      </c>
      <c r="D2" s="68">
        <v>70</v>
      </c>
      <c r="E2" s="68" t="s">
        <v>111</v>
      </c>
      <c r="F2" s="68">
        <v>0</v>
      </c>
      <c r="G2" s="69">
        <v>1668035.55</v>
      </c>
      <c r="H2" s="68">
        <v>260801.16710174701</v>
      </c>
      <c r="I2" s="68">
        <v>29091.6052526731</v>
      </c>
      <c r="J2" s="68">
        <v>1.7440638631876299E-2</v>
      </c>
      <c r="K2" s="68">
        <v>48.300267339413097</v>
      </c>
      <c r="L2" s="68">
        <v>0.156352283440091</v>
      </c>
      <c r="M2" s="68">
        <v>9.1198871960492696</v>
      </c>
      <c r="N2" s="68" t="s">
        <v>129</v>
      </c>
    </row>
    <row r="3" spans="1:14" x14ac:dyDescent="0.35">
      <c r="A3" s="68">
        <v>332</v>
      </c>
      <c r="B3" s="69">
        <v>491034.85</v>
      </c>
      <c r="D3" s="68">
        <v>100</v>
      </c>
      <c r="E3" s="68" t="s">
        <v>107</v>
      </c>
      <c r="F3" s="68">
        <v>0</v>
      </c>
      <c r="G3" s="69">
        <v>8819430.7799999993</v>
      </c>
      <c r="H3" s="68">
        <v>778434.50406892097</v>
      </c>
      <c r="I3" s="68">
        <v>100533.024502356</v>
      </c>
      <c r="J3" s="68">
        <v>1.1399037762202999E-2</v>
      </c>
      <c r="K3" s="68">
        <v>79.961871001878805</v>
      </c>
      <c r="L3" s="68">
        <v>8.8263576582991304E-2</v>
      </c>
      <c r="M3" s="68">
        <v>7.7727061587074404</v>
      </c>
      <c r="N3" s="68" t="s">
        <v>129</v>
      </c>
    </row>
    <row r="4" spans="1:14" x14ac:dyDescent="0.35">
      <c r="A4" s="68">
        <v>333</v>
      </c>
      <c r="B4" s="69">
        <v>1692325.86</v>
      </c>
      <c r="D4" s="68">
        <v>85</v>
      </c>
      <c r="E4" s="68" t="s">
        <v>107</v>
      </c>
      <c r="F4" s="68">
        <v>0</v>
      </c>
      <c r="G4" s="69">
        <v>3293183.44</v>
      </c>
      <c r="H4" s="68">
        <v>450169.85923915001</v>
      </c>
      <c r="I4" s="68">
        <v>43642.781313557498</v>
      </c>
      <c r="J4" s="68">
        <v>1.3252459848868201E-2</v>
      </c>
      <c r="K4" s="68">
        <v>65.085035485241605</v>
      </c>
      <c r="L4" s="68">
        <v>0.13669747447750699</v>
      </c>
      <c r="M4" s="68">
        <v>10.389802354891</v>
      </c>
      <c r="N4" s="68" t="s">
        <v>130</v>
      </c>
    </row>
    <row r="5" spans="1:14" x14ac:dyDescent="0.35">
      <c r="A5" s="68">
        <v>334</v>
      </c>
      <c r="B5" s="69">
        <v>92045.759999999995</v>
      </c>
      <c r="D5" s="68">
        <v>40</v>
      </c>
      <c r="E5" s="68" t="s">
        <v>110</v>
      </c>
      <c r="F5" s="68">
        <v>0</v>
      </c>
      <c r="G5" s="69">
        <v>81241.84</v>
      </c>
      <c r="H5" s="68">
        <v>53973.179439533</v>
      </c>
      <c r="I5" s="68">
        <v>1884.99139157533</v>
      </c>
      <c r="J5" s="68">
        <v>2.3202224267389E-2</v>
      </c>
      <c r="K5" s="68">
        <v>14.3022734879833</v>
      </c>
      <c r="L5" s="68">
        <v>0.664352006792719</v>
      </c>
      <c r="M5" s="68">
        <v>28.928845653914301</v>
      </c>
      <c r="N5" s="68" t="s">
        <v>130</v>
      </c>
    </row>
    <row r="6" spans="1:14" x14ac:dyDescent="0.35">
      <c r="A6" s="68">
        <v>335</v>
      </c>
      <c r="B6" s="69">
        <v>17610.89</v>
      </c>
      <c r="D6" s="68">
        <v>51</v>
      </c>
      <c r="E6" s="68" t="s">
        <v>108</v>
      </c>
      <c r="F6" s="68">
        <v>0</v>
      </c>
      <c r="G6" s="69">
        <v>109846.18</v>
      </c>
      <c r="H6" s="68">
        <v>11491.272300676501</v>
      </c>
      <c r="I6" s="68">
        <v>2285.9139495673098</v>
      </c>
      <c r="J6" s="68">
        <v>2.08101360426672E-2</v>
      </c>
      <c r="K6" s="68">
        <v>43.018799284579799</v>
      </c>
      <c r="L6" s="68">
        <v>0.10461239799760499</v>
      </c>
      <c r="M6" s="68">
        <v>5.0349527857955598</v>
      </c>
      <c r="N6" s="68" t="s">
        <v>130</v>
      </c>
    </row>
    <row r="7" spans="1:14" x14ac:dyDescent="0.35">
      <c r="A7" s="68">
        <v>341.2</v>
      </c>
      <c r="B7" s="69">
        <v>2343709.37</v>
      </c>
      <c r="D7" s="68">
        <v>40</v>
      </c>
      <c r="E7" s="68" t="s">
        <v>111</v>
      </c>
      <c r="F7" s="68">
        <v>0</v>
      </c>
      <c r="G7" s="69">
        <v>6101560.3399999999</v>
      </c>
      <c r="H7" s="68">
        <v>2087147.37392825</v>
      </c>
      <c r="I7" s="68">
        <v>166484.810736277</v>
      </c>
      <c r="J7" s="68">
        <v>2.7285612443238801E-2</v>
      </c>
      <c r="K7" s="68">
        <v>23.5450891111748</v>
      </c>
      <c r="L7" s="68">
        <v>0.34206780849900698</v>
      </c>
      <c r="M7" s="68">
        <v>13.667196633836801</v>
      </c>
      <c r="N7" s="68" t="s">
        <v>129</v>
      </c>
    </row>
    <row r="8" spans="1:14" x14ac:dyDescent="0.35">
      <c r="A8" s="68">
        <v>342.2</v>
      </c>
      <c r="B8" s="69">
        <v>1969406.06</v>
      </c>
      <c r="D8" s="68">
        <v>40</v>
      </c>
      <c r="E8" s="68" t="s">
        <v>107</v>
      </c>
      <c r="F8" s="68">
        <v>0</v>
      </c>
      <c r="G8" s="69">
        <v>3430727.61</v>
      </c>
      <c r="H8" s="68">
        <v>1619609.3616068701</v>
      </c>
      <c r="I8" s="68">
        <v>88181.388008838694</v>
      </c>
      <c r="J8" s="68">
        <v>2.5703406983347998E-2</v>
      </c>
      <c r="K8" s="68">
        <v>20.243973239126198</v>
      </c>
      <c r="L8" s="68">
        <v>0.47208917341207102</v>
      </c>
      <c r="M8" s="68">
        <v>18.801852900528001</v>
      </c>
      <c r="N8" s="68" t="s">
        <v>129</v>
      </c>
    </row>
    <row r="9" spans="1:14" x14ac:dyDescent="0.35">
      <c r="A9" s="68">
        <v>343.2</v>
      </c>
      <c r="B9" s="69">
        <v>5198971.16</v>
      </c>
      <c r="D9" s="68">
        <v>26</v>
      </c>
      <c r="E9" s="68" t="s">
        <v>109</v>
      </c>
      <c r="F9" s="68">
        <v>0</v>
      </c>
      <c r="G9" s="69">
        <v>20512067.030000001</v>
      </c>
      <c r="H9" s="68">
        <v>6737765.8571541896</v>
      </c>
      <c r="I9" s="68">
        <v>836086.03268646798</v>
      </c>
      <c r="J9" s="68">
        <v>4.0760691326897802E-2</v>
      </c>
      <c r="K9" s="68">
        <v>15.8120420365982</v>
      </c>
      <c r="L9" s="68">
        <v>0.32847815129015701</v>
      </c>
      <c r="M9" s="68">
        <v>9.2672300937288803</v>
      </c>
      <c r="N9" s="68" t="s">
        <v>129</v>
      </c>
    </row>
    <row r="10" spans="1:14" x14ac:dyDescent="0.35">
      <c r="A10" s="68">
        <v>345.2</v>
      </c>
      <c r="B10" s="69">
        <v>2127329.96</v>
      </c>
      <c r="D10" s="68">
        <v>35</v>
      </c>
      <c r="E10" s="68" t="s">
        <v>107</v>
      </c>
      <c r="F10" s="68">
        <v>0</v>
      </c>
      <c r="G10" s="69">
        <v>5155802.54</v>
      </c>
      <c r="H10" s="68">
        <v>1940458.2848495599</v>
      </c>
      <c r="I10" s="68">
        <v>154372.29560875401</v>
      </c>
      <c r="J10" s="68">
        <v>2.9941467775597499E-2</v>
      </c>
      <c r="K10" s="68">
        <v>20.239812246053202</v>
      </c>
      <c r="L10" s="68">
        <v>0.37636396463887101</v>
      </c>
      <c r="M10" s="68">
        <v>13.5089528603242</v>
      </c>
      <c r="N10" s="68" t="s">
        <v>129</v>
      </c>
    </row>
    <row r="11" spans="1:14" x14ac:dyDescent="0.35">
      <c r="A11" s="68">
        <v>346.2</v>
      </c>
      <c r="B11" s="69">
        <v>479978.75</v>
      </c>
      <c r="D11" s="68">
        <v>40</v>
      </c>
      <c r="E11" s="68" t="s">
        <v>107</v>
      </c>
      <c r="F11" s="68">
        <v>0</v>
      </c>
      <c r="G11" s="69">
        <v>1113752.55</v>
      </c>
      <c r="H11" s="68">
        <v>396018.757228331</v>
      </c>
      <c r="I11" s="68">
        <v>29546.537868998999</v>
      </c>
      <c r="J11" s="68">
        <v>2.6528817257477001E-2</v>
      </c>
      <c r="K11" s="68">
        <v>23.834851420958099</v>
      </c>
      <c r="L11" s="68">
        <v>0.355571582959187</v>
      </c>
      <c r="M11" s="68">
        <v>14.067195819215</v>
      </c>
      <c r="N11" s="68" t="s">
        <v>129</v>
      </c>
    </row>
    <row r="12" spans="1:14" x14ac:dyDescent="0.35">
      <c r="A12" s="68">
        <v>347.2</v>
      </c>
      <c r="B12" s="69">
        <v>169269.1</v>
      </c>
      <c r="D12" s="68">
        <v>25</v>
      </c>
      <c r="E12" s="68" t="s">
        <v>107</v>
      </c>
      <c r="F12" s="68">
        <v>0</v>
      </c>
      <c r="G12" s="69">
        <v>3536262.09</v>
      </c>
      <c r="H12" s="68">
        <v>242926.26078229299</v>
      </c>
      <c r="I12" s="68">
        <v>161950.840521529</v>
      </c>
      <c r="J12" s="68">
        <v>4.5797182561637798E-2</v>
      </c>
      <c r="K12" s="68">
        <v>20.335404364757899</v>
      </c>
      <c r="L12" s="68">
        <v>6.8695773842456703E-2</v>
      </c>
      <c r="M12" s="68">
        <v>1.5</v>
      </c>
      <c r="N12" s="68" t="s">
        <v>129</v>
      </c>
    </row>
    <row r="13" spans="1:14" x14ac:dyDescent="0.35">
      <c r="A13" s="68">
        <v>353</v>
      </c>
      <c r="B13" s="69">
        <v>798723.17</v>
      </c>
      <c r="D13" s="68">
        <v>50</v>
      </c>
      <c r="E13" s="68" t="s">
        <v>107</v>
      </c>
      <c r="F13" s="68">
        <v>0</v>
      </c>
      <c r="G13" s="69">
        <v>1144289.3700000001</v>
      </c>
      <c r="H13" s="68">
        <v>705899.65733429499</v>
      </c>
      <c r="I13" s="68">
        <v>22278.812101662701</v>
      </c>
      <c r="J13" s="68">
        <v>1.94695613589967E-2</v>
      </c>
      <c r="K13" s="68">
        <v>19.419155588495101</v>
      </c>
      <c r="L13" s="68">
        <v>0.61688911549907599</v>
      </c>
      <c r="M13" s="68">
        <v>32.164320074912503</v>
      </c>
      <c r="N13" s="68" t="s">
        <v>129</v>
      </c>
    </row>
    <row r="14" spans="1:14" x14ac:dyDescent="0.35">
      <c r="A14" s="68">
        <v>360.1</v>
      </c>
      <c r="B14" s="69">
        <v>434786.54</v>
      </c>
      <c r="D14" s="68">
        <v>75</v>
      </c>
      <c r="E14" s="68" t="s">
        <v>107</v>
      </c>
      <c r="F14" s="68">
        <v>0</v>
      </c>
      <c r="G14" s="69">
        <v>2160689.19</v>
      </c>
      <c r="H14" s="68">
        <v>425114.992152847</v>
      </c>
      <c r="I14" s="68">
        <v>32059.288958398</v>
      </c>
      <c r="J14" s="68">
        <v>1.48375292044655E-2</v>
      </c>
      <c r="K14" s="68">
        <v>53.972717126870599</v>
      </c>
      <c r="L14" s="68">
        <v>0.19674971954334999</v>
      </c>
      <c r="M14" s="68">
        <v>13.4747007805412</v>
      </c>
      <c r="N14" s="68" t="s">
        <v>129</v>
      </c>
    </row>
    <row r="15" spans="1:14" x14ac:dyDescent="0.35">
      <c r="A15" s="68">
        <v>362</v>
      </c>
      <c r="B15" s="69">
        <v>3208611.73</v>
      </c>
      <c r="D15" s="68">
        <v>40</v>
      </c>
      <c r="E15" s="68" t="s">
        <v>110</v>
      </c>
      <c r="F15" s="68">
        <v>0</v>
      </c>
      <c r="G15" s="69">
        <v>7543472.7999999998</v>
      </c>
      <c r="H15" s="68">
        <v>2905181.4543050299</v>
      </c>
      <c r="I15" s="68">
        <v>198815.61372298701</v>
      </c>
      <c r="J15" s="68">
        <v>2.63559794002288E-2</v>
      </c>
      <c r="K15" s="68">
        <v>22.241111577138</v>
      </c>
      <c r="L15" s="68">
        <v>0.38512519781406601</v>
      </c>
      <c r="M15" s="68">
        <v>16.526691589581901</v>
      </c>
      <c r="N15" s="68" t="s">
        <v>129</v>
      </c>
    </row>
    <row r="16" spans="1:14" x14ac:dyDescent="0.35">
      <c r="A16" s="68">
        <v>362.1</v>
      </c>
      <c r="B16" s="69">
        <v>1280122.7</v>
      </c>
      <c r="D16" s="68">
        <v>15</v>
      </c>
      <c r="E16" s="68" t="s">
        <v>116</v>
      </c>
      <c r="F16" s="68">
        <v>0</v>
      </c>
      <c r="G16" s="69">
        <v>976501.82</v>
      </c>
      <c r="H16" s="68">
        <v>609881.39133333298</v>
      </c>
      <c r="I16" s="68">
        <v>65100.1213333333</v>
      </c>
      <c r="J16" s="68">
        <v>6.6666666666666693E-2</v>
      </c>
      <c r="K16" s="68">
        <v>5.6316397136873801</v>
      </c>
      <c r="L16" s="68">
        <v>0.62455735242084198</v>
      </c>
      <c r="M16" s="68">
        <v>9.3683602863126296</v>
      </c>
      <c r="N16" s="68" t="s">
        <v>129</v>
      </c>
    </row>
    <row r="17" spans="1:14" x14ac:dyDescent="0.35">
      <c r="A17" s="68">
        <v>364</v>
      </c>
      <c r="B17" s="69">
        <v>21068996.960000001</v>
      </c>
      <c r="D17" s="68">
        <v>50</v>
      </c>
      <c r="E17" s="68" t="s">
        <v>111</v>
      </c>
      <c r="F17" s="68">
        <v>0</v>
      </c>
      <c r="G17" s="69">
        <v>53306939.649999999</v>
      </c>
      <c r="H17" s="68">
        <v>17239840.897482101</v>
      </c>
      <c r="I17" s="68">
        <v>1195263.4702133001</v>
      </c>
      <c r="J17" s="68">
        <v>2.2422286442649E-2</v>
      </c>
      <c r="K17" s="68">
        <v>29.485785254411802</v>
      </c>
      <c r="L17" s="68">
        <v>0.323407065021452</v>
      </c>
      <c r="M17" s="68">
        <v>15.9113501920008</v>
      </c>
      <c r="N17" s="68" t="s">
        <v>129</v>
      </c>
    </row>
    <row r="18" spans="1:14" x14ac:dyDescent="0.35">
      <c r="A18" s="68">
        <v>365</v>
      </c>
      <c r="B18" s="69">
        <v>12502351.75</v>
      </c>
      <c r="D18" s="68">
        <v>50</v>
      </c>
      <c r="E18" s="68" t="s">
        <v>107</v>
      </c>
      <c r="F18" s="68">
        <v>0</v>
      </c>
      <c r="G18" s="69">
        <v>28793205.57</v>
      </c>
      <c r="H18" s="68">
        <v>10716439.428780301</v>
      </c>
      <c r="I18" s="68">
        <v>608054.45585487899</v>
      </c>
      <c r="J18" s="68">
        <v>2.1117984045806198E-2</v>
      </c>
      <c r="K18" s="68">
        <v>29.139926551872399</v>
      </c>
      <c r="L18" s="68">
        <v>0.37218639663886299</v>
      </c>
      <c r="M18" s="68">
        <v>18.486979071535199</v>
      </c>
      <c r="N18" s="68" t="s">
        <v>129</v>
      </c>
    </row>
    <row r="19" spans="1:14" x14ac:dyDescent="0.35">
      <c r="A19" s="68">
        <v>365.1</v>
      </c>
      <c r="B19" s="69">
        <v>2012950.49</v>
      </c>
      <c r="D19" s="68">
        <v>50</v>
      </c>
      <c r="E19" s="68" t="s">
        <v>110</v>
      </c>
      <c r="F19" s="68">
        <v>0</v>
      </c>
      <c r="G19" s="69">
        <v>5234251.9000000004</v>
      </c>
      <c r="H19" s="68">
        <v>1654681.2658967101</v>
      </c>
      <c r="I19" s="68">
        <v>115638.323014386</v>
      </c>
      <c r="J19" s="68">
        <v>2.20926170967022E-2</v>
      </c>
      <c r="K19" s="68">
        <v>29.900516339660999</v>
      </c>
      <c r="L19" s="68">
        <v>0.31612564651248598</v>
      </c>
      <c r="M19" s="68">
        <v>16.168059091691799</v>
      </c>
      <c r="N19" s="68" t="s">
        <v>129</v>
      </c>
    </row>
    <row r="20" spans="1:14" x14ac:dyDescent="0.35">
      <c r="A20" s="68">
        <v>367</v>
      </c>
      <c r="B20" s="69">
        <v>12447852.029999999</v>
      </c>
      <c r="D20" s="68">
        <v>50</v>
      </c>
      <c r="E20" s="68" t="s">
        <v>107</v>
      </c>
      <c r="F20" s="68">
        <v>0</v>
      </c>
      <c r="G20" s="69">
        <v>34178702.049999997</v>
      </c>
      <c r="H20" s="68">
        <v>11460397.1511185</v>
      </c>
      <c r="I20" s="68">
        <v>731480.12529462297</v>
      </c>
      <c r="J20" s="68">
        <v>2.1401635563121801E-2</v>
      </c>
      <c r="K20" s="68">
        <v>30.590025217285501</v>
      </c>
      <c r="L20" s="68">
        <v>0.33530814407033599</v>
      </c>
      <c r="M20" s="68">
        <v>16.3100971584437</v>
      </c>
      <c r="N20" s="68" t="s">
        <v>129</v>
      </c>
    </row>
    <row r="21" spans="1:14" x14ac:dyDescent="0.35">
      <c r="A21" s="68">
        <v>367.1</v>
      </c>
      <c r="B21" s="69">
        <v>2055522.99</v>
      </c>
      <c r="D21" s="68">
        <v>50</v>
      </c>
      <c r="E21" s="68" t="s">
        <v>108</v>
      </c>
      <c r="F21" s="68">
        <v>0</v>
      </c>
      <c r="G21" s="69">
        <v>6266150.0199999996</v>
      </c>
      <c r="H21" s="68">
        <v>1615271.04735504</v>
      </c>
      <c r="I21" s="68">
        <v>131226.59327045199</v>
      </c>
      <c r="J21" s="68">
        <v>2.0942140365552898E-2</v>
      </c>
      <c r="K21" s="68">
        <v>35.232764752461598</v>
      </c>
      <c r="L21" s="68">
        <v>0.25777727028550201</v>
      </c>
      <c r="M21" s="68">
        <v>12.5430727718198</v>
      </c>
      <c r="N21" s="68" t="s">
        <v>129</v>
      </c>
    </row>
    <row r="22" spans="1:14" x14ac:dyDescent="0.35">
      <c r="A22" s="68">
        <v>368</v>
      </c>
      <c r="B22" s="69">
        <v>16814446.219999999</v>
      </c>
      <c r="D22" s="68">
        <v>45</v>
      </c>
      <c r="E22" s="68" t="s">
        <v>110</v>
      </c>
      <c r="F22" s="68">
        <v>0</v>
      </c>
      <c r="G22" s="69">
        <v>40867163.520000003</v>
      </c>
      <c r="H22" s="68">
        <v>14278547.135291301</v>
      </c>
      <c r="I22" s="68">
        <v>982578.50972321106</v>
      </c>
      <c r="J22" s="68">
        <v>2.40432274983397E-2</v>
      </c>
      <c r="K22" s="68">
        <v>26.322277932660999</v>
      </c>
      <c r="L22" s="68">
        <v>0.34938923833809699</v>
      </c>
      <c r="M22" s="68">
        <v>15.827353345026101</v>
      </c>
      <c r="N22" s="68" t="s">
        <v>129</v>
      </c>
    </row>
    <row r="23" spans="1:14" x14ac:dyDescent="0.35">
      <c r="A23" s="68">
        <v>370</v>
      </c>
      <c r="B23" s="69">
        <v>2002815.6</v>
      </c>
      <c r="D23" s="68">
        <v>15</v>
      </c>
      <c r="E23" s="68" t="s">
        <v>126</v>
      </c>
      <c r="F23" s="68">
        <v>0</v>
      </c>
      <c r="G23" s="69">
        <v>2956566.08</v>
      </c>
      <c r="H23" s="68">
        <v>1737272.4221747101</v>
      </c>
      <c r="I23" s="68">
        <v>166853.94771793301</v>
      </c>
      <c r="J23" s="68">
        <v>5.6435047688138701E-2</v>
      </c>
      <c r="K23" s="68">
        <v>6.53268726935132</v>
      </c>
      <c r="L23" s="68">
        <v>0.58759803608878403</v>
      </c>
      <c r="M23" s="68">
        <v>12.386725440616599</v>
      </c>
      <c r="N23" s="68" t="s">
        <v>129</v>
      </c>
    </row>
    <row r="24" spans="1:14" x14ac:dyDescent="0.35">
      <c r="A24" s="68">
        <v>371</v>
      </c>
      <c r="B24" s="69">
        <v>75373.490000000005</v>
      </c>
      <c r="D24" s="68">
        <v>15</v>
      </c>
      <c r="E24" s="68" t="s">
        <v>110</v>
      </c>
      <c r="F24" s="68">
        <v>0</v>
      </c>
      <c r="G24" s="69">
        <v>173069.17</v>
      </c>
      <c r="H24" s="68">
        <v>71540.126080192407</v>
      </c>
      <c r="I24" s="68">
        <v>12166.3648045599</v>
      </c>
      <c r="J24" s="68">
        <v>7.0297701228704601E-2</v>
      </c>
      <c r="K24" s="68">
        <v>7.7800017335192404</v>
      </c>
      <c r="L24" s="68">
        <v>0.41336146744213598</v>
      </c>
      <c r="M24" s="68">
        <v>6.857198685358</v>
      </c>
      <c r="N24" s="68" t="s">
        <v>129</v>
      </c>
    </row>
    <row r="25" spans="1:14" x14ac:dyDescent="0.35">
      <c r="A25" s="68">
        <v>373</v>
      </c>
      <c r="B25" s="69">
        <v>8329878.9400000004</v>
      </c>
      <c r="D25" s="68">
        <v>30</v>
      </c>
      <c r="E25" s="68" t="s">
        <v>107</v>
      </c>
      <c r="F25" s="68">
        <v>0</v>
      </c>
      <c r="G25" s="69">
        <v>13636686.9</v>
      </c>
      <c r="H25" s="68">
        <v>7020032.0828657998</v>
      </c>
      <c r="I25" s="68">
        <v>448561.54667415097</v>
      </c>
      <c r="J25" s="68">
        <v>3.28937336439213E-2</v>
      </c>
      <c r="K25" s="68">
        <v>13.860739593751701</v>
      </c>
      <c r="L25" s="68">
        <v>0.51479014912821697</v>
      </c>
      <c r="M25" s="68">
        <v>17.126614469677399</v>
      </c>
      <c r="N25" s="68" t="s">
        <v>129</v>
      </c>
    </row>
    <row r="26" spans="1:14" x14ac:dyDescent="0.35">
      <c r="A26" s="68">
        <v>373.1</v>
      </c>
      <c r="B26" s="69">
        <v>218937.63</v>
      </c>
      <c r="D26" s="68">
        <v>23</v>
      </c>
      <c r="E26" s="68" t="s">
        <v>111</v>
      </c>
      <c r="F26" s="68">
        <v>0</v>
      </c>
      <c r="G26" s="69">
        <v>285488.05</v>
      </c>
      <c r="H26" s="68">
        <v>270649.232013489</v>
      </c>
      <c r="I26" s="68">
        <v>5192.8746728202104</v>
      </c>
      <c r="J26" s="68">
        <v>1.8189464227382601E-2</v>
      </c>
      <c r="K26" s="68">
        <v>1.5160097723444399</v>
      </c>
      <c r="L26" s="68">
        <v>0.94802298034362398</v>
      </c>
      <c r="M26" s="68">
        <v>38.796812213330803</v>
      </c>
      <c r="N26" s="68" t="s">
        <v>129</v>
      </c>
    </row>
    <row r="27" spans="1:14" x14ac:dyDescent="0.35">
      <c r="A27" s="68">
        <v>390</v>
      </c>
      <c r="B27" s="69">
        <v>3149930.1</v>
      </c>
      <c r="D27" s="68">
        <v>40</v>
      </c>
      <c r="E27" s="68" t="s">
        <v>115</v>
      </c>
      <c r="F27" s="68">
        <v>0</v>
      </c>
      <c r="G27" s="69">
        <v>5197272.37</v>
      </c>
      <c r="H27" s="68">
        <v>2691587.1574633298</v>
      </c>
      <c r="I27" s="68">
        <v>130848.33207754701</v>
      </c>
      <c r="J27" s="68">
        <v>2.5176346891657399E-2</v>
      </c>
      <c r="K27" s="68">
        <v>18.354447856683301</v>
      </c>
      <c r="L27" s="68">
        <v>0.51788456825927898</v>
      </c>
      <c r="M27" s="68">
        <v>21.939024295353601</v>
      </c>
      <c r="N27" s="68" t="s">
        <v>129</v>
      </c>
    </row>
    <row r="28" spans="1:14" x14ac:dyDescent="0.35">
      <c r="A28" s="68">
        <v>390.01</v>
      </c>
      <c r="B28" s="69">
        <v>919490.6</v>
      </c>
      <c r="D28" s="68">
        <v>40</v>
      </c>
      <c r="E28" s="68" t="s">
        <v>107</v>
      </c>
      <c r="F28" s="68">
        <v>0</v>
      </c>
      <c r="G28" s="69">
        <v>451552.45</v>
      </c>
      <c r="H28" s="68">
        <v>190027.84960775901</v>
      </c>
      <c r="I28" s="68">
        <v>11729.923687865299</v>
      </c>
      <c r="J28" s="68">
        <v>2.5976879735377999E-2</v>
      </c>
      <c r="K28" s="68">
        <v>21.776015141364699</v>
      </c>
      <c r="L28" s="68">
        <v>0.42083228561324099</v>
      </c>
      <c r="M28" s="68">
        <v>16.954773393434099</v>
      </c>
      <c r="N28" s="68" t="s">
        <v>129</v>
      </c>
    </row>
    <row r="29" spans="1:14" x14ac:dyDescent="0.35">
      <c r="A29" s="68">
        <v>391</v>
      </c>
      <c r="B29" s="69">
        <v>189337.54</v>
      </c>
      <c r="D29" s="68">
        <v>15</v>
      </c>
      <c r="E29" s="68" t="s">
        <v>116</v>
      </c>
      <c r="F29" s="68">
        <v>0</v>
      </c>
      <c r="G29" s="69">
        <v>277519.56</v>
      </c>
      <c r="H29" s="68">
        <v>156316.25266666699</v>
      </c>
      <c r="I29" s="68">
        <v>18501.304</v>
      </c>
      <c r="J29" s="68">
        <v>6.6666666666666693E-2</v>
      </c>
      <c r="K29" s="68">
        <v>6.5510683643343901</v>
      </c>
      <c r="L29" s="68">
        <v>0.56326210904437402</v>
      </c>
      <c r="M29" s="68">
        <v>8.4489316356656108</v>
      </c>
      <c r="N29" s="68" t="s">
        <v>131</v>
      </c>
    </row>
    <row r="30" spans="1:14" x14ac:dyDescent="0.35">
      <c r="A30" s="68">
        <v>391.1</v>
      </c>
      <c r="B30" s="69">
        <v>107227.6</v>
      </c>
      <c r="D30" s="68">
        <v>5</v>
      </c>
      <c r="E30" s="68" t="s">
        <v>116</v>
      </c>
      <c r="F30" s="68">
        <v>0</v>
      </c>
      <c r="G30" s="69">
        <v>60706.99</v>
      </c>
      <c r="H30" s="68">
        <v>34244.695</v>
      </c>
      <c r="I30" s="68">
        <v>12141.397999999999</v>
      </c>
      <c r="J30" s="68">
        <v>0.2</v>
      </c>
      <c r="K30" s="68">
        <v>2.1795097236743199</v>
      </c>
      <c r="L30" s="68">
        <v>0.56409805526513501</v>
      </c>
      <c r="M30" s="68">
        <v>2.8204902763256801</v>
      </c>
      <c r="N30" s="68" t="s">
        <v>131</v>
      </c>
    </row>
    <row r="31" spans="1:14" x14ac:dyDescent="0.35">
      <c r="A31" s="68">
        <v>391.22</v>
      </c>
      <c r="B31" s="69">
        <v>469333.45</v>
      </c>
      <c r="D31" s="68">
        <v>10</v>
      </c>
      <c r="E31" s="68" t="s">
        <v>116</v>
      </c>
      <c r="F31" s="68">
        <v>0</v>
      </c>
      <c r="G31" s="69">
        <v>777424.93</v>
      </c>
      <c r="H31" s="68">
        <v>421980.05550000002</v>
      </c>
      <c r="I31" s="68">
        <v>77742.493000000002</v>
      </c>
      <c r="J31" s="68">
        <v>0.1</v>
      </c>
      <c r="K31" s="68">
        <v>4.5720797054964502</v>
      </c>
      <c r="L31" s="68">
        <v>0.54279202945035498</v>
      </c>
      <c r="M31" s="68">
        <v>5.4279202945035498</v>
      </c>
      <c r="N31" s="68" t="s">
        <v>131</v>
      </c>
    </row>
    <row r="32" spans="1:14" x14ac:dyDescent="0.35">
      <c r="A32" s="68">
        <v>392.2</v>
      </c>
      <c r="B32" s="69">
        <v>2520568.34</v>
      </c>
      <c r="D32" s="68">
        <v>12</v>
      </c>
      <c r="E32" s="68" t="s">
        <v>115</v>
      </c>
      <c r="F32" s="68">
        <v>0</v>
      </c>
      <c r="G32" s="69">
        <v>2955681.54</v>
      </c>
      <c r="H32" s="68">
        <v>1409081.8851099701</v>
      </c>
      <c r="I32" s="68">
        <v>249277.68265786799</v>
      </c>
      <c r="J32" s="68">
        <v>8.4338478041131398E-2</v>
      </c>
      <c r="K32" s="68">
        <v>5.9235532208372197</v>
      </c>
      <c r="L32" s="68">
        <v>0.47673670726717299</v>
      </c>
      <c r="M32" s="68">
        <v>6.1349799105894203</v>
      </c>
      <c r="N32" s="68" t="s">
        <v>129</v>
      </c>
    </row>
    <row r="33" spans="1:14" x14ac:dyDescent="0.35">
      <c r="A33" s="68">
        <v>392.3</v>
      </c>
      <c r="B33" s="69">
        <v>1026342.81</v>
      </c>
      <c r="D33" s="68">
        <v>15</v>
      </c>
      <c r="E33" s="68" t="s">
        <v>115</v>
      </c>
      <c r="F33" s="68">
        <v>0</v>
      </c>
      <c r="G33" s="69">
        <v>2756972.29</v>
      </c>
      <c r="H33" s="68">
        <v>1421934.04747861</v>
      </c>
      <c r="I33" s="68">
        <v>184560.571599191</v>
      </c>
      <c r="J33" s="68">
        <v>6.6943208776027094E-2</v>
      </c>
      <c r="K33" s="68">
        <v>6.8673073329315004</v>
      </c>
      <c r="L33" s="68">
        <v>0.51575928152640504</v>
      </c>
      <c r="M33" s="68">
        <v>8.7487952717145401</v>
      </c>
      <c r="N33" s="68" t="s">
        <v>129</v>
      </c>
    </row>
    <row r="34" spans="1:14" x14ac:dyDescent="0.35">
      <c r="A34" s="68">
        <v>392.4</v>
      </c>
      <c r="B34" s="69">
        <v>86978.07</v>
      </c>
      <c r="D34" s="68">
        <v>12</v>
      </c>
      <c r="E34" s="68" t="s">
        <v>127</v>
      </c>
      <c r="F34" s="68">
        <v>0</v>
      </c>
      <c r="G34" s="69">
        <v>231502.9</v>
      </c>
      <c r="H34" s="68">
        <v>127712.295988563</v>
      </c>
      <c r="I34" s="68">
        <v>16904.867415301102</v>
      </c>
      <c r="J34" s="68">
        <v>7.3022270629444094E-2</v>
      </c>
      <c r="K34" s="68">
        <v>6.0393087379279597</v>
      </c>
      <c r="L34" s="68">
        <v>0.55166607411208801</v>
      </c>
      <c r="M34" s="68">
        <v>8.4932384864293304</v>
      </c>
      <c r="N34" s="68" t="s">
        <v>129</v>
      </c>
    </row>
    <row r="35" spans="1:14" x14ac:dyDescent="0.35">
      <c r="A35" s="68">
        <v>394</v>
      </c>
      <c r="B35" s="69">
        <v>792027.36</v>
      </c>
      <c r="D35" s="68">
        <v>15</v>
      </c>
      <c r="E35" s="68" t="s">
        <v>116</v>
      </c>
      <c r="F35" s="68">
        <v>0</v>
      </c>
      <c r="G35" s="69">
        <v>1712700.03</v>
      </c>
      <c r="H35" s="68">
        <v>785216.995666667</v>
      </c>
      <c r="I35" s="68">
        <v>114180.00199999999</v>
      </c>
      <c r="J35" s="68">
        <v>6.6666666666666693E-2</v>
      </c>
      <c r="K35" s="68">
        <v>8.1229901741754507</v>
      </c>
      <c r="L35" s="68">
        <v>0.45846732172163701</v>
      </c>
      <c r="M35" s="68">
        <v>6.8770098258245502</v>
      </c>
      <c r="N35" s="68" t="s">
        <v>131</v>
      </c>
    </row>
    <row r="36" spans="1:14" x14ac:dyDescent="0.35">
      <c r="A36" s="68" t="s">
        <v>132</v>
      </c>
    </row>
  </sheetData>
  <pageMargins left="0.7" right="0.7" top="0.75" bottom="0.75" header="0.3" footer="0.3"/>
  <pageSetup scale="49" fitToHeight="0" orientation="landscape" r:id="rId1"/>
  <headerFooter>
    <oddHeader>&amp;R&amp;"Arial,Bold"Attachment 4
&amp;A
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F77C-EFE2-4BFD-B64D-68B6878D1752}">
  <sheetPr>
    <pageSetUpPr fitToPage="1"/>
  </sheetPr>
  <dimension ref="A1:N36"/>
  <sheetViews>
    <sheetView workbookViewId="0">
      <selection activeCell="A23" sqref="A23"/>
    </sheetView>
  </sheetViews>
  <sheetFormatPr defaultColWidth="9.1796875" defaultRowHeight="14.5" x14ac:dyDescent="0.35"/>
  <cols>
    <col min="1" max="1" width="9.1796875" style="68"/>
    <col min="2" max="2" width="15.453125" style="68" bestFit="1" customWidth="1"/>
    <col min="3" max="6" width="9.1796875" style="68"/>
    <col min="7" max="7" width="15.453125" style="68" bestFit="1" customWidth="1"/>
    <col min="8" max="10" width="9.1796875" style="68"/>
    <col min="11" max="11" width="39.81640625" style="68" customWidth="1"/>
    <col min="12" max="19" width="9.1796875" style="68"/>
    <col min="20" max="20" width="16.54296875" style="68" bestFit="1" customWidth="1"/>
    <col min="21" max="16384" width="9.1796875" style="68"/>
  </cols>
  <sheetData>
    <row r="1" spans="1:14" x14ac:dyDescent="0.35">
      <c r="A1" s="68" t="s">
        <v>95</v>
      </c>
      <c r="B1" s="68" t="s">
        <v>96</v>
      </c>
      <c r="C1" s="68" t="s">
        <v>97</v>
      </c>
      <c r="D1" s="68" t="s">
        <v>98</v>
      </c>
      <c r="E1" s="68" t="s">
        <v>133</v>
      </c>
      <c r="F1" s="68" t="s">
        <v>100</v>
      </c>
      <c r="G1" s="68" t="s">
        <v>101</v>
      </c>
      <c r="H1" s="68" t="s">
        <v>102</v>
      </c>
      <c r="I1" s="68" t="s">
        <v>103</v>
      </c>
      <c r="J1" s="68" t="s">
        <v>104</v>
      </c>
      <c r="K1" s="68" t="s">
        <v>105</v>
      </c>
      <c r="L1" s="68" t="s">
        <v>106</v>
      </c>
      <c r="M1" s="68" t="s">
        <v>122</v>
      </c>
      <c r="N1" s="68" t="s">
        <v>123</v>
      </c>
    </row>
    <row r="2" spans="1:14" x14ac:dyDescent="0.35">
      <c r="A2" s="68">
        <v>331</v>
      </c>
      <c r="B2" s="69">
        <v>320112.42</v>
      </c>
      <c r="D2" s="68">
        <v>70</v>
      </c>
      <c r="E2" s="68" t="s">
        <v>111</v>
      </c>
      <c r="F2" s="68">
        <v>0</v>
      </c>
      <c r="G2" s="69">
        <v>1668035.55</v>
      </c>
      <c r="H2" s="68">
        <v>192220.5</v>
      </c>
      <c r="I2" s="68">
        <v>21668</v>
      </c>
      <c r="J2" s="68">
        <v>1.2990130815857001E-2</v>
      </c>
      <c r="K2" s="68">
        <v>61.933363986420503</v>
      </c>
      <c r="L2" s="68">
        <v>0.191909830698752</v>
      </c>
      <c r="M2" s="68">
        <v>9.1198871960492696</v>
      </c>
      <c r="N2" s="68" t="s">
        <v>129</v>
      </c>
    </row>
    <row r="3" spans="1:14" x14ac:dyDescent="0.35">
      <c r="A3" s="68">
        <v>332</v>
      </c>
      <c r="B3" s="69">
        <v>491034.85</v>
      </c>
      <c r="D3" s="68">
        <v>100</v>
      </c>
      <c r="E3" s="68" t="s">
        <v>107</v>
      </c>
      <c r="F3" s="68">
        <v>0</v>
      </c>
      <c r="G3" s="69">
        <v>8819430.7799999993</v>
      </c>
      <c r="H3" s="68">
        <v>671026.89</v>
      </c>
      <c r="I3" s="68">
        <v>90173</v>
      </c>
      <c r="J3" s="68">
        <v>1.0224355998630599E-2</v>
      </c>
      <c r="K3" s="68">
        <v>92.391494478569797</v>
      </c>
      <c r="L3" s="68">
        <v>5.5676478703538299E-2</v>
      </c>
      <c r="M3" s="68">
        <v>7.7727061587074502</v>
      </c>
      <c r="N3" s="68" t="s">
        <v>129</v>
      </c>
    </row>
    <row r="4" spans="1:14" x14ac:dyDescent="0.35">
      <c r="A4" s="68">
        <v>333</v>
      </c>
      <c r="B4" s="69">
        <v>1692325.86</v>
      </c>
      <c r="D4" s="68">
        <v>85</v>
      </c>
      <c r="E4" s="68" t="s">
        <v>107</v>
      </c>
      <c r="F4" s="68">
        <v>0</v>
      </c>
      <c r="G4" s="69">
        <v>3293183.44</v>
      </c>
      <c r="H4" s="68">
        <v>391596.15</v>
      </c>
      <c r="I4" s="68">
        <v>20962</v>
      </c>
      <c r="J4" s="68">
        <v>6.3652694670418997E-3</v>
      </c>
      <c r="K4" s="68">
        <v>74.892554164926494</v>
      </c>
      <c r="L4" s="68">
        <v>0.51388751669418098</v>
      </c>
      <c r="M4" s="68">
        <v>10.389802354891</v>
      </c>
      <c r="N4" s="68" t="s">
        <v>130</v>
      </c>
    </row>
    <row r="5" spans="1:14" x14ac:dyDescent="0.35">
      <c r="A5" s="68">
        <v>334</v>
      </c>
      <c r="B5" s="69">
        <v>92045.759999999995</v>
      </c>
      <c r="D5" s="68">
        <v>40</v>
      </c>
      <c r="E5" s="68" t="s">
        <v>110</v>
      </c>
      <c r="F5" s="68">
        <v>0</v>
      </c>
      <c r="G5" s="69">
        <v>81241.84</v>
      </c>
      <c r="H5" s="68">
        <v>48516.02</v>
      </c>
      <c r="I5" s="68">
        <v>0</v>
      </c>
      <c r="J5" s="68">
        <v>0</v>
      </c>
      <c r="K5" s="68">
        <v>16.1127895814925</v>
      </c>
      <c r="L5" s="68">
        <v>1.13298467883051</v>
      </c>
      <c r="M5" s="68">
        <v>28.928845653914301</v>
      </c>
      <c r="N5" s="68" t="s">
        <v>130</v>
      </c>
    </row>
    <row r="6" spans="1:14" x14ac:dyDescent="0.35">
      <c r="A6" s="68">
        <v>335</v>
      </c>
      <c r="B6" s="69">
        <v>17610.89</v>
      </c>
      <c r="D6" s="68">
        <v>51</v>
      </c>
      <c r="E6" s="68" t="s">
        <v>108</v>
      </c>
      <c r="F6" s="68">
        <v>0</v>
      </c>
      <c r="G6" s="69">
        <v>109846.18</v>
      </c>
      <c r="H6" s="68">
        <v>10815</v>
      </c>
      <c r="I6" s="68">
        <v>1997</v>
      </c>
      <c r="J6" s="68">
        <v>1.8179967660231802E-2</v>
      </c>
      <c r="K6" s="68">
        <v>45.978747335512402</v>
      </c>
      <c r="L6" s="68">
        <v>0.16032319011912799</v>
      </c>
      <c r="M6" s="68">
        <v>5.0349527857955598</v>
      </c>
      <c r="N6" s="68" t="s">
        <v>130</v>
      </c>
    </row>
    <row r="7" spans="1:14" x14ac:dyDescent="0.35">
      <c r="A7" s="68">
        <v>341.2</v>
      </c>
      <c r="B7" s="69">
        <v>2343709.37</v>
      </c>
      <c r="D7" s="68">
        <v>40</v>
      </c>
      <c r="E7" s="68" t="s">
        <v>111</v>
      </c>
      <c r="F7" s="68">
        <v>0</v>
      </c>
      <c r="G7" s="69">
        <v>6101560.3399999999</v>
      </c>
      <c r="H7" s="68">
        <v>1698938.25</v>
      </c>
      <c r="I7" s="68">
        <v>121176</v>
      </c>
      <c r="J7" s="68">
        <v>1.98598380164507E-2</v>
      </c>
      <c r="K7" s="68">
        <v>28.8622703530542</v>
      </c>
      <c r="L7" s="68">
        <v>0.38411639636427802</v>
      </c>
      <c r="M7" s="68">
        <v>13.667196633836801</v>
      </c>
      <c r="N7" s="68" t="s">
        <v>129</v>
      </c>
    </row>
    <row r="8" spans="1:14" x14ac:dyDescent="0.35">
      <c r="A8" s="68">
        <v>342.2</v>
      </c>
      <c r="B8" s="69">
        <v>1969406.06</v>
      </c>
      <c r="D8" s="68">
        <v>40</v>
      </c>
      <c r="E8" s="68" t="s">
        <v>107</v>
      </c>
      <c r="F8" s="68">
        <v>0</v>
      </c>
      <c r="G8" s="69">
        <v>3430727.61</v>
      </c>
      <c r="H8" s="68">
        <v>1468771.78</v>
      </c>
      <c r="I8" s="68">
        <v>59553</v>
      </c>
      <c r="J8" s="68">
        <v>1.7358708347002798E-2</v>
      </c>
      <c r="K8" s="68">
        <v>22.875098796242</v>
      </c>
      <c r="L8" s="68">
        <v>0.574049089254276</v>
      </c>
      <c r="M8" s="68">
        <v>18.801852900528001</v>
      </c>
      <c r="N8" s="68" t="s">
        <v>129</v>
      </c>
    </row>
    <row r="9" spans="1:14" x14ac:dyDescent="0.35">
      <c r="A9" s="68">
        <v>343.2</v>
      </c>
      <c r="B9" s="69">
        <v>5198971.16</v>
      </c>
      <c r="D9" s="68">
        <v>26</v>
      </c>
      <c r="E9" s="68" t="s">
        <v>109</v>
      </c>
      <c r="F9" s="68">
        <v>0</v>
      </c>
      <c r="G9" s="69">
        <v>20512067.030000001</v>
      </c>
      <c r="H9" s="68">
        <v>6080675.5</v>
      </c>
      <c r="I9" s="68">
        <v>893757</v>
      </c>
      <c r="J9" s="68">
        <v>4.3572254258570399E-2</v>
      </c>
      <c r="K9" s="68">
        <v>18.2924606952446</v>
      </c>
      <c r="L9" s="68">
        <v>0.25345915418452097</v>
      </c>
      <c r="M9" s="68">
        <v>9.2682167812221703</v>
      </c>
      <c r="N9" s="68" t="s">
        <v>129</v>
      </c>
    </row>
    <row r="10" spans="1:14" x14ac:dyDescent="0.35">
      <c r="A10" s="68">
        <v>345.2</v>
      </c>
      <c r="B10" s="69">
        <v>2127329.96</v>
      </c>
      <c r="D10" s="68">
        <v>35</v>
      </c>
      <c r="E10" s="68" t="s">
        <v>107</v>
      </c>
      <c r="F10" s="68">
        <v>0</v>
      </c>
      <c r="G10" s="69">
        <v>5155802.54</v>
      </c>
      <c r="H10" s="68">
        <v>1762937.96</v>
      </c>
      <c r="I10" s="68">
        <v>120171</v>
      </c>
      <c r="J10" s="68">
        <v>2.3307913572655901E-2</v>
      </c>
      <c r="K10" s="68">
        <v>23.032352268060301</v>
      </c>
      <c r="L10" s="68">
        <v>0.41260888940095097</v>
      </c>
      <c r="M10" s="68">
        <v>13.5089528603242</v>
      </c>
      <c r="N10" s="68" t="s">
        <v>129</v>
      </c>
    </row>
    <row r="11" spans="1:14" x14ac:dyDescent="0.35">
      <c r="A11" s="68">
        <v>346.2</v>
      </c>
      <c r="B11" s="69">
        <v>479978.75</v>
      </c>
      <c r="D11" s="68">
        <v>40</v>
      </c>
      <c r="E11" s="68" t="s">
        <v>107</v>
      </c>
      <c r="F11" s="68">
        <v>0</v>
      </c>
      <c r="G11" s="69">
        <v>1113752.55</v>
      </c>
      <c r="H11" s="68">
        <v>357472.46</v>
      </c>
      <c r="I11" s="68">
        <v>21459</v>
      </c>
      <c r="J11" s="68">
        <v>1.9267295953665799E-2</v>
      </c>
      <c r="K11" s="68">
        <v>27.161511820339999</v>
      </c>
      <c r="L11" s="68">
        <v>0.43095636458924402</v>
      </c>
      <c r="M11" s="68">
        <v>14.067195819215</v>
      </c>
      <c r="N11" s="68" t="s">
        <v>129</v>
      </c>
    </row>
    <row r="12" spans="1:14" x14ac:dyDescent="0.35">
      <c r="A12" s="68">
        <v>347.2</v>
      </c>
      <c r="B12" s="69">
        <v>169269.1</v>
      </c>
      <c r="D12" s="68">
        <v>25</v>
      </c>
      <c r="E12" s="68" t="s">
        <v>107</v>
      </c>
      <c r="F12" s="68">
        <v>0</v>
      </c>
      <c r="G12" s="69">
        <v>3536262.09</v>
      </c>
      <c r="H12" s="68">
        <v>208216.48</v>
      </c>
      <c r="I12" s="68">
        <v>143106</v>
      </c>
      <c r="J12" s="68">
        <v>4.0468154327328199E-2</v>
      </c>
      <c r="K12" s="68">
        <v>23.5279903616909</v>
      </c>
      <c r="L12" s="68">
        <v>4.78666726877136E-2</v>
      </c>
      <c r="M12" s="68">
        <v>1.5</v>
      </c>
      <c r="N12" s="68" t="s">
        <v>129</v>
      </c>
    </row>
    <row r="13" spans="1:14" x14ac:dyDescent="0.35">
      <c r="A13" s="68">
        <v>353</v>
      </c>
      <c r="B13" s="69">
        <v>798723.17</v>
      </c>
      <c r="D13" s="68">
        <v>50</v>
      </c>
      <c r="E13" s="68" t="s">
        <v>107</v>
      </c>
      <c r="F13" s="68">
        <v>0</v>
      </c>
      <c r="G13" s="69">
        <v>1144289.3700000001</v>
      </c>
      <c r="H13" s="68">
        <v>648480</v>
      </c>
      <c r="I13" s="68">
        <v>14843</v>
      </c>
      <c r="J13" s="68">
        <v>1.2971369296212201E-2</v>
      </c>
      <c r="K13" s="68">
        <v>21.664511278271501</v>
      </c>
      <c r="L13" s="68">
        <v>0.69800803095811303</v>
      </c>
      <c r="M13" s="68">
        <v>32.164320074912503</v>
      </c>
      <c r="N13" s="68" t="s">
        <v>129</v>
      </c>
    </row>
    <row r="14" spans="1:14" x14ac:dyDescent="0.35">
      <c r="A14" s="68">
        <v>360.1</v>
      </c>
      <c r="B14" s="69">
        <v>434786.54</v>
      </c>
      <c r="D14" s="68">
        <v>75</v>
      </c>
      <c r="E14" s="68" t="s">
        <v>107</v>
      </c>
      <c r="F14" s="68">
        <v>0</v>
      </c>
      <c r="G14" s="69">
        <v>2160689.19</v>
      </c>
      <c r="H14" s="68">
        <v>373888.63</v>
      </c>
      <c r="I14" s="68">
        <v>27741</v>
      </c>
      <c r="J14" s="68">
        <v>1.28389590360287E-2</v>
      </c>
      <c r="K14" s="68">
        <v>62.021897236907201</v>
      </c>
      <c r="L14" s="68">
        <v>0.20122585979152299</v>
      </c>
      <c r="M14" s="68">
        <v>13.4747007805412</v>
      </c>
      <c r="N14" s="68" t="s">
        <v>129</v>
      </c>
    </row>
    <row r="15" spans="1:14" x14ac:dyDescent="0.35">
      <c r="A15" s="68">
        <v>362</v>
      </c>
      <c r="B15" s="69">
        <v>3208611.73</v>
      </c>
      <c r="D15" s="68">
        <v>40</v>
      </c>
      <c r="E15" s="68" t="s">
        <v>110</v>
      </c>
      <c r="F15" s="68">
        <v>0</v>
      </c>
      <c r="G15" s="69">
        <v>7543472.7999999998</v>
      </c>
      <c r="H15" s="68">
        <v>2558247</v>
      </c>
      <c r="I15" s="68">
        <v>142708</v>
      </c>
      <c r="J15" s="68">
        <v>1.8918077095737701E-2</v>
      </c>
      <c r="K15" s="68">
        <v>26.434645811200301</v>
      </c>
      <c r="L15" s="68">
        <v>0.42534941333652099</v>
      </c>
      <c r="M15" s="68">
        <v>16.526691589581901</v>
      </c>
      <c r="N15" s="68" t="s">
        <v>129</v>
      </c>
    </row>
    <row r="16" spans="1:14" x14ac:dyDescent="0.35">
      <c r="A16" s="68">
        <v>362.1</v>
      </c>
      <c r="B16" s="69">
        <v>1280122.7</v>
      </c>
      <c r="D16" s="68">
        <v>15</v>
      </c>
      <c r="E16" s="68" t="s">
        <v>116</v>
      </c>
      <c r="F16" s="68">
        <v>0</v>
      </c>
      <c r="G16" s="69">
        <v>976501.82</v>
      </c>
      <c r="H16" s="68">
        <v>609881.39</v>
      </c>
      <c r="I16" s="68">
        <v>0</v>
      </c>
      <c r="J16" s="68">
        <v>0</v>
      </c>
      <c r="K16" s="68">
        <v>5.6316397136873801</v>
      </c>
      <c r="L16" s="68">
        <v>1.3109271009858401</v>
      </c>
      <c r="M16" s="68">
        <v>9.3683602863126296</v>
      </c>
      <c r="N16" s="68" t="s">
        <v>129</v>
      </c>
    </row>
    <row r="17" spans="1:14" x14ac:dyDescent="0.35">
      <c r="A17" s="68">
        <v>364</v>
      </c>
      <c r="B17" s="69">
        <v>21068996.960000001</v>
      </c>
      <c r="D17" s="68">
        <v>50</v>
      </c>
      <c r="E17" s="68" t="s">
        <v>111</v>
      </c>
      <c r="F17" s="68">
        <v>0</v>
      </c>
      <c r="G17" s="69">
        <v>53306939.649999999</v>
      </c>
      <c r="H17" s="68">
        <v>14042624.529999999</v>
      </c>
      <c r="I17" s="68">
        <v>816632</v>
      </c>
      <c r="J17" s="68">
        <v>1.5319431304100401E-2</v>
      </c>
      <c r="K17" s="68">
        <v>36.828521151342798</v>
      </c>
      <c r="L17" s="68">
        <v>0.395239289637217</v>
      </c>
      <c r="M17" s="68">
        <v>15.9113501920008</v>
      </c>
      <c r="N17" s="68" t="s">
        <v>129</v>
      </c>
    </row>
    <row r="18" spans="1:14" x14ac:dyDescent="0.35">
      <c r="A18" s="68">
        <v>365</v>
      </c>
      <c r="B18" s="69">
        <v>12502351.75</v>
      </c>
      <c r="D18" s="68">
        <v>50</v>
      </c>
      <c r="E18" s="68" t="s">
        <v>107</v>
      </c>
      <c r="F18" s="68">
        <v>0</v>
      </c>
      <c r="G18" s="69">
        <v>28793205.57</v>
      </c>
      <c r="H18" s="68">
        <v>9687345.25</v>
      </c>
      <c r="I18" s="68">
        <v>455477</v>
      </c>
      <c r="J18" s="68">
        <v>1.58189055710618E-2</v>
      </c>
      <c r="K18" s="68">
        <v>33.177723596503199</v>
      </c>
      <c r="L18" s="68">
        <v>0.43421187403414202</v>
      </c>
      <c r="M18" s="68">
        <v>18.486979071535199</v>
      </c>
      <c r="N18" s="68" t="s">
        <v>129</v>
      </c>
    </row>
    <row r="19" spans="1:14" x14ac:dyDescent="0.35">
      <c r="A19" s="68">
        <v>365.1</v>
      </c>
      <c r="B19" s="69">
        <v>2012950.49</v>
      </c>
      <c r="D19" s="68">
        <v>50</v>
      </c>
      <c r="E19" s="68" t="s">
        <v>110</v>
      </c>
      <c r="F19" s="68">
        <v>0</v>
      </c>
      <c r="G19" s="69">
        <v>5234251.9000000004</v>
      </c>
      <c r="H19" s="68">
        <v>1439849.21</v>
      </c>
      <c r="I19" s="68">
        <v>79372</v>
      </c>
      <c r="J19" s="68">
        <v>1.51639625903369E-2</v>
      </c>
      <c r="K19" s="68">
        <v>36.245892748706197</v>
      </c>
      <c r="L19" s="68">
        <v>0.38457271993348302</v>
      </c>
      <c r="M19" s="68">
        <v>16.168059091691799</v>
      </c>
      <c r="N19" s="68" t="s">
        <v>129</v>
      </c>
    </row>
    <row r="20" spans="1:14" x14ac:dyDescent="0.35">
      <c r="A20" s="68">
        <v>367</v>
      </c>
      <c r="B20" s="69">
        <v>12447852.029999999</v>
      </c>
      <c r="D20" s="68">
        <v>50</v>
      </c>
      <c r="E20" s="68" t="s">
        <v>107</v>
      </c>
      <c r="F20" s="68">
        <v>0</v>
      </c>
      <c r="G20" s="69">
        <v>34178702.049999997</v>
      </c>
      <c r="H20" s="68">
        <v>10311127.050000001</v>
      </c>
      <c r="I20" s="68">
        <v>602555</v>
      </c>
      <c r="J20" s="68">
        <v>1.7629545999684901E-2</v>
      </c>
      <c r="K20" s="68">
        <v>34.9158592475505</v>
      </c>
      <c r="L20" s="68">
        <v>0.36419908549453001</v>
      </c>
      <c r="M20" s="68">
        <v>16.3100971584437</v>
      </c>
      <c r="N20" s="68" t="s">
        <v>129</v>
      </c>
    </row>
    <row r="21" spans="1:14" x14ac:dyDescent="0.35">
      <c r="A21" s="68">
        <v>367.1</v>
      </c>
      <c r="B21" s="69">
        <v>2055522.99</v>
      </c>
      <c r="D21" s="68">
        <v>50</v>
      </c>
      <c r="E21" s="68" t="s">
        <v>108</v>
      </c>
      <c r="F21" s="68">
        <v>0</v>
      </c>
      <c r="G21" s="69">
        <v>6266150.0199999996</v>
      </c>
      <c r="H21" s="68">
        <v>1530722.64</v>
      </c>
      <c r="I21" s="68">
        <v>104891</v>
      </c>
      <c r="J21" s="68">
        <v>1.67393055808134E-2</v>
      </c>
      <c r="K21" s="68">
        <v>37.785780600332799</v>
      </c>
      <c r="L21" s="68">
        <v>0.32803603224296901</v>
      </c>
      <c r="M21" s="68">
        <v>12.5430727718198</v>
      </c>
      <c r="N21" s="68" t="s">
        <v>129</v>
      </c>
    </row>
    <row r="22" spans="1:14" x14ac:dyDescent="0.35">
      <c r="A22" s="68">
        <v>368</v>
      </c>
      <c r="B22" s="69">
        <v>16814446.219999999</v>
      </c>
      <c r="D22" s="68">
        <v>45</v>
      </c>
      <c r="E22" s="68" t="s">
        <v>110</v>
      </c>
      <c r="F22" s="68">
        <v>0</v>
      </c>
      <c r="G22" s="69">
        <v>40867163.520000003</v>
      </c>
      <c r="H22" s="68">
        <v>12349860.59</v>
      </c>
      <c r="I22" s="68">
        <v>704263</v>
      </c>
      <c r="J22" s="68">
        <v>1.7232979716229599E-2</v>
      </c>
      <c r="K22" s="68">
        <v>31.401216069801599</v>
      </c>
      <c r="L22" s="68">
        <v>0.41144147945993798</v>
      </c>
      <c r="M22" s="68">
        <v>15.827353345026101</v>
      </c>
      <c r="N22" s="68" t="s">
        <v>129</v>
      </c>
    </row>
    <row r="23" spans="1:14" x14ac:dyDescent="0.35">
      <c r="A23" s="68">
        <v>370</v>
      </c>
      <c r="B23" s="69">
        <v>2002815.6</v>
      </c>
      <c r="D23" s="68">
        <v>15</v>
      </c>
      <c r="E23" s="68" t="s">
        <v>126</v>
      </c>
      <c r="F23" s="68">
        <v>0</v>
      </c>
      <c r="G23" s="69">
        <v>2956566.08</v>
      </c>
      <c r="H23" s="68">
        <v>1327461.82</v>
      </c>
      <c r="I23" s="68">
        <v>87945</v>
      </c>
      <c r="J23" s="68">
        <v>2.9745656826313902E-2</v>
      </c>
      <c r="K23" s="68">
        <v>8.2651844632352507</v>
      </c>
      <c r="L23" s="68">
        <v>0.677412763931865</v>
      </c>
      <c r="M23" s="68">
        <v>12.4345611378995</v>
      </c>
      <c r="N23" s="68" t="s">
        <v>129</v>
      </c>
    </row>
    <row r="24" spans="1:14" x14ac:dyDescent="0.35">
      <c r="A24" s="68">
        <v>371</v>
      </c>
      <c r="B24" s="69">
        <v>75373.490000000005</v>
      </c>
      <c r="D24" s="68">
        <v>15</v>
      </c>
      <c r="E24" s="68" t="s">
        <v>110</v>
      </c>
      <c r="F24" s="68">
        <v>0</v>
      </c>
      <c r="G24" s="69">
        <v>173069.17</v>
      </c>
      <c r="H24" s="68">
        <v>64248.75</v>
      </c>
      <c r="I24" s="68">
        <v>9309</v>
      </c>
      <c r="J24" s="68">
        <v>5.3787742785153497E-2</v>
      </c>
      <c r="K24" s="68">
        <v>9.4315248596461103</v>
      </c>
      <c r="L24" s="68">
        <v>0.43551078450309799</v>
      </c>
      <c r="M24" s="68">
        <v>6.857198685358</v>
      </c>
      <c r="N24" s="68" t="s">
        <v>129</v>
      </c>
    </row>
    <row r="25" spans="1:14" x14ac:dyDescent="0.35">
      <c r="A25" s="68">
        <v>373</v>
      </c>
      <c r="B25" s="69">
        <v>8329878.9400000004</v>
      </c>
      <c r="D25" s="68">
        <v>30</v>
      </c>
      <c r="E25" s="68" t="s">
        <v>107</v>
      </c>
      <c r="F25" s="68">
        <v>0</v>
      </c>
      <c r="G25" s="69">
        <v>13636686.9</v>
      </c>
      <c r="H25" s="68">
        <v>6506897.21</v>
      </c>
      <c r="I25" s="68">
        <v>252442</v>
      </c>
      <c r="J25" s="68">
        <v>1.8511974488466101E-2</v>
      </c>
      <c r="K25" s="68">
        <v>15.685165453797699</v>
      </c>
      <c r="L25" s="68">
        <v>0.61084330828186695</v>
      </c>
      <c r="M25" s="68">
        <v>17.126614469677399</v>
      </c>
      <c r="N25" s="68" t="s">
        <v>129</v>
      </c>
    </row>
    <row r="26" spans="1:14" x14ac:dyDescent="0.35">
      <c r="A26" s="68">
        <v>373.1</v>
      </c>
      <c r="B26" s="69">
        <v>218937.63</v>
      </c>
      <c r="D26" s="68">
        <v>23</v>
      </c>
      <c r="E26" s="68" t="s">
        <v>111</v>
      </c>
      <c r="F26" s="68">
        <v>0</v>
      </c>
      <c r="G26" s="69">
        <v>285488.05</v>
      </c>
      <c r="H26" s="68">
        <v>264792.28000000003</v>
      </c>
      <c r="I26" s="68">
        <v>27126</v>
      </c>
      <c r="J26" s="68">
        <v>9.5016236231253798E-2</v>
      </c>
      <c r="K26" s="68">
        <v>1.6673290336869699</v>
      </c>
      <c r="L26" s="68">
        <v>0.76688894684033204</v>
      </c>
      <c r="M26" s="68">
        <v>38.796812213330803</v>
      </c>
      <c r="N26" s="68" t="s">
        <v>129</v>
      </c>
    </row>
    <row r="27" spans="1:14" x14ac:dyDescent="0.35">
      <c r="A27" s="68">
        <v>390</v>
      </c>
      <c r="B27" s="69">
        <v>3149930.1</v>
      </c>
      <c r="D27" s="68">
        <v>40</v>
      </c>
      <c r="E27" s="68" t="s">
        <v>115</v>
      </c>
      <c r="F27" s="68">
        <v>0</v>
      </c>
      <c r="G27" s="69">
        <v>5197272.37</v>
      </c>
      <c r="H27" s="68">
        <v>2391503.9900000002</v>
      </c>
      <c r="I27" s="68">
        <v>81601</v>
      </c>
      <c r="J27" s="68">
        <v>1.5700735730346201E-2</v>
      </c>
      <c r="K27" s="68">
        <v>21.594160762691601</v>
      </c>
      <c r="L27" s="68">
        <v>0.60607370092477997</v>
      </c>
      <c r="M27" s="68">
        <v>21.939024295353601</v>
      </c>
      <c r="N27" s="68" t="s">
        <v>129</v>
      </c>
    </row>
    <row r="28" spans="1:14" x14ac:dyDescent="0.35">
      <c r="A28" s="68">
        <v>390.01</v>
      </c>
      <c r="B28" s="69">
        <v>919490.6</v>
      </c>
      <c r="D28" s="68">
        <v>40</v>
      </c>
      <c r="E28" s="68" t="s">
        <v>107</v>
      </c>
      <c r="F28" s="68">
        <v>0</v>
      </c>
      <c r="G28" s="69">
        <v>451552.45</v>
      </c>
      <c r="H28" s="68">
        <v>172623.37</v>
      </c>
      <c r="I28" s="68">
        <v>0</v>
      </c>
      <c r="J28" s="68">
        <v>0</v>
      </c>
      <c r="K28" s="68">
        <v>24.708454655169302</v>
      </c>
      <c r="L28" s="68">
        <v>2.03628747889642</v>
      </c>
      <c r="M28" s="68">
        <v>16.954773393434099</v>
      </c>
      <c r="N28" s="68" t="s">
        <v>129</v>
      </c>
    </row>
    <row r="29" spans="1:14" x14ac:dyDescent="0.35">
      <c r="A29" s="68">
        <v>391</v>
      </c>
      <c r="B29" s="69">
        <v>189337.54</v>
      </c>
      <c r="D29" s="68">
        <v>15</v>
      </c>
      <c r="E29" s="68" t="s">
        <v>116</v>
      </c>
      <c r="F29" s="68">
        <v>0</v>
      </c>
      <c r="G29" s="69">
        <v>277519.56</v>
      </c>
      <c r="H29" s="68">
        <v>156316.25</v>
      </c>
      <c r="I29" s="68">
        <v>10291</v>
      </c>
      <c r="J29" s="68">
        <v>3.7082070899795302E-2</v>
      </c>
      <c r="K29" s="68">
        <v>6.5510683643343901</v>
      </c>
      <c r="L29" s="68">
        <v>0.68224935208170601</v>
      </c>
      <c r="M29" s="68">
        <v>8.4489316356656108</v>
      </c>
      <c r="N29" s="68" t="s">
        <v>131</v>
      </c>
    </row>
    <row r="30" spans="1:14" x14ac:dyDescent="0.35">
      <c r="A30" s="68">
        <v>391.1</v>
      </c>
      <c r="B30" s="69">
        <v>107227.6</v>
      </c>
      <c r="D30" s="68">
        <v>5</v>
      </c>
      <c r="E30" s="68" t="s">
        <v>116</v>
      </c>
      <c r="F30" s="68">
        <v>0</v>
      </c>
      <c r="G30" s="69">
        <v>60706.99</v>
      </c>
      <c r="H30" s="68">
        <v>34244.699999999997</v>
      </c>
      <c r="I30" s="68">
        <v>0</v>
      </c>
      <c r="J30" s="68">
        <v>0</v>
      </c>
      <c r="K30" s="68">
        <v>2.1795097236743199</v>
      </c>
      <c r="L30" s="68">
        <v>1.76631389564859</v>
      </c>
      <c r="M30" s="68">
        <v>2.8204902763256801</v>
      </c>
      <c r="N30" s="68" t="s">
        <v>131</v>
      </c>
    </row>
    <row r="31" spans="1:14" x14ac:dyDescent="0.35">
      <c r="A31" s="68">
        <v>391.22</v>
      </c>
      <c r="B31" s="69">
        <v>469333.45</v>
      </c>
      <c r="D31" s="68">
        <v>10</v>
      </c>
      <c r="E31" s="68" t="s">
        <v>116</v>
      </c>
      <c r="F31" s="68">
        <v>0</v>
      </c>
      <c r="G31" s="69">
        <v>777424.93</v>
      </c>
      <c r="H31" s="68">
        <v>421980.06</v>
      </c>
      <c r="I31" s="68">
        <v>55968</v>
      </c>
      <c r="J31" s="68">
        <v>7.1991516917266907E-2</v>
      </c>
      <c r="K31" s="68">
        <v>4.5720797054964502</v>
      </c>
      <c r="L31" s="68">
        <v>0.60370259801161796</v>
      </c>
      <c r="M31" s="68">
        <v>5.4279202945035498</v>
      </c>
      <c r="N31" s="68" t="s">
        <v>131</v>
      </c>
    </row>
    <row r="32" spans="1:14" x14ac:dyDescent="0.35">
      <c r="A32" s="68">
        <v>392.2</v>
      </c>
      <c r="B32" s="69">
        <v>2520568.34</v>
      </c>
      <c r="D32" s="68">
        <v>12</v>
      </c>
      <c r="E32" s="68" t="s">
        <v>115</v>
      </c>
      <c r="F32" s="68">
        <v>0</v>
      </c>
      <c r="G32" s="69">
        <v>2955681.54</v>
      </c>
      <c r="H32" s="68">
        <v>1251714.3999999999</v>
      </c>
      <c r="I32" s="68">
        <v>38591</v>
      </c>
      <c r="J32" s="68">
        <v>1.3056548710589399E-2</v>
      </c>
      <c r="K32" s="68">
        <v>6.9180679394353</v>
      </c>
      <c r="L32" s="68">
        <v>0.85278752324582296</v>
      </c>
      <c r="M32" s="68">
        <v>6.1349799105894203</v>
      </c>
      <c r="N32" s="68" t="s">
        <v>129</v>
      </c>
    </row>
    <row r="33" spans="1:14" x14ac:dyDescent="0.35">
      <c r="A33" s="68">
        <v>392.3</v>
      </c>
      <c r="B33" s="69">
        <v>1026342.81</v>
      </c>
      <c r="D33" s="68">
        <v>15</v>
      </c>
      <c r="E33" s="68" t="s">
        <v>115</v>
      </c>
      <c r="F33" s="68">
        <v>0</v>
      </c>
      <c r="G33" s="69">
        <v>2756972.29</v>
      </c>
      <c r="H33" s="68">
        <v>1268922.72</v>
      </c>
      <c r="I33" s="68">
        <v>233861</v>
      </c>
      <c r="J33" s="68">
        <v>8.4825299422940495E-2</v>
      </c>
      <c r="K33" s="68">
        <v>8.0961074657780401</v>
      </c>
      <c r="L33" s="68">
        <v>0.37227171768200801</v>
      </c>
      <c r="M33" s="68">
        <v>8.7487952717145401</v>
      </c>
      <c r="N33" s="68" t="s">
        <v>129</v>
      </c>
    </row>
    <row r="34" spans="1:14" x14ac:dyDescent="0.35">
      <c r="A34" s="68">
        <v>392.4</v>
      </c>
      <c r="B34" s="69">
        <v>86978.07</v>
      </c>
      <c r="D34" s="68">
        <v>12</v>
      </c>
      <c r="E34" s="68" t="s">
        <v>127</v>
      </c>
      <c r="F34" s="68">
        <v>0</v>
      </c>
      <c r="G34" s="69">
        <v>231502.9</v>
      </c>
      <c r="H34" s="68">
        <v>74456.77</v>
      </c>
      <c r="I34" s="68">
        <v>17578</v>
      </c>
      <c r="J34" s="68">
        <v>7.5929934355034007E-2</v>
      </c>
      <c r="K34" s="68">
        <v>8.1405181498240502</v>
      </c>
      <c r="L34" s="68">
        <v>0.37571049865897999</v>
      </c>
      <c r="M34" s="68">
        <v>8.4932384864293304</v>
      </c>
      <c r="N34" s="68" t="s">
        <v>129</v>
      </c>
    </row>
    <row r="35" spans="1:14" x14ac:dyDescent="0.35">
      <c r="A35" s="68">
        <v>394</v>
      </c>
      <c r="B35" s="69">
        <v>792027.36</v>
      </c>
      <c r="D35" s="68">
        <v>15</v>
      </c>
      <c r="E35" s="68" t="s">
        <v>116</v>
      </c>
      <c r="F35" s="68">
        <v>0</v>
      </c>
      <c r="G35" s="69">
        <v>1712700.03</v>
      </c>
      <c r="H35" s="68">
        <v>785216.99</v>
      </c>
      <c r="I35" s="68">
        <v>110815</v>
      </c>
      <c r="J35" s="68">
        <v>6.4701931487675599E-2</v>
      </c>
      <c r="K35" s="68">
        <v>8.1229901741754507</v>
      </c>
      <c r="L35" s="68">
        <v>0.462443712341151</v>
      </c>
      <c r="M35" s="68">
        <v>6.8770098258245502</v>
      </c>
      <c r="N35" s="68" t="s">
        <v>131</v>
      </c>
    </row>
    <row r="36" spans="1:14" x14ac:dyDescent="0.35">
      <c r="A36" s="68" t="s">
        <v>134</v>
      </c>
    </row>
  </sheetData>
  <pageMargins left="0.7" right="0.7" top="0.75" bottom="0.75" header="0.3" footer="0.3"/>
  <pageSetup scale="57" fitToHeight="0" orientation="landscape" r:id="rId1"/>
  <headerFooter>
    <oddHeader>&amp;R&amp;"Arial,Bold"Attachment 4
&amp;A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0A59-5EA8-4A2C-999C-A5D166745005}">
  <dimension ref="A1:Q64"/>
  <sheetViews>
    <sheetView zoomScaleNormal="100" workbookViewId="0">
      <selection activeCell="A7" sqref="A7:XFD7"/>
    </sheetView>
  </sheetViews>
  <sheetFormatPr defaultColWidth="9.1796875" defaultRowHeight="12.5" x14ac:dyDescent="0.25"/>
  <cols>
    <col min="1" max="1" width="8.7265625" style="21" customWidth="1"/>
    <col min="2" max="2" width="2.81640625" style="21" customWidth="1"/>
    <col min="3" max="3" width="47.54296875" style="21" bestFit="1" customWidth="1"/>
    <col min="4" max="4" width="11.453125" style="2" customWidth="1"/>
    <col min="5" max="5" width="1.81640625" style="2" customWidth="1"/>
    <col min="6" max="6" width="7.81640625" style="2" bestFit="1" customWidth="1"/>
    <col min="7" max="7" width="2.453125" style="2" customWidth="1"/>
    <col min="8" max="8" width="17.26953125" style="3" bestFit="1" customWidth="1"/>
    <col min="9" max="9" width="1.7265625" style="2" customWidth="1"/>
    <col min="10" max="10" width="17.26953125" style="4" bestFit="1" customWidth="1"/>
    <col min="11" max="11" width="1.7265625" style="2" customWidth="1"/>
    <col min="12" max="12" width="16" style="4" bestFit="1" customWidth="1"/>
    <col min="13" max="13" width="1.7265625" style="2" customWidth="1"/>
    <col min="14" max="14" width="9.453125" style="88" bestFit="1" customWidth="1"/>
    <col min="15" max="15" width="9.1796875" style="1"/>
    <col min="16" max="16" width="13" style="1" bestFit="1" customWidth="1"/>
    <col min="17" max="17" width="13.26953125" style="1" bestFit="1" customWidth="1"/>
    <col min="18" max="16384" width="9.1796875" style="1"/>
  </cols>
  <sheetData>
    <row r="1" spans="1:14" s="59" customFormat="1" ht="30" customHeight="1" x14ac:dyDescent="0.25">
      <c r="A1" s="57" t="s">
        <v>0</v>
      </c>
      <c r="B1" s="57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82"/>
    </row>
    <row r="2" spans="1:14" s="8" customFormat="1" ht="15" customHeight="1" x14ac:dyDescent="0.3">
      <c r="A2" s="14" t="s">
        <v>70</v>
      </c>
      <c r="B2" s="14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83"/>
    </row>
    <row r="3" spans="1:14" s="8" customFormat="1" ht="15" customHeight="1" x14ac:dyDescent="0.3">
      <c r="A3" s="14" t="s">
        <v>2</v>
      </c>
      <c r="B3" s="14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83"/>
    </row>
    <row r="4" spans="1:14" s="8" customFormat="1" ht="15" customHeight="1" x14ac:dyDescent="0.3">
      <c r="A4" s="14" t="s">
        <v>3</v>
      </c>
      <c r="B4" s="14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83"/>
    </row>
    <row r="5" spans="1:14" s="18" customFormat="1" ht="25" customHeight="1" x14ac:dyDescent="0.35">
      <c r="A5" s="16" t="s">
        <v>71</v>
      </c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84"/>
    </row>
    <row r="6" spans="1:14" s="18" customFormat="1" ht="25" customHeight="1" x14ac:dyDescent="0.35">
      <c r="A6" s="16" t="s">
        <v>5</v>
      </c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84"/>
    </row>
    <row r="7" spans="1:14" s="30" customFormat="1" ht="34.5" x14ac:dyDescent="0.25">
      <c r="A7" s="27" t="s">
        <v>6</v>
      </c>
      <c r="B7" s="27"/>
      <c r="C7" s="27" t="s">
        <v>7</v>
      </c>
      <c r="D7" s="28" t="s">
        <v>8</v>
      </c>
      <c r="E7" s="29"/>
      <c r="F7" s="28" t="s">
        <v>9</v>
      </c>
      <c r="G7" s="28"/>
      <c r="H7" s="28" t="s">
        <v>11</v>
      </c>
      <c r="I7" s="50"/>
      <c r="J7" s="28" t="s">
        <v>12</v>
      </c>
      <c r="K7" s="50"/>
      <c r="L7" s="28" t="s">
        <v>13</v>
      </c>
      <c r="M7" s="29"/>
      <c r="N7" s="85" t="s">
        <v>14</v>
      </c>
    </row>
    <row r="8" spans="1:14" s="7" customFormat="1" ht="11.5" x14ac:dyDescent="0.25">
      <c r="A8" s="5" t="s">
        <v>15</v>
      </c>
      <c r="B8" s="5"/>
      <c r="C8" s="5" t="s">
        <v>16</v>
      </c>
      <c r="D8" s="39" t="s">
        <v>17</v>
      </c>
      <c r="E8" s="39"/>
      <c r="F8" s="99" t="s">
        <v>18</v>
      </c>
      <c r="G8" s="51"/>
      <c r="H8" s="105" t="s">
        <v>19</v>
      </c>
      <c r="I8" s="37"/>
      <c r="J8" s="52" t="s">
        <v>20</v>
      </c>
      <c r="K8" s="39"/>
      <c r="L8" s="39" t="s">
        <v>21</v>
      </c>
      <c r="M8" s="39"/>
      <c r="N8" s="106" t="s">
        <v>22</v>
      </c>
    </row>
    <row r="9" spans="1:14" s="22" customFormat="1" ht="25" customHeight="1" x14ac:dyDescent="0.3">
      <c r="A9" s="74" t="s">
        <v>24</v>
      </c>
      <c r="B9" s="74"/>
      <c r="C9" s="31"/>
      <c r="D9" s="23"/>
      <c r="E9" s="23"/>
      <c r="F9" s="13"/>
      <c r="G9" s="23"/>
      <c r="H9" s="24"/>
      <c r="I9" s="13"/>
      <c r="J9" s="25"/>
      <c r="K9" s="13"/>
      <c r="L9" s="25"/>
      <c r="M9" s="13"/>
      <c r="N9" s="83"/>
    </row>
    <row r="10" spans="1:14" s="8" customFormat="1" ht="14" x14ac:dyDescent="0.3">
      <c r="A10" s="31" t="s">
        <v>25</v>
      </c>
      <c r="B10" s="31"/>
      <c r="C10" s="31"/>
      <c r="D10" s="23"/>
      <c r="E10" s="23"/>
      <c r="F10" s="13"/>
      <c r="G10" s="23"/>
      <c r="H10" s="24"/>
      <c r="I10" s="13"/>
      <c r="J10" s="25"/>
      <c r="K10" s="13"/>
      <c r="L10" s="25"/>
      <c r="M10" s="13"/>
      <c r="N10" s="83"/>
    </row>
    <row r="11" spans="1:14" s="8" customFormat="1" ht="14" x14ac:dyDescent="0.3">
      <c r="A11" s="31"/>
      <c r="B11" s="31"/>
      <c r="C11" s="31"/>
      <c r="D11" s="23"/>
      <c r="E11" s="23"/>
      <c r="F11" s="13"/>
      <c r="G11" s="23"/>
      <c r="H11" s="24"/>
      <c r="I11" s="13"/>
      <c r="J11" s="25"/>
      <c r="K11" s="13"/>
      <c r="L11" s="25"/>
      <c r="M11" s="13"/>
      <c r="N11" s="83"/>
    </row>
    <row r="12" spans="1:14" s="8" customFormat="1" ht="14" x14ac:dyDescent="0.3">
      <c r="A12" s="31" t="s">
        <v>26</v>
      </c>
      <c r="B12" s="31"/>
      <c r="C12" s="31"/>
      <c r="D12" s="23"/>
      <c r="E12" s="23"/>
      <c r="F12" s="13"/>
      <c r="G12" s="23"/>
      <c r="H12" s="24"/>
      <c r="I12" s="13"/>
      <c r="J12" s="25"/>
      <c r="K12" s="13"/>
      <c r="L12" s="25"/>
      <c r="M12" s="13"/>
      <c r="N12" s="83"/>
    </row>
    <row r="13" spans="1:14" s="8" customFormat="1" ht="14" x14ac:dyDescent="0.3">
      <c r="A13" s="76">
        <v>331</v>
      </c>
      <c r="B13" s="76"/>
      <c r="C13" s="21" t="s">
        <v>27</v>
      </c>
      <c r="D13" s="53" t="str">
        <f>_xlfn.CONCAT(VLOOKUP(A13,'ELG Whole Life_Life'!A$1:M$28,4,FALSE),"-",VLOOKUP('Table 1 Total'!A13,'ELG Whole Life_Life'!A$1:M$28,5,FALSE))</f>
        <v>70-R2</v>
      </c>
      <c r="E13" s="23"/>
      <c r="F13" s="10">
        <f>VLOOKUP(A13,'ELG Whole Life_Life'!A$1:M$28,6,FALSE)*100</f>
        <v>0</v>
      </c>
      <c r="G13" s="23"/>
      <c r="H13" s="11">
        <f>VLOOKUP(A13,'ELG Whole Life_Life'!A$1:M$96,7,FALSE)</f>
        <v>1668035.55</v>
      </c>
      <c r="I13" s="13"/>
      <c r="J13" s="11">
        <f>VLOOKUP(A13,'ELG Whole Life_Life'!A$1:M$28,8,FALSE)</f>
        <v>260801.16710174701</v>
      </c>
      <c r="K13" s="13"/>
      <c r="L13" s="11">
        <f>VLOOKUP(A13,'ELG Whole Life_Life'!A$1:M$35,9,FALSE)</f>
        <v>29091.6052526731</v>
      </c>
      <c r="M13" s="13"/>
      <c r="N13" s="71">
        <f>L13/H13</f>
        <v>1.7440638631876341E-2</v>
      </c>
    </row>
    <row r="14" spans="1:14" s="8" customFormat="1" ht="13.5" x14ac:dyDescent="0.25">
      <c r="A14" s="77">
        <v>332</v>
      </c>
      <c r="B14" s="77"/>
      <c r="C14" s="21" t="s">
        <v>28</v>
      </c>
      <c r="D14" s="53" t="str">
        <f>_xlfn.CONCAT(VLOOKUP(A14,'ELG Whole Life_Life'!A$1:M$28,4,FALSE),"-",VLOOKUP('Table 1 Total'!A14,'ELG Whole Life_Life'!A$1:M$28,5,FALSE))</f>
        <v>100-R3</v>
      </c>
      <c r="E14" s="9"/>
      <c r="F14" s="10">
        <f>VLOOKUP(A14,'ELG Whole Life_Life'!A$1:M$28,6,FALSE)*100</f>
        <v>0</v>
      </c>
      <c r="G14" s="10"/>
      <c r="H14" s="11">
        <f>VLOOKUP(A14,'ELG Whole Life_Life'!A$1:M$96,7,FALSE)</f>
        <v>8819430.7799999993</v>
      </c>
      <c r="I14" s="11"/>
      <c r="J14" s="11">
        <f>VLOOKUP(A14,'ELG Whole Life_Life'!A$1:M$28,8,FALSE)</f>
        <v>778434.50406892097</v>
      </c>
      <c r="K14" s="11"/>
      <c r="L14" s="11">
        <f>VLOOKUP(A14,'ELG Whole Life_Life'!A$1:M$35,9,FALSE)</f>
        <v>100533.024502356</v>
      </c>
      <c r="M14" s="20"/>
      <c r="N14" s="71">
        <f t="shared" ref="N14:N61" si="0">L14/H14</f>
        <v>1.1399037762203062E-2</v>
      </c>
    </row>
    <row r="15" spans="1:14" s="26" customFormat="1" ht="14" x14ac:dyDescent="0.25">
      <c r="A15" s="77">
        <v>333</v>
      </c>
      <c r="B15" s="77"/>
      <c r="C15" s="21" t="s">
        <v>29</v>
      </c>
      <c r="D15" s="53" t="str">
        <f>_xlfn.CONCAT(VLOOKUP(A15,'ELG Whole Life_Life'!A$1:M$28,4,FALSE),"-",VLOOKUP('Table 1 Total'!A15,'ELG Whole Life_Life'!A$1:M$28,5,FALSE))</f>
        <v>85-R3</v>
      </c>
      <c r="E15" s="9"/>
      <c r="F15" s="10">
        <f>VLOOKUP(A15,'ELG Whole Life_Life'!A$1:M$28,6,FALSE)*100</f>
        <v>0</v>
      </c>
      <c r="G15" s="10"/>
      <c r="H15" s="11">
        <f>VLOOKUP(A15,'ELG Whole Life_Life'!A$1:M$96,7,FALSE)</f>
        <v>3293183.44</v>
      </c>
      <c r="I15" s="11"/>
      <c r="J15" s="11">
        <f>VLOOKUP(A15,'ELG Whole Life_Life'!A$1:M$28,8,FALSE)</f>
        <v>450169.85923915001</v>
      </c>
      <c r="K15" s="11"/>
      <c r="L15" s="11">
        <f>VLOOKUP(A15,'ELG Whole Life_Life'!A$1:M$35,9,FALSE)</f>
        <v>43642.781313557498</v>
      </c>
      <c r="M15" s="20"/>
      <c r="N15" s="71">
        <f t="shared" si="0"/>
        <v>1.3252459848868151E-2</v>
      </c>
    </row>
    <row r="16" spans="1:14" s="22" customFormat="1" ht="14" x14ac:dyDescent="0.3">
      <c r="A16" s="77">
        <v>334</v>
      </c>
      <c r="B16" s="77"/>
      <c r="C16" s="21" t="s">
        <v>30</v>
      </c>
      <c r="D16" s="53" t="str">
        <f>_xlfn.CONCAT(VLOOKUP(A16,'ELG Whole Life_Life'!A$1:M$28,4,FALSE),"-",VLOOKUP('Table 1 Total'!A16,'ELG Whole Life_Life'!A$1:M$28,5,FALSE))</f>
        <v>40-R2.5</v>
      </c>
      <c r="E16" s="9"/>
      <c r="F16" s="10">
        <f>VLOOKUP(A16,'ELG Whole Life_Life'!A$1:M$28,6,FALSE)*100</f>
        <v>0</v>
      </c>
      <c r="G16" s="10"/>
      <c r="H16" s="11">
        <f>VLOOKUP(A16,'ELG Whole Life_Life'!A$1:M$96,7,FALSE)</f>
        <v>81241.84</v>
      </c>
      <c r="I16" s="11"/>
      <c r="J16" s="11">
        <f>VLOOKUP(A16,'ELG Whole Life_Life'!A$1:M$28,8,FALSE)</f>
        <v>53973.179439533</v>
      </c>
      <c r="K16" s="11"/>
      <c r="L16" s="11">
        <f>VLOOKUP(A16,'ELG Whole Life_Life'!A$1:M$35,9,FALSE)</f>
        <v>1884.99139157533</v>
      </c>
      <c r="M16" s="20"/>
      <c r="N16" s="71">
        <f t="shared" si="0"/>
        <v>2.3202224267388948E-2</v>
      </c>
    </row>
    <row r="17" spans="1:17" s="8" customFormat="1" ht="13.5" x14ac:dyDescent="0.25">
      <c r="A17" s="77">
        <v>335</v>
      </c>
      <c r="B17" s="77"/>
      <c r="C17" s="21" t="s">
        <v>31</v>
      </c>
      <c r="D17" s="53" t="str">
        <f>_xlfn.CONCAT(VLOOKUP(A17,'ELG Whole Life_Life'!A$1:M$28,4,FALSE),"-",VLOOKUP('Table 1 Total'!A17,'ELG Whole Life_Life'!A$1:M$28,5,FALSE))</f>
        <v>51-R4</v>
      </c>
      <c r="E17" s="9"/>
      <c r="F17" s="10">
        <f>VLOOKUP(A17,'ELG Whole Life_Life'!A$1:M$28,6,FALSE)*100</f>
        <v>0</v>
      </c>
      <c r="G17" s="10"/>
      <c r="H17" s="100">
        <f>VLOOKUP(A17,'ELG Whole Life_Life'!A$1:M$96,7,FALSE)</f>
        <v>109846.18</v>
      </c>
      <c r="I17" s="11"/>
      <c r="J17" s="81">
        <f>VLOOKUP(A17,'ELG Whole Life_Life'!A$1:M$28,8,FALSE)</f>
        <v>11491.272300676501</v>
      </c>
      <c r="K17" s="11"/>
      <c r="L17" s="81">
        <f>VLOOKUP(A17,'ELG Whole Life_Life'!A$1:M$35,9,FALSE)</f>
        <v>2285.9139495673098</v>
      </c>
      <c r="M17" s="20"/>
      <c r="N17" s="98">
        <f t="shared" si="0"/>
        <v>2.081013604266721E-2</v>
      </c>
    </row>
    <row r="18" spans="1:17" s="8" customFormat="1" ht="14" x14ac:dyDescent="0.3">
      <c r="A18" s="14" t="s">
        <v>32</v>
      </c>
      <c r="B18" s="14"/>
      <c r="C18" s="21"/>
      <c r="D18" s="53"/>
      <c r="E18" s="9"/>
      <c r="F18" s="10"/>
      <c r="G18" s="10"/>
      <c r="H18" s="25">
        <f>_xlfn.IFNA(SUM(H13:H17),0)</f>
        <v>13971737.789999999</v>
      </c>
      <c r="I18" s="11"/>
      <c r="J18" s="25">
        <f>_xlfn.IFNA(SUM(J13:J17),0)</f>
        <v>1554869.9821500275</v>
      </c>
      <c r="K18" s="11"/>
      <c r="L18" s="25">
        <f>_xlfn.IFNA(SUM(L13:L17),0)</f>
        <v>177438.31640972925</v>
      </c>
      <c r="M18" s="20"/>
      <c r="N18" s="86">
        <f t="shared" si="0"/>
        <v>1.2699802921919082E-2</v>
      </c>
    </row>
    <row r="19" spans="1:17" s="8" customFormat="1" ht="14" x14ac:dyDescent="0.3">
      <c r="A19" s="14"/>
      <c r="B19" s="14"/>
      <c r="C19" s="21"/>
      <c r="D19" s="53"/>
      <c r="E19" s="9"/>
      <c r="F19" s="10"/>
      <c r="G19" s="10"/>
      <c r="H19" s="11"/>
      <c r="I19" s="11"/>
      <c r="J19" s="11"/>
      <c r="K19" s="11"/>
      <c r="L19" s="11"/>
      <c r="M19" s="20"/>
      <c r="N19" s="71"/>
    </row>
    <row r="20" spans="1:17" s="8" customFormat="1" ht="14" x14ac:dyDescent="0.3">
      <c r="A20" s="14" t="s">
        <v>33</v>
      </c>
      <c r="B20" s="14"/>
      <c r="C20" s="21"/>
      <c r="D20" s="53"/>
      <c r="E20" s="9"/>
      <c r="F20" s="10"/>
      <c r="G20" s="10"/>
      <c r="H20" s="11"/>
      <c r="I20" s="11"/>
      <c r="J20" s="11"/>
      <c r="K20" s="11"/>
      <c r="L20" s="11"/>
      <c r="M20" s="20"/>
      <c r="N20" s="71"/>
    </row>
    <row r="21" spans="1:17" s="8" customFormat="1" ht="13.5" x14ac:dyDescent="0.25">
      <c r="A21" s="77">
        <v>341.2</v>
      </c>
      <c r="B21" s="77"/>
      <c r="C21" s="21" t="s">
        <v>34</v>
      </c>
      <c r="D21" s="53" t="str">
        <f>_xlfn.CONCAT(VLOOKUP(A21,'ELG Whole Life_Total'!A$1:M$226,4,FALSE),"-",VLOOKUP('Table 1 Total'!A21,'ELG Whole Life_Total'!A$1:M$226,5,FALSE))</f>
        <v>40-R2</v>
      </c>
      <c r="E21" s="53"/>
      <c r="F21" s="10">
        <f>VLOOKUP(A21,'ELG Whole Life_Life'!A$1:M$226,6,FALSE)*100</f>
        <v>0</v>
      </c>
      <c r="G21" s="10"/>
      <c r="H21" s="11">
        <f>VLOOKUP(A21,'ELG Whole Life_Life'!A$1:M$96,7,FALSE)</f>
        <v>6101560.3399999999</v>
      </c>
      <c r="I21" s="95"/>
      <c r="J21" s="11">
        <f>VLOOKUP(A21,'ELG Whole Life_Life'!A$1:M$96,8,FALSE)</f>
        <v>2087147.37392825</v>
      </c>
      <c r="K21" s="11"/>
      <c r="L21" s="11">
        <f>VLOOKUP(A21,'ELG Whole Life_Life'!A$1:M$96,9,FALSE)</f>
        <v>166484.810736277</v>
      </c>
      <c r="M21" s="11"/>
      <c r="N21" s="71">
        <f>L21/H21</f>
        <v>2.7285612443238905E-2</v>
      </c>
      <c r="O21"/>
      <c r="P21"/>
      <c r="Q21"/>
    </row>
    <row r="22" spans="1:17" s="8" customFormat="1" ht="13.5" x14ac:dyDescent="0.25">
      <c r="A22" s="77">
        <v>342.2</v>
      </c>
      <c r="B22" s="77"/>
      <c r="C22" s="21" t="s">
        <v>35</v>
      </c>
      <c r="D22" s="53" t="str">
        <f>_xlfn.CONCAT(VLOOKUP(A22,'ELG Whole Life_Total'!A$1:M$226,4,FALSE),"-",VLOOKUP('Table 1 Total'!A22,'ELG Whole Life_Total'!A$1:M$226,5,FALSE))</f>
        <v>40-R3</v>
      </c>
      <c r="E22" s="53"/>
      <c r="F22" s="10">
        <f>VLOOKUP(A22,'ELG Whole Life_Life'!A$1:M$226,6,FALSE)*100</f>
        <v>0</v>
      </c>
      <c r="G22" s="10"/>
      <c r="H22" s="11">
        <f>VLOOKUP(A22,'ELG Whole Life_Life'!A$1:M$96,7,FALSE)</f>
        <v>3430727.61</v>
      </c>
      <c r="I22" s="95"/>
      <c r="J22" s="11">
        <f>VLOOKUP(A22,'ELG Whole Life_Life'!A$1:M$96,8,FALSE)</f>
        <v>1619609.3616068701</v>
      </c>
      <c r="K22" s="11"/>
      <c r="L22" s="11">
        <f>VLOOKUP(A22,'ELG Whole Life_Life'!A$1:M$96,9,FALSE)</f>
        <v>88181.388008838694</v>
      </c>
      <c r="M22" s="11"/>
      <c r="N22" s="71">
        <f t="shared" ref="N22:N26" si="1">L22/H22</f>
        <v>2.5703406983347971E-2</v>
      </c>
      <c r="O22"/>
      <c r="P22"/>
      <c r="Q22"/>
    </row>
    <row r="23" spans="1:17" s="8" customFormat="1" ht="13.5" x14ac:dyDescent="0.25">
      <c r="A23" s="77">
        <v>343.2</v>
      </c>
      <c r="B23" s="77"/>
      <c r="C23" s="21" t="s">
        <v>36</v>
      </c>
      <c r="D23" s="53" t="str">
        <f>_xlfn.CONCAT(VLOOKUP(A23,'ELG Whole Life_Total'!A$1:M$226,4,FALSE),"-",VLOOKUP('Table 1 Total'!A23,'ELG Whole Life_Total'!A$1:M$226,5,FALSE))</f>
        <v>26-S2</v>
      </c>
      <c r="E23" s="53"/>
      <c r="F23" s="10">
        <f>VLOOKUP(A23,'ELG Whole Life_Life'!A$1:M$226,6,FALSE)*100</f>
        <v>0</v>
      </c>
      <c r="G23" s="10"/>
      <c r="H23" s="11">
        <f>VLOOKUP(A23,'ELG Whole Life_Life'!A$1:M$96,7,FALSE)</f>
        <v>20512067.030000001</v>
      </c>
      <c r="I23" s="95"/>
      <c r="J23" s="11">
        <f>VLOOKUP(A23,'ELG Whole Life_Life'!A$1:M$96,8,FALSE)</f>
        <v>6737765.8571541896</v>
      </c>
      <c r="K23" s="11"/>
      <c r="L23" s="11">
        <f>VLOOKUP(A23,'ELG Whole Life_Life'!A$1:M$96,9,FALSE)</f>
        <v>836086.03268646798</v>
      </c>
      <c r="M23" s="11"/>
      <c r="N23" s="71">
        <f t="shared" si="1"/>
        <v>4.076069132689783E-2</v>
      </c>
      <c r="O23"/>
      <c r="P23"/>
      <c r="Q23"/>
    </row>
    <row r="24" spans="1:17" s="8" customFormat="1" ht="13.5" x14ac:dyDescent="0.25">
      <c r="A24" s="77">
        <v>345.2</v>
      </c>
      <c r="B24" s="77"/>
      <c r="C24" s="21" t="s">
        <v>37</v>
      </c>
      <c r="D24" s="53" t="str">
        <f>_xlfn.CONCAT(VLOOKUP(A24,'ELG Whole Life_Total'!A$1:M$226,4,FALSE),"-",VLOOKUP('Table 1 Total'!A24,'ELG Whole Life_Total'!A$1:M$226,5,FALSE))</f>
        <v>35-R3</v>
      </c>
      <c r="E24" s="53"/>
      <c r="F24" s="10">
        <f>VLOOKUP(A24,'ELG Whole Life_Life'!A$1:M$226,6,FALSE)*100</f>
        <v>0</v>
      </c>
      <c r="G24" s="10"/>
      <c r="H24" s="11">
        <f>VLOOKUP(A24,'ELG Whole Life_Life'!A$1:M$96,7,FALSE)</f>
        <v>5155802.54</v>
      </c>
      <c r="I24" s="95"/>
      <c r="J24" s="11">
        <f>VLOOKUP(A24,'ELG Whole Life_Life'!A$1:M$96,8,FALSE)</f>
        <v>1940458.2848495599</v>
      </c>
      <c r="K24" s="11"/>
      <c r="L24" s="11">
        <f>VLOOKUP(A24,'ELG Whole Life_Life'!A$1:M$96,9,FALSE)</f>
        <v>154372.29560875401</v>
      </c>
      <c r="M24" s="11"/>
      <c r="N24" s="71">
        <f t="shared" si="1"/>
        <v>2.9941467775597551E-2</v>
      </c>
      <c r="O24"/>
      <c r="P24"/>
      <c r="Q24"/>
    </row>
    <row r="25" spans="1:17" s="8" customFormat="1" ht="13.5" x14ac:dyDescent="0.25">
      <c r="A25" s="77">
        <v>346.2</v>
      </c>
      <c r="B25" s="77"/>
      <c r="C25" s="21" t="s">
        <v>38</v>
      </c>
      <c r="D25" s="53" t="str">
        <f>_xlfn.CONCAT(VLOOKUP(A25,'ELG Whole Life_Total'!A$1:M$226,4,FALSE),"-",VLOOKUP('Table 1 Total'!A25,'ELG Whole Life_Total'!A$1:M$226,5,FALSE))</f>
        <v>40-R3</v>
      </c>
      <c r="E25" s="53"/>
      <c r="F25" s="10">
        <f>VLOOKUP(A25,'ELG Whole Life_Life'!A$1:M$226,6,FALSE)*100</f>
        <v>0</v>
      </c>
      <c r="G25" s="10"/>
      <c r="H25" s="11">
        <f>VLOOKUP(A25,'ELG Whole Life_Life'!A$1:M$96,7,FALSE)</f>
        <v>1113752.55</v>
      </c>
      <c r="I25" s="95"/>
      <c r="J25" s="11">
        <f>VLOOKUP(A25,'ELG Whole Life_Life'!A$1:M$96,8,FALSE)</f>
        <v>396018.757228331</v>
      </c>
      <c r="K25" s="11"/>
      <c r="L25" s="11">
        <f>VLOOKUP(A25,'ELG Whole Life_Life'!A$1:M$96,9,FALSE)</f>
        <v>29546.537868998999</v>
      </c>
      <c r="M25" s="11"/>
      <c r="N25" s="71">
        <f t="shared" si="1"/>
        <v>2.6528817257476984E-2</v>
      </c>
      <c r="O25"/>
      <c r="P25"/>
      <c r="Q25"/>
    </row>
    <row r="26" spans="1:17" s="8" customFormat="1" ht="13.5" x14ac:dyDescent="0.25">
      <c r="A26" s="77">
        <v>347.2</v>
      </c>
      <c r="B26" s="77"/>
      <c r="C26" s="21" t="s">
        <v>39</v>
      </c>
      <c r="D26" s="53" t="str">
        <f>_xlfn.CONCAT(VLOOKUP(A26,'ELG Whole Life_Total'!A$1:M$226,4,FALSE),"-",VLOOKUP('Table 1 Total'!A26,'ELG Whole Life_Total'!A$1:M$226,5,FALSE))</f>
        <v>25-R3</v>
      </c>
      <c r="E26" s="53"/>
      <c r="F26" s="10">
        <f>VLOOKUP(A26,'ELG Whole Life_Life'!A$1:M$226,6,FALSE)*100</f>
        <v>0</v>
      </c>
      <c r="G26" s="10"/>
      <c r="H26" s="81">
        <f>VLOOKUP(A26,'ELG Whole Life_Life'!A$1:M$96,7,FALSE)</f>
        <v>3536262.09</v>
      </c>
      <c r="I26" s="95"/>
      <c r="J26" s="81">
        <f>VLOOKUP(A26,'ELG Whole Life_Life'!A$1:M$96,8,FALSE)</f>
        <v>242926.26078229299</v>
      </c>
      <c r="K26" s="11"/>
      <c r="L26" s="81">
        <f>VLOOKUP(A26,'ELG Whole Life_Life'!A$1:M$96,9,FALSE)</f>
        <v>161950.840521529</v>
      </c>
      <c r="M26" s="11"/>
      <c r="N26" s="98">
        <f t="shared" si="1"/>
        <v>4.5797182561637846E-2</v>
      </c>
      <c r="O26"/>
      <c r="P26"/>
      <c r="Q26"/>
    </row>
    <row r="27" spans="1:17" s="8" customFormat="1" ht="14" x14ac:dyDescent="0.3">
      <c r="A27" s="14" t="s">
        <v>40</v>
      </c>
      <c r="B27" s="14"/>
      <c r="C27" s="21"/>
      <c r="D27" s="53"/>
      <c r="E27" s="9"/>
      <c r="F27" s="10"/>
      <c r="G27" s="10"/>
      <c r="H27" s="25">
        <f>SUM(H21:H26)</f>
        <v>39850172.159999996</v>
      </c>
      <c r="I27" s="11"/>
      <c r="J27" s="25">
        <f>SUM(J21:J26)</f>
        <v>13023925.895549493</v>
      </c>
      <c r="K27" s="11"/>
      <c r="L27" s="25">
        <f>SUM(L21:L26)</f>
        <v>1436621.9054308657</v>
      </c>
      <c r="M27" s="20"/>
      <c r="N27" s="86">
        <f t="shared" ref="N27:N29" si="2">L27/H27</f>
        <v>3.6050582157155377E-2</v>
      </c>
    </row>
    <row r="28" spans="1:17" s="8" customFormat="1" ht="13.5" x14ac:dyDescent="0.25">
      <c r="A28" s="15"/>
      <c r="B28" s="15"/>
      <c r="C28" s="21"/>
      <c r="D28" s="53"/>
      <c r="E28" s="9"/>
      <c r="F28" s="10"/>
      <c r="G28" s="10"/>
      <c r="H28" s="11"/>
      <c r="I28" s="11"/>
      <c r="J28" s="11"/>
      <c r="K28" s="11"/>
      <c r="L28" s="11"/>
      <c r="M28" s="20"/>
      <c r="N28" s="71"/>
    </row>
    <row r="29" spans="1:17" s="8" customFormat="1" ht="14" x14ac:dyDescent="0.3">
      <c r="A29" s="14" t="s">
        <v>41</v>
      </c>
      <c r="B29" s="14"/>
      <c r="C29" s="21"/>
      <c r="D29" s="53"/>
      <c r="E29" s="9"/>
      <c r="F29" s="10"/>
      <c r="G29" s="10"/>
      <c r="H29" s="25">
        <f>H27+H18</f>
        <v>53821909.949999996</v>
      </c>
      <c r="I29" s="11"/>
      <c r="J29" s="25">
        <f>J27+J18</f>
        <v>14578795.87769952</v>
      </c>
      <c r="K29" s="11"/>
      <c r="L29" s="25">
        <f>L27+L18</f>
        <v>1614060.2218405949</v>
      </c>
      <c r="M29" s="20"/>
      <c r="N29" s="86">
        <f t="shared" si="2"/>
        <v>2.9988906438661138E-2</v>
      </c>
    </row>
    <row r="30" spans="1:17" s="26" customFormat="1" ht="14" x14ac:dyDescent="0.25">
      <c r="A30" s="15"/>
      <c r="B30" s="15"/>
      <c r="C30" s="21"/>
      <c r="D30" s="53"/>
      <c r="E30" s="9"/>
      <c r="F30" s="10"/>
      <c r="G30" s="10"/>
      <c r="H30" s="11"/>
      <c r="I30" s="11"/>
      <c r="J30" s="11"/>
      <c r="K30" s="11"/>
      <c r="L30" s="11"/>
      <c r="M30" s="20"/>
      <c r="N30" s="71"/>
    </row>
    <row r="31" spans="1:17" s="26" customFormat="1" ht="14" x14ac:dyDescent="0.3">
      <c r="A31" s="14" t="s">
        <v>42</v>
      </c>
      <c r="B31" s="14"/>
      <c r="C31" s="21"/>
      <c r="D31" s="53"/>
      <c r="E31" s="9"/>
      <c r="F31" s="10"/>
      <c r="G31" s="10"/>
      <c r="H31" s="11"/>
      <c r="I31" s="11"/>
      <c r="J31" s="11"/>
      <c r="K31" s="11"/>
      <c r="L31" s="11"/>
      <c r="M31" s="20"/>
      <c r="N31" s="71"/>
    </row>
    <row r="32" spans="1:17" s="22" customFormat="1" ht="14" x14ac:dyDescent="0.3">
      <c r="A32" s="77">
        <v>353</v>
      </c>
      <c r="B32" s="77"/>
      <c r="C32" s="21" t="s">
        <v>43</v>
      </c>
      <c r="D32" s="53" t="str">
        <f>_xlfn.CONCAT(VLOOKUP(A32,'ELG Whole Life_Total'!A$1:M$226,4,FALSE),"-",VLOOKUP('Table 1 Total'!A32,'ELG Whole Life_Total'!A$1:M$226,5,FALSE))</f>
        <v>50-R3</v>
      </c>
      <c r="E32" s="9"/>
      <c r="F32" s="10">
        <f>VLOOKUP(A32,'ELG Whole Life_Life'!A$1:M$226,6,FALSE)*100</f>
        <v>0</v>
      </c>
      <c r="G32" s="10"/>
      <c r="H32" s="81">
        <f>VLOOKUP(A32,'ELG Whole Life_Total'!A$1:M$226,7,FALSE)</f>
        <v>1144289.3700000001</v>
      </c>
      <c r="I32" s="11"/>
      <c r="J32" s="81">
        <f>VLOOKUP(A32,'ELG Whole Life_Life'!A$1:M$226,8,FALSE)</f>
        <v>705899.65733429499</v>
      </c>
      <c r="K32" s="11"/>
      <c r="L32" s="81">
        <f>VLOOKUP(A32,'ELG Whole Life_Life'!A$1:M$296,9,FALSE)</f>
        <v>22278.812101662701</v>
      </c>
      <c r="M32" s="20"/>
      <c r="N32" s="98">
        <f t="shared" si="0"/>
        <v>1.9469561358996718E-2</v>
      </c>
    </row>
    <row r="33" spans="1:14" s="22" customFormat="1" ht="16.5" customHeight="1" x14ac:dyDescent="0.3">
      <c r="A33" s="14" t="s">
        <v>44</v>
      </c>
      <c r="B33" s="14"/>
      <c r="C33" s="21"/>
      <c r="D33" s="53"/>
      <c r="E33" s="9"/>
      <c r="F33" s="10"/>
      <c r="G33" s="10"/>
      <c r="H33" s="25">
        <f>SUM(H32)</f>
        <v>1144289.3700000001</v>
      </c>
      <c r="I33" s="11"/>
      <c r="J33" s="25">
        <f>SUM(J32)</f>
        <v>705899.65733429499</v>
      </c>
      <c r="K33" s="11"/>
      <c r="L33" s="25">
        <f>SUM(L32)</f>
        <v>22278.812101662701</v>
      </c>
      <c r="M33" s="20"/>
      <c r="N33" s="86">
        <f t="shared" si="0"/>
        <v>1.9469561358996718E-2</v>
      </c>
    </row>
    <row r="34" spans="1:14" s="8" customFormat="1" ht="13.5" x14ac:dyDescent="0.25">
      <c r="A34" s="15"/>
      <c r="B34" s="15"/>
      <c r="C34" s="21"/>
      <c r="D34" s="53"/>
      <c r="E34" s="9"/>
      <c r="F34" s="10"/>
      <c r="G34" s="10"/>
      <c r="H34" s="11"/>
      <c r="I34" s="11"/>
      <c r="J34" s="11"/>
      <c r="K34" s="11"/>
      <c r="L34" s="11"/>
      <c r="M34" s="20"/>
      <c r="N34" s="71"/>
    </row>
    <row r="35" spans="1:14" s="8" customFormat="1" ht="14" x14ac:dyDescent="0.3">
      <c r="A35" s="14" t="s">
        <v>45</v>
      </c>
      <c r="B35" s="14"/>
      <c r="C35" s="21"/>
      <c r="D35" s="53"/>
      <c r="E35" s="9"/>
      <c r="F35" s="10"/>
      <c r="G35" s="10"/>
      <c r="H35" s="11"/>
      <c r="I35" s="11"/>
      <c r="J35" s="11"/>
      <c r="K35" s="11"/>
      <c r="L35" s="11"/>
      <c r="M35" s="20"/>
      <c r="N35" s="71"/>
    </row>
    <row r="36" spans="1:14" s="8" customFormat="1" ht="13.5" x14ac:dyDescent="0.25">
      <c r="A36" s="77">
        <v>360.1</v>
      </c>
      <c r="B36" s="77"/>
      <c r="C36" s="21" t="s">
        <v>46</v>
      </c>
      <c r="D36" s="53" t="str">
        <f>_xlfn.CONCAT(VLOOKUP(A36,'ELG Whole Life_Life'!A$1:M$226,4,FALSE),"-",VLOOKUP('Table 1 Total'!A36,'ELG Whole Life_Life'!A$1:M$226,5,FALSE))</f>
        <v>75-R3</v>
      </c>
      <c r="E36" s="9"/>
      <c r="F36" s="10">
        <f>VLOOKUP(A36,'ELG Whole Life_Life'!A$1:M$226,6,FALSE)*100</f>
        <v>0</v>
      </c>
      <c r="G36" s="10"/>
      <c r="H36" s="11">
        <f>VLOOKUP(A36,'ELG Whole Life_Total'!A$1:M$226,7,FALSE)</f>
        <v>2160689.19</v>
      </c>
      <c r="I36" s="11"/>
      <c r="J36" s="11">
        <f>VLOOKUP(A36,'ELG Whole Life_Life'!A$1:M$226,8,FALSE)</f>
        <v>425114.992152847</v>
      </c>
      <c r="K36" s="11"/>
      <c r="L36" s="11">
        <f>VLOOKUP(A36,'ELG Whole Life_Life'!A$1:M$296,9,FALSE)</f>
        <v>32059.288958398</v>
      </c>
      <c r="M36" s="20"/>
      <c r="N36" s="71">
        <f t="shared" si="0"/>
        <v>1.4837529204465544E-2</v>
      </c>
    </row>
    <row r="37" spans="1:14" s="8" customFormat="1" ht="13.5" customHeight="1" x14ac:dyDescent="0.25">
      <c r="A37" s="77">
        <v>362</v>
      </c>
      <c r="B37" s="77"/>
      <c r="C37" s="21" t="s">
        <v>43</v>
      </c>
      <c r="D37" s="53" t="str">
        <f>_xlfn.CONCAT(VLOOKUP(A37,'ELG Whole Life_Life'!A$1:M$226,4,FALSE),"-",VLOOKUP('Table 1 Total'!A37,'ELG Whole Life_Life'!A$1:M$226,5,FALSE))</f>
        <v>40-R2.5</v>
      </c>
      <c r="E37" s="9"/>
      <c r="F37" s="10">
        <f>VLOOKUP(A37,'ELG Whole Life_Life'!A$1:M$226,6,FALSE)*100</f>
        <v>0</v>
      </c>
      <c r="G37" s="10"/>
      <c r="H37" s="11">
        <f>VLOOKUP(A37,'ELG Whole Life_Total'!A$1:M$226,7,FALSE)</f>
        <v>7543472.7999999998</v>
      </c>
      <c r="I37" s="11"/>
      <c r="J37" s="11">
        <f>VLOOKUP(A37,'ELG Whole Life_Life'!A$1:M$226,8,FALSE)</f>
        <v>2905181.4543050299</v>
      </c>
      <c r="K37" s="11"/>
      <c r="L37" s="11">
        <f>VLOOKUP(A37,'ELG Whole Life_Life'!A$1:M$296,9,FALSE)</f>
        <v>198815.61372298701</v>
      </c>
      <c r="M37" s="20"/>
      <c r="N37" s="71">
        <f t="shared" si="0"/>
        <v>2.63559794002289E-2</v>
      </c>
    </row>
    <row r="38" spans="1:14" ht="13.5" x14ac:dyDescent="0.25">
      <c r="A38" s="77">
        <v>362.1</v>
      </c>
      <c r="B38" s="77"/>
      <c r="C38" s="21" t="s">
        <v>47</v>
      </c>
      <c r="D38" s="53" t="str">
        <f>_xlfn.CONCAT(VLOOKUP(A38,'ELG Whole Life_Life'!A$1:M$226,4,FALSE),"-",VLOOKUP('Table 1 Total'!A38,'ELG Whole Life_Life'!A$1:M$226,5,FALSE))</f>
        <v>15-SQ</v>
      </c>
      <c r="E38" s="9"/>
      <c r="F38" s="10">
        <f>VLOOKUP(A38,'ELG Whole Life_Life'!A$1:M$226,6,FALSE)*100</f>
        <v>0</v>
      </c>
      <c r="G38" s="10"/>
      <c r="H38" s="11">
        <f>VLOOKUP(A38,'ELG Whole Life_Total'!A$1:M$226,7,FALSE)</f>
        <v>976501.82</v>
      </c>
      <c r="I38" s="11"/>
      <c r="J38" s="11">
        <f>VLOOKUP(A38,'ELG Whole Life_Life'!A$1:M$226,8,FALSE)</f>
        <v>609881.39133333298</v>
      </c>
      <c r="K38" s="11"/>
      <c r="L38" s="11">
        <f>VLOOKUP(A38,'ELG Whole Life_Life'!A$1:M$296,9,FALSE)</f>
        <v>65100.1213333333</v>
      </c>
      <c r="M38" s="20"/>
      <c r="N38" s="71">
        <f t="shared" si="0"/>
        <v>6.6666666666666638E-2</v>
      </c>
    </row>
    <row r="39" spans="1:14" ht="13.5" x14ac:dyDescent="0.25">
      <c r="A39" s="77">
        <v>364</v>
      </c>
      <c r="B39" s="77"/>
      <c r="C39" s="21" t="s">
        <v>48</v>
      </c>
      <c r="D39" s="53" t="str">
        <f>_xlfn.CONCAT(VLOOKUP(A39,'ELG Whole Life_Life'!A$1:M$226,4,FALSE),"-",VLOOKUP('Table 1 Total'!A39,'ELG Whole Life_Life'!A$1:M$226,5,FALSE))</f>
        <v>50-R2</v>
      </c>
      <c r="E39" s="9"/>
      <c r="F39" s="10">
        <f>VLOOKUP(A39,'ELG Whole Life_Life'!A$1:M$226,6,FALSE)*100</f>
        <v>0</v>
      </c>
      <c r="G39" s="10"/>
      <c r="H39" s="11">
        <f>VLOOKUP(A39,'ELG Whole Life_Total'!A$1:M$226,7,FALSE)</f>
        <v>53306939.649999999</v>
      </c>
      <c r="I39" s="11"/>
      <c r="J39" s="11">
        <f>VLOOKUP(A39,'ELG Whole Life_Life'!A$1:M$226,8,FALSE)</f>
        <v>17239840.897482101</v>
      </c>
      <c r="K39" s="11"/>
      <c r="L39" s="11">
        <f>VLOOKUP(A39,'ELG Whole Life_Life'!A$1:M$296,9,FALSE)</f>
        <v>1195263.4702133001</v>
      </c>
      <c r="M39" s="20"/>
      <c r="N39" s="71">
        <f t="shared" si="0"/>
        <v>2.2422286442648938E-2</v>
      </c>
    </row>
    <row r="40" spans="1:14" ht="13.5" x14ac:dyDescent="0.25">
      <c r="A40" s="77">
        <v>365</v>
      </c>
      <c r="B40" s="77"/>
      <c r="C40" s="21" t="s">
        <v>49</v>
      </c>
      <c r="D40" s="53" t="str">
        <f>_xlfn.CONCAT(VLOOKUP(A40,'ELG Whole Life_Life'!A$1:M$226,4,FALSE),"-",VLOOKUP('Table 1 Total'!A40,'ELG Whole Life_Life'!A$1:M$226,5,FALSE))</f>
        <v>50-R3</v>
      </c>
      <c r="E40" s="9"/>
      <c r="F40" s="10">
        <f>VLOOKUP(A40,'ELG Whole Life_Life'!A$1:M$226,6,FALSE)*100</f>
        <v>0</v>
      </c>
      <c r="G40" s="10"/>
      <c r="H40" s="11">
        <f>VLOOKUP(A40,'ELG Whole Life_Total'!A$1:M$226,7,FALSE)</f>
        <v>28793205.57</v>
      </c>
      <c r="I40" s="11"/>
      <c r="J40" s="11">
        <f>VLOOKUP(A40,'ELG Whole Life_Life'!A$1:M$226,8,FALSE)</f>
        <v>10716439.428780301</v>
      </c>
      <c r="K40" s="11"/>
      <c r="L40" s="11">
        <f>VLOOKUP(A40,'ELG Whole Life_Life'!A$1:M$296,9,FALSE)</f>
        <v>608054.45585487899</v>
      </c>
      <c r="M40" s="20"/>
      <c r="N40" s="71">
        <f t="shared" si="0"/>
        <v>2.1117984045806226E-2</v>
      </c>
    </row>
    <row r="41" spans="1:14" ht="13.5" x14ac:dyDescent="0.25">
      <c r="A41" s="77">
        <v>365.1</v>
      </c>
      <c r="B41" s="77"/>
      <c r="C41" s="21" t="s">
        <v>50</v>
      </c>
      <c r="D41" s="53" t="str">
        <f>_xlfn.CONCAT(VLOOKUP(A41,'ELG Whole Life_Life'!A$1:M$226,4,FALSE),"-",VLOOKUP('Table 1 Total'!A41,'ELG Whole Life_Life'!A$1:M$226,5,FALSE))</f>
        <v>50-R2.5</v>
      </c>
      <c r="E41" s="9"/>
      <c r="F41" s="10">
        <f>VLOOKUP(A41,'ELG Whole Life_Life'!A$1:M$226,6,FALSE)*100</f>
        <v>0</v>
      </c>
      <c r="G41" s="10"/>
      <c r="H41" s="11">
        <f>VLOOKUP(A41,'ELG Whole Life_Total'!A$1:M$226,7,FALSE)</f>
        <v>5234251.9000000004</v>
      </c>
      <c r="I41" s="11"/>
      <c r="J41" s="11">
        <f>VLOOKUP(A41,'ELG Whole Life_Life'!A$1:M$226,8,FALSE)</f>
        <v>1654681.2658967101</v>
      </c>
      <c r="K41" s="11"/>
      <c r="L41" s="11">
        <f>VLOOKUP(A41,'ELG Whole Life_Life'!A$1:M$296,9,FALSE)</f>
        <v>115638.323014386</v>
      </c>
      <c r="M41" s="20"/>
      <c r="N41" s="71">
        <f t="shared" si="0"/>
        <v>2.2092617096702204E-2</v>
      </c>
    </row>
    <row r="42" spans="1:14" ht="13.5" x14ac:dyDescent="0.25">
      <c r="A42" s="77">
        <v>367</v>
      </c>
      <c r="B42" s="77"/>
      <c r="C42" s="21" t="s">
        <v>51</v>
      </c>
      <c r="D42" s="53" t="str">
        <f>_xlfn.CONCAT(VLOOKUP(A42,'ELG Whole Life_Life'!A$1:M$226,4,FALSE),"-",VLOOKUP('Table 1 Total'!A42,'ELG Whole Life_Life'!A$1:M$226,5,FALSE))</f>
        <v>50-R3</v>
      </c>
      <c r="E42" s="9"/>
      <c r="F42" s="10">
        <f>VLOOKUP(A42,'ELG Whole Life_Life'!A$1:M$226,6,FALSE)*100</f>
        <v>0</v>
      </c>
      <c r="G42" s="10"/>
      <c r="H42" s="11">
        <f>VLOOKUP(A42,'ELG Whole Life_Total'!A$1:M$226,7,FALSE)</f>
        <v>34178702.049999997</v>
      </c>
      <c r="I42" s="11"/>
      <c r="J42" s="11">
        <f>VLOOKUP(A42,'ELG Whole Life_Life'!A$1:M$226,8,FALSE)</f>
        <v>11460397.1511185</v>
      </c>
      <c r="K42" s="11"/>
      <c r="L42" s="11">
        <f>VLOOKUP(A42,'ELG Whole Life_Life'!A$1:M$296,9,FALSE)</f>
        <v>731480.12529462297</v>
      </c>
      <c r="M42" s="20"/>
      <c r="N42" s="71">
        <f t="shared" si="0"/>
        <v>2.1401635563121774E-2</v>
      </c>
    </row>
    <row r="43" spans="1:14" ht="13.5" x14ac:dyDescent="0.25">
      <c r="A43" s="77">
        <v>367.1</v>
      </c>
      <c r="B43" s="77"/>
      <c r="C43" s="21" t="s">
        <v>52</v>
      </c>
      <c r="D43" s="53" t="str">
        <f>_xlfn.CONCAT(VLOOKUP(A43,'ELG Whole Life_Life'!A$1:M$226,4,FALSE),"-",VLOOKUP('Table 1 Total'!A43,'ELG Whole Life_Life'!A$1:M$226,5,FALSE))</f>
        <v>50-R4</v>
      </c>
      <c r="E43" s="9"/>
      <c r="F43" s="10">
        <f>VLOOKUP(A43,'ELG Whole Life_Life'!A$1:M$226,6,FALSE)*100</f>
        <v>0</v>
      </c>
      <c r="G43" s="10"/>
      <c r="H43" s="11">
        <f>VLOOKUP(A43,'ELG Whole Life_Total'!A$1:M$226,7,FALSE)</f>
        <v>6266150.0199999996</v>
      </c>
      <c r="I43" s="11"/>
      <c r="J43" s="11">
        <f>VLOOKUP(A43,'ELG Whole Life_Life'!A$1:M$226,8,FALSE)</f>
        <v>1615271.04735504</v>
      </c>
      <c r="K43" s="11"/>
      <c r="L43" s="11">
        <f>VLOOKUP(A43,'ELG Whole Life_Life'!A$1:M$296,9,FALSE)</f>
        <v>131226.59327045199</v>
      </c>
      <c r="M43" s="20"/>
      <c r="N43" s="71">
        <f t="shared" si="0"/>
        <v>2.0942140365552885E-2</v>
      </c>
    </row>
    <row r="44" spans="1:14" ht="13.5" x14ac:dyDescent="0.25">
      <c r="A44" s="77">
        <v>368</v>
      </c>
      <c r="B44" s="77"/>
      <c r="C44" s="21" t="s">
        <v>53</v>
      </c>
      <c r="D44" s="53" t="str">
        <f>_xlfn.CONCAT(VLOOKUP(A44,'ELG Whole Life_Life'!A$1:M$226,4,FALSE),"-",VLOOKUP('Table 1 Total'!A44,'ELG Whole Life_Life'!A$1:M$226,5,FALSE))</f>
        <v>45-R2.5</v>
      </c>
      <c r="E44" s="9"/>
      <c r="F44" s="10">
        <f>VLOOKUP(A44,'ELG Whole Life_Life'!A$1:M$226,6,FALSE)*100</f>
        <v>0</v>
      </c>
      <c r="G44" s="10"/>
      <c r="H44" s="11">
        <f>VLOOKUP(A44,'ELG Whole Life_Total'!A$1:M$226,7,FALSE)</f>
        <v>40867163.520000003</v>
      </c>
      <c r="I44" s="11"/>
      <c r="J44" s="11">
        <f>VLOOKUP(A44,'ELG Whole Life_Life'!A$1:M$226,8,FALSE)</f>
        <v>14278547.135291301</v>
      </c>
      <c r="K44" s="11"/>
      <c r="L44" s="11">
        <f>VLOOKUP(A44,'ELG Whole Life_Life'!A$1:M$296,9,FALSE)</f>
        <v>982578.50972321106</v>
      </c>
      <c r="M44" s="20"/>
      <c r="N44" s="71">
        <f t="shared" si="0"/>
        <v>2.4043227498339748E-2</v>
      </c>
    </row>
    <row r="45" spans="1:14" ht="13.5" x14ac:dyDescent="0.25">
      <c r="A45" s="77">
        <v>370</v>
      </c>
      <c r="B45" s="77"/>
      <c r="C45" s="21" t="s">
        <v>54</v>
      </c>
      <c r="D45" s="53" t="str">
        <f>_xlfn.CONCAT(VLOOKUP(A45,'ELG Whole Life_Life'!A$1:M$226,4,FALSE),"-",VLOOKUP('Table 1 Total'!A45,'ELG Whole Life_Life'!A$1:M$226,5,FALSE))</f>
        <v>15-R0.5</v>
      </c>
      <c r="E45" s="9"/>
      <c r="F45" s="10">
        <f>VLOOKUP(A45,'ELG Whole Life_Life'!A$1:M$226,6,FALSE)*100</f>
        <v>0</v>
      </c>
      <c r="G45" s="10"/>
      <c r="H45" s="11">
        <f>VLOOKUP(A45,'ELG Whole Life_Total'!A$1:M$226,7,FALSE)</f>
        <v>2956566.08</v>
      </c>
      <c r="I45" s="11"/>
      <c r="J45" s="11">
        <f>VLOOKUP(A45,'ELG Whole Life_Life'!A$1:M$226,8,FALSE)</f>
        <v>1737272.4221747101</v>
      </c>
      <c r="K45" s="11"/>
      <c r="L45" s="11">
        <f>VLOOKUP(A45,'ELG Whole Life_Life'!A$1:M$296,9,FALSE)</f>
        <v>166853.94771793301</v>
      </c>
      <c r="M45" s="20"/>
      <c r="N45" s="71">
        <f t="shared" si="0"/>
        <v>5.6435047688138604E-2</v>
      </c>
    </row>
    <row r="46" spans="1:14" ht="13.5" x14ac:dyDescent="0.25">
      <c r="A46" s="77">
        <v>371</v>
      </c>
      <c r="B46" s="77"/>
      <c r="C46" s="21" t="s">
        <v>55</v>
      </c>
      <c r="D46" s="53" t="str">
        <f>_xlfn.CONCAT(VLOOKUP(A46,'ELG Whole Life_Life'!A$1:M$226,4,FALSE),"-",VLOOKUP('Table 1 Total'!A46,'ELG Whole Life_Life'!A$1:M$226,5,FALSE))</f>
        <v>15-R2.5</v>
      </c>
      <c r="E46" s="9"/>
      <c r="F46" s="10">
        <f>VLOOKUP(A46,'ELG Whole Life_Life'!A$1:M$226,6,FALSE)*100</f>
        <v>0</v>
      </c>
      <c r="G46" s="10"/>
      <c r="H46" s="11">
        <f>VLOOKUP(A46,'ELG Whole Life_Total'!A$1:M$226,7,FALSE)</f>
        <v>173069.17</v>
      </c>
      <c r="I46" s="11"/>
      <c r="J46" s="11">
        <f>VLOOKUP(A46,'ELG Whole Life_Life'!A$1:M$226,8,FALSE)</f>
        <v>71540.126080192407</v>
      </c>
      <c r="K46" s="11"/>
      <c r="L46" s="11">
        <f>VLOOKUP(A46,'ELG Whole Life_Life'!A$1:M$296,9,FALSE)</f>
        <v>12166.3648045599</v>
      </c>
      <c r="M46" s="20"/>
      <c r="N46" s="71">
        <f t="shared" si="0"/>
        <v>7.0297701228704684E-2</v>
      </c>
    </row>
    <row r="47" spans="1:14" ht="13.5" x14ac:dyDescent="0.25">
      <c r="A47" s="77">
        <v>373</v>
      </c>
      <c r="B47" s="77"/>
      <c r="C47" s="21" t="s">
        <v>56</v>
      </c>
      <c r="D47" s="53" t="str">
        <f>_xlfn.CONCAT(VLOOKUP(A47,'ELG Whole Life_Life'!A$1:M$226,4,FALSE),"-",VLOOKUP('Table 1 Total'!A47,'ELG Whole Life_Life'!A$1:M$226,5,FALSE))</f>
        <v>30-R3</v>
      </c>
      <c r="E47" s="9"/>
      <c r="F47" s="10">
        <f>VLOOKUP(A47,'ELG Whole Life_Life'!A$1:M$226,6,FALSE)*100</f>
        <v>0</v>
      </c>
      <c r="G47" s="10"/>
      <c r="H47" s="11">
        <f>VLOOKUP(A47,'ELG Whole Life_Total'!A$1:M$226,7,FALSE)</f>
        <v>13636686.9</v>
      </c>
      <c r="I47" s="11"/>
      <c r="J47" s="11">
        <f>VLOOKUP(A47,'ELG Whole Life_Life'!A$1:M$226,8,FALSE)</f>
        <v>7020032.0828657998</v>
      </c>
      <c r="K47" s="11"/>
      <c r="L47" s="11">
        <f>VLOOKUP(A47,'ELG Whole Life_Life'!A$1:M$296,9,FALSE)</f>
        <v>448561.54667415097</v>
      </c>
      <c r="M47" s="20"/>
      <c r="N47" s="71">
        <f t="shared" si="0"/>
        <v>3.2893733643921307E-2</v>
      </c>
    </row>
    <row r="48" spans="1:14" ht="13.5" x14ac:dyDescent="0.25">
      <c r="A48" s="77">
        <v>373.1</v>
      </c>
      <c r="B48" s="77"/>
      <c r="C48" s="21" t="s">
        <v>57</v>
      </c>
      <c r="D48" s="53" t="str">
        <f>_xlfn.CONCAT(VLOOKUP(A48,'ELG Whole Life_Life'!A$1:M$226,4,FALSE),"-",VLOOKUP('Table 1 Total'!A48,'ELG Whole Life_Life'!A$1:M$226,5,FALSE))</f>
        <v>23-R2</v>
      </c>
      <c r="E48" s="9"/>
      <c r="F48" s="10">
        <f>VLOOKUP(A48,'ELG Whole Life_Life'!A$1:M$226,6,FALSE)*100</f>
        <v>0</v>
      </c>
      <c r="G48" s="10"/>
      <c r="H48" s="100">
        <f>VLOOKUP(A48,'ELG Whole Life_Total'!A$1:M$226,7,FALSE)</f>
        <v>285488.05</v>
      </c>
      <c r="I48" s="11"/>
      <c r="J48" s="100">
        <f>VLOOKUP(A48,'ELG Whole Life_Life'!A$1:M$226,8,FALSE)</f>
        <v>270649.232013489</v>
      </c>
      <c r="K48" s="11"/>
      <c r="L48" s="100">
        <f>VLOOKUP(A48,'ELG Whole Life_Life'!A$1:M$296,9,FALSE)</f>
        <v>5192.8746728202104</v>
      </c>
      <c r="M48" s="20"/>
      <c r="N48" s="98">
        <f t="shared" si="0"/>
        <v>1.8189464227382584E-2</v>
      </c>
    </row>
    <row r="49" spans="1:14" ht="14" x14ac:dyDescent="0.3">
      <c r="A49" s="14" t="s">
        <v>58</v>
      </c>
      <c r="B49" s="14"/>
      <c r="D49" s="53"/>
      <c r="E49" s="9"/>
      <c r="F49" s="10"/>
      <c r="G49" s="10"/>
      <c r="H49" s="25">
        <f>_xlfn.IFNA(SUM(H36:H48),0)</f>
        <v>196378886.72000003</v>
      </c>
      <c r="I49" s="11"/>
      <c r="J49" s="25">
        <f>_xlfn.IFNA(SUM(J36:J48),0)</f>
        <v>70004848.626849353</v>
      </c>
      <c r="K49" s="11"/>
      <c r="L49" s="25">
        <f>_xlfn.IFNA(SUM(L36:L48),0)</f>
        <v>4692991.2352550337</v>
      </c>
      <c r="M49" s="20"/>
      <c r="N49" s="86">
        <f t="shared" si="0"/>
        <v>2.3897636419267267E-2</v>
      </c>
    </row>
    <row r="50" spans="1:14" ht="13.5" x14ac:dyDescent="0.25">
      <c r="A50" s="15"/>
      <c r="B50" s="15"/>
      <c r="D50" s="53"/>
      <c r="E50" s="9"/>
      <c r="F50" s="10"/>
      <c r="G50" s="10"/>
      <c r="H50" s="11"/>
      <c r="I50" s="11"/>
      <c r="J50" s="11"/>
      <c r="K50" s="11"/>
      <c r="L50" s="11"/>
      <c r="M50" s="20"/>
      <c r="N50" s="71"/>
    </row>
    <row r="51" spans="1:14" ht="14" x14ac:dyDescent="0.3">
      <c r="A51" s="14" t="s">
        <v>59</v>
      </c>
      <c r="B51" s="14"/>
      <c r="D51" s="53"/>
      <c r="E51" s="9"/>
      <c r="F51" s="10"/>
      <c r="G51" s="10"/>
      <c r="H51" s="11"/>
      <c r="I51" s="11"/>
      <c r="J51" s="11"/>
      <c r="K51" s="11"/>
      <c r="L51" s="11"/>
      <c r="M51" s="20"/>
      <c r="N51" s="71"/>
    </row>
    <row r="52" spans="1:14" ht="13.5" x14ac:dyDescent="0.25">
      <c r="A52" s="77">
        <v>390</v>
      </c>
      <c r="B52" s="77"/>
      <c r="C52" s="21" t="s">
        <v>27</v>
      </c>
      <c r="D52" s="53" t="str">
        <f>_xlfn.CONCAT(VLOOKUP(A52,'ELG Whole Life_Life'!A$1:M$296,4,FALSE),"-",VLOOKUP('Table 1 Total'!A52,'ELG Whole Life_Life'!A$1:M$296,5,FALSE))</f>
        <v>40-L3</v>
      </c>
      <c r="E52" s="9"/>
      <c r="F52" s="10">
        <f>VLOOKUP(A52,'ELG Whole Life_Life'!A$1:M$296,6,FALSE)*100</f>
        <v>0</v>
      </c>
      <c r="G52" s="10"/>
      <c r="H52" s="11">
        <f>VLOOKUP(A52,'ELG Whole Life_Total'!A$1:M$296,7,FALSE)</f>
        <v>5197272.37</v>
      </c>
      <c r="I52" s="11"/>
      <c r="J52" s="11">
        <f>VLOOKUP(A52,'ELG Whole Life_Life'!A$1:M$296,8,FALSE)</f>
        <v>2691587.1574633298</v>
      </c>
      <c r="K52" s="11"/>
      <c r="L52" s="11">
        <f>VLOOKUP(A52,'ELG Whole Life_Life'!A$1:M$296,9,FALSE)</f>
        <v>130848.33207754701</v>
      </c>
      <c r="M52" s="20"/>
      <c r="N52" s="71">
        <f t="shared" si="0"/>
        <v>2.5176346891657517E-2</v>
      </c>
    </row>
    <row r="53" spans="1:14" ht="13.5" x14ac:dyDescent="0.25">
      <c r="A53" s="77">
        <v>390.01</v>
      </c>
      <c r="B53" s="77"/>
      <c r="C53" s="21" t="s">
        <v>60</v>
      </c>
      <c r="D53" s="53" t="str">
        <f>_xlfn.CONCAT(VLOOKUP(A53,'ELG Whole Life_Life'!A$1:M$296,4,FALSE),"-",VLOOKUP('Table 1 Total'!A53,'ELG Whole Life_Life'!A$1:M$296,5,FALSE))</f>
        <v>40-R3</v>
      </c>
      <c r="E53" s="9"/>
      <c r="F53" s="10">
        <f>VLOOKUP(A53,'ELG Whole Life_Life'!A$1:M$296,6,FALSE)*100</f>
        <v>0</v>
      </c>
      <c r="G53" s="10"/>
      <c r="H53" s="11">
        <f>VLOOKUP(A53,'ELG Whole Life_Total'!A$1:M$296,7,FALSE)</f>
        <v>451552.45</v>
      </c>
      <c r="I53" s="11"/>
      <c r="J53" s="11">
        <f>VLOOKUP(A53,'ELG Whole Life_Life'!A$1:M$296,8,FALSE)</f>
        <v>190027.84960775901</v>
      </c>
      <c r="K53" s="11"/>
      <c r="L53" s="11">
        <f>VLOOKUP(A53,'ELG Whole Life_Life'!A$1:M$296,9,FALSE)</f>
        <v>11729.923687865299</v>
      </c>
      <c r="M53" s="20"/>
      <c r="N53" s="71">
        <f t="shared" si="0"/>
        <v>2.5976879735378024E-2</v>
      </c>
    </row>
    <row r="54" spans="1:14" ht="13.5" x14ac:dyDescent="0.25">
      <c r="A54" s="77">
        <v>391</v>
      </c>
      <c r="B54" s="77"/>
      <c r="C54" s="21" t="s">
        <v>61</v>
      </c>
      <c r="D54" s="53" t="str">
        <f>_xlfn.CONCAT(VLOOKUP(A54,'ELG Whole Life_Life'!A$1:M$296,4,FALSE),"-",VLOOKUP('Table 1 Total'!A54,'ELG Whole Life_Life'!A$1:M$296,5,FALSE))</f>
        <v>15-SQ</v>
      </c>
      <c r="E54" s="9"/>
      <c r="F54" s="10">
        <f>VLOOKUP(A54,'ELG Whole Life_Life'!A$1:M$296,6,FALSE)*100</f>
        <v>0</v>
      </c>
      <c r="G54" s="10"/>
      <c r="H54" s="11">
        <f>VLOOKUP(A54,'ELG Whole Life_Total'!A$1:M$296,7,FALSE)</f>
        <v>277519.56</v>
      </c>
      <c r="I54" s="11"/>
      <c r="J54" s="11">
        <f>VLOOKUP(A54,'ELG Whole Life_Life'!A$1:M$296,8,FALSE)</f>
        <v>156316.25266666699</v>
      </c>
      <c r="K54" s="11"/>
      <c r="L54" s="11">
        <f>VLOOKUP(A54,'ELG Whole Life_Life'!A$1:M$296,9,FALSE)</f>
        <v>18501.304</v>
      </c>
      <c r="M54" s="20"/>
      <c r="N54" s="71">
        <f t="shared" si="0"/>
        <v>6.6666666666666666E-2</v>
      </c>
    </row>
    <row r="55" spans="1:14" ht="13.5" x14ac:dyDescent="0.25">
      <c r="A55" s="77">
        <v>391.1</v>
      </c>
      <c r="B55" s="77"/>
      <c r="C55" s="21" t="s">
        <v>62</v>
      </c>
      <c r="D55" s="53" t="str">
        <f>_xlfn.CONCAT(VLOOKUP(A55,'ELG Whole Life_Life'!A$1:M$296,4,FALSE),"-",VLOOKUP('Table 1 Total'!A55,'ELG Whole Life_Life'!A$1:M$296,5,FALSE))</f>
        <v>5-SQ</v>
      </c>
      <c r="E55" s="9"/>
      <c r="F55" s="10">
        <f>VLOOKUP(A55,'ELG Whole Life_Life'!A$1:M$296,6,FALSE)*100</f>
        <v>0</v>
      </c>
      <c r="G55" s="10"/>
      <c r="H55" s="11">
        <f>VLOOKUP(A55,'ELG Whole Life_Total'!A$1:M$296,7,FALSE)</f>
        <v>60706.99</v>
      </c>
      <c r="I55" s="11"/>
      <c r="J55" s="11">
        <f>VLOOKUP(A55,'ELG Whole Life_Life'!A$1:M$296,8,FALSE)</f>
        <v>34244.695</v>
      </c>
      <c r="K55" s="11"/>
      <c r="L55" s="11">
        <f>VLOOKUP(A55,'ELG Whole Life_Life'!A$1:M$296,9,FALSE)</f>
        <v>12141.397999999999</v>
      </c>
      <c r="M55" s="20"/>
      <c r="N55" s="71">
        <f t="shared" si="0"/>
        <v>0.19999999999999998</v>
      </c>
    </row>
    <row r="56" spans="1:14" ht="13.5" x14ac:dyDescent="0.25">
      <c r="A56" s="77">
        <v>391.22</v>
      </c>
      <c r="B56" s="77"/>
      <c r="C56" s="21" t="s">
        <v>63</v>
      </c>
      <c r="D56" s="53" t="str">
        <f>_xlfn.CONCAT(VLOOKUP(A56,'ELG Whole Life_Life'!A$1:M$296,4,FALSE),"-",VLOOKUP('Table 1 Total'!A56,'ELG Whole Life_Life'!A$1:M$296,5,FALSE))</f>
        <v>10-SQ</v>
      </c>
      <c r="E56" s="9"/>
      <c r="F56" s="10">
        <f>VLOOKUP(A56,'ELG Whole Life_Life'!A$1:M$296,6,FALSE)*100</f>
        <v>0</v>
      </c>
      <c r="G56" s="10"/>
      <c r="H56" s="11">
        <f>VLOOKUP(A56,'ELG Whole Life_Total'!A$1:M$296,7,FALSE)</f>
        <v>777424.93</v>
      </c>
      <c r="I56" s="11"/>
      <c r="J56" s="11">
        <f>VLOOKUP(A56,'ELG Whole Life_Life'!A$1:M$296,8,FALSE)</f>
        <v>421980.05550000002</v>
      </c>
      <c r="K56" s="11"/>
      <c r="L56" s="11">
        <f>VLOOKUP(A56,'ELG Whole Life_Life'!A$1:M$296,9,FALSE)</f>
        <v>77742.493000000002</v>
      </c>
      <c r="M56" s="20"/>
      <c r="N56" s="71">
        <f t="shared" si="0"/>
        <v>9.9999999999999992E-2</v>
      </c>
    </row>
    <row r="57" spans="1:14" ht="13.5" x14ac:dyDescent="0.25">
      <c r="A57" s="77">
        <v>392.2</v>
      </c>
      <c r="B57" s="77"/>
      <c r="C57" s="21" t="s">
        <v>64</v>
      </c>
      <c r="D57" s="53" t="str">
        <f>_xlfn.CONCAT(VLOOKUP(A57,'ELG Whole Life_Life'!A$1:M$296,4,FALSE),"-",VLOOKUP('Table 1 Total'!A57,'ELG Whole Life_Life'!A$1:M$296,5,FALSE))</f>
        <v>12-L3</v>
      </c>
      <c r="E57" s="9"/>
      <c r="F57" s="10">
        <f>VLOOKUP(A57,'ELG Whole Life_Life'!A$1:M$296,6,FALSE)*100</f>
        <v>0</v>
      </c>
      <c r="G57" s="10"/>
      <c r="H57" s="11">
        <f>VLOOKUP(A57,'ELG Whole Life_Total'!A$1:M$296,7,FALSE)</f>
        <v>2955681.54</v>
      </c>
      <c r="I57" s="11"/>
      <c r="J57" s="11">
        <f>VLOOKUP(A57,'ELG Whole Life_Life'!A$1:M$296,8,FALSE)</f>
        <v>1409081.8851099701</v>
      </c>
      <c r="K57" s="11"/>
      <c r="L57" s="11">
        <f>VLOOKUP(A57,'ELG Whole Life_Life'!A$1:M$296,9,FALSE)</f>
        <v>249277.68265786799</v>
      </c>
      <c r="M57" s="20"/>
      <c r="N57" s="71">
        <f t="shared" si="0"/>
        <v>8.4338478041131579E-2</v>
      </c>
    </row>
    <row r="58" spans="1:14" ht="13.5" x14ac:dyDescent="0.25">
      <c r="A58" s="77">
        <v>392.3</v>
      </c>
      <c r="B58" s="77"/>
      <c r="C58" s="21" t="s">
        <v>65</v>
      </c>
      <c r="D58" s="53" t="str">
        <f>_xlfn.CONCAT(VLOOKUP(A58,'ELG Whole Life_Life'!A$1:M$296,4,FALSE),"-",VLOOKUP('Table 1 Total'!A58,'ELG Whole Life_Life'!A$1:M$296,5,FALSE))</f>
        <v>15-L3</v>
      </c>
      <c r="E58" s="9"/>
      <c r="F58" s="10">
        <f>VLOOKUP(A58,'ELG Whole Life_Life'!A$1:M$296,6,FALSE)*100</f>
        <v>0</v>
      </c>
      <c r="G58" s="10"/>
      <c r="H58" s="11">
        <f>VLOOKUP(A58,'ELG Whole Life_Total'!A$1:M$296,7,FALSE)</f>
        <v>2756972.29</v>
      </c>
      <c r="I58" s="11"/>
      <c r="J58" s="11">
        <f>VLOOKUP(A58,'ELG Whole Life_Life'!A$1:M$296,8,FALSE)</f>
        <v>1421934.04747861</v>
      </c>
      <c r="K58" s="11"/>
      <c r="L58" s="11">
        <f>VLOOKUP(A58,'ELG Whole Life_Life'!A$1:M$296,9,FALSE)</f>
        <v>184560.571599191</v>
      </c>
      <c r="M58" s="20"/>
      <c r="N58" s="71">
        <f t="shared" si="0"/>
        <v>6.69432087760269E-2</v>
      </c>
    </row>
    <row r="59" spans="1:14" ht="13.5" x14ac:dyDescent="0.25">
      <c r="A59" s="77">
        <v>392.4</v>
      </c>
      <c r="B59" s="77"/>
      <c r="C59" s="21" t="s">
        <v>66</v>
      </c>
      <c r="D59" s="53" t="str">
        <f>_xlfn.CONCAT(VLOOKUP(A59,'ELG Whole Life_Life'!A$1:M$296,4,FALSE),"-",VLOOKUP('Table 1 Total'!A59,'ELG Whole Life_Life'!A$1:M$296,5,FALSE))</f>
        <v>12-L0</v>
      </c>
      <c r="E59" s="9"/>
      <c r="F59" s="10">
        <f>VLOOKUP(A59,'ELG Whole Life_Life'!A$1:M$296,6,FALSE)*100</f>
        <v>0</v>
      </c>
      <c r="G59" s="10"/>
      <c r="H59" s="11">
        <f>VLOOKUP(A59,'ELG Whole Life_Total'!A$1:M$296,7,FALSE)</f>
        <v>231502.9</v>
      </c>
      <c r="I59" s="11"/>
      <c r="J59" s="11">
        <f>VLOOKUP(A59,'ELG Whole Life_Life'!A$1:M$296,8,FALSE)</f>
        <v>127712.295988563</v>
      </c>
      <c r="K59" s="11"/>
      <c r="L59" s="11">
        <f>VLOOKUP(A59,'ELG Whole Life_Life'!A$1:M$296,9,FALSE)</f>
        <v>16904.867415301102</v>
      </c>
      <c r="M59" s="20"/>
      <c r="N59" s="71">
        <f t="shared" si="0"/>
        <v>7.3022270629443956E-2</v>
      </c>
    </row>
    <row r="60" spans="1:14" ht="13.5" x14ac:dyDescent="0.25">
      <c r="A60" s="77">
        <v>394</v>
      </c>
      <c r="B60" s="77"/>
      <c r="C60" s="21" t="s">
        <v>67</v>
      </c>
      <c r="D60" s="53" t="str">
        <f>_xlfn.CONCAT(VLOOKUP(A60,'ELG Whole Life_Life'!A$1:M$296,4,FALSE),"-",VLOOKUP('Table 1 Total'!A60,'ELG Whole Life_Life'!A$1:M$296,5,FALSE))</f>
        <v>15-SQ</v>
      </c>
      <c r="E60" s="9"/>
      <c r="F60" s="10">
        <f>VLOOKUP(A60,'ELG Whole Life_Life'!A$1:M$296,6,FALSE)*100</f>
        <v>0</v>
      </c>
      <c r="G60" s="10"/>
      <c r="H60" s="100">
        <f>VLOOKUP(A60,'ELG Whole Life_Total'!A$1:M$296,7,FALSE)</f>
        <v>1712700.03</v>
      </c>
      <c r="I60" s="11"/>
      <c r="J60" s="100">
        <f>VLOOKUP(A60,'ELG Whole Life_Life'!A$1:M$296,8,FALSE)</f>
        <v>785216.995666667</v>
      </c>
      <c r="K60" s="11"/>
      <c r="L60" s="100">
        <f>VLOOKUP(A60,'ELG Whole Life_Life'!A$1:M$296,9,FALSE)</f>
        <v>114180.00199999999</v>
      </c>
      <c r="M60" s="20"/>
      <c r="N60" s="98">
        <f t="shared" si="0"/>
        <v>6.6666666666666666E-2</v>
      </c>
    </row>
    <row r="61" spans="1:14" ht="14" x14ac:dyDescent="0.3">
      <c r="A61" s="14" t="s">
        <v>68</v>
      </c>
      <c r="B61" s="14"/>
      <c r="D61" s="53"/>
      <c r="E61" s="9"/>
      <c r="F61" s="10"/>
      <c r="G61" s="10"/>
      <c r="H61" s="25">
        <f>_xlfn.IFNA(SUM(H52:H60),0)</f>
        <v>14421333.059999999</v>
      </c>
      <c r="I61" s="11"/>
      <c r="J61" s="25">
        <f>_xlfn.IFNA(SUM(J52:J60),0)</f>
        <v>7238101.2344815666</v>
      </c>
      <c r="K61" s="11"/>
      <c r="L61" s="25">
        <f>_xlfn.IFNA(SUM(L52:L60),0)</f>
        <v>815886.57443777239</v>
      </c>
      <c r="M61" s="20"/>
      <c r="N61" s="86">
        <f t="shared" si="0"/>
        <v>5.6574976185854241E-2</v>
      </c>
    </row>
    <row r="62" spans="1:14" ht="13.5" x14ac:dyDescent="0.25">
      <c r="A62" s="15"/>
      <c r="B62" s="15"/>
      <c r="D62" s="53"/>
      <c r="E62" s="9"/>
      <c r="F62" s="10"/>
      <c r="G62" s="10"/>
      <c r="H62" s="11"/>
      <c r="I62" s="11"/>
      <c r="J62" s="11"/>
      <c r="K62" s="11"/>
      <c r="L62" s="11"/>
      <c r="M62" s="20"/>
      <c r="N62" s="71"/>
    </row>
    <row r="63" spans="1:14" ht="14" x14ac:dyDescent="0.3">
      <c r="A63" s="14" t="s">
        <v>69</v>
      </c>
      <c r="B63" s="31"/>
      <c r="C63" s="31"/>
      <c r="D63" s="53"/>
      <c r="E63" s="9"/>
      <c r="F63" s="10"/>
      <c r="G63" s="10"/>
      <c r="H63" s="91">
        <f>SUM(H61,H49,H33,H27,H18)</f>
        <v>265766419.10000002</v>
      </c>
      <c r="I63" s="25"/>
      <c r="J63" s="91">
        <f>SUM(J61,J49,J33,J27,J18)</f>
        <v>92527645.396364748</v>
      </c>
      <c r="K63" s="25"/>
      <c r="L63" s="91">
        <f>SUM(L61,L49,L33,L27,L18)</f>
        <v>7145216.8436350636</v>
      </c>
      <c r="M63" s="64"/>
      <c r="N63" s="108">
        <f t="shared" ref="N63" si="3">L63/H63</f>
        <v>2.6885326098879822E-2</v>
      </c>
    </row>
    <row r="64" spans="1:14" ht="13.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</sheetData>
  <conditionalFormatting sqref="A9:N64">
    <cfRule type="expression" dxfId="22" priority="1">
      <formula>MOD(ROW(),2)=0</formula>
    </cfRule>
  </conditionalFormatting>
  <printOptions horizontalCentered="1"/>
  <pageMargins left="0.5" right="0.5" top="0.4" bottom="0.4" header="0.3" footer="0.3"/>
  <pageSetup scale="75" orientation="landscape" r:id="rId1"/>
  <headerFooter>
    <oddHeader>&amp;R&amp;"Arial,Bold"Attachment 4
&amp;A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1B50C-C4ED-46C8-9DC7-FFB5E784F968}">
  <dimension ref="A1:AD64"/>
  <sheetViews>
    <sheetView workbookViewId="0">
      <selection activeCell="A7" sqref="A7:XFD7"/>
    </sheetView>
  </sheetViews>
  <sheetFormatPr defaultColWidth="9.1796875" defaultRowHeight="12.5" x14ac:dyDescent="0.25"/>
  <cols>
    <col min="1" max="1" width="8.7265625" style="21" customWidth="1"/>
    <col min="2" max="2" width="2.81640625" style="21" customWidth="1"/>
    <col min="3" max="3" width="49.81640625" style="21" bestFit="1" customWidth="1"/>
    <col min="4" max="4" width="8.81640625" style="21" bestFit="1" customWidth="1"/>
    <col min="5" max="5" width="3.1796875" style="21" customWidth="1"/>
    <col min="6" max="6" width="9.453125" style="2" bestFit="1" customWidth="1"/>
    <col min="7" max="7" width="3.26953125" style="2" customWidth="1"/>
    <col min="8" max="8" width="17.26953125" style="2" bestFit="1" customWidth="1"/>
    <col min="9" max="9" width="2.26953125" style="2" customWidth="1"/>
    <col min="10" max="10" width="15.7265625" style="48" bestFit="1" customWidth="1"/>
    <col min="11" max="11" width="2.26953125" style="2" customWidth="1"/>
    <col min="12" max="12" width="14.81640625" style="34" bestFit="1" customWidth="1"/>
    <col min="13" max="13" width="2.26953125" style="2" customWidth="1"/>
    <col min="14" max="14" width="9.453125" style="89" bestFit="1" customWidth="1"/>
    <col min="15" max="15" width="2.26953125" style="2" customWidth="1"/>
    <col min="16" max="16384" width="9.1796875" style="1"/>
  </cols>
  <sheetData>
    <row r="1" spans="1:30" s="59" customFormat="1" ht="30" customHeight="1" x14ac:dyDescent="0.25">
      <c r="A1" s="57" t="s">
        <v>0</v>
      </c>
      <c r="B1" s="57"/>
      <c r="C1" s="57"/>
      <c r="D1" s="57"/>
      <c r="E1" s="57"/>
      <c r="F1" s="58"/>
      <c r="G1" s="58"/>
      <c r="H1" s="58"/>
      <c r="I1" s="58"/>
      <c r="J1" s="58"/>
      <c r="K1" s="58"/>
      <c r="L1" s="58"/>
      <c r="M1" s="58"/>
      <c r="N1" s="82"/>
      <c r="O1" s="58"/>
    </row>
    <row r="2" spans="1:30" s="8" customFormat="1" ht="15" customHeight="1" x14ac:dyDescent="0.3">
      <c r="A2" s="14" t="s">
        <v>72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83"/>
      <c r="O2" s="13"/>
    </row>
    <row r="3" spans="1:30" s="8" customFormat="1" ht="15" customHeight="1" x14ac:dyDescent="0.3">
      <c r="A3" s="14" t="s">
        <v>2</v>
      </c>
      <c r="B3" s="14"/>
      <c r="C3" s="14"/>
      <c r="D3" s="14"/>
      <c r="E3" s="14"/>
      <c r="F3" s="13"/>
      <c r="G3" s="13"/>
      <c r="H3" s="13"/>
      <c r="I3" s="13"/>
      <c r="J3" s="13"/>
      <c r="K3" s="13"/>
      <c r="L3" s="13"/>
      <c r="M3" s="13"/>
      <c r="N3" s="83"/>
      <c r="O3" s="13"/>
    </row>
    <row r="4" spans="1:30" s="8" customFormat="1" ht="15" customHeight="1" x14ac:dyDescent="0.3">
      <c r="A4" s="14" t="s">
        <v>3</v>
      </c>
      <c r="B4" s="14"/>
      <c r="C4" s="14"/>
      <c r="D4" s="14"/>
      <c r="E4" s="14"/>
      <c r="F4" s="13"/>
      <c r="G4" s="13"/>
      <c r="H4" s="13"/>
      <c r="I4" s="13"/>
      <c r="J4" s="13"/>
      <c r="K4" s="13"/>
      <c r="L4" s="13"/>
      <c r="M4" s="13"/>
      <c r="N4" s="83"/>
      <c r="O4" s="13"/>
    </row>
    <row r="5" spans="1:30" s="18" customFormat="1" ht="25" customHeight="1" x14ac:dyDescent="0.35">
      <c r="A5" s="16" t="s">
        <v>73</v>
      </c>
      <c r="B5" s="16"/>
      <c r="C5" s="16"/>
      <c r="D5" s="16"/>
      <c r="E5" s="16"/>
      <c r="F5" s="17"/>
      <c r="G5" s="17"/>
      <c r="H5" s="17"/>
      <c r="I5" s="17"/>
      <c r="J5" s="17"/>
      <c r="K5" s="17"/>
      <c r="L5" s="17"/>
      <c r="M5" s="17"/>
      <c r="N5" s="8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s="18" customFormat="1" ht="25" customHeight="1" x14ac:dyDescent="0.35">
      <c r="A6" s="16" t="s">
        <v>5</v>
      </c>
      <c r="B6" s="16"/>
      <c r="C6" s="16"/>
      <c r="D6" s="16"/>
      <c r="E6" s="16"/>
      <c r="F6" s="17"/>
      <c r="G6" s="17"/>
      <c r="H6" s="17"/>
      <c r="I6" s="17"/>
      <c r="J6" s="17"/>
      <c r="K6" s="17"/>
      <c r="L6" s="17"/>
      <c r="M6" s="17"/>
      <c r="N6" s="8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s="30" customFormat="1" ht="34.5" x14ac:dyDescent="0.25">
      <c r="A7" s="27" t="s">
        <v>6</v>
      </c>
      <c r="B7" s="27"/>
      <c r="C7" s="27" t="s">
        <v>7</v>
      </c>
      <c r="D7" s="28" t="s">
        <v>8</v>
      </c>
      <c r="E7" s="29"/>
      <c r="F7" s="28" t="s">
        <v>9</v>
      </c>
      <c r="G7" s="28"/>
      <c r="H7" s="28" t="s">
        <v>11</v>
      </c>
      <c r="I7" s="50"/>
      <c r="J7" s="28" t="s">
        <v>74</v>
      </c>
      <c r="K7" s="50"/>
      <c r="L7" s="28" t="s">
        <v>13</v>
      </c>
      <c r="M7" s="29"/>
      <c r="N7" s="85" t="s">
        <v>14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s="7" customFormat="1" x14ac:dyDescent="0.25">
      <c r="A8" s="5" t="s">
        <v>15</v>
      </c>
      <c r="B8" s="5"/>
      <c r="C8" s="5" t="s">
        <v>16</v>
      </c>
      <c r="D8" s="39" t="s">
        <v>17</v>
      </c>
      <c r="E8" s="39"/>
      <c r="F8" s="78" t="s">
        <v>18</v>
      </c>
      <c r="G8" s="51"/>
      <c r="H8" s="105" t="s">
        <v>19</v>
      </c>
      <c r="I8" s="37"/>
      <c r="J8" s="52" t="s">
        <v>20</v>
      </c>
      <c r="K8" s="39"/>
      <c r="L8" s="39" t="s">
        <v>21</v>
      </c>
      <c r="M8" s="39"/>
      <c r="N8" s="106" t="s">
        <v>22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s="22" customFormat="1" ht="25" customHeight="1" x14ac:dyDescent="0.3">
      <c r="A9" s="74" t="s">
        <v>24</v>
      </c>
      <c r="B9" s="74"/>
      <c r="C9" s="31"/>
      <c r="D9" s="23"/>
      <c r="E9" s="23"/>
      <c r="F9" s="23"/>
      <c r="G9" s="23"/>
      <c r="H9" s="24"/>
      <c r="I9" s="13"/>
      <c r="J9" s="25"/>
      <c r="K9" s="13"/>
      <c r="L9" s="25"/>
      <c r="M9" s="13"/>
      <c r="N9" s="8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s="8" customFormat="1" ht="14" x14ac:dyDescent="0.3">
      <c r="A10" s="31" t="s">
        <v>25</v>
      </c>
      <c r="B10" s="31"/>
      <c r="C10" s="31"/>
      <c r="D10" s="23"/>
      <c r="E10" s="23"/>
      <c r="F10" s="23"/>
      <c r="G10" s="23"/>
      <c r="H10" s="24"/>
      <c r="I10" s="13"/>
      <c r="J10" s="25"/>
      <c r="K10" s="13"/>
      <c r="L10" s="25"/>
      <c r="M10" s="13"/>
      <c r="N10" s="8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s="8" customFormat="1" ht="14" x14ac:dyDescent="0.3">
      <c r="A11" s="31"/>
      <c r="B11" s="31"/>
      <c r="C11" s="31"/>
      <c r="D11" s="23"/>
      <c r="E11" s="23"/>
      <c r="F11" s="23"/>
      <c r="G11" s="23"/>
      <c r="H11" s="24"/>
      <c r="I11" s="13"/>
      <c r="J11" s="25"/>
      <c r="K11" s="13"/>
      <c r="L11" s="25"/>
      <c r="M11" s="13"/>
      <c r="N11" s="8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s="26" customFormat="1" ht="15" customHeight="1" x14ac:dyDescent="0.3">
      <c r="A12" s="31" t="s">
        <v>26</v>
      </c>
      <c r="B12" s="31"/>
      <c r="C12" s="31"/>
      <c r="D12" s="23"/>
      <c r="E12" s="23"/>
      <c r="F12" s="23"/>
      <c r="G12" s="23"/>
      <c r="H12" s="24"/>
      <c r="I12" s="13"/>
      <c r="J12" s="25"/>
      <c r="K12" s="13"/>
      <c r="L12" s="25"/>
      <c r="M12" s="13"/>
      <c r="N12" s="8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s="8" customFormat="1" ht="14" x14ac:dyDescent="0.3">
      <c r="A13" s="77">
        <v>331</v>
      </c>
      <c r="B13" s="77"/>
      <c r="C13" s="21" t="s">
        <v>27</v>
      </c>
      <c r="D13" s="53" t="str">
        <f>_xlfn.CONCAT(VLOOKUP(A13,'ELG Whole Life_Total'!A$1:M$28,4,FALSE),"-",VLOOKUP('Table 1 Total'!A13,'ELG Whole Life_Total'!A$1:M$28,5,FALSE))</f>
        <v>70-R2</v>
      </c>
      <c r="E13" s="23"/>
      <c r="F13" s="10">
        <f>'Table 1 Total'!F13-'Table 1A Life'!F13</f>
        <v>0</v>
      </c>
      <c r="G13" s="23"/>
      <c r="H13" s="11">
        <f>VLOOKUP(A13,'ELG Whole Life_Total'!A$1:M$28,7,FALSE)</f>
        <v>1668035.55</v>
      </c>
      <c r="I13" s="13"/>
      <c r="J13" s="11">
        <f>ROUND(_xlfn.XLOOKUP(A13,'ELG Whole Life_Total'!$A$2:$A$36,'ELG Whole Life_Total'!$H$2:$H$36)-(_xlfn.XLOOKUP(A13,'ELG Whole Life_Life'!$A$2:$A$36,'ELG Whole Life_Life'!$H$2:$H$36)),2)</f>
        <v>0</v>
      </c>
      <c r="K13" s="13"/>
      <c r="L13" s="11">
        <f>'Table 1 Total'!N13-'Table 1A Life'!L13</f>
        <v>0</v>
      </c>
      <c r="M13" s="13"/>
      <c r="N13" s="71">
        <f>L13/H13</f>
        <v>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22" customFormat="1" ht="14.25" customHeight="1" x14ac:dyDescent="0.3">
      <c r="A14" s="77">
        <v>332</v>
      </c>
      <c r="B14" s="77"/>
      <c r="C14" s="21" t="s">
        <v>28</v>
      </c>
      <c r="D14" s="53" t="str">
        <f>_xlfn.CONCAT(VLOOKUP(A14,'ELG Whole Life_Total'!A$1:M$28,4,FALSE),"-",VLOOKUP('Table 1 Total'!A14,'ELG Whole Life_Total'!A$1:M$28,5,FALSE))</f>
        <v>100-R3</v>
      </c>
      <c r="E14" s="9"/>
      <c r="F14" s="10">
        <f>'Table 1 Total'!F14-'Table 1A Life'!F14</f>
        <v>-2</v>
      </c>
      <c r="G14" s="10"/>
      <c r="H14" s="11">
        <f>VLOOKUP(A14,'ELG Whole Life_Total'!A$1:M$28,7,FALSE)</f>
        <v>8819430.7799999993</v>
      </c>
      <c r="I14" s="11"/>
      <c r="J14" s="11">
        <f>_xlfn.XLOOKUP(A14,'ELG Whole Life_Total'!$A$2:$A$36,'ELG Whole Life_Total'!$H$2:$H$36)-(_xlfn.XLOOKUP(A14,'ELG Whole Life_Life'!$A$2:$A$36,'ELG Whole Life_Life'!$H$2:$H$36))</f>
        <v>15568.690081377979</v>
      </c>
      <c r="K14" s="11"/>
      <c r="L14" s="11">
        <f>'Table 1 Total'!N14-'Table 1A Life'!L14</f>
        <v>2010.6604900469974</v>
      </c>
      <c r="M14" s="20"/>
      <c r="N14" s="71">
        <f t="shared" ref="N14:N61" si="0">L14/H14</f>
        <v>2.2798075524404734E-4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s="8" customFormat="1" ht="13.5" x14ac:dyDescent="0.25">
      <c r="A15" s="77">
        <v>333</v>
      </c>
      <c r="B15" s="77"/>
      <c r="C15" s="21" t="s">
        <v>29</v>
      </c>
      <c r="D15" s="53" t="str">
        <f>_xlfn.CONCAT(VLOOKUP(A15,'ELG Whole Life_Total'!A$1:M$28,4,FALSE),"-",VLOOKUP('Table 1 Total'!A15,'ELG Whole Life_Total'!A$1:M$28,5,FALSE))</f>
        <v>85-R3</v>
      </c>
      <c r="E15" s="9"/>
      <c r="F15" s="10">
        <f>'Table 1 Total'!F15-'Table 1A Life'!F15</f>
        <v>-2</v>
      </c>
      <c r="G15" s="10"/>
      <c r="H15" s="11">
        <f>VLOOKUP(A15,'ELG Whole Life_Total'!A$1:M$28,7,FALSE)</f>
        <v>3293183.44</v>
      </c>
      <c r="I15" s="11"/>
      <c r="J15" s="11">
        <f>_xlfn.XLOOKUP(A15,'ELG Whole Life_Total'!$A$2:$A$36,'ELG Whole Life_Total'!$H$2:$H$36)-(_xlfn.XLOOKUP(A15,'ELG Whole Life_Life'!$A$2:$A$36,'ELG Whole Life_Life'!$H$2:$H$36))</f>
        <v>9003.3971847830107</v>
      </c>
      <c r="K15" s="11"/>
      <c r="L15" s="11">
        <f>'Table 1 Total'!N15-'Table 1A Life'!L15</f>
        <v>872.85562627120089</v>
      </c>
      <c r="M15" s="20"/>
      <c r="N15" s="71">
        <f t="shared" si="0"/>
        <v>2.6504919697737848E-4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s="8" customFormat="1" ht="13.5" x14ac:dyDescent="0.25">
      <c r="A16" s="77">
        <v>334</v>
      </c>
      <c r="B16" s="77"/>
      <c r="C16" s="21" t="s">
        <v>30</v>
      </c>
      <c r="D16" s="53" t="str">
        <f>_xlfn.CONCAT(VLOOKUP(A16,'ELG Whole Life_Total'!A$1:M$28,4,FALSE),"-",VLOOKUP('Table 1 Total'!A16,'ELG Whole Life_Total'!A$1:M$28,5,FALSE))</f>
        <v>40-R2.5</v>
      </c>
      <c r="E16" s="9"/>
      <c r="F16" s="10">
        <f>'Table 1 Total'!F16-'Table 1A Life'!F16</f>
        <v>0</v>
      </c>
      <c r="G16" s="10"/>
      <c r="H16" s="11">
        <f>VLOOKUP(A16,'ELG Whole Life_Total'!A$1:M$28,7,FALSE)</f>
        <v>81241.84</v>
      </c>
      <c r="I16" s="11"/>
      <c r="J16" s="11">
        <f>_xlfn.XLOOKUP(A16,'ELG Whole Life_Total'!$A$2:$A$36,'ELG Whole Life_Total'!$H$2:$H$36)-(_xlfn.XLOOKUP(A16,'ELG Whole Life_Life'!$A$2:$A$36,'ELG Whole Life_Life'!$H$2:$H$36))</f>
        <v>0</v>
      </c>
      <c r="K16" s="11"/>
      <c r="L16" s="11">
        <f>'Table 1 Total'!N16-'Table 1A Life'!L16</f>
        <v>0</v>
      </c>
      <c r="M16" s="20"/>
      <c r="N16" s="71">
        <f t="shared" si="0"/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s="8" customFormat="1" ht="13.5" x14ac:dyDescent="0.25">
      <c r="A17" s="77">
        <v>335</v>
      </c>
      <c r="B17" s="77"/>
      <c r="C17" s="21" t="s">
        <v>31</v>
      </c>
      <c r="D17" s="53" t="str">
        <f>_xlfn.CONCAT(VLOOKUP(A17,'ELG Whole Life_Total'!A$1:M$28,4,FALSE),"-",VLOOKUP('Table 1 Total'!A17,'ELG Whole Life_Total'!A$1:M$28,5,FALSE))</f>
        <v>51-R4</v>
      </c>
      <c r="E17" s="9"/>
      <c r="F17" s="10">
        <f>'Table 1 Total'!F17-'Table 1A Life'!F17</f>
        <v>0</v>
      </c>
      <c r="G17" s="10"/>
      <c r="H17" s="81">
        <f>VLOOKUP(A17,'ELG Whole Life_Total'!A$1:M$28,7,FALSE)</f>
        <v>109846.18</v>
      </c>
      <c r="I17" s="11"/>
      <c r="J17" s="81">
        <f>_xlfn.XLOOKUP(A17,'ELG Whole Life_Total'!$A$2:$A$36,'ELG Whole Life_Total'!$H$2:$H$36)-(_xlfn.XLOOKUP(A17,'ELG Whole Life_Life'!$A$2:$A$36,'ELG Whole Life_Life'!$H$2:$H$36))</f>
        <v>0</v>
      </c>
      <c r="K17" s="11"/>
      <c r="L17" s="81">
        <f>'Table 1 Total'!N17-'Table 1A Life'!L17</f>
        <v>0</v>
      </c>
      <c r="M17" s="20"/>
      <c r="N17" s="98">
        <f t="shared" si="0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s="22" customFormat="1" ht="14.25" customHeight="1" x14ac:dyDescent="0.3">
      <c r="A18" s="14" t="s">
        <v>32</v>
      </c>
      <c r="B18" s="14"/>
      <c r="C18" s="21"/>
      <c r="D18" s="53"/>
      <c r="E18" s="9"/>
      <c r="F18" s="10"/>
      <c r="G18" s="10"/>
      <c r="H18" s="25">
        <f>_xlfn.IFNA(SUM(H13:H17),0)</f>
        <v>13971737.789999999</v>
      </c>
      <c r="I18" s="11"/>
      <c r="J18" s="25">
        <f>_xlfn.IFNA(SUM(J13:J17),0)</f>
        <v>24572.08726616099</v>
      </c>
      <c r="K18" s="11"/>
      <c r="L18" s="25">
        <f>_xlfn.IFNA(SUM(L13:L17),0)</f>
        <v>2883.5161163181983</v>
      </c>
      <c r="M18" s="20"/>
      <c r="N18" s="86">
        <f t="shared" si="0"/>
        <v>2.0638206640136199E-4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26" customFormat="1" ht="14.25" customHeight="1" x14ac:dyDescent="0.3">
      <c r="A19" s="14"/>
      <c r="B19" s="14"/>
      <c r="C19" s="21"/>
      <c r="D19" s="53"/>
      <c r="E19" s="9"/>
      <c r="F19" s="10"/>
      <c r="G19" s="10"/>
      <c r="H19" s="11"/>
      <c r="I19" s="11"/>
      <c r="J19" s="11"/>
      <c r="K19" s="11"/>
      <c r="L19" s="11"/>
      <c r="M19" s="20"/>
      <c r="N19" s="7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s="8" customFormat="1" ht="14" x14ac:dyDescent="0.3">
      <c r="A20" s="14" t="s">
        <v>33</v>
      </c>
      <c r="B20" s="14"/>
      <c r="C20" s="21"/>
      <c r="D20" s="53"/>
      <c r="E20" s="9"/>
      <c r="F20" s="10"/>
      <c r="G20" s="10"/>
      <c r="H20" s="11"/>
      <c r="I20" s="11"/>
      <c r="J20" s="11"/>
      <c r="K20" s="11"/>
      <c r="L20" s="11"/>
      <c r="M20" s="20"/>
      <c r="N20" s="71"/>
      <c r="O20" s="10"/>
      <c r="AD20" s="2"/>
    </row>
    <row r="21" spans="1:30" s="8" customFormat="1" ht="13.5" x14ac:dyDescent="0.25">
      <c r="A21" s="77">
        <v>341.2</v>
      </c>
      <c r="B21" s="77"/>
      <c r="C21" s="21" t="s">
        <v>34</v>
      </c>
      <c r="D21" s="53" t="str">
        <f>_xlfn.CONCAT(VLOOKUP(A21,'ELG Whole Life_Total'!A$1:M$226,4,FALSE),"-",VLOOKUP('Table 1 Total'!A21,'ELG Whole Life_Total'!A$1:M$226,5,FALSE))</f>
        <v>40-R2</v>
      </c>
      <c r="E21" s="53"/>
      <c r="F21" s="10">
        <f>'Table 1 Total'!F21-'Table 1A Life'!F21</f>
        <v>-1</v>
      </c>
      <c r="G21" s="10"/>
      <c r="H21" s="11">
        <f>VLOOKUP(A21,'ELG Whole Life_Life'!A$1:M$96,7,FALSE)</f>
        <v>6101560.3399999999</v>
      </c>
      <c r="I21" s="95"/>
      <c r="J21" s="11">
        <f>'Table 1 Total'!L21-'Table 1A Life'!J21</f>
        <v>20871.473739289911</v>
      </c>
      <c r="K21" s="11"/>
      <c r="L21" s="11">
        <f>'Table 1 Total'!N21-'Table 1A Life'!L21</f>
        <v>1664.8481073619914</v>
      </c>
      <c r="M21" s="11"/>
      <c r="N21" s="71">
        <f>L21/H21</f>
        <v>2.7285612443226146E-4</v>
      </c>
      <c r="O21"/>
      <c r="P21"/>
      <c r="Q21"/>
    </row>
    <row r="22" spans="1:30" s="8" customFormat="1" ht="13.5" x14ac:dyDescent="0.25">
      <c r="A22" s="77">
        <v>342.2</v>
      </c>
      <c r="B22" s="77"/>
      <c r="C22" s="21" t="s">
        <v>35</v>
      </c>
      <c r="D22" s="53" t="str">
        <f>_xlfn.CONCAT(VLOOKUP(A22,'ELG Whole Life_Total'!A$1:M$226,4,FALSE),"-",VLOOKUP('Table 1 Total'!A22,'ELG Whole Life_Total'!A$1:M$226,5,FALSE))</f>
        <v>40-R3</v>
      </c>
      <c r="E22" s="53"/>
      <c r="F22" s="10">
        <f>'Table 1 Total'!F22-'Table 1A Life'!F22</f>
        <v>-1</v>
      </c>
      <c r="G22" s="10"/>
      <c r="H22" s="11">
        <f>VLOOKUP(A22,'ELG Whole Life_Life'!A$1:M$96,7,FALSE)</f>
        <v>3430727.61</v>
      </c>
      <c r="I22" s="95"/>
      <c r="J22" s="11">
        <f>'Table 1 Total'!L22-'Table 1A Life'!J22</f>
        <v>16196.093616069993</v>
      </c>
      <c r="K22" s="11"/>
      <c r="L22" s="11">
        <f>'Table 1 Total'!N22-'Table 1A Life'!L22</f>
        <v>881.8138800884044</v>
      </c>
      <c r="M22" s="11"/>
      <c r="N22" s="71">
        <f t="shared" ref="N22:N26" si="1">L22/H22</f>
        <v>2.5703406983348481E-4</v>
      </c>
      <c r="O22"/>
      <c r="P22"/>
      <c r="Q22"/>
    </row>
    <row r="23" spans="1:30" s="8" customFormat="1" ht="13.5" x14ac:dyDescent="0.25">
      <c r="A23" s="77">
        <v>343.2</v>
      </c>
      <c r="B23" s="77"/>
      <c r="C23" s="21" t="s">
        <v>36</v>
      </c>
      <c r="D23" s="53" t="str">
        <f>_xlfn.CONCAT(VLOOKUP(A23,'ELG Whole Life_Total'!A$1:M$226,4,FALSE),"-",VLOOKUP('Table 1 Total'!A23,'ELG Whole Life_Total'!A$1:M$226,5,FALSE))</f>
        <v>26-S2</v>
      </c>
      <c r="E23" s="53"/>
      <c r="F23" s="10">
        <f>'Table 1 Total'!F23-'Table 1A Life'!F23</f>
        <v>-5</v>
      </c>
      <c r="G23" s="10"/>
      <c r="H23" s="11">
        <f>VLOOKUP(A23,'ELG Whole Life_Life'!A$1:M$96,7,FALSE)</f>
        <v>20512067.030000001</v>
      </c>
      <c r="I23" s="95"/>
      <c r="J23" s="11">
        <f>'Table 1 Total'!L23-'Table 1A Life'!J23</f>
        <v>336888.29285771027</v>
      </c>
      <c r="K23" s="11"/>
      <c r="L23" s="11">
        <f>'Table 1 Total'!N23-'Table 1A Life'!L23</f>
        <v>41804.301634322968</v>
      </c>
      <c r="M23" s="11"/>
      <c r="N23" s="71">
        <f t="shared" si="1"/>
        <v>2.0380345663448705E-3</v>
      </c>
      <c r="O23"/>
      <c r="P23"/>
      <c r="Q23"/>
    </row>
    <row r="24" spans="1:30" s="8" customFormat="1" ht="13.5" x14ac:dyDescent="0.25">
      <c r="A24" s="77">
        <v>345.2</v>
      </c>
      <c r="B24" s="77"/>
      <c r="C24" s="21" t="s">
        <v>37</v>
      </c>
      <c r="D24" s="53" t="str">
        <f>_xlfn.CONCAT(VLOOKUP(A24,'ELG Whole Life_Total'!A$1:M$226,4,FALSE),"-",VLOOKUP('Table 1 Total'!A24,'ELG Whole Life_Total'!A$1:M$226,5,FALSE))</f>
        <v>35-R3</v>
      </c>
      <c r="E24" s="53"/>
      <c r="F24" s="10">
        <f>'Table 1 Total'!F24-'Table 1A Life'!F24</f>
        <v>0</v>
      </c>
      <c r="G24" s="10"/>
      <c r="H24" s="11">
        <f>VLOOKUP(A24,'ELG Whole Life_Life'!A$1:M$96,7,FALSE)</f>
        <v>5155802.54</v>
      </c>
      <c r="I24" s="95"/>
      <c r="J24" s="11">
        <f>'Table 1 Total'!L24-'Table 1A Life'!J24</f>
        <v>0</v>
      </c>
      <c r="K24" s="11"/>
      <c r="L24" s="11">
        <f>'Table 1 Total'!N24-'Table 1A Life'!L24</f>
        <v>0</v>
      </c>
      <c r="M24" s="11"/>
      <c r="N24" s="71">
        <f t="shared" si="1"/>
        <v>0</v>
      </c>
      <c r="O24"/>
      <c r="P24"/>
      <c r="Q24"/>
    </row>
    <row r="25" spans="1:30" s="8" customFormat="1" ht="13.5" x14ac:dyDescent="0.25">
      <c r="A25" s="77">
        <v>346.2</v>
      </c>
      <c r="B25" s="77"/>
      <c r="C25" s="21" t="s">
        <v>38</v>
      </c>
      <c r="D25" s="53" t="str">
        <f>_xlfn.CONCAT(VLOOKUP(A25,'ELG Whole Life_Total'!A$1:M$226,4,FALSE),"-",VLOOKUP('Table 1 Total'!A25,'ELG Whole Life_Total'!A$1:M$226,5,FALSE))</f>
        <v>40-R3</v>
      </c>
      <c r="E25" s="53"/>
      <c r="F25" s="10">
        <f>'Table 1 Total'!F25-'Table 1A Life'!F25</f>
        <v>-2</v>
      </c>
      <c r="G25" s="10"/>
      <c r="H25" s="11">
        <f>VLOOKUP(A25,'ELG Whole Life_Life'!A$1:M$96,7,FALSE)</f>
        <v>1113752.55</v>
      </c>
      <c r="I25" s="95"/>
      <c r="J25" s="11">
        <f>'Table 1 Total'!L25-'Table 1A Life'!J25</f>
        <v>7920.3751445669914</v>
      </c>
      <c r="K25" s="11"/>
      <c r="L25" s="11">
        <f>'Table 1 Total'!N25-'Table 1A Life'!L25</f>
        <v>590.9307573799997</v>
      </c>
      <c r="M25" s="11"/>
      <c r="N25" s="71">
        <f t="shared" si="1"/>
        <v>5.3057634514955742E-4</v>
      </c>
      <c r="O25"/>
      <c r="P25"/>
      <c r="Q25"/>
    </row>
    <row r="26" spans="1:30" s="8" customFormat="1" ht="13.5" x14ac:dyDescent="0.25">
      <c r="A26" s="77">
        <v>347.2</v>
      </c>
      <c r="B26" s="77"/>
      <c r="C26" s="21" t="s">
        <v>39</v>
      </c>
      <c r="D26" s="53" t="str">
        <f>_xlfn.CONCAT(VLOOKUP(A26,'ELG Whole Life_Total'!A$1:M$226,4,FALSE),"-",VLOOKUP('Table 1 Total'!A26,'ELG Whole Life_Total'!A$1:M$226,5,FALSE))</f>
        <v>25-R3</v>
      </c>
      <c r="E26" s="53"/>
      <c r="F26" s="10">
        <f>'Table 1 Total'!F26-'Table 1A Life'!F26</f>
        <v>0</v>
      </c>
      <c r="G26" s="10"/>
      <c r="H26" s="81">
        <f>VLOOKUP(A26,'ELG Whole Life_Life'!A$1:M$96,7,FALSE)</f>
        <v>3536262.09</v>
      </c>
      <c r="I26" s="95"/>
      <c r="J26" s="81">
        <f>'Table 1 Total'!L26-'Table 1A Life'!J26</f>
        <v>0</v>
      </c>
      <c r="K26" s="11"/>
      <c r="L26" s="81">
        <f>'Table 1 Total'!N26-'Table 1A Life'!L26</f>
        <v>0</v>
      </c>
      <c r="M26" s="11"/>
      <c r="N26" s="98">
        <f t="shared" si="1"/>
        <v>0</v>
      </c>
      <c r="O26"/>
      <c r="P26"/>
      <c r="Q26"/>
    </row>
    <row r="27" spans="1:30" s="8" customFormat="1" ht="14" x14ac:dyDescent="0.3">
      <c r="A27" s="14" t="s">
        <v>40</v>
      </c>
      <c r="B27" s="14"/>
      <c r="C27" s="21"/>
      <c r="D27" s="53"/>
      <c r="E27" s="9"/>
      <c r="F27" s="10"/>
      <c r="G27" s="10"/>
      <c r="H27" s="25">
        <f>SUM(H21:H26)</f>
        <v>39850172.159999996</v>
      </c>
      <c r="I27" s="11"/>
      <c r="J27" s="25">
        <f>SUM(J21:J26)</f>
        <v>381876.23535763717</v>
      </c>
      <c r="K27" s="11"/>
      <c r="L27" s="25">
        <f>SUM(L21:L26)</f>
        <v>44941.894379153367</v>
      </c>
      <c r="M27" s="20"/>
      <c r="N27" s="86">
        <f t="shared" ref="N27" si="2">L27/H27</f>
        <v>1.1277716492342845E-3</v>
      </c>
      <c r="O27" s="10"/>
    </row>
    <row r="28" spans="1:30" s="8" customFormat="1" ht="13.5" x14ac:dyDescent="0.25">
      <c r="A28" s="15"/>
      <c r="B28" s="15"/>
      <c r="C28" s="21"/>
      <c r="D28" s="53"/>
      <c r="E28" s="9"/>
      <c r="F28" s="10"/>
      <c r="G28" s="10"/>
      <c r="H28" s="11"/>
      <c r="I28" s="11"/>
      <c r="J28" s="11"/>
      <c r="K28" s="11"/>
      <c r="L28" s="11"/>
      <c r="M28" s="20"/>
      <c r="N28" s="71"/>
      <c r="O28" s="10"/>
    </row>
    <row r="29" spans="1:30" s="8" customFormat="1" ht="14" x14ac:dyDescent="0.3">
      <c r="A29" s="14" t="s">
        <v>41</v>
      </c>
      <c r="B29" s="14"/>
      <c r="C29" s="21"/>
      <c r="D29" s="53"/>
      <c r="E29" s="9"/>
      <c r="F29" s="10"/>
      <c r="G29" s="10"/>
      <c r="H29" s="25">
        <f>SUM(H27,H17)</f>
        <v>39960018.339999996</v>
      </c>
      <c r="I29" s="25"/>
      <c r="J29" s="25">
        <f>SUM(J27,J17)</f>
        <v>381876.23535763717</v>
      </c>
      <c r="K29" s="25"/>
      <c r="L29" s="25">
        <f>SUM(L27,L17)</f>
        <v>44941.894379153367</v>
      </c>
      <c r="M29" s="64"/>
      <c r="N29" s="86">
        <f>L29/H29</f>
        <v>1.1246715153322769E-3</v>
      </c>
      <c r="O29" s="10"/>
    </row>
    <row r="30" spans="1:30" s="8" customFormat="1" ht="13.5" x14ac:dyDescent="0.25">
      <c r="A30" s="15"/>
      <c r="B30" s="15"/>
      <c r="C30" s="21"/>
      <c r="D30" s="53"/>
      <c r="E30" s="9"/>
      <c r="F30" s="10"/>
      <c r="G30" s="10"/>
      <c r="H30" s="11"/>
      <c r="I30" s="11"/>
      <c r="J30" s="11"/>
      <c r="K30" s="11"/>
      <c r="L30" s="11"/>
      <c r="M30" s="20"/>
      <c r="N30" s="71"/>
      <c r="O30" s="10"/>
    </row>
    <row r="31" spans="1:30" s="8" customFormat="1" ht="14" x14ac:dyDescent="0.3">
      <c r="A31" s="14" t="s">
        <v>42</v>
      </c>
      <c r="B31" s="14"/>
      <c r="C31" s="21"/>
      <c r="D31" s="53"/>
      <c r="E31" s="9"/>
      <c r="F31" s="10"/>
      <c r="G31" s="10"/>
      <c r="H31" s="11"/>
      <c r="I31" s="11"/>
      <c r="J31" s="11"/>
      <c r="K31" s="11"/>
      <c r="L31" s="11"/>
      <c r="M31" s="20"/>
      <c r="N31" s="71"/>
      <c r="O31" s="10"/>
    </row>
    <row r="32" spans="1:30" s="8" customFormat="1" ht="13.5" x14ac:dyDescent="0.25">
      <c r="A32" s="77">
        <v>353</v>
      </c>
      <c r="B32" s="77"/>
      <c r="C32" s="21" t="s">
        <v>43</v>
      </c>
      <c r="D32" s="53" t="str">
        <f>_xlfn.CONCAT(VLOOKUP(A32,'ELG Whole Life_Total'!A$1:M$226,4,FALSE),"-",VLOOKUP('Table 1 Total'!A32,'ELG Whole Life_Total'!A$1:M$226,5,FALSE))</f>
        <v>50-R3</v>
      </c>
      <c r="E32" s="9"/>
      <c r="F32" s="10">
        <f>'Table 1 Total'!F32-'Table 1A Life'!F32</f>
        <v>0</v>
      </c>
      <c r="G32" s="10"/>
      <c r="H32" s="81">
        <f>VLOOKUP(A32,'ELG Whole Life_Total'!A$1:M$226,7,FALSE)</f>
        <v>1144289.3700000001</v>
      </c>
      <c r="I32" s="11"/>
      <c r="J32" s="81">
        <f>'Table 1 Total'!L32-'Table 1A Life'!J32</f>
        <v>0</v>
      </c>
      <c r="K32" s="11"/>
      <c r="L32" s="81">
        <f>'Table 1 Total'!N32-'Table 1A Life'!L32</f>
        <v>0</v>
      </c>
      <c r="M32" s="20"/>
      <c r="N32" s="98">
        <f t="shared" si="0"/>
        <v>0</v>
      </c>
      <c r="O32" s="10"/>
    </row>
    <row r="33" spans="1:15" s="8" customFormat="1" ht="14" x14ac:dyDescent="0.3">
      <c r="A33" s="14" t="s">
        <v>44</v>
      </c>
      <c r="B33" s="14"/>
      <c r="C33" s="21"/>
      <c r="D33" s="53"/>
      <c r="E33" s="9"/>
      <c r="F33" s="10"/>
      <c r="G33" s="10"/>
      <c r="H33" s="25">
        <f>SUM(H32)</f>
        <v>1144289.3700000001</v>
      </c>
      <c r="I33" s="11"/>
      <c r="J33" s="25">
        <f>SUM(J32)</f>
        <v>0</v>
      </c>
      <c r="K33" s="11"/>
      <c r="L33" s="25">
        <f>SUM(L32)</f>
        <v>0</v>
      </c>
      <c r="M33" s="20"/>
      <c r="N33" s="71"/>
      <c r="O33" s="10"/>
    </row>
    <row r="34" spans="1:15" s="8" customFormat="1" ht="13.5" x14ac:dyDescent="0.25">
      <c r="A34" s="15"/>
      <c r="B34" s="15"/>
      <c r="C34" s="21"/>
      <c r="D34" s="53"/>
      <c r="E34" s="9"/>
      <c r="F34" s="10"/>
      <c r="G34" s="10"/>
      <c r="H34" s="11"/>
      <c r="I34" s="11"/>
      <c r="J34" s="11"/>
      <c r="K34" s="11"/>
      <c r="L34" s="11"/>
      <c r="M34" s="20"/>
      <c r="N34" s="71"/>
      <c r="O34" s="10"/>
    </row>
    <row r="35" spans="1:15" s="8" customFormat="1" ht="14" x14ac:dyDescent="0.3">
      <c r="A35" s="14" t="s">
        <v>45</v>
      </c>
      <c r="B35" s="14"/>
      <c r="C35" s="21"/>
      <c r="D35" s="53"/>
      <c r="E35" s="9"/>
      <c r="F35" s="10"/>
      <c r="G35" s="10"/>
      <c r="H35" s="11"/>
      <c r="I35" s="11"/>
      <c r="J35" s="11"/>
      <c r="K35" s="11"/>
      <c r="L35" s="11"/>
      <c r="M35" s="20"/>
      <c r="N35" s="71"/>
      <c r="O35" s="10"/>
    </row>
    <row r="36" spans="1:15" s="8" customFormat="1" ht="13.5" x14ac:dyDescent="0.25">
      <c r="A36" s="77">
        <v>360.1</v>
      </c>
      <c r="B36" s="77"/>
      <c r="C36" s="21" t="s">
        <v>46</v>
      </c>
      <c r="D36" s="53" t="str">
        <f>_xlfn.CONCAT(VLOOKUP(A36,'ELG Whole Life_Total'!A$1:M$226,4,FALSE),"-",VLOOKUP('Table 1 Total'!A36,'ELG Whole Life_Total'!A$1:M$226,5,FALSE))</f>
        <v>75-R3</v>
      </c>
      <c r="E36" s="9"/>
      <c r="F36" s="10">
        <f>'Table 1 Total'!F36-'Table 1A Life'!F36</f>
        <v>0</v>
      </c>
      <c r="G36" s="10"/>
      <c r="H36" s="11">
        <f>VLOOKUP(A36,'ELG Whole Life_Total'!A$1:M$226,7,FALSE)</f>
        <v>2160689.19</v>
      </c>
      <c r="I36" s="11"/>
      <c r="J36" s="11">
        <f>'Table 1 Total'!L36-'Table 1A Life'!J36</f>
        <v>0</v>
      </c>
      <c r="K36" s="11"/>
      <c r="L36" s="11">
        <f>'Table 1 Total'!N36-'Table 1A Life'!L36</f>
        <v>0</v>
      </c>
      <c r="M36" s="20"/>
      <c r="N36" s="71">
        <f t="shared" si="0"/>
        <v>0</v>
      </c>
      <c r="O36" s="10"/>
    </row>
    <row r="37" spans="1:15" s="8" customFormat="1" ht="13.5" x14ac:dyDescent="0.25">
      <c r="A37" s="77">
        <v>362</v>
      </c>
      <c r="B37" s="77"/>
      <c r="C37" s="21" t="s">
        <v>43</v>
      </c>
      <c r="D37" s="53" t="str">
        <f>_xlfn.CONCAT(VLOOKUP(A37,'ELG Whole Life_Total'!A$1:M$226,4,FALSE),"-",VLOOKUP('Table 1 Total'!A37,'ELG Whole Life_Total'!A$1:M$226,5,FALSE))</f>
        <v>40-R2.5</v>
      </c>
      <c r="E37" s="9"/>
      <c r="F37" s="10">
        <f>'Table 1 Total'!F37-'Table 1A Life'!F37</f>
        <v>0</v>
      </c>
      <c r="G37" s="10"/>
      <c r="H37" s="11">
        <f>VLOOKUP(A37,'ELG Whole Life_Total'!A$1:M$226,7,FALSE)</f>
        <v>7543472.7999999998</v>
      </c>
      <c r="I37" s="11"/>
      <c r="J37" s="11">
        <f>'Table 1 Total'!L37-'Table 1A Life'!J37</f>
        <v>0</v>
      </c>
      <c r="K37" s="11"/>
      <c r="L37" s="11">
        <f>'Table 1 Total'!N37-'Table 1A Life'!L37</f>
        <v>0</v>
      </c>
      <c r="M37" s="20"/>
      <c r="N37" s="71">
        <f t="shared" si="0"/>
        <v>0</v>
      </c>
      <c r="O37" s="10"/>
    </row>
    <row r="38" spans="1:15" ht="13.5" x14ac:dyDescent="0.25">
      <c r="A38" s="77">
        <v>362.1</v>
      </c>
      <c r="B38" s="77"/>
      <c r="C38" s="21" t="s">
        <v>47</v>
      </c>
      <c r="D38" s="53" t="str">
        <f>_xlfn.CONCAT(VLOOKUP(A38,'ELG Whole Life_Total'!A$1:M$226,4,FALSE),"-",VLOOKUP('Table 1 Total'!A38,'ELG Whole Life_Total'!A$1:M$226,5,FALSE))</f>
        <v>15-SQ</v>
      </c>
      <c r="E38" s="9"/>
      <c r="F38" s="10">
        <f>'Table 1 Total'!F38-'Table 1A Life'!F38</f>
        <v>-1</v>
      </c>
      <c r="G38" s="10"/>
      <c r="H38" s="11">
        <f>VLOOKUP(A38,'ELG Whole Life_Total'!A$1:M$226,7,FALSE)</f>
        <v>976501.82</v>
      </c>
      <c r="I38" s="11"/>
      <c r="J38" s="11">
        <f>'Table 1 Total'!L38-'Table 1A Life'!J38</f>
        <v>6098.8139133340446</v>
      </c>
      <c r="K38" s="11"/>
      <c r="L38" s="11">
        <f>'Table 1 Total'!N38-'Table 1A Life'!L38</f>
        <v>651.00121333339484</v>
      </c>
      <c r="M38" s="20"/>
      <c r="N38" s="71">
        <f t="shared" si="0"/>
        <v>6.6666666666672974E-4</v>
      </c>
    </row>
    <row r="39" spans="1:15" ht="13.5" x14ac:dyDescent="0.25">
      <c r="A39" s="77">
        <v>364</v>
      </c>
      <c r="B39" s="77"/>
      <c r="C39" s="21" t="s">
        <v>48</v>
      </c>
      <c r="D39" s="53" t="str">
        <f>_xlfn.CONCAT(VLOOKUP(A39,'ELG Whole Life_Total'!A$1:M$226,4,FALSE),"-",VLOOKUP('Table 1 Total'!A39,'ELG Whole Life_Total'!A$1:M$226,5,FALSE))</f>
        <v>50-R2</v>
      </c>
      <c r="E39" s="9"/>
      <c r="F39" s="10">
        <f>'Table 1 Total'!F39-'Table 1A Life'!F39</f>
        <v>-20</v>
      </c>
      <c r="G39" s="10"/>
      <c r="H39" s="11">
        <f>VLOOKUP(A39,'ELG Whole Life_Total'!A$1:M$226,7,FALSE)</f>
        <v>53306939.649999999</v>
      </c>
      <c r="I39" s="11"/>
      <c r="J39" s="11">
        <f>'Table 1 Total'!L39-'Table 1A Life'!J39</f>
        <v>3447968.1794965006</v>
      </c>
      <c r="K39" s="11"/>
      <c r="L39" s="11">
        <f>'Table 1 Total'!N39-'Table 1A Life'!L39</f>
        <v>239052.69404265983</v>
      </c>
      <c r="M39" s="20"/>
      <c r="N39" s="71">
        <f t="shared" si="0"/>
        <v>4.4844572885297841E-3</v>
      </c>
    </row>
    <row r="40" spans="1:15" ht="13.5" x14ac:dyDescent="0.25">
      <c r="A40" s="77">
        <v>365</v>
      </c>
      <c r="B40" s="77"/>
      <c r="C40" s="21" t="s">
        <v>49</v>
      </c>
      <c r="D40" s="53" t="str">
        <f>_xlfn.CONCAT(VLOOKUP(A40,'ELG Whole Life_Total'!A$1:M$226,4,FALSE),"-",VLOOKUP('Table 1 Total'!A40,'ELG Whole Life_Total'!A$1:M$226,5,FALSE))</f>
        <v>50-R3</v>
      </c>
      <c r="E40" s="9"/>
      <c r="F40" s="10">
        <f>'Table 1 Total'!F40-'Table 1A Life'!F40</f>
        <v>-5</v>
      </c>
      <c r="G40" s="10"/>
      <c r="H40" s="11">
        <f>VLOOKUP(A40,'ELG Whole Life_Total'!A$1:M$226,7,FALSE)</f>
        <v>28793205.57</v>
      </c>
      <c r="I40" s="11"/>
      <c r="J40" s="11">
        <f>'Table 1 Total'!L40-'Table 1A Life'!J40</f>
        <v>535821.97143909894</v>
      </c>
      <c r="K40" s="11"/>
      <c r="L40" s="11">
        <f>'Table 1 Total'!N40-'Table 1A Life'!L40</f>
        <v>30402.722792744054</v>
      </c>
      <c r="M40" s="20"/>
      <c r="N40" s="71">
        <f t="shared" si="0"/>
        <v>1.055899202290315E-3</v>
      </c>
    </row>
    <row r="41" spans="1:15" ht="13.5" x14ac:dyDescent="0.25">
      <c r="A41" s="77">
        <v>365.1</v>
      </c>
      <c r="B41" s="77"/>
      <c r="C41" s="21" t="s">
        <v>50</v>
      </c>
      <c r="D41" s="53" t="str">
        <f>_xlfn.CONCAT(VLOOKUP(A41,'ELG Whole Life_Total'!A$1:M$226,4,FALSE),"-",VLOOKUP('Table 1 Total'!A41,'ELG Whole Life_Total'!A$1:M$226,5,FALSE))</f>
        <v>50-R2.5</v>
      </c>
      <c r="E41" s="9"/>
      <c r="F41" s="10">
        <f>'Table 1 Total'!F41-'Table 1A Life'!F41</f>
        <v>-8</v>
      </c>
      <c r="G41" s="10"/>
      <c r="H41" s="11">
        <f>VLOOKUP(A41,'ELG Whole Life_Total'!A$1:M$226,7,FALSE)</f>
        <v>5234251.9000000004</v>
      </c>
      <c r="I41" s="11"/>
      <c r="J41" s="11">
        <f>'Table 1 Total'!L41-'Table 1A Life'!J41</f>
        <v>132374.50127172982</v>
      </c>
      <c r="K41" s="11"/>
      <c r="L41" s="11">
        <f>'Table 1 Total'!N41-'Table 1A Life'!L41</f>
        <v>9251.0658411510085</v>
      </c>
      <c r="M41" s="20"/>
      <c r="N41" s="71">
        <f t="shared" si="0"/>
        <v>1.7674093677362008E-3</v>
      </c>
    </row>
    <row r="42" spans="1:15" ht="13.5" x14ac:dyDescent="0.25">
      <c r="A42" s="77">
        <v>367</v>
      </c>
      <c r="B42" s="77"/>
      <c r="C42" s="21" t="s">
        <v>51</v>
      </c>
      <c r="D42" s="53" t="str">
        <f>_xlfn.CONCAT(VLOOKUP(A42,'ELG Whole Life_Total'!A$1:M$226,4,FALSE),"-",VLOOKUP('Table 1 Total'!A42,'ELG Whole Life_Total'!A$1:M$226,5,FALSE))</f>
        <v>50-R3</v>
      </c>
      <c r="E42" s="9"/>
      <c r="F42" s="10">
        <f>'Table 1 Total'!F42-'Table 1A Life'!F42</f>
        <v>-10</v>
      </c>
      <c r="G42" s="10"/>
      <c r="H42" s="11">
        <f>VLOOKUP(A42,'ELG Whole Life_Total'!A$1:M$226,7,FALSE)</f>
        <v>34178702.049999997</v>
      </c>
      <c r="I42" s="11"/>
      <c r="J42" s="11">
        <f>'Table 1 Total'!L42-'Table 1A Life'!J42</f>
        <v>1146039.7151117995</v>
      </c>
      <c r="K42" s="11"/>
      <c r="L42" s="11">
        <f>'Table 1 Total'!N42-'Table 1A Life'!L42</f>
        <v>73148.012529461994</v>
      </c>
      <c r="M42" s="20"/>
      <c r="N42" s="71">
        <f t="shared" si="0"/>
        <v>2.1401635563121683E-3</v>
      </c>
    </row>
    <row r="43" spans="1:15" ht="13.5" x14ac:dyDescent="0.25">
      <c r="A43" s="77">
        <v>367.1</v>
      </c>
      <c r="B43" s="77"/>
      <c r="C43" s="21" t="s">
        <v>52</v>
      </c>
      <c r="D43" s="53" t="str">
        <f>_xlfn.CONCAT(VLOOKUP(A43,'ELG Whole Life_Total'!A$1:M$226,4,FALSE),"-",VLOOKUP('Table 1 Total'!A43,'ELG Whole Life_Total'!A$1:M$226,5,FALSE))</f>
        <v>50-R4</v>
      </c>
      <c r="E43" s="9"/>
      <c r="F43" s="10">
        <f>'Table 1 Total'!F43-'Table 1A Life'!F43</f>
        <v>-5</v>
      </c>
      <c r="G43" s="10"/>
      <c r="H43" s="11">
        <f>VLOOKUP(A43,'ELG Whole Life_Total'!A$1:M$226,7,FALSE)</f>
        <v>6266150.0199999996</v>
      </c>
      <c r="I43" s="11"/>
      <c r="J43" s="11">
        <f>'Table 1 Total'!L43-'Table 1A Life'!J43</f>
        <v>80763.55236775009</v>
      </c>
      <c r="K43" s="11"/>
      <c r="L43" s="11">
        <f>'Table 1 Total'!N43-'Table 1A Life'!L43</f>
        <v>6561.3296635230072</v>
      </c>
      <c r="M43" s="20"/>
      <c r="N43" s="71">
        <f t="shared" si="0"/>
        <v>1.0471070182777092E-3</v>
      </c>
    </row>
    <row r="44" spans="1:15" ht="13.5" x14ac:dyDescent="0.25">
      <c r="A44" s="77">
        <v>368</v>
      </c>
      <c r="B44" s="77"/>
      <c r="C44" s="21" t="s">
        <v>53</v>
      </c>
      <c r="D44" s="53" t="str">
        <f>_xlfn.CONCAT(VLOOKUP(A44,'ELG Whole Life_Total'!A$1:M$226,4,FALSE),"-",VLOOKUP('Table 1 Total'!A44,'ELG Whole Life_Total'!A$1:M$226,5,FALSE))</f>
        <v>45-R2.5</v>
      </c>
      <c r="E44" s="9"/>
      <c r="F44" s="10">
        <f>'Table 1 Total'!F44-'Table 1A Life'!F44</f>
        <v>-10</v>
      </c>
      <c r="G44" s="10"/>
      <c r="H44" s="11">
        <f>VLOOKUP(A44,'ELG Whole Life_Total'!A$1:M$226,7,FALSE)</f>
        <v>40867163.520000003</v>
      </c>
      <c r="I44" s="11"/>
      <c r="J44" s="11">
        <f>'Table 1 Total'!L44-'Table 1A Life'!J44</f>
        <v>1427854.7135290988</v>
      </c>
      <c r="K44" s="11"/>
      <c r="L44" s="11">
        <f>'Table 1 Total'!N44-'Table 1A Life'!L44</f>
        <v>98257.850972318905</v>
      </c>
      <c r="M44" s="20"/>
      <c r="N44" s="71">
        <f t="shared" si="0"/>
        <v>2.4043227498339211E-3</v>
      </c>
    </row>
    <row r="45" spans="1:15" ht="13.5" x14ac:dyDescent="0.25">
      <c r="A45" s="77">
        <v>370</v>
      </c>
      <c r="B45" s="77"/>
      <c r="C45" s="21" t="s">
        <v>54</v>
      </c>
      <c r="D45" s="53" t="str">
        <f>_xlfn.CONCAT(VLOOKUP(A45,'ELG Whole Life_Total'!A$1:M$226,4,FALSE),"-",VLOOKUP('Table 1 Total'!A45,'ELG Whole Life_Total'!A$1:M$226,5,FALSE))</f>
        <v>15-R0.5</v>
      </c>
      <c r="E45" s="9"/>
      <c r="F45" s="10">
        <f>'Table 1 Total'!F45-'Table 1A Life'!F45</f>
        <v>-2</v>
      </c>
      <c r="G45" s="10"/>
      <c r="H45" s="11">
        <f>VLOOKUP(A45,'ELG Whole Life_Total'!A$1:M$226,7,FALSE)</f>
        <v>2956566.08</v>
      </c>
      <c r="I45" s="11"/>
      <c r="J45" s="11">
        <f>'Table 1 Total'!L45-'Table 1A Life'!J45</f>
        <v>34745.448443499859</v>
      </c>
      <c r="K45" s="11"/>
      <c r="L45" s="11">
        <f>'Table 1 Total'!N45-'Table 1A Life'!L45</f>
        <v>3337.0789543589926</v>
      </c>
      <c r="M45" s="20"/>
      <c r="N45" s="71">
        <f t="shared" si="0"/>
        <v>1.1287009537628845E-3</v>
      </c>
    </row>
    <row r="46" spans="1:15" ht="13.5" x14ac:dyDescent="0.25">
      <c r="A46" s="77">
        <v>371</v>
      </c>
      <c r="B46" s="77"/>
      <c r="C46" s="21" t="s">
        <v>55</v>
      </c>
      <c r="D46" s="53" t="str">
        <f>_xlfn.CONCAT(VLOOKUP(A46,'ELG Whole Life_Total'!A$1:M$226,4,FALSE),"-",VLOOKUP('Table 1 Total'!A46,'ELG Whole Life_Total'!A$1:M$226,5,FALSE))</f>
        <v>15-R2.5</v>
      </c>
      <c r="E46" s="9"/>
      <c r="F46" s="10">
        <f>'Table 1 Total'!F46-'Table 1A Life'!F46</f>
        <v>0</v>
      </c>
      <c r="G46" s="10"/>
      <c r="H46" s="11">
        <f>VLOOKUP(A46,'ELG Whole Life_Total'!A$1:M$226,7,FALSE)</f>
        <v>173069.17</v>
      </c>
      <c r="I46" s="11"/>
      <c r="J46" s="11">
        <f>'Table 1 Total'!L46-'Table 1A Life'!J46</f>
        <v>0</v>
      </c>
      <c r="K46" s="11"/>
      <c r="L46" s="11">
        <f>'Table 1 Total'!N46-'Table 1A Life'!L46</f>
        <v>0</v>
      </c>
      <c r="M46" s="20"/>
      <c r="N46" s="71">
        <f t="shared" si="0"/>
        <v>0</v>
      </c>
    </row>
    <row r="47" spans="1:15" ht="13.5" x14ac:dyDescent="0.25">
      <c r="A47" s="77">
        <v>373</v>
      </c>
      <c r="B47" s="77"/>
      <c r="C47" s="21" t="s">
        <v>56</v>
      </c>
      <c r="D47" s="53" t="str">
        <f>_xlfn.CONCAT(VLOOKUP(A47,'ELG Whole Life_Total'!A$1:M$226,4,FALSE),"-",VLOOKUP('Table 1 Total'!A47,'ELG Whole Life_Total'!A$1:M$226,5,FALSE))</f>
        <v>30-R3</v>
      </c>
      <c r="E47" s="9"/>
      <c r="F47" s="10">
        <f>'Table 1 Total'!F47-'Table 1A Life'!F47</f>
        <v>-10</v>
      </c>
      <c r="G47" s="10"/>
      <c r="H47" s="11">
        <f>VLOOKUP(A47,'ELG Whole Life_Total'!A$1:M$226,7,FALSE)</f>
        <v>13636686.9</v>
      </c>
      <c r="I47" s="11"/>
      <c r="J47" s="11">
        <f>'Table 1 Total'!L47-'Table 1A Life'!J47</f>
        <v>702003.20828658063</v>
      </c>
      <c r="K47" s="11"/>
      <c r="L47" s="11">
        <f>'Table 1 Total'!N47-'Table 1A Life'!L47</f>
        <v>44856.154667415016</v>
      </c>
      <c r="M47" s="20"/>
      <c r="N47" s="71">
        <f t="shared" si="0"/>
        <v>3.2893733643921249E-3</v>
      </c>
    </row>
    <row r="48" spans="1:15" ht="13.5" x14ac:dyDescent="0.25">
      <c r="A48" s="77">
        <v>373.1</v>
      </c>
      <c r="B48" s="77"/>
      <c r="C48" s="21" t="s">
        <v>57</v>
      </c>
      <c r="D48" s="53" t="str">
        <f>_xlfn.CONCAT(VLOOKUP(A48,'ELG Whole Life_Total'!A$1:M$226,4,FALSE),"-",VLOOKUP('Table 1 Total'!A48,'ELG Whole Life_Total'!A$1:M$226,5,FALSE))</f>
        <v>23-R2</v>
      </c>
      <c r="E48" s="9"/>
      <c r="F48" s="10">
        <f>'Table 1 Total'!F48-'Table 1A Life'!F48</f>
        <v>10</v>
      </c>
      <c r="G48" s="10"/>
      <c r="H48" s="81">
        <f>VLOOKUP(A48,'ELG Whole Life_Total'!A$1:M$226,7,FALSE)</f>
        <v>285488.05</v>
      </c>
      <c r="I48" s="11"/>
      <c r="J48" s="81">
        <f>'Table 1 Total'!L48-'Table 1A Life'!J48</f>
        <v>-27064.923201347992</v>
      </c>
      <c r="K48" s="11"/>
      <c r="L48" s="81">
        <f>'Table 1 Total'!N48-'Table 1A Life'!L48</f>
        <v>-519.28746728202077</v>
      </c>
      <c r="M48" s="20"/>
      <c r="N48" s="98">
        <f t="shared" si="0"/>
        <v>-1.8189464227382575E-3</v>
      </c>
    </row>
    <row r="49" spans="1:14" ht="14" x14ac:dyDescent="0.3">
      <c r="A49" s="14" t="s">
        <v>58</v>
      </c>
      <c r="B49" s="14"/>
      <c r="D49" s="53"/>
      <c r="E49" s="9"/>
      <c r="F49" s="10"/>
      <c r="G49" s="10"/>
      <c r="H49" s="25">
        <f>_xlfn.IFNA(SUM(H36:H48),0)</f>
        <v>196378886.72000003</v>
      </c>
      <c r="I49" s="11"/>
      <c r="J49" s="25">
        <f>_xlfn.IFNA(SUM(J36:J48),0)</f>
        <v>7486605.1806580462</v>
      </c>
      <c r="K49" s="11"/>
      <c r="L49" s="25">
        <f>_xlfn.IFNA(SUM(L36:L48),0)</f>
        <v>504998.62320968416</v>
      </c>
      <c r="M49" s="20"/>
      <c r="N49" s="86">
        <f t="shared" si="0"/>
        <v>2.5715525311522862E-3</v>
      </c>
    </row>
    <row r="50" spans="1:14" ht="13.5" x14ac:dyDescent="0.25">
      <c r="A50" s="15"/>
      <c r="B50" s="15"/>
      <c r="D50" s="53"/>
      <c r="E50" s="9"/>
      <c r="F50" s="10"/>
      <c r="G50" s="10"/>
      <c r="H50" s="11"/>
      <c r="I50" s="11"/>
      <c r="J50" s="11"/>
      <c r="K50" s="11"/>
      <c r="L50" s="11"/>
      <c r="M50" s="20"/>
      <c r="N50" s="71"/>
    </row>
    <row r="51" spans="1:14" ht="14" x14ac:dyDescent="0.3">
      <c r="A51" s="14" t="s">
        <v>59</v>
      </c>
      <c r="B51" s="14"/>
      <c r="D51" s="53"/>
      <c r="E51" s="9"/>
      <c r="F51" s="10"/>
      <c r="G51" s="10"/>
      <c r="H51" s="11"/>
      <c r="I51" s="11"/>
      <c r="J51" s="11"/>
      <c r="K51" s="11"/>
      <c r="L51" s="11"/>
      <c r="M51" s="20"/>
      <c r="N51" s="71"/>
    </row>
    <row r="52" spans="1:14" ht="13.5" x14ac:dyDescent="0.25">
      <c r="A52" s="77">
        <v>390</v>
      </c>
      <c r="B52" s="77"/>
      <c r="C52" s="21" t="s">
        <v>27</v>
      </c>
      <c r="D52" s="53" t="str">
        <f>_xlfn.CONCAT(VLOOKUP(A52,'ELG Whole Life_Total'!A$1:M$296,4,FALSE),"-",VLOOKUP('Table 1 Total'!A52,'ELG Whole Life_Total'!A$1:M$296,5,FALSE))</f>
        <v>40-L3</v>
      </c>
      <c r="E52" s="9"/>
      <c r="F52" s="10">
        <f>'Table 1 Total'!F52-'Table 1A Life'!F52</f>
        <v>-5</v>
      </c>
      <c r="G52" s="10"/>
      <c r="H52" s="11">
        <f>VLOOKUP(A52,'ELG Whole Life_Total'!A$1:M$296,7,FALSE)</f>
        <v>5197272.37</v>
      </c>
      <c r="I52" s="11"/>
      <c r="J52" s="11">
        <f>'Table 1 Total'!L52-'Table 1A Life'!J52</f>
        <v>134579.35787315993</v>
      </c>
      <c r="K52" s="11"/>
      <c r="L52" s="11">
        <f>'Table 1 Total'!N52-'Table 1A Life'!L52</f>
        <v>6542.4166038770054</v>
      </c>
      <c r="M52" s="20"/>
      <c r="N52" s="71">
        <f t="shared" si="0"/>
        <v>1.2588173445828095E-3</v>
      </c>
    </row>
    <row r="53" spans="1:14" ht="13.5" x14ac:dyDescent="0.25">
      <c r="A53" s="77">
        <v>390.01</v>
      </c>
      <c r="B53" s="77"/>
      <c r="C53" s="21" t="s">
        <v>60</v>
      </c>
      <c r="D53" s="53" t="str">
        <f>_xlfn.CONCAT(VLOOKUP(A53,'ELG Whole Life_Total'!A$1:M$296,4,FALSE),"-",VLOOKUP('Table 1 Total'!A53,'ELG Whole Life_Total'!A$1:M$296,5,FALSE))</f>
        <v>40-R3</v>
      </c>
      <c r="E53" s="9"/>
      <c r="F53" s="10">
        <f>'Table 1 Total'!F53-'Table 1A Life'!F53</f>
        <v>0</v>
      </c>
      <c r="G53" s="10"/>
      <c r="H53" s="11">
        <f>VLOOKUP(A53,'ELG Whole Life_Total'!A$1:M$296,7,FALSE)</f>
        <v>451552.45</v>
      </c>
      <c r="I53" s="11"/>
      <c r="J53" s="11">
        <f>'Table 1 Total'!L53-'Table 1A Life'!J53</f>
        <v>0</v>
      </c>
      <c r="K53" s="11"/>
      <c r="L53" s="11">
        <f>'Table 1 Total'!N53-'Table 1A Life'!L53</f>
        <v>0</v>
      </c>
      <c r="M53" s="20"/>
      <c r="N53" s="71">
        <f t="shared" si="0"/>
        <v>0</v>
      </c>
    </row>
    <row r="54" spans="1:14" ht="13.5" x14ac:dyDescent="0.25">
      <c r="A54" s="77">
        <v>391</v>
      </c>
      <c r="B54" s="77"/>
      <c r="C54" s="21" t="s">
        <v>61</v>
      </c>
      <c r="D54" s="53" t="str">
        <f>_xlfn.CONCAT(VLOOKUP(A54,'ELG Whole Life_Total'!A$1:M$296,4,FALSE),"-",VLOOKUP('Table 1 Total'!A54,'ELG Whole Life_Total'!A$1:M$296,5,FALSE))</f>
        <v>15-SQ</v>
      </c>
      <c r="E54" s="9"/>
      <c r="F54" s="10">
        <f>'Table 1 Total'!F54-'Table 1A Life'!F54</f>
        <v>0</v>
      </c>
      <c r="G54" s="10"/>
      <c r="H54" s="11">
        <f>VLOOKUP(A54,'ELG Whole Life_Total'!A$1:M$296,7,FALSE)</f>
        <v>277519.56</v>
      </c>
      <c r="I54" s="11"/>
      <c r="J54" s="11">
        <f>'Table 1 Total'!L54-'Table 1A Life'!J54</f>
        <v>0</v>
      </c>
      <c r="K54" s="11"/>
      <c r="L54" s="11">
        <f>'Table 1 Total'!N54-'Table 1A Life'!L54</f>
        <v>0</v>
      </c>
      <c r="M54" s="20"/>
      <c r="N54" s="71">
        <f t="shared" si="0"/>
        <v>0</v>
      </c>
    </row>
    <row r="55" spans="1:14" ht="13.5" x14ac:dyDescent="0.25">
      <c r="A55" s="77">
        <v>391.1</v>
      </c>
      <c r="B55" s="77"/>
      <c r="C55" s="21" t="s">
        <v>62</v>
      </c>
      <c r="D55" s="53" t="str">
        <f>_xlfn.CONCAT(VLOOKUP(A55,'ELG Whole Life_Total'!A$1:M$296,4,FALSE),"-",VLOOKUP('Table 1 Total'!A55,'ELG Whole Life_Total'!A$1:M$296,5,FALSE))</f>
        <v>5-SQ</v>
      </c>
      <c r="E55" s="9"/>
      <c r="F55" s="10">
        <f>'Table 1 Total'!F55-'Table 1A Life'!F55</f>
        <v>0</v>
      </c>
      <c r="G55" s="10"/>
      <c r="H55" s="11">
        <f>VLOOKUP(A55,'ELG Whole Life_Total'!A$1:M$296,7,FALSE)</f>
        <v>60706.99</v>
      </c>
      <c r="I55" s="11"/>
      <c r="J55" s="11">
        <f>'Table 1 Total'!L55-'Table 1A Life'!J55</f>
        <v>0</v>
      </c>
      <c r="K55" s="11"/>
      <c r="L55" s="11">
        <f>'Table 1 Total'!N55-'Table 1A Life'!L55</f>
        <v>0</v>
      </c>
      <c r="M55" s="20"/>
      <c r="N55" s="71">
        <f t="shared" si="0"/>
        <v>0</v>
      </c>
    </row>
    <row r="56" spans="1:14" ht="13.5" x14ac:dyDescent="0.25">
      <c r="A56" s="77">
        <v>391.22</v>
      </c>
      <c r="B56" s="77"/>
      <c r="C56" s="21" t="s">
        <v>63</v>
      </c>
      <c r="D56" s="53" t="str">
        <f>_xlfn.CONCAT(VLOOKUP(A56,'ELG Whole Life_Total'!A$1:M$296,4,FALSE),"-",VLOOKUP('Table 1 Total'!A56,'ELG Whole Life_Total'!A$1:M$296,5,FALSE))</f>
        <v>10-SQ</v>
      </c>
      <c r="E56" s="9"/>
      <c r="F56" s="10">
        <f>'Table 1 Total'!F56-'Table 1A Life'!F56</f>
        <v>0</v>
      </c>
      <c r="G56" s="10"/>
      <c r="H56" s="11">
        <f>VLOOKUP(A56,'ELG Whole Life_Total'!A$1:M$296,7,FALSE)</f>
        <v>777424.93</v>
      </c>
      <c r="I56" s="11"/>
      <c r="J56" s="11">
        <f>'Table 1 Total'!L56-'Table 1A Life'!J56</f>
        <v>0</v>
      </c>
      <c r="K56" s="11"/>
      <c r="L56" s="11">
        <f>'Table 1 Total'!N56-'Table 1A Life'!L56</f>
        <v>0</v>
      </c>
      <c r="M56" s="20"/>
      <c r="N56" s="71">
        <f t="shared" si="0"/>
        <v>0</v>
      </c>
    </row>
    <row r="57" spans="1:14" ht="13.5" x14ac:dyDescent="0.25">
      <c r="A57" s="77">
        <v>392.2</v>
      </c>
      <c r="B57" s="77"/>
      <c r="C57" s="21" t="s">
        <v>64</v>
      </c>
      <c r="D57" s="53" t="str">
        <f>_xlfn.CONCAT(VLOOKUP(A57,'ELG Whole Life_Total'!A$1:M$296,4,FALSE),"-",VLOOKUP('Table 1 Total'!A57,'ELG Whole Life_Total'!A$1:M$296,5,FALSE))</f>
        <v>12-L3</v>
      </c>
      <c r="E57" s="9"/>
      <c r="F57" s="10">
        <f>'Table 1 Total'!F57-'Table 1A Life'!F57</f>
        <v>10</v>
      </c>
      <c r="G57" s="10"/>
      <c r="H57" s="11">
        <f>VLOOKUP(A57,'ELG Whole Life_Total'!A$1:M$296,7,FALSE)</f>
        <v>2955681.54</v>
      </c>
      <c r="I57" s="11"/>
      <c r="J57" s="11">
        <f>'Table 1 Total'!L57-'Table 1A Life'!J57</f>
        <v>-140908.18851100001</v>
      </c>
      <c r="K57" s="11"/>
      <c r="L57" s="11">
        <f>'Table 1 Total'!N57-'Table 1A Life'!L57</f>
        <v>-24927.768265786988</v>
      </c>
      <c r="M57" s="20"/>
      <c r="N57" s="71">
        <f t="shared" si="0"/>
        <v>-8.4338478041132217E-3</v>
      </c>
    </row>
    <row r="58" spans="1:14" ht="13.5" x14ac:dyDescent="0.25">
      <c r="A58" s="77">
        <v>392.3</v>
      </c>
      <c r="B58" s="77"/>
      <c r="C58" s="21" t="s">
        <v>65</v>
      </c>
      <c r="D58" s="53" t="str">
        <f>_xlfn.CONCAT(VLOOKUP(A58,'ELG Whole Life_Total'!A$1:M$296,4,FALSE),"-",VLOOKUP('Table 1 Total'!A58,'ELG Whole Life_Total'!A$1:M$296,5,FALSE))</f>
        <v>15-L3</v>
      </c>
      <c r="E58" s="9"/>
      <c r="F58" s="10">
        <f>'Table 1 Total'!F58-'Table 1A Life'!F58</f>
        <v>0</v>
      </c>
      <c r="G58" s="10"/>
      <c r="H58" s="11">
        <f>VLOOKUP(A58,'ELG Whole Life_Total'!A$1:M$296,7,FALSE)</f>
        <v>2756972.29</v>
      </c>
      <c r="I58" s="11"/>
      <c r="J58" s="11">
        <f>'Table 1 Total'!L58-'Table 1A Life'!J58</f>
        <v>0</v>
      </c>
      <c r="K58" s="11"/>
      <c r="L58" s="11">
        <f>'Table 1 Total'!N58-'Table 1A Life'!L58</f>
        <v>0</v>
      </c>
      <c r="M58" s="20"/>
      <c r="N58" s="71">
        <f t="shared" si="0"/>
        <v>0</v>
      </c>
    </row>
    <row r="59" spans="1:14" ht="13.5" x14ac:dyDescent="0.25">
      <c r="A59" s="77">
        <v>392.4</v>
      </c>
      <c r="B59" s="77"/>
      <c r="C59" s="21" t="s">
        <v>66</v>
      </c>
      <c r="D59" s="53" t="str">
        <f>_xlfn.CONCAT(VLOOKUP(A59,'ELG Whole Life_Total'!A$1:M$296,4,FALSE),"-",VLOOKUP('Table 1 Total'!A59,'ELG Whole Life_Total'!A$1:M$296,5,FALSE))</f>
        <v>12-L0</v>
      </c>
      <c r="E59" s="9"/>
      <c r="F59" s="10">
        <f>'Table 1 Total'!F59-'Table 1A Life'!F59</f>
        <v>0</v>
      </c>
      <c r="G59" s="10"/>
      <c r="H59" s="11">
        <f>VLOOKUP(A59,'ELG Whole Life_Total'!A$1:M$296,7,FALSE)</f>
        <v>231502.9</v>
      </c>
      <c r="I59" s="11"/>
      <c r="J59" s="11">
        <f>'Table 1 Total'!L59-'Table 1A Life'!J59</f>
        <v>0</v>
      </c>
      <c r="K59" s="11"/>
      <c r="L59" s="11">
        <f>'Table 1 Total'!N59-'Table 1A Life'!L59</f>
        <v>0</v>
      </c>
      <c r="M59" s="20"/>
      <c r="N59" s="71">
        <f t="shared" si="0"/>
        <v>0</v>
      </c>
    </row>
    <row r="60" spans="1:14" ht="13.5" x14ac:dyDescent="0.25">
      <c r="A60" s="77">
        <v>394</v>
      </c>
      <c r="B60" s="77"/>
      <c r="C60" s="21" t="s">
        <v>67</v>
      </c>
      <c r="D60" s="53" t="str">
        <f>_xlfn.CONCAT(VLOOKUP(A60,'ELG Whole Life_Total'!A$1:M$296,4,FALSE),"-",VLOOKUP('Table 1 Total'!A60,'ELG Whole Life_Total'!A$1:M$296,5,FALSE))</f>
        <v>15-SQ</v>
      </c>
      <c r="E60" s="9"/>
      <c r="F60" s="10">
        <f>'Table 1 Total'!F60-'Table 1A Life'!F60</f>
        <v>0</v>
      </c>
      <c r="G60" s="10"/>
      <c r="H60" s="81">
        <f>VLOOKUP(A60,'ELG Whole Life_Total'!A$1:M$296,7,FALSE)</f>
        <v>1712700.03</v>
      </c>
      <c r="I60" s="11"/>
      <c r="J60" s="81">
        <f>'Table 1 Total'!L60-'Table 1A Life'!J60</f>
        <v>0</v>
      </c>
      <c r="K60" s="11"/>
      <c r="L60" s="81">
        <f>'Table 1 Total'!N60-'Table 1A Life'!L60</f>
        <v>0</v>
      </c>
      <c r="M60" s="20"/>
      <c r="N60" s="98">
        <f t="shared" si="0"/>
        <v>0</v>
      </c>
    </row>
    <row r="61" spans="1:14" ht="14" x14ac:dyDescent="0.3">
      <c r="A61" s="14" t="s">
        <v>68</v>
      </c>
      <c r="B61" s="14"/>
      <c r="D61" s="53"/>
      <c r="E61" s="9"/>
      <c r="F61" s="10"/>
      <c r="G61" s="10"/>
      <c r="H61" s="25">
        <f>_xlfn.IFNA(SUM(H52:H60),0)</f>
        <v>14421333.059999999</v>
      </c>
      <c r="I61" s="11"/>
      <c r="J61" s="25">
        <f>_xlfn.IFNA(SUM(J52:J60),0)</f>
        <v>-6328.8306378400885</v>
      </c>
      <c r="K61" s="11"/>
      <c r="L61" s="25">
        <f>_xlfn.IFNA(SUM(L52:L60),0)</f>
        <v>-18385.351661909983</v>
      </c>
      <c r="M61" s="20"/>
      <c r="N61" s="86">
        <f t="shared" si="0"/>
        <v>-1.2748718572282932E-3</v>
      </c>
    </row>
    <row r="62" spans="1:14" ht="13.5" x14ac:dyDescent="0.25">
      <c r="A62" s="15"/>
      <c r="B62" s="15"/>
      <c r="D62" s="53"/>
      <c r="E62" s="9"/>
      <c r="F62" s="10"/>
      <c r="G62" s="10"/>
      <c r="H62" s="11"/>
      <c r="I62" s="11"/>
      <c r="J62" s="11"/>
      <c r="K62" s="11"/>
      <c r="L62" s="11"/>
      <c r="M62" s="20"/>
      <c r="N62" s="71"/>
    </row>
    <row r="63" spans="1:14" ht="14" x14ac:dyDescent="0.3">
      <c r="A63" s="14" t="s">
        <v>69</v>
      </c>
      <c r="B63" s="31"/>
      <c r="C63" s="31"/>
      <c r="D63" s="53"/>
      <c r="E63" s="9"/>
      <c r="F63" s="10"/>
      <c r="G63" s="10"/>
      <c r="H63" s="91">
        <f>SUM(H61,H49,H33,H27,H18)</f>
        <v>265766419.10000002</v>
      </c>
      <c r="I63" s="25"/>
      <c r="J63" s="91">
        <f>SUM(J61,J49,J33,J27,J18)</f>
        <v>7886724.6726440042</v>
      </c>
      <c r="K63" s="25"/>
      <c r="L63" s="91">
        <f>SUM(L61,L49,L33,L27,L18)</f>
        <v>534438.68204324576</v>
      </c>
      <c r="M63" s="64"/>
      <c r="N63" s="108">
        <f t="shared" ref="N63" si="3">L63/H63</f>
        <v>2.0109338262263763E-3</v>
      </c>
    </row>
    <row r="64" spans="1:14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87"/>
    </row>
  </sheetData>
  <conditionalFormatting sqref="A9:N64">
    <cfRule type="expression" dxfId="21" priority="1">
      <formula>MOD(ROW(),2)=0</formula>
    </cfRule>
  </conditionalFormatting>
  <conditionalFormatting sqref="AE9:XFD12 AE14:XFD19">
    <cfRule type="expression" dxfId="20" priority="4">
      <formula>MOD(ROW(),2)=0</formula>
    </cfRule>
  </conditionalFormatting>
  <printOptions horizontalCentered="1"/>
  <pageMargins left="0.5" right="0.5" top="0.4" bottom="0.4" header="0.3" footer="0.3"/>
  <pageSetup scale="75" orientation="landscape" r:id="rId1"/>
  <headerFooter>
    <oddHeader>&amp;R&amp;"Arial,Bold"Attachment 4
&amp;A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45C8-83E2-410E-89C5-31F927B723E5}">
  <dimension ref="A1:AL69"/>
  <sheetViews>
    <sheetView zoomScaleNormal="100" workbookViewId="0">
      <pane ySplit="7" topLeftCell="A48" activePane="bottomLeft" state="frozen"/>
      <selection activeCell="A7" sqref="A7"/>
      <selection pane="bottomLeft" activeCell="I56" sqref="I56"/>
    </sheetView>
  </sheetViews>
  <sheetFormatPr defaultRowHeight="12.5" x14ac:dyDescent="0.25"/>
  <cols>
    <col min="1" max="1" width="8.7265625" style="21" customWidth="1"/>
    <col min="2" max="2" width="2.81640625" style="21" customWidth="1"/>
    <col min="3" max="3" width="49.81640625" style="1" customWidth="1"/>
    <col min="4" max="4" width="2.7265625" style="1" customWidth="1"/>
    <col min="5" max="5" width="17.26953125" style="48" bestFit="1" customWidth="1"/>
    <col min="6" max="6" width="2.1796875" style="2" customWidth="1"/>
    <col min="7" max="7" width="17.26953125" style="34" bestFit="1" customWidth="1"/>
    <col min="8" max="8" width="2.26953125" style="2" customWidth="1"/>
    <col min="9" max="9" width="16" style="34" bestFit="1" customWidth="1"/>
    <col min="10" max="10" width="2.26953125" style="2" customWidth="1"/>
    <col min="11" max="11" width="15.7265625" style="2" bestFit="1" customWidth="1"/>
    <col min="12" max="12" width="2.26953125" style="2" customWidth="1"/>
    <col min="13" max="13" width="12.453125" style="2" bestFit="1" customWidth="1"/>
    <col min="14" max="14" width="2.26953125" style="2" customWidth="1"/>
    <col min="15" max="15" width="9.81640625" style="2" bestFit="1" customWidth="1"/>
    <col min="16" max="16" width="2.26953125" style="2" customWidth="1"/>
    <col min="17" max="17" width="13.7265625" style="34" bestFit="1" customWidth="1"/>
    <col min="18" max="18" width="2.7265625" style="1" customWidth="1"/>
    <col min="19" max="19" width="9" style="1" customWidth="1"/>
    <col min="20" max="20" width="23.81640625" style="33" hidden="1" customWidth="1"/>
    <col min="21" max="21" width="11.1796875" style="1" bestFit="1" customWidth="1"/>
    <col min="22" max="254" width="9.1796875" style="1"/>
    <col min="255" max="255" width="12" style="1" customWidth="1"/>
    <col min="256" max="256" width="2.26953125" style="1" customWidth="1"/>
    <col min="257" max="257" width="49.81640625" style="1" customWidth="1"/>
    <col min="258" max="258" width="2.26953125" style="1" customWidth="1"/>
    <col min="259" max="259" width="13.54296875" style="1" customWidth="1"/>
    <col min="260" max="260" width="2.26953125" style="1" customWidth="1"/>
    <col min="261" max="261" width="17.81640625" style="1" bestFit="1" customWidth="1"/>
    <col min="262" max="262" width="2.1796875" style="1" customWidth="1"/>
    <col min="263" max="263" width="17.453125" style="1" bestFit="1" customWidth="1"/>
    <col min="264" max="264" width="2.26953125" style="1" customWidth="1"/>
    <col min="265" max="265" width="18.453125" style="1" customWidth="1"/>
    <col min="266" max="266" width="2.26953125" style="1" customWidth="1"/>
    <col min="267" max="267" width="16.81640625" style="1" customWidth="1"/>
    <col min="268" max="268" width="2.26953125" style="1" customWidth="1"/>
    <col min="269" max="269" width="15.1796875" style="1" customWidth="1"/>
    <col min="270" max="270" width="2.26953125" style="1" customWidth="1"/>
    <col min="271" max="271" width="11.453125" style="1" customWidth="1"/>
    <col min="272" max="272" width="2.26953125" style="1" customWidth="1"/>
    <col min="273" max="273" width="15.1796875" style="1" bestFit="1" customWidth="1"/>
    <col min="274" max="274" width="3.26953125" style="1" customWidth="1"/>
    <col min="275" max="275" width="9.1796875" style="1"/>
    <col min="276" max="276" width="23.81640625" style="1" customWidth="1"/>
    <col min="277" max="510" width="9.1796875" style="1"/>
    <col min="511" max="511" width="12" style="1" customWidth="1"/>
    <col min="512" max="512" width="2.26953125" style="1" customWidth="1"/>
    <col min="513" max="513" width="49.81640625" style="1" customWidth="1"/>
    <col min="514" max="514" width="2.26953125" style="1" customWidth="1"/>
    <col min="515" max="515" width="13.54296875" style="1" customWidth="1"/>
    <col min="516" max="516" width="2.26953125" style="1" customWidth="1"/>
    <col min="517" max="517" width="17.81640625" style="1" bestFit="1" customWidth="1"/>
    <col min="518" max="518" width="2.1796875" style="1" customWidth="1"/>
    <col min="519" max="519" width="17.453125" style="1" bestFit="1" customWidth="1"/>
    <col min="520" max="520" width="2.26953125" style="1" customWidth="1"/>
    <col min="521" max="521" width="18.453125" style="1" customWidth="1"/>
    <col min="522" max="522" width="2.26953125" style="1" customWidth="1"/>
    <col min="523" max="523" width="16.81640625" style="1" customWidth="1"/>
    <col min="524" max="524" width="2.26953125" style="1" customWidth="1"/>
    <col min="525" max="525" width="15.1796875" style="1" customWidth="1"/>
    <col min="526" max="526" width="2.26953125" style="1" customWidth="1"/>
    <col min="527" max="527" width="11.453125" style="1" customWidth="1"/>
    <col min="528" max="528" width="2.26953125" style="1" customWidth="1"/>
    <col min="529" max="529" width="15.1796875" style="1" bestFit="1" customWidth="1"/>
    <col min="530" max="530" width="3.26953125" style="1" customWidth="1"/>
    <col min="531" max="531" width="9.1796875" style="1"/>
    <col min="532" max="532" width="23.81640625" style="1" customWidth="1"/>
    <col min="533" max="766" width="9.1796875" style="1"/>
    <col min="767" max="767" width="12" style="1" customWidth="1"/>
    <col min="768" max="768" width="2.26953125" style="1" customWidth="1"/>
    <col min="769" max="769" width="49.81640625" style="1" customWidth="1"/>
    <col min="770" max="770" width="2.26953125" style="1" customWidth="1"/>
    <col min="771" max="771" width="13.54296875" style="1" customWidth="1"/>
    <col min="772" max="772" width="2.26953125" style="1" customWidth="1"/>
    <col min="773" max="773" width="17.81640625" style="1" bestFit="1" customWidth="1"/>
    <col min="774" max="774" width="2.1796875" style="1" customWidth="1"/>
    <col min="775" max="775" width="17.453125" style="1" bestFit="1" customWidth="1"/>
    <col min="776" max="776" width="2.26953125" style="1" customWidth="1"/>
    <col min="777" max="777" width="18.453125" style="1" customWidth="1"/>
    <col min="778" max="778" width="2.26953125" style="1" customWidth="1"/>
    <col min="779" max="779" width="16.81640625" style="1" customWidth="1"/>
    <col min="780" max="780" width="2.26953125" style="1" customWidth="1"/>
    <col min="781" max="781" width="15.1796875" style="1" customWidth="1"/>
    <col min="782" max="782" width="2.26953125" style="1" customWidth="1"/>
    <col min="783" max="783" width="11.453125" style="1" customWidth="1"/>
    <col min="784" max="784" width="2.26953125" style="1" customWidth="1"/>
    <col min="785" max="785" width="15.1796875" style="1" bestFit="1" customWidth="1"/>
    <col min="786" max="786" width="3.26953125" style="1" customWidth="1"/>
    <col min="787" max="787" width="9.1796875" style="1"/>
    <col min="788" max="788" width="23.81640625" style="1" customWidth="1"/>
    <col min="789" max="1022" width="9.1796875" style="1"/>
    <col min="1023" max="1023" width="12" style="1" customWidth="1"/>
    <col min="1024" max="1024" width="2.26953125" style="1" customWidth="1"/>
    <col min="1025" max="1025" width="49.81640625" style="1" customWidth="1"/>
    <col min="1026" max="1026" width="2.26953125" style="1" customWidth="1"/>
    <col min="1027" max="1027" width="13.54296875" style="1" customWidth="1"/>
    <col min="1028" max="1028" width="2.26953125" style="1" customWidth="1"/>
    <col min="1029" max="1029" width="17.81640625" style="1" bestFit="1" customWidth="1"/>
    <col min="1030" max="1030" width="2.1796875" style="1" customWidth="1"/>
    <col min="1031" max="1031" width="17.453125" style="1" bestFit="1" customWidth="1"/>
    <col min="1032" max="1032" width="2.26953125" style="1" customWidth="1"/>
    <col min="1033" max="1033" width="18.453125" style="1" customWidth="1"/>
    <col min="1034" max="1034" width="2.26953125" style="1" customWidth="1"/>
    <col min="1035" max="1035" width="16.81640625" style="1" customWidth="1"/>
    <col min="1036" max="1036" width="2.26953125" style="1" customWidth="1"/>
    <col min="1037" max="1037" width="15.1796875" style="1" customWidth="1"/>
    <col min="1038" max="1038" width="2.26953125" style="1" customWidth="1"/>
    <col min="1039" max="1039" width="11.453125" style="1" customWidth="1"/>
    <col min="1040" max="1040" width="2.26953125" style="1" customWidth="1"/>
    <col min="1041" max="1041" width="15.1796875" style="1" bestFit="1" customWidth="1"/>
    <col min="1042" max="1042" width="3.26953125" style="1" customWidth="1"/>
    <col min="1043" max="1043" width="9.1796875" style="1"/>
    <col min="1044" max="1044" width="23.81640625" style="1" customWidth="1"/>
    <col min="1045" max="1278" width="9.1796875" style="1"/>
    <col min="1279" max="1279" width="12" style="1" customWidth="1"/>
    <col min="1280" max="1280" width="2.26953125" style="1" customWidth="1"/>
    <col min="1281" max="1281" width="49.81640625" style="1" customWidth="1"/>
    <col min="1282" max="1282" width="2.26953125" style="1" customWidth="1"/>
    <col min="1283" max="1283" width="13.54296875" style="1" customWidth="1"/>
    <col min="1284" max="1284" width="2.26953125" style="1" customWidth="1"/>
    <col min="1285" max="1285" width="17.81640625" style="1" bestFit="1" customWidth="1"/>
    <col min="1286" max="1286" width="2.1796875" style="1" customWidth="1"/>
    <col min="1287" max="1287" width="17.453125" style="1" bestFit="1" customWidth="1"/>
    <col min="1288" max="1288" width="2.26953125" style="1" customWidth="1"/>
    <col min="1289" max="1289" width="18.453125" style="1" customWidth="1"/>
    <col min="1290" max="1290" width="2.26953125" style="1" customWidth="1"/>
    <col min="1291" max="1291" width="16.81640625" style="1" customWidth="1"/>
    <col min="1292" max="1292" width="2.26953125" style="1" customWidth="1"/>
    <col min="1293" max="1293" width="15.1796875" style="1" customWidth="1"/>
    <col min="1294" max="1294" width="2.26953125" style="1" customWidth="1"/>
    <col min="1295" max="1295" width="11.453125" style="1" customWidth="1"/>
    <col min="1296" max="1296" width="2.26953125" style="1" customWidth="1"/>
    <col min="1297" max="1297" width="15.1796875" style="1" bestFit="1" customWidth="1"/>
    <col min="1298" max="1298" width="3.26953125" style="1" customWidth="1"/>
    <col min="1299" max="1299" width="9.1796875" style="1"/>
    <col min="1300" max="1300" width="23.81640625" style="1" customWidth="1"/>
    <col min="1301" max="1534" width="9.1796875" style="1"/>
    <col min="1535" max="1535" width="12" style="1" customWidth="1"/>
    <col min="1536" max="1536" width="2.26953125" style="1" customWidth="1"/>
    <col min="1537" max="1537" width="49.81640625" style="1" customWidth="1"/>
    <col min="1538" max="1538" width="2.26953125" style="1" customWidth="1"/>
    <col min="1539" max="1539" width="13.54296875" style="1" customWidth="1"/>
    <col min="1540" max="1540" width="2.26953125" style="1" customWidth="1"/>
    <col min="1541" max="1541" width="17.81640625" style="1" bestFit="1" customWidth="1"/>
    <col min="1542" max="1542" width="2.1796875" style="1" customWidth="1"/>
    <col min="1543" max="1543" width="17.453125" style="1" bestFit="1" customWidth="1"/>
    <col min="1544" max="1544" width="2.26953125" style="1" customWidth="1"/>
    <col min="1545" max="1545" width="18.453125" style="1" customWidth="1"/>
    <col min="1546" max="1546" width="2.26953125" style="1" customWidth="1"/>
    <col min="1547" max="1547" width="16.81640625" style="1" customWidth="1"/>
    <col min="1548" max="1548" width="2.26953125" style="1" customWidth="1"/>
    <col min="1549" max="1549" width="15.1796875" style="1" customWidth="1"/>
    <col min="1550" max="1550" width="2.26953125" style="1" customWidth="1"/>
    <col min="1551" max="1551" width="11.453125" style="1" customWidth="1"/>
    <col min="1552" max="1552" width="2.26953125" style="1" customWidth="1"/>
    <col min="1553" max="1553" width="15.1796875" style="1" bestFit="1" customWidth="1"/>
    <col min="1554" max="1554" width="3.26953125" style="1" customWidth="1"/>
    <col min="1555" max="1555" width="9.1796875" style="1"/>
    <col min="1556" max="1556" width="23.81640625" style="1" customWidth="1"/>
    <col min="1557" max="1790" width="9.1796875" style="1"/>
    <col min="1791" max="1791" width="12" style="1" customWidth="1"/>
    <col min="1792" max="1792" width="2.26953125" style="1" customWidth="1"/>
    <col min="1793" max="1793" width="49.81640625" style="1" customWidth="1"/>
    <col min="1794" max="1794" width="2.26953125" style="1" customWidth="1"/>
    <col min="1795" max="1795" width="13.54296875" style="1" customWidth="1"/>
    <col min="1796" max="1796" width="2.26953125" style="1" customWidth="1"/>
    <col min="1797" max="1797" width="17.81640625" style="1" bestFit="1" customWidth="1"/>
    <col min="1798" max="1798" width="2.1796875" style="1" customWidth="1"/>
    <col min="1799" max="1799" width="17.453125" style="1" bestFit="1" customWidth="1"/>
    <col min="1800" max="1800" width="2.26953125" style="1" customWidth="1"/>
    <col min="1801" max="1801" width="18.453125" style="1" customWidth="1"/>
    <col min="1802" max="1802" width="2.26953125" style="1" customWidth="1"/>
    <col min="1803" max="1803" width="16.81640625" style="1" customWidth="1"/>
    <col min="1804" max="1804" width="2.26953125" style="1" customWidth="1"/>
    <col min="1805" max="1805" width="15.1796875" style="1" customWidth="1"/>
    <col min="1806" max="1806" width="2.26953125" style="1" customWidth="1"/>
    <col min="1807" max="1807" width="11.453125" style="1" customWidth="1"/>
    <col min="1808" max="1808" width="2.26953125" style="1" customWidth="1"/>
    <col min="1809" max="1809" width="15.1796875" style="1" bestFit="1" customWidth="1"/>
    <col min="1810" max="1810" width="3.26953125" style="1" customWidth="1"/>
    <col min="1811" max="1811" width="9.1796875" style="1"/>
    <col min="1812" max="1812" width="23.81640625" style="1" customWidth="1"/>
    <col min="1813" max="2046" width="9.1796875" style="1"/>
    <col min="2047" max="2047" width="12" style="1" customWidth="1"/>
    <col min="2048" max="2048" width="2.26953125" style="1" customWidth="1"/>
    <col min="2049" max="2049" width="49.81640625" style="1" customWidth="1"/>
    <col min="2050" max="2050" width="2.26953125" style="1" customWidth="1"/>
    <col min="2051" max="2051" width="13.54296875" style="1" customWidth="1"/>
    <col min="2052" max="2052" width="2.26953125" style="1" customWidth="1"/>
    <col min="2053" max="2053" width="17.81640625" style="1" bestFit="1" customWidth="1"/>
    <col min="2054" max="2054" width="2.1796875" style="1" customWidth="1"/>
    <col min="2055" max="2055" width="17.453125" style="1" bestFit="1" customWidth="1"/>
    <col min="2056" max="2056" width="2.26953125" style="1" customWidth="1"/>
    <col min="2057" max="2057" width="18.453125" style="1" customWidth="1"/>
    <col min="2058" max="2058" width="2.26953125" style="1" customWidth="1"/>
    <col min="2059" max="2059" width="16.81640625" style="1" customWidth="1"/>
    <col min="2060" max="2060" width="2.26953125" style="1" customWidth="1"/>
    <col min="2061" max="2061" width="15.1796875" style="1" customWidth="1"/>
    <col min="2062" max="2062" width="2.26953125" style="1" customWidth="1"/>
    <col min="2063" max="2063" width="11.453125" style="1" customWidth="1"/>
    <col min="2064" max="2064" width="2.26953125" style="1" customWidth="1"/>
    <col min="2065" max="2065" width="15.1796875" style="1" bestFit="1" customWidth="1"/>
    <col min="2066" max="2066" width="3.26953125" style="1" customWidth="1"/>
    <col min="2067" max="2067" width="9.1796875" style="1"/>
    <col min="2068" max="2068" width="23.81640625" style="1" customWidth="1"/>
    <col min="2069" max="2302" width="9.1796875" style="1"/>
    <col min="2303" max="2303" width="12" style="1" customWidth="1"/>
    <col min="2304" max="2304" width="2.26953125" style="1" customWidth="1"/>
    <col min="2305" max="2305" width="49.81640625" style="1" customWidth="1"/>
    <col min="2306" max="2306" width="2.26953125" style="1" customWidth="1"/>
    <col min="2307" max="2307" width="13.54296875" style="1" customWidth="1"/>
    <col min="2308" max="2308" width="2.26953125" style="1" customWidth="1"/>
    <col min="2309" max="2309" width="17.81640625" style="1" bestFit="1" customWidth="1"/>
    <col min="2310" max="2310" width="2.1796875" style="1" customWidth="1"/>
    <col min="2311" max="2311" width="17.453125" style="1" bestFit="1" customWidth="1"/>
    <col min="2312" max="2312" width="2.26953125" style="1" customWidth="1"/>
    <col min="2313" max="2313" width="18.453125" style="1" customWidth="1"/>
    <col min="2314" max="2314" width="2.26953125" style="1" customWidth="1"/>
    <col min="2315" max="2315" width="16.81640625" style="1" customWidth="1"/>
    <col min="2316" max="2316" width="2.26953125" style="1" customWidth="1"/>
    <col min="2317" max="2317" width="15.1796875" style="1" customWidth="1"/>
    <col min="2318" max="2318" width="2.26953125" style="1" customWidth="1"/>
    <col min="2319" max="2319" width="11.453125" style="1" customWidth="1"/>
    <col min="2320" max="2320" width="2.26953125" style="1" customWidth="1"/>
    <col min="2321" max="2321" width="15.1796875" style="1" bestFit="1" customWidth="1"/>
    <col min="2322" max="2322" width="3.26953125" style="1" customWidth="1"/>
    <col min="2323" max="2323" width="9.1796875" style="1"/>
    <col min="2324" max="2324" width="23.81640625" style="1" customWidth="1"/>
    <col min="2325" max="2558" width="9.1796875" style="1"/>
    <col min="2559" max="2559" width="12" style="1" customWidth="1"/>
    <col min="2560" max="2560" width="2.26953125" style="1" customWidth="1"/>
    <col min="2561" max="2561" width="49.81640625" style="1" customWidth="1"/>
    <col min="2562" max="2562" width="2.26953125" style="1" customWidth="1"/>
    <col min="2563" max="2563" width="13.54296875" style="1" customWidth="1"/>
    <col min="2564" max="2564" width="2.26953125" style="1" customWidth="1"/>
    <col min="2565" max="2565" width="17.81640625" style="1" bestFit="1" customWidth="1"/>
    <col min="2566" max="2566" width="2.1796875" style="1" customWidth="1"/>
    <col min="2567" max="2567" width="17.453125" style="1" bestFit="1" customWidth="1"/>
    <col min="2568" max="2568" width="2.26953125" style="1" customWidth="1"/>
    <col min="2569" max="2569" width="18.453125" style="1" customWidth="1"/>
    <col min="2570" max="2570" width="2.26953125" style="1" customWidth="1"/>
    <col min="2571" max="2571" width="16.81640625" style="1" customWidth="1"/>
    <col min="2572" max="2572" width="2.26953125" style="1" customWidth="1"/>
    <col min="2573" max="2573" width="15.1796875" style="1" customWidth="1"/>
    <col min="2574" max="2574" width="2.26953125" style="1" customWidth="1"/>
    <col min="2575" max="2575" width="11.453125" style="1" customWidth="1"/>
    <col min="2576" max="2576" width="2.26953125" style="1" customWidth="1"/>
    <col min="2577" max="2577" width="15.1796875" style="1" bestFit="1" customWidth="1"/>
    <col min="2578" max="2578" width="3.26953125" style="1" customWidth="1"/>
    <col min="2579" max="2579" width="9.1796875" style="1"/>
    <col min="2580" max="2580" width="23.81640625" style="1" customWidth="1"/>
    <col min="2581" max="2814" width="9.1796875" style="1"/>
    <col min="2815" max="2815" width="12" style="1" customWidth="1"/>
    <col min="2816" max="2816" width="2.26953125" style="1" customWidth="1"/>
    <col min="2817" max="2817" width="49.81640625" style="1" customWidth="1"/>
    <col min="2818" max="2818" width="2.26953125" style="1" customWidth="1"/>
    <col min="2819" max="2819" width="13.54296875" style="1" customWidth="1"/>
    <col min="2820" max="2820" width="2.26953125" style="1" customWidth="1"/>
    <col min="2821" max="2821" width="17.81640625" style="1" bestFit="1" customWidth="1"/>
    <col min="2822" max="2822" width="2.1796875" style="1" customWidth="1"/>
    <col min="2823" max="2823" width="17.453125" style="1" bestFit="1" customWidth="1"/>
    <col min="2824" max="2824" width="2.26953125" style="1" customWidth="1"/>
    <col min="2825" max="2825" width="18.453125" style="1" customWidth="1"/>
    <col min="2826" max="2826" width="2.26953125" style="1" customWidth="1"/>
    <col min="2827" max="2827" width="16.81640625" style="1" customWidth="1"/>
    <col min="2828" max="2828" width="2.26953125" style="1" customWidth="1"/>
    <col min="2829" max="2829" width="15.1796875" style="1" customWidth="1"/>
    <col min="2830" max="2830" width="2.26953125" style="1" customWidth="1"/>
    <col min="2831" max="2831" width="11.453125" style="1" customWidth="1"/>
    <col min="2832" max="2832" width="2.26953125" style="1" customWidth="1"/>
    <col min="2833" max="2833" width="15.1796875" style="1" bestFit="1" customWidth="1"/>
    <col min="2834" max="2834" width="3.26953125" style="1" customWidth="1"/>
    <col min="2835" max="2835" width="9.1796875" style="1"/>
    <col min="2836" max="2836" width="23.81640625" style="1" customWidth="1"/>
    <col min="2837" max="3070" width="9.1796875" style="1"/>
    <col min="3071" max="3071" width="12" style="1" customWidth="1"/>
    <col min="3072" max="3072" width="2.26953125" style="1" customWidth="1"/>
    <col min="3073" max="3073" width="49.81640625" style="1" customWidth="1"/>
    <col min="3074" max="3074" width="2.26953125" style="1" customWidth="1"/>
    <col min="3075" max="3075" width="13.54296875" style="1" customWidth="1"/>
    <col min="3076" max="3076" width="2.26953125" style="1" customWidth="1"/>
    <col min="3077" max="3077" width="17.81640625" style="1" bestFit="1" customWidth="1"/>
    <col min="3078" max="3078" width="2.1796875" style="1" customWidth="1"/>
    <col min="3079" max="3079" width="17.453125" style="1" bestFit="1" customWidth="1"/>
    <col min="3080" max="3080" width="2.26953125" style="1" customWidth="1"/>
    <col min="3081" max="3081" width="18.453125" style="1" customWidth="1"/>
    <col min="3082" max="3082" width="2.26953125" style="1" customWidth="1"/>
    <col min="3083" max="3083" width="16.81640625" style="1" customWidth="1"/>
    <col min="3084" max="3084" width="2.26953125" style="1" customWidth="1"/>
    <col min="3085" max="3085" width="15.1796875" style="1" customWidth="1"/>
    <col min="3086" max="3086" width="2.26953125" style="1" customWidth="1"/>
    <col min="3087" max="3087" width="11.453125" style="1" customWidth="1"/>
    <col min="3088" max="3088" width="2.26953125" style="1" customWidth="1"/>
    <col min="3089" max="3089" width="15.1796875" style="1" bestFit="1" customWidth="1"/>
    <col min="3090" max="3090" width="3.26953125" style="1" customWidth="1"/>
    <col min="3091" max="3091" width="9.1796875" style="1"/>
    <col min="3092" max="3092" width="23.81640625" style="1" customWidth="1"/>
    <col min="3093" max="3326" width="9.1796875" style="1"/>
    <col min="3327" max="3327" width="12" style="1" customWidth="1"/>
    <col min="3328" max="3328" width="2.26953125" style="1" customWidth="1"/>
    <col min="3329" max="3329" width="49.81640625" style="1" customWidth="1"/>
    <col min="3330" max="3330" width="2.26953125" style="1" customWidth="1"/>
    <col min="3331" max="3331" width="13.54296875" style="1" customWidth="1"/>
    <col min="3332" max="3332" width="2.26953125" style="1" customWidth="1"/>
    <col min="3333" max="3333" width="17.81640625" style="1" bestFit="1" customWidth="1"/>
    <col min="3334" max="3334" width="2.1796875" style="1" customWidth="1"/>
    <col min="3335" max="3335" width="17.453125" style="1" bestFit="1" customWidth="1"/>
    <col min="3336" max="3336" width="2.26953125" style="1" customWidth="1"/>
    <col min="3337" max="3337" width="18.453125" style="1" customWidth="1"/>
    <col min="3338" max="3338" width="2.26953125" style="1" customWidth="1"/>
    <col min="3339" max="3339" width="16.81640625" style="1" customWidth="1"/>
    <col min="3340" max="3340" width="2.26953125" style="1" customWidth="1"/>
    <col min="3341" max="3341" width="15.1796875" style="1" customWidth="1"/>
    <col min="3342" max="3342" width="2.26953125" style="1" customWidth="1"/>
    <col min="3343" max="3343" width="11.453125" style="1" customWidth="1"/>
    <col min="3344" max="3344" width="2.26953125" style="1" customWidth="1"/>
    <col min="3345" max="3345" width="15.1796875" style="1" bestFit="1" customWidth="1"/>
    <col min="3346" max="3346" width="3.26953125" style="1" customWidth="1"/>
    <col min="3347" max="3347" width="9.1796875" style="1"/>
    <col min="3348" max="3348" width="23.81640625" style="1" customWidth="1"/>
    <col min="3349" max="3582" width="9.1796875" style="1"/>
    <col min="3583" max="3583" width="12" style="1" customWidth="1"/>
    <col min="3584" max="3584" width="2.26953125" style="1" customWidth="1"/>
    <col min="3585" max="3585" width="49.81640625" style="1" customWidth="1"/>
    <col min="3586" max="3586" width="2.26953125" style="1" customWidth="1"/>
    <col min="3587" max="3587" width="13.54296875" style="1" customWidth="1"/>
    <col min="3588" max="3588" width="2.26953125" style="1" customWidth="1"/>
    <col min="3589" max="3589" width="17.81640625" style="1" bestFit="1" customWidth="1"/>
    <col min="3590" max="3590" width="2.1796875" style="1" customWidth="1"/>
    <col min="3591" max="3591" width="17.453125" style="1" bestFit="1" customWidth="1"/>
    <col min="3592" max="3592" width="2.26953125" style="1" customWidth="1"/>
    <col min="3593" max="3593" width="18.453125" style="1" customWidth="1"/>
    <col min="3594" max="3594" width="2.26953125" style="1" customWidth="1"/>
    <col min="3595" max="3595" width="16.81640625" style="1" customWidth="1"/>
    <col min="3596" max="3596" width="2.26953125" style="1" customWidth="1"/>
    <col min="3597" max="3597" width="15.1796875" style="1" customWidth="1"/>
    <col min="3598" max="3598" width="2.26953125" style="1" customWidth="1"/>
    <col min="3599" max="3599" width="11.453125" style="1" customWidth="1"/>
    <col min="3600" max="3600" width="2.26953125" style="1" customWidth="1"/>
    <col min="3601" max="3601" width="15.1796875" style="1" bestFit="1" customWidth="1"/>
    <col min="3602" max="3602" width="3.26953125" style="1" customWidth="1"/>
    <col min="3603" max="3603" width="9.1796875" style="1"/>
    <col min="3604" max="3604" width="23.81640625" style="1" customWidth="1"/>
    <col min="3605" max="3838" width="9.1796875" style="1"/>
    <col min="3839" max="3839" width="12" style="1" customWidth="1"/>
    <col min="3840" max="3840" width="2.26953125" style="1" customWidth="1"/>
    <col min="3841" max="3841" width="49.81640625" style="1" customWidth="1"/>
    <col min="3842" max="3842" width="2.26953125" style="1" customWidth="1"/>
    <col min="3843" max="3843" width="13.54296875" style="1" customWidth="1"/>
    <col min="3844" max="3844" width="2.26953125" style="1" customWidth="1"/>
    <col min="3845" max="3845" width="17.81640625" style="1" bestFit="1" customWidth="1"/>
    <col min="3846" max="3846" width="2.1796875" style="1" customWidth="1"/>
    <col min="3847" max="3847" width="17.453125" style="1" bestFit="1" customWidth="1"/>
    <col min="3848" max="3848" width="2.26953125" style="1" customWidth="1"/>
    <col min="3849" max="3849" width="18.453125" style="1" customWidth="1"/>
    <col min="3850" max="3850" width="2.26953125" style="1" customWidth="1"/>
    <col min="3851" max="3851" width="16.81640625" style="1" customWidth="1"/>
    <col min="3852" max="3852" width="2.26953125" style="1" customWidth="1"/>
    <col min="3853" max="3853" width="15.1796875" style="1" customWidth="1"/>
    <col min="3854" max="3854" width="2.26953125" style="1" customWidth="1"/>
    <col min="3855" max="3855" width="11.453125" style="1" customWidth="1"/>
    <col min="3856" max="3856" width="2.26953125" style="1" customWidth="1"/>
    <col min="3857" max="3857" width="15.1796875" style="1" bestFit="1" customWidth="1"/>
    <col min="3858" max="3858" width="3.26953125" style="1" customWidth="1"/>
    <col min="3859" max="3859" width="9.1796875" style="1"/>
    <col min="3860" max="3860" width="23.81640625" style="1" customWidth="1"/>
    <col min="3861" max="4094" width="9.1796875" style="1"/>
    <col min="4095" max="4095" width="12" style="1" customWidth="1"/>
    <col min="4096" max="4096" width="2.26953125" style="1" customWidth="1"/>
    <col min="4097" max="4097" width="49.81640625" style="1" customWidth="1"/>
    <col min="4098" max="4098" width="2.26953125" style="1" customWidth="1"/>
    <col min="4099" max="4099" width="13.54296875" style="1" customWidth="1"/>
    <col min="4100" max="4100" width="2.26953125" style="1" customWidth="1"/>
    <col min="4101" max="4101" width="17.81640625" style="1" bestFit="1" customWidth="1"/>
    <col min="4102" max="4102" width="2.1796875" style="1" customWidth="1"/>
    <col min="4103" max="4103" width="17.453125" style="1" bestFit="1" customWidth="1"/>
    <col min="4104" max="4104" width="2.26953125" style="1" customWidth="1"/>
    <col min="4105" max="4105" width="18.453125" style="1" customWidth="1"/>
    <col min="4106" max="4106" width="2.26953125" style="1" customWidth="1"/>
    <col min="4107" max="4107" width="16.81640625" style="1" customWidth="1"/>
    <col min="4108" max="4108" width="2.26953125" style="1" customWidth="1"/>
    <col min="4109" max="4109" width="15.1796875" style="1" customWidth="1"/>
    <col min="4110" max="4110" width="2.26953125" style="1" customWidth="1"/>
    <col min="4111" max="4111" width="11.453125" style="1" customWidth="1"/>
    <col min="4112" max="4112" width="2.26953125" style="1" customWidth="1"/>
    <col min="4113" max="4113" width="15.1796875" style="1" bestFit="1" customWidth="1"/>
    <col min="4114" max="4114" width="3.26953125" style="1" customWidth="1"/>
    <col min="4115" max="4115" width="9.1796875" style="1"/>
    <col min="4116" max="4116" width="23.81640625" style="1" customWidth="1"/>
    <col min="4117" max="4350" width="9.1796875" style="1"/>
    <col min="4351" max="4351" width="12" style="1" customWidth="1"/>
    <col min="4352" max="4352" width="2.26953125" style="1" customWidth="1"/>
    <col min="4353" max="4353" width="49.81640625" style="1" customWidth="1"/>
    <col min="4354" max="4354" width="2.26953125" style="1" customWidth="1"/>
    <col min="4355" max="4355" width="13.54296875" style="1" customWidth="1"/>
    <col min="4356" max="4356" width="2.26953125" style="1" customWidth="1"/>
    <col min="4357" max="4357" width="17.81640625" style="1" bestFit="1" customWidth="1"/>
    <col min="4358" max="4358" width="2.1796875" style="1" customWidth="1"/>
    <col min="4359" max="4359" width="17.453125" style="1" bestFit="1" customWidth="1"/>
    <col min="4360" max="4360" width="2.26953125" style="1" customWidth="1"/>
    <col min="4361" max="4361" width="18.453125" style="1" customWidth="1"/>
    <col min="4362" max="4362" width="2.26953125" style="1" customWidth="1"/>
    <col min="4363" max="4363" width="16.81640625" style="1" customWidth="1"/>
    <col min="4364" max="4364" width="2.26953125" style="1" customWidth="1"/>
    <col min="4365" max="4365" width="15.1796875" style="1" customWidth="1"/>
    <col min="4366" max="4366" width="2.26953125" style="1" customWidth="1"/>
    <col min="4367" max="4367" width="11.453125" style="1" customWidth="1"/>
    <col min="4368" max="4368" width="2.26953125" style="1" customWidth="1"/>
    <col min="4369" max="4369" width="15.1796875" style="1" bestFit="1" customWidth="1"/>
    <col min="4370" max="4370" width="3.26953125" style="1" customWidth="1"/>
    <col min="4371" max="4371" width="9.1796875" style="1"/>
    <col min="4372" max="4372" width="23.81640625" style="1" customWidth="1"/>
    <col min="4373" max="4606" width="9.1796875" style="1"/>
    <col min="4607" max="4607" width="12" style="1" customWidth="1"/>
    <col min="4608" max="4608" width="2.26953125" style="1" customWidth="1"/>
    <col min="4609" max="4609" width="49.81640625" style="1" customWidth="1"/>
    <col min="4610" max="4610" width="2.26953125" style="1" customWidth="1"/>
    <col min="4611" max="4611" width="13.54296875" style="1" customWidth="1"/>
    <col min="4612" max="4612" width="2.26953125" style="1" customWidth="1"/>
    <col min="4613" max="4613" width="17.81640625" style="1" bestFit="1" customWidth="1"/>
    <col min="4614" max="4614" width="2.1796875" style="1" customWidth="1"/>
    <col min="4615" max="4615" width="17.453125" style="1" bestFit="1" customWidth="1"/>
    <col min="4616" max="4616" width="2.26953125" style="1" customWidth="1"/>
    <col min="4617" max="4617" width="18.453125" style="1" customWidth="1"/>
    <col min="4618" max="4618" width="2.26953125" style="1" customWidth="1"/>
    <col min="4619" max="4619" width="16.81640625" style="1" customWidth="1"/>
    <col min="4620" max="4620" width="2.26953125" style="1" customWidth="1"/>
    <col min="4621" max="4621" width="15.1796875" style="1" customWidth="1"/>
    <col min="4622" max="4622" width="2.26953125" style="1" customWidth="1"/>
    <col min="4623" max="4623" width="11.453125" style="1" customWidth="1"/>
    <col min="4624" max="4624" width="2.26953125" style="1" customWidth="1"/>
    <col min="4625" max="4625" width="15.1796875" style="1" bestFit="1" customWidth="1"/>
    <col min="4626" max="4626" width="3.26953125" style="1" customWidth="1"/>
    <col min="4627" max="4627" width="9.1796875" style="1"/>
    <col min="4628" max="4628" width="23.81640625" style="1" customWidth="1"/>
    <col min="4629" max="4862" width="9.1796875" style="1"/>
    <col min="4863" max="4863" width="12" style="1" customWidth="1"/>
    <col min="4864" max="4864" width="2.26953125" style="1" customWidth="1"/>
    <col min="4865" max="4865" width="49.81640625" style="1" customWidth="1"/>
    <col min="4866" max="4866" width="2.26953125" style="1" customWidth="1"/>
    <col min="4867" max="4867" width="13.54296875" style="1" customWidth="1"/>
    <col min="4868" max="4868" width="2.26953125" style="1" customWidth="1"/>
    <col min="4869" max="4869" width="17.81640625" style="1" bestFit="1" customWidth="1"/>
    <col min="4870" max="4870" width="2.1796875" style="1" customWidth="1"/>
    <col min="4871" max="4871" width="17.453125" style="1" bestFit="1" customWidth="1"/>
    <col min="4872" max="4872" width="2.26953125" style="1" customWidth="1"/>
    <col min="4873" max="4873" width="18.453125" style="1" customWidth="1"/>
    <col min="4874" max="4874" width="2.26953125" style="1" customWidth="1"/>
    <col min="4875" max="4875" width="16.81640625" style="1" customWidth="1"/>
    <col min="4876" max="4876" width="2.26953125" style="1" customWidth="1"/>
    <col min="4877" max="4877" width="15.1796875" style="1" customWidth="1"/>
    <col min="4878" max="4878" width="2.26953125" style="1" customWidth="1"/>
    <col min="4879" max="4879" width="11.453125" style="1" customWidth="1"/>
    <col min="4880" max="4880" width="2.26953125" style="1" customWidth="1"/>
    <col min="4881" max="4881" width="15.1796875" style="1" bestFit="1" customWidth="1"/>
    <col min="4882" max="4882" width="3.26953125" style="1" customWidth="1"/>
    <col min="4883" max="4883" width="9.1796875" style="1"/>
    <col min="4884" max="4884" width="23.81640625" style="1" customWidth="1"/>
    <col min="4885" max="5118" width="9.1796875" style="1"/>
    <col min="5119" max="5119" width="12" style="1" customWidth="1"/>
    <col min="5120" max="5120" width="2.26953125" style="1" customWidth="1"/>
    <col min="5121" max="5121" width="49.81640625" style="1" customWidth="1"/>
    <col min="5122" max="5122" width="2.26953125" style="1" customWidth="1"/>
    <col min="5123" max="5123" width="13.54296875" style="1" customWidth="1"/>
    <col min="5124" max="5124" width="2.26953125" style="1" customWidth="1"/>
    <col min="5125" max="5125" width="17.81640625" style="1" bestFit="1" customWidth="1"/>
    <col min="5126" max="5126" width="2.1796875" style="1" customWidth="1"/>
    <col min="5127" max="5127" width="17.453125" style="1" bestFit="1" customWidth="1"/>
    <col min="5128" max="5128" width="2.26953125" style="1" customWidth="1"/>
    <col min="5129" max="5129" width="18.453125" style="1" customWidth="1"/>
    <col min="5130" max="5130" width="2.26953125" style="1" customWidth="1"/>
    <col min="5131" max="5131" width="16.81640625" style="1" customWidth="1"/>
    <col min="5132" max="5132" width="2.26953125" style="1" customWidth="1"/>
    <col min="5133" max="5133" width="15.1796875" style="1" customWidth="1"/>
    <col min="5134" max="5134" width="2.26953125" style="1" customWidth="1"/>
    <col min="5135" max="5135" width="11.453125" style="1" customWidth="1"/>
    <col min="5136" max="5136" width="2.26953125" style="1" customWidth="1"/>
    <col min="5137" max="5137" width="15.1796875" style="1" bestFit="1" customWidth="1"/>
    <col min="5138" max="5138" width="3.26953125" style="1" customWidth="1"/>
    <col min="5139" max="5139" width="9.1796875" style="1"/>
    <col min="5140" max="5140" width="23.81640625" style="1" customWidth="1"/>
    <col min="5141" max="5374" width="9.1796875" style="1"/>
    <col min="5375" max="5375" width="12" style="1" customWidth="1"/>
    <col min="5376" max="5376" width="2.26953125" style="1" customWidth="1"/>
    <col min="5377" max="5377" width="49.81640625" style="1" customWidth="1"/>
    <col min="5378" max="5378" width="2.26953125" style="1" customWidth="1"/>
    <col min="5379" max="5379" width="13.54296875" style="1" customWidth="1"/>
    <col min="5380" max="5380" width="2.26953125" style="1" customWidth="1"/>
    <col min="5381" max="5381" width="17.81640625" style="1" bestFit="1" customWidth="1"/>
    <col min="5382" max="5382" width="2.1796875" style="1" customWidth="1"/>
    <col min="5383" max="5383" width="17.453125" style="1" bestFit="1" customWidth="1"/>
    <col min="5384" max="5384" width="2.26953125" style="1" customWidth="1"/>
    <col min="5385" max="5385" width="18.453125" style="1" customWidth="1"/>
    <col min="5386" max="5386" width="2.26953125" style="1" customWidth="1"/>
    <col min="5387" max="5387" width="16.81640625" style="1" customWidth="1"/>
    <col min="5388" max="5388" width="2.26953125" style="1" customWidth="1"/>
    <col min="5389" max="5389" width="15.1796875" style="1" customWidth="1"/>
    <col min="5390" max="5390" width="2.26953125" style="1" customWidth="1"/>
    <col min="5391" max="5391" width="11.453125" style="1" customWidth="1"/>
    <col min="5392" max="5392" width="2.26953125" style="1" customWidth="1"/>
    <col min="5393" max="5393" width="15.1796875" style="1" bestFit="1" customWidth="1"/>
    <col min="5394" max="5394" width="3.26953125" style="1" customWidth="1"/>
    <col min="5395" max="5395" width="9.1796875" style="1"/>
    <col min="5396" max="5396" width="23.81640625" style="1" customWidth="1"/>
    <col min="5397" max="5630" width="9.1796875" style="1"/>
    <col min="5631" max="5631" width="12" style="1" customWidth="1"/>
    <col min="5632" max="5632" width="2.26953125" style="1" customWidth="1"/>
    <col min="5633" max="5633" width="49.81640625" style="1" customWidth="1"/>
    <col min="5634" max="5634" width="2.26953125" style="1" customWidth="1"/>
    <col min="5635" max="5635" width="13.54296875" style="1" customWidth="1"/>
    <col min="5636" max="5636" width="2.26953125" style="1" customWidth="1"/>
    <col min="5637" max="5637" width="17.81640625" style="1" bestFit="1" customWidth="1"/>
    <col min="5638" max="5638" width="2.1796875" style="1" customWidth="1"/>
    <col min="5639" max="5639" width="17.453125" style="1" bestFit="1" customWidth="1"/>
    <col min="5640" max="5640" width="2.26953125" style="1" customWidth="1"/>
    <col min="5641" max="5641" width="18.453125" style="1" customWidth="1"/>
    <col min="5642" max="5642" width="2.26953125" style="1" customWidth="1"/>
    <col min="5643" max="5643" width="16.81640625" style="1" customWidth="1"/>
    <col min="5644" max="5644" width="2.26953125" style="1" customWidth="1"/>
    <col min="5645" max="5645" width="15.1796875" style="1" customWidth="1"/>
    <col min="5646" max="5646" width="2.26953125" style="1" customWidth="1"/>
    <col min="5647" max="5647" width="11.453125" style="1" customWidth="1"/>
    <col min="5648" max="5648" width="2.26953125" style="1" customWidth="1"/>
    <col min="5649" max="5649" width="15.1796875" style="1" bestFit="1" customWidth="1"/>
    <col min="5650" max="5650" width="3.26953125" style="1" customWidth="1"/>
    <col min="5651" max="5651" width="9.1796875" style="1"/>
    <col min="5652" max="5652" width="23.81640625" style="1" customWidth="1"/>
    <col min="5653" max="5886" width="9.1796875" style="1"/>
    <col min="5887" max="5887" width="12" style="1" customWidth="1"/>
    <col min="5888" max="5888" width="2.26953125" style="1" customWidth="1"/>
    <col min="5889" max="5889" width="49.81640625" style="1" customWidth="1"/>
    <col min="5890" max="5890" width="2.26953125" style="1" customWidth="1"/>
    <col min="5891" max="5891" width="13.54296875" style="1" customWidth="1"/>
    <col min="5892" max="5892" width="2.26953125" style="1" customWidth="1"/>
    <col min="5893" max="5893" width="17.81640625" style="1" bestFit="1" customWidth="1"/>
    <col min="5894" max="5894" width="2.1796875" style="1" customWidth="1"/>
    <col min="5895" max="5895" width="17.453125" style="1" bestFit="1" customWidth="1"/>
    <col min="5896" max="5896" width="2.26953125" style="1" customWidth="1"/>
    <col min="5897" max="5897" width="18.453125" style="1" customWidth="1"/>
    <col min="5898" max="5898" width="2.26953125" style="1" customWidth="1"/>
    <col min="5899" max="5899" width="16.81640625" style="1" customWidth="1"/>
    <col min="5900" max="5900" width="2.26953125" style="1" customWidth="1"/>
    <col min="5901" max="5901" width="15.1796875" style="1" customWidth="1"/>
    <col min="5902" max="5902" width="2.26953125" style="1" customWidth="1"/>
    <col min="5903" max="5903" width="11.453125" style="1" customWidth="1"/>
    <col min="5904" max="5904" width="2.26953125" style="1" customWidth="1"/>
    <col min="5905" max="5905" width="15.1796875" style="1" bestFit="1" customWidth="1"/>
    <col min="5906" max="5906" width="3.26953125" style="1" customWidth="1"/>
    <col min="5907" max="5907" width="9.1796875" style="1"/>
    <col min="5908" max="5908" width="23.81640625" style="1" customWidth="1"/>
    <col min="5909" max="6142" width="9.1796875" style="1"/>
    <col min="6143" max="6143" width="12" style="1" customWidth="1"/>
    <col min="6144" max="6144" width="2.26953125" style="1" customWidth="1"/>
    <col min="6145" max="6145" width="49.81640625" style="1" customWidth="1"/>
    <col min="6146" max="6146" width="2.26953125" style="1" customWidth="1"/>
    <col min="6147" max="6147" width="13.54296875" style="1" customWidth="1"/>
    <col min="6148" max="6148" width="2.26953125" style="1" customWidth="1"/>
    <col min="6149" max="6149" width="17.81640625" style="1" bestFit="1" customWidth="1"/>
    <col min="6150" max="6150" width="2.1796875" style="1" customWidth="1"/>
    <col min="6151" max="6151" width="17.453125" style="1" bestFit="1" customWidth="1"/>
    <col min="6152" max="6152" width="2.26953125" style="1" customWidth="1"/>
    <col min="6153" max="6153" width="18.453125" style="1" customWidth="1"/>
    <col min="6154" max="6154" width="2.26953125" style="1" customWidth="1"/>
    <col min="6155" max="6155" width="16.81640625" style="1" customWidth="1"/>
    <col min="6156" max="6156" width="2.26953125" style="1" customWidth="1"/>
    <col min="6157" max="6157" width="15.1796875" style="1" customWidth="1"/>
    <col min="6158" max="6158" width="2.26953125" style="1" customWidth="1"/>
    <col min="6159" max="6159" width="11.453125" style="1" customWidth="1"/>
    <col min="6160" max="6160" width="2.26953125" style="1" customWidth="1"/>
    <col min="6161" max="6161" width="15.1796875" style="1" bestFit="1" customWidth="1"/>
    <col min="6162" max="6162" width="3.26953125" style="1" customWidth="1"/>
    <col min="6163" max="6163" width="9.1796875" style="1"/>
    <col min="6164" max="6164" width="23.81640625" style="1" customWidth="1"/>
    <col min="6165" max="6398" width="9.1796875" style="1"/>
    <col min="6399" max="6399" width="12" style="1" customWidth="1"/>
    <col min="6400" max="6400" width="2.26953125" style="1" customWidth="1"/>
    <col min="6401" max="6401" width="49.81640625" style="1" customWidth="1"/>
    <col min="6402" max="6402" width="2.26953125" style="1" customWidth="1"/>
    <col min="6403" max="6403" width="13.54296875" style="1" customWidth="1"/>
    <col min="6404" max="6404" width="2.26953125" style="1" customWidth="1"/>
    <col min="6405" max="6405" width="17.81640625" style="1" bestFit="1" customWidth="1"/>
    <col min="6406" max="6406" width="2.1796875" style="1" customWidth="1"/>
    <col min="6407" max="6407" width="17.453125" style="1" bestFit="1" customWidth="1"/>
    <col min="6408" max="6408" width="2.26953125" style="1" customWidth="1"/>
    <col min="6409" max="6409" width="18.453125" style="1" customWidth="1"/>
    <col min="6410" max="6410" width="2.26953125" style="1" customWidth="1"/>
    <col min="6411" max="6411" width="16.81640625" style="1" customWidth="1"/>
    <col min="6412" max="6412" width="2.26953125" style="1" customWidth="1"/>
    <col min="6413" max="6413" width="15.1796875" style="1" customWidth="1"/>
    <col min="6414" max="6414" width="2.26953125" style="1" customWidth="1"/>
    <col min="6415" max="6415" width="11.453125" style="1" customWidth="1"/>
    <col min="6416" max="6416" width="2.26953125" style="1" customWidth="1"/>
    <col min="6417" max="6417" width="15.1796875" style="1" bestFit="1" customWidth="1"/>
    <col min="6418" max="6418" width="3.26953125" style="1" customWidth="1"/>
    <col min="6419" max="6419" width="9.1796875" style="1"/>
    <col min="6420" max="6420" width="23.81640625" style="1" customWidth="1"/>
    <col min="6421" max="6654" width="9.1796875" style="1"/>
    <col min="6655" max="6655" width="12" style="1" customWidth="1"/>
    <col min="6656" max="6656" width="2.26953125" style="1" customWidth="1"/>
    <col min="6657" max="6657" width="49.81640625" style="1" customWidth="1"/>
    <col min="6658" max="6658" width="2.26953125" style="1" customWidth="1"/>
    <col min="6659" max="6659" width="13.54296875" style="1" customWidth="1"/>
    <col min="6660" max="6660" width="2.26953125" style="1" customWidth="1"/>
    <col min="6661" max="6661" width="17.81640625" style="1" bestFit="1" customWidth="1"/>
    <col min="6662" max="6662" width="2.1796875" style="1" customWidth="1"/>
    <col min="6663" max="6663" width="17.453125" style="1" bestFit="1" customWidth="1"/>
    <col min="6664" max="6664" width="2.26953125" style="1" customWidth="1"/>
    <col min="6665" max="6665" width="18.453125" style="1" customWidth="1"/>
    <col min="6666" max="6666" width="2.26953125" style="1" customWidth="1"/>
    <col min="6667" max="6667" width="16.81640625" style="1" customWidth="1"/>
    <col min="6668" max="6668" width="2.26953125" style="1" customWidth="1"/>
    <col min="6669" max="6669" width="15.1796875" style="1" customWidth="1"/>
    <col min="6670" max="6670" width="2.26953125" style="1" customWidth="1"/>
    <col min="6671" max="6671" width="11.453125" style="1" customWidth="1"/>
    <col min="6672" max="6672" width="2.26953125" style="1" customWidth="1"/>
    <col min="6673" max="6673" width="15.1796875" style="1" bestFit="1" customWidth="1"/>
    <col min="6674" max="6674" width="3.26953125" style="1" customWidth="1"/>
    <col min="6675" max="6675" width="9.1796875" style="1"/>
    <col min="6676" max="6676" width="23.81640625" style="1" customWidth="1"/>
    <col min="6677" max="6910" width="9.1796875" style="1"/>
    <col min="6911" max="6911" width="12" style="1" customWidth="1"/>
    <col min="6912" max="6912" width="2.26953125" style="1" customWidth="1"/>
    <col min="6913" max="6913" width="49.81640625" style="1" customWidth="1"/>
    <col min="6914" max="6914" width="2.26953125" style="1" customWidth="1"/>
    <col min="6915" max="6915" width="13.54296875" style="1" customWidth="1"/>
    <col min="6916" max="6916" width="2.26953125" style="1" customWidth="1"/>
    <col min="6917" max="6917" width="17.81640625" style="1" bestFit="1" customWidth="1"/>
    <col min="6918" max="6918" width="2.1796875" style="1" customWidth="1"/>
    <col min="6919" max="6919" width="17.453125" style="1" bestFit="1" customWidth="1"/>
    <col min="6920" max="6920" width="2.26953125" style="1" customWidth="1"/>
    <col min="6921" max="6921" width="18.453125" style="1" customWidth="1"/>
    <col min="6922" max="6922" width="2.26953125" style="1" customWidth="1"/>
    <col min="6923" max="6923" width="16.81640625" style="1" customWidth="1"/>
    <col min="6924" max="6924" width="2.26953125" style="1" customWidth="1"/>
    <col min="6925" max="6925" width="15.1796875" style="1" customWidth="1"/>
    <col min="6926" max="6926" width="2.26953125" style="1" customWidth="1"/>
    <col min="6927" max="6927" width="11.453125" style="1" customWidth="1"/>
    <col min="6928" max="6928" width="2.26953125" style="1" customWidth="1"/>
    <col min="6929" max="6929" width="15.1796875" style="1" bestFit="1" customWidth="1"/>
    <col min="6930" max="6930" width="3.26953125" style="1" customWidth="1"/>
    <col min="6931" max="6931" width="9.1796875" style="1"/>
    <col min="6932" max="6932" width="23.81640625" style="1" customWidth="1"/>
    <col min="6933" max="7166" width="9.1796875" style="1"/>
    <col min="7167" max="7167" width="12" style="1" customWidth="1"/>
    <col min="7168" max="7168" width="2.26953125" style="1" customWidth="1"/>
    <col min="7169" max="7169" width="49.81640625" style="1" customWidth="1"/>
    <col min="7170" max="7170" width="2.26953125" style="1" customWidth="1"/>
    <col min="7171" max="7171" width="13.54296875" style="1" customWidth="1"/>
    <col min="7172" max="7172" width="2.26953125" style="1" customWidth="1"/>
    <col min="7173" max="7173" width="17.81640625" style="1" bestFit="1" customWidth="1"/>
    <col min="7174" max="7174" width="2.1796875" style="1" customWidth="1"/>
    <col min="7175" max="7175" width="17.453125" style="1" bestFit="1" customWidth="1"/>
    <col min="7176" max="7176" width="2.26953125" style="1" customWidth="1"/>
    <col min="7177" max="7177" width="18.453125" style="1" customWidth="1"/>
    <col min="7178" max="7178" width="2.26953125" style="1" customWidth="1"/>
    <col min="7179" max="7179" width="16.81640625" style="1" customWidth="1"/>
    <col min="7180" max="7180" width="2.26953125" style="1" customWidth="1"/>
    <col min="7181" max="7181" width="15.1796875" style="1" customWidth="1"/>
    <col min="7182" max="7182" width="2.26953125" style="1" customWidth="1"/>
    <col min="7183" max="7183" width="11.453125" style="1" customWidth="1"/>
    <col min="7184" max="7184" width="2.26953125" style="1" customWidth="1"/>
    <col min="7185" max="7185" width="15.1796875" style="1" bestFit="1" customWidth="1"/>
    <col min="7186" max="7186" width="3.26953125" style="1" customWidth="1"/>
    <col min="7187" max="7187" width="9.1796875" style="1"/>
    <col min="7188" max="7188" width="23.81640625" style="1" customWidth="1"/>
    <col min="7189" max="7422" width="9.1796875" style="1"/>
    <col min="7423" max="7423" width="12" style="1" customWidth="1"/>
    <col min="7424" max="7424" width="2.26953125" style="1" customWidth="1"/>
    <col min="7425" max="7425" width="49.81640625" style="1" customWidth="1"/>
    <col min="7426" max="7426" width="2.26953125" style="1" customWidth="1"/>
    <col min="7427" max="7427" width="13.54296875" style="1" customWidth="1"/>
    <col min="7428" max="7428" width="2.26953125" style="1" customWidth="1"/>
    <col min="7429" max="7429" width="17.81640625" style="1" bestFit="1" customWidth="1"/>
    <col min="7430" max="7430" width="2.1796875" style="1" customWidth="1"/>
    <col min="7431" max="7431" width="17.453125" style="1" bestFit="1" customWidth="1"/>
    <col min="7432" max="7432" width="2.26953125" style="1" customWidth="1"/>
    <col min="7433" max="7433" width="18.453125" style="1" customWidth="1"/>
    <col min="7434" max="7434" width="2.26953125" style="1" customWidth="1"/>
    <col min="7435" max="7435" width="16.81640625" style="1" customWidth="1"/>
    <col min="7436" max="7436" width="2.26953125" style="1" customWidth="1"/>
    <col min="7437" max="7437" width="15.1796875" style="1" customWidth="1"/>
    <col min="7438" max="7438" width="2.26953125" style="1" customWidth="1"/>
    <col min="7439" max="7439" width="11.453125" style="1" customWidth="1"/>
    <col min="7440" max="7440" width="2.26953125" style="1" customWidth="1"/>
    <col min="7441" max="7441" width="15.1796875" style="1" bestFit="1" customWidth="1"/>
    <col min="7442" max="7442" width="3.26953125" style="1" customWidth="1"/>
    <col min="7443" max="7443" width="9.1796875" style="1"/>
    <col min="7444" max="7444" width="23.81640625" style="1" customWidth="1"/>
    <col min="7445" max="7678" width="9.1796875" style="1"/>
    <col min="7679" max="7679" width="12" style="1" customWidth="1"/>
    <col min="7680" max="7680" width="2.26953125" style="1" customWidth="1"/>
    <col min="7681" max="7681" width="49.81640625" style="1" customWidth="1"/>
    <col min="7682" max="7682" width="2.26953125" style="1" customWidth="1"/>
    <col min="7683" max="7683" width="13.54296875" style="1" customWidth="1"/>
    <col min="7684" max="7684" width="2.26953125" style="1" customWidth="1"/>
    <col min="7685" max="7685" width="17.81640625" style="1" bestFit="1" customWidth="1"/>
    <col min="7686" max="7686" width="2.1796875" style="1" customWidth="1"/>
    <col min="7687" max="7687" width="17.453125" style="1" bestFit="1" customWidth="1"/>
    <col min="7688" max="7688" width="2.26953125" style="1" customWidth="1"/>
    <col min="7689" max="7689" width="18.453125" style="1" customWidth="1"/>
    <col min="7690" max="7690" width="2.26953125" style="1" customWidth="1"/>
    <col min="7691" max="7691" width="16.81640625" style="1" customWidth="1"/>
    <col min="7692" max="7692" width="2.26953125" style="1" customWidth="1"/>
    <col min="7693" max="7693" width="15.1796875" style="1" customWidth="1"/>
    <col min="7694" max="7694" width="2.26953125" style="1" customWidth="1"/>
    <col min="7695" max="7695" width="11.453125" style="1" customWidth="1"/>
    <col min="7696" max="7696" width="2.26953125" style="1" customWidth="1"/>
    <col min="7697" max="7697" width="15.1796875" style="1" bestFit="1" customWidth="1"/>
    <col min="7698" max="7698" width="3.26953125" style="1" customWidth="1"/>
    <col min="7699" max="7699" width="9.1796875" style="1"/>
    <col min="7700" max="7700" width="23.81640625" style="1" customWidth="1"/>
    <col min="7701" max="7934" width="9.1796875" style="1"/>
    <col min="7935" max="7935" width="12" style="1" customWidth="1"/>
    <col min="7936" max="7936" width="2.26953125" style="1" customWidth="1"/>
    <col min="7937" max="7937" width="49.81640625" style="1" customWidth="1"/>
    <col min="7938" max="7938" width="2.26953125" style="1" customWidth="1"/>
    <col min="7939" max="7939" width="13.54296875" style="1" customWidth="1"/>
    <col min="7940" max="7940" width="2.26953125" style="1" customWidth="1"/>
    <col min="7941" max="7941" width="17.81640625" style="1" bestFit="1" customWidth="1"/>
    <col min="7942" max="7942" width="2.1796875" style="1" customWidth="1"/>
    <col min="7943" max="7943" width="17.453125" style="1" bestFit="1" customWidth="1"/>
    <col min="7944" max="7944" width="2.26953125" style="1" customWidth="1"/>
    <col min="7945" max="7945" width="18.453125" style="1" customWidth="1"/>
    <col min="7946" max="7946" width="2.26953125" style="1" customWidth="1"/>
    <col min="7947" max="7947" width="16.81640625" style="1" customWidth="1"/>
    <col min="7948" max="7948" width="2.26953125" style="1" customWidth="1"/>
    <col min="7949" max="7949" width="15.1796875" style="1" customWidth="1"/>
    <col min="7950" max="7950" width="2.26953125" style="1" customWidth="1"/>
    <col min="7951" max="7951" width="11.453125" style="1" customWidth="1"/>
    <col min="7952" max="7952" width="2.26953125" style="1" customWidth="1"/>
    <col min="7953" max="7953" width="15.1796875" style="1" bestFit="1" customWidth="1"/>
    <col min="7954" max="7954" width="3.26953125" style="1" customWidth="1"/>
    <col min="7955" max="7955" width="9.1796875" style="1"/>
    <col min="7956" max="7956" width="23.81640625" style="1" customWidth="1"/>
    <col min="7957" max="8190" width="9.1796875" style="1"/>
    <col min="8191" max="8191" width="12" style="1" customWidth="1"/>
    <col min="8192" max="8192" width="2.26953125" style="1" customWidth="1"/>
    <col min="8193" max="8193" width="49.81640625" style="1" customWidth="1"/>
    <col min="8194" max="8194" width="2.26953125" style="1" customWidth="1"/>
    <col min="8195" max="8195" width="13.54296875" style="1" customWidth="1"/>
    <col min="8196" max="8196" width="2.26953125" style="1" customWidth="1"/>
    <col min="8197" max="8197" width="17.81640625" style="1" bestFit="1" customWidth="1"/>
    <col min="8198" max="8198" width="2.1796875" style="1" customWidth="1"/>
    <col min="8199" max="8199" width="17.453125" style="1" bestFit="1" customWidth="1"/>
    <col min="8200" max="8200" width="2.26953125" style="1" customWidth="1"/>
    <col min="8201" max="8201" width="18.453125" style="1" customWidth="1"/>
    <col min="8202" max="8202" width="2.26953125" style="1" customWidth="1"/>
    <col min="8203" max="8203" width="16.81640625" style="1" customWidth="1"/>
    <col min="8204" max="8204" width="2.26953125" style="1" customWidth="1"/>
    <col min="8205" max="8205" width="15.1796875" style="1" customWidth="1"/>
    <col min="8206" max="8206" width="2.26953125" style="1" customWidth="1"/>
    <col min="8207" max="8207" width="11.453125" style="1" customWidth="1"/>
    <col min="8208" max="8208" width="2.26953125" style="1" customWidth="1"/>
    <col min="8209" max="8209" width="15.1796875" style="1" bestFit="1" customWidth="1"/>
    <col min="8210" max="8210" width="3.26953125" style="1" customWidth="1"/>
    <col min="8211" max="8211" width="9.1796875" style="1"/>
    <col min="8212" max="8212" width="23.81640625" style="1" customWidth="1"/>
    <col min="8213" max="8446" width="9.1796875" style="1"/>
    <col min="8447" max="8447" width="12" style="1" customWidth="1"/>
    <col min="8448" max="8448" width="2.26953125" style="1" customWidth="1"/>
    <col min="8449" max="8449" width="49.81640625" style="1" customWidth="1"/>
    <col min="8450" max="8450" width="2.26953125" style="1" customWidth="1"/>
    <col min="8451" max="8451" width="13.54296875" style="1" customWidth="1"/>
    <col min="8452" max="8452" width="2.26953125" style="1" customWidth="1"/>
    <col min="8453" max="8453" width="17.81640625" style="1" bestFit="1" customWidth="1"/>
    <col min="8454" max="8454" width="2.1796875" style="1" customWidth="1"/>
    <col min="8455" max="8455" width="17.453125" style="1" bestFit="1" customWidth="1"/>
    <col min="8456" max="8456" width="2.26953125" style="1" customWidth="1"/>
    <col min="8457" max="8457" width="18.453125" style="1" customWidth="1"/>
    <col min="8458" max="8458" width="2.26953125" style="1" customWidth="1"/>
    <col min="8459" max="8459" width="16.81640625" style="1" customWidth="1"/>
    <col min="8460" max="8460" width="2.26953125" style="1" customWidth="1"/>
    <col min="8461" max="8461" width="15.1796875" style="1" customWidth="1"/>
    <col min="8462" max="8462" width="2.26953125" style="1" customWidth="1"/>
    <col min="8463" max="8463" width="11.453125" style="1" customWidth="1"/>
    <col min="8464" max="8464" width="2.26953125" style="1" customWidth="1"/>
    <col min="8465" max="8465" width="15.1796875" style="1" bestFit="1" customWidth="1"/>
    <col min="8466" max="8466" width="3.26953125" style="1" customWidth="1"/>
    <col min="8467" max="8467" width="9.1796875" style="1"/>
    <col min="8468" max="8468" width="23.81640625" style="1" customWidth="1"/>
    <col min="8469" max="8702" width="9.1796875" style="1"/>
    <col min="8703" max="8703" width="12" style="1" customWidth="1"/>
    <col min="8704" max="8704" width="2.26953125" style="1" customWidth="1"/>
    <col min="8705" max="8705" width="49.81640625" style="1" customWidth="1"/>
    <col min="8706" max="8706" width="2.26953125" style="1" customWidth="1"/>
    <col min="8707" max="8707" width="13.54296875" style="1" customWidth="1"/>
    <col min="8708" max="8708" width="2.26953125" style="1" customWidth="1"/>
    <col min="8709" max="8709" width="17.81640625" style="1" bestFit="1" customWidth="1"/>
    <col min="8710" max="8710" width="2.1796875" style="1" customWidth="1"/>
    <col min="8711" max="8711" width="17.453125" style="1" bestFit="1" customWidth="1"/>
    <col min="8712" max="8712" width="2.26953125" style="1" customWidth="1"/>
    <col min="8713" max="8713" width="18.453125" style="1" customWidth="1"/>
    <col min="8714" max="8714" width="2.26953125" style="1" customWidth="1"/>
    <col min="8715" max="8715" width="16.81640625" style="1" customWidth="1"/>
    <col min="8716" max="8716" width="2.26953125" style="1" customWidth="1"/>
    <col min="8717" max="8717" width="15.1796875" style="1" customWidth="1"/>
    <col min="8718" max="8718" width="2.26953125" style="1" customWidth="1"/>
    <col min="8719" max="8719" width="11.453125" style="1" customWidth="1"/>
    <col min="8720" max="8720" width="2.26953125" style="1" customWidth="1"/>
    <col min="8721" max="8721" width="15.1796875" style="1" bestFit="1" customWidth="1"/>
    <col min="8722" max="8722" width="3.26953125" style="1" customWidth="1"/>
    <col min="8723" max="8723" width="9.1796875" style="1"/>
    <col min="8724" max="8724" width="23.81640625" style="1" customWidth="1"/>
    <col min="8725" max="8958" width="9.1796875" style="1"/>
    <col min="8959" max="8959" width="12" style="1" customWidth="1"/>
    <col min="8960" max="8960" width="2.26953125" style="1" customWidth="1"/>
    <col min="8961" max="8961" width="49.81640625" style="1" customWidth="1"/>
    <col min="8962" max="8962" width="2.26953125" style="1" customWidth="1"/>
    <col min="8963" max="8963" width="13.54296875" style="1" customWidth="1"/>
    <col min="8964" max="8964" width="2.26953125" style="1" customWidth="1"/>
    <col min="8965" max="8965" width="17.81640625" style="1" bestFit="1" customWidth="1"/>
    <col min="8966" max="8966" width="2.1796875" style="1" customWidth="1"/>
    <col min="8967" max="8967" width="17.453125" style="1" bestFit="1" customWidth="1"/>
    <col min="8968" max="8968" width="2.26953125" style="1" customWidth="1"/>
    <col min="8969" max="8969" width="18.453125" style="1" customWidth="1"/>
    <col min="8970" max="8970" width="2.26953125" style="1" customWidth="1"/>
    <col min="8971" max="8971" width="16.81640625" style="1" customWidth="1"/>
    <col min="8972" max="8972" width="2.26953125" style="1" customWidth="1"/>
    <col min="8973" max="8973" width="15.1796875" style="1" customWidth="1"/>
    <col min="8974" max="8974" width="2.26953125" style="1" customWidth="1"/>
    <col min="8975" max="8975" width="11.453125" style="1" customWidth="1"/>
    <col min="8976" max="8976" width="2.26953125" style="1" customWidth="1"/>
    <col min="8977" max="8977" width="15.1796875" style="1" bestFit="1" customWidth="1"/>
    <col min="8978" max="8978" width="3.26953125" style="1" customWidth="1"/>
    <col min="8979" max="8979" width="9.1796875" style="1"/>
    <col min="8980" max="8980" width="23.81640625" style="1" customWidth="1"/>
    <col min="8981" max="9214" width="9.1796875" style="1"/>
    <col min="9215" max="9215" width="12" style="1" customWidth="1"/>
    <col min="9216" max="9216" width="2.26953125" style="1" customWidth="1"/>
    <col min="9217" max="9217" width="49.81640625" style="1" customWidth="1"/>
    <col min="9218" max="9218" width="2.26953125" style="1" customWidth="1"/>
    <col min="9219" max="9219" width="13.54296875" style="1" customWidth="1"/>
    <col min="9220" max="9220" width="2.26953125" style="1" customWidth="1"/>
    <col min="9221" max="9221" width="17.81640625" style="1" bestFit="1" customWidth="1"/>
    <col min="9222" max="9222" width="2.1796875" style="1" customWidth="1"/>
    <col min="9223" max="9223" width="17.453125" style="1" bestFit="1" customWidth="1"/>
    <col min="9224" max="9224" width="2.26953125" style="1" customWidth="1"/>
    <col min="9225" max="9225" width="18.453125" style="1" customWidth="1"/>
    <col min="9226" max="9226" width="2.26953125" style="1" customWidth="1"/>
    <col min="9227" max="9227" width="16.81640625" style="1" customWidth="1"/>
    <col min="9228" max="9228" width="2.26953125" style="1" customWidth="1"/>
    <col min="9229" max="9229" width="15.1796875" style="1" customWidth="1"/>
    <col min="9230" max="9230" width="2.26953125" style="1" customWidth="1"/>
    <col min="9231" max="9231" width="11.453125" style="1" customWidth="1"/>
    <col min="9232" max="9232" width="2.26953125" style="1" customWidth="1"/>
    <col min="9233" max="9233" width="15.1796875" style="1" bestFit="1" customWidth="1"/>
    <col min="9234" max="9234" width="3.26953125" style="1" customWidth="1"/>
    <col min="9235" max="9235" width="9.1796875" style="1"/>
    <col min="9236" max="9236" width="23.81640625" style="1" customWidth="1"/>
    <col min="9237" max="9470" width="9.1796875" style="1"/>
    <col min="9471" max="9471" width="12" style="1" customWidth="1"/>
    <col min="9472" max="9472" width="2.26953125" style="1" customWidth="1"/>
    <col min="9473" max="9473" width="49.81640625" style="1" customWidth="1"/>
    <col min="9474" max="9474" width="2.26953125" style="1" customWidth="1"/>
    <col min="9475" max="9475" width="13.54296875" style="1" customWidth="1"/>
    <col min="9476" max="9476" width="2.26953125" style="1" customWidth="1"/>
    <col min="9477" max="9477" width="17.81640625" style="1" bestFit="1" customWidth="1"/>
    <col min="9478" max="9478" width="2.1796875" style="1" customWidth="1"/>
    <col min="9479" max="9479" width="17.453125" style="1" bestFit="1" customWidth="1"/>
    <col min="9480" max="9480" width="2.26953125" style="1" customWidth="1"/>
    <col min="9481" max="9481" width="18.453125" style="1" customWidth="1"/>
    <col min="9482" max="9482" width="2.26953125" style="1" customWidth="1"/>
    <col min="9483" max="9483" width="16.81640625" style="1" customWidth="1"/>
    <col min="9484" max="9484" width="2.26953125" style="1" customWidth="1"/>
    <col min="9485" max="9485" width="15.1796875" style="1" customWidth="1"/>
    <col min="9486" max="9486" width="2.26953125" style="1" customWidth="1"/>
    <col min="9487" max="9487" width="11.453125" style="1" customWidth="1"/>
    <col min="9488" max="9488" width="2.26953125" style="1" customWidth="1"/>
    <col min="9489" max="9489" width="15.1796875" style="1" bestFit="1" customWidth="1"/>
    <col min="9490" max="9490" width="3.26953125" style="1" customWidth="1"/>
    <col min="9491" max="9491" width="9.1796875" style="1"/>
    <col min="9492" max="9492" width="23.81640625" style="1" customWidth="1"/>
    <col min="9493" max="9726" width="9.1796875" style="1"/>
    <col min="9727" max="9727" width="12" style="1" customWidth="1"/>
    <col min="9728" max="9728" width="2.26953125" style="1" customWidth="1"/>
    <col min="9729" max="9729" width="49.81640625" style="1" customWidth="1"/>
    <col min="9730" max="9730" width="2.26953125" style="1" customWidth="1"/>
    <col min="9731" max="9731" width="13.54296875" style="1" customWidth="1"/>
    <col min="9732" max="9732" width="2.26953125" style="1" customWidth="1"/>
    <col min="9733" max="9733" width="17.81640625" style="1" bestFit="1" customWidth="1"/>
    <col min="9734" max="9734" width="2.1796875" style="1" customWidth="1"/>
    <col min="9735" max="9735" width="17.453125" style="1" bestFit="1" customWidth="1"/>
    <col min="9736" max="9736" width="2.26953125" style="1" customWidth="1"/>
    <col min="9737" max="9737" width="18.453125" style="1" customWidth="1"/>
    <col min="9738" max="9738" width="2.26953125" style="1" customWidth="1"/>
    <col min="9739" max="9739" width="16.81640625" style="1" customWidth="1"/>
    <col min="9740" max="9740" width="2.26953125" style="1" customWidth="1"/>
    <col min="9741" max="9741" width="15.1796875" style="1" customWidth="1"/>
    <col min="9742" max="9742" width="2.26953125" style="1" customWidth="1"/>
    <col min="9743" max="9743" width="11.453125" style="1" customWidth="1"/>
    <col min="9744" max="9744" width="2.26953125" style="1" customWidth="1"/>
    <col min="9745" max="9745" width="15.1796875" style="1" bestFit="1" customWidth="1"/>
    <col min="9746" max="9746" width="3.26953125" style="1" customWidth="1"/>
    <col min="9747" max="9747" width="9.1796875" style="1"/>
    <col min="9748" max="9748" width="23.81640625" style="1" customWidth="1"/>
    <col min="9749" max="9982" width="9.1796875" style="1"/>
    <col min="9983" max="9983" width="12" style="1" customWidth="1"/>
    <col min="9984" max="9984" width="2.26953125" style="1" customWidth="1"/>
    <col min="9985" max="9985" width="49.81640625" style="1" customWidth="1"/>
    <col min="9986" max="9986" width="2.26953125" style="1" customWidth="1"/>
    <col min="9987" max="9987" width="13.54296875" style="1" customWidth="1"/>
    <col min="9988" max="9988" width="2.26953125" style="1" customWidth="1"/>
    <col min="9989" max="9989" width="17.81640625" style="1" bestFit="1" customWidth="1"/>
    <col min="9990" max="9990" width="2.1796875" style="1" customWidth="1"/>
    <col min="9991" max="9991" width="17.453125" style="1" bestFit="1" customWidth="1"/>
    <col min="9992" max="9992" width="2.26953125" style="1" customWidth="1"/>
    <col min="9993" max="9993" width="18.453125" style="1" customWidth="1"/>
    <col min="9994" max="9994" width="2.26953125" style="1" customWidth="1"/>
    <col min="9995" max="9995" width="16.81640625" style="1" customWidth="1"/>
    <col min="9996" max="9996" width="2.26953125" style="1" customWidth="1"/>
    <col min="9997" max="9997" width="15.1796875" style="1" customWidth="1"/>
    <col min="9998" max="9998" width="2.26953125" style="1" customWidth="1"/>
    <col min="9999" max="9999" width="11.453125" style="1" customWidth="1"/>
    <col min="10000" max="10000" width="2.26953125" style="1" customWidth="1"/>
    <col min="10001" max="10001" width="15.1796875" style="1" bestFit="1" customWidth="1"/>
    <col min="10002" max="10002" width="3.26953125" style="1" customWidth="1"/>
    <col min="10003" max="10003" width="9.1796875" style="1"/>
    <col min="10004" max="10004" width="23.81640625" style="1" customWidth="1"/>
    <col min="10005" max="10238" width="9.1796875" style="1"/>
    <col min="10239" max="10239" width="12" style="1" customWidth="1"/>
    <col min="10240" max="10240" width="2.26953125" style="1" customWidth="1"/>
    <col min="10241" max="10241" width="49.81640625" style="1" customWidth="1"/>
    <col min="10242" max="10242" width="2.26953125" style="1" customWidth="1"/>
    <col min="10243" max="10243" width="13.54296875" style="1" customWidth="1"/>
    <col min="10244" max="10244" width="2.26953125" style="1" customWidth="1"/>
    <col min="10245" max="10245" width="17.81640625" style="1" bestFit="1" customWidth="1"/>
    <col min="10246" max="10246" width="2.1796875" style="1" customWidth="1"/>
    <col min="10247" max="10247" width="17.453125" style="1" bestFit="1" customWidth="1"/>
    <col min="10248" max="10248" width="2.26953125" style="1" customWidth="1"/>
    <col min="10249" max="10249" width="18.453125" style="1" customWidth="1"/>
    <col min="10250" max="10250" width="2.26953125" style="1" customWidth="1"/>
    <col min="10251" max="10251" width="16.81640625" style="1" customWidth="1"/>
    <col min="10252" max="10252" width="2.26953125" style="1" customWidth="1"/>
    <col min="10253" max="10253" width="15.1796875" style="1" customWidth="1"/>
    <col min="10254" max="10254" width="2.26953125" style="1" customWidth="1"/>
    <col min="10255" max="10255" width="11.453125" style="1" customWidth="1"/>
    <col min="10256" max="10256" width="2.26953125" style="1" customWidth="1"/>
    <col min="10257" max="10257" width="15.1796875" style="1" bestFit="1" customWidth="1"/>
    <col min="10258" max="10258" width="3.26953125" style="1" customWidth="1"/>
    <col min="10259" max="10259" width="9.1796875" style="1"/>
    <col min="10260" max="10260" width="23.81640625" style="1" customWidth="1"/>
    <col min="10261" max="10494" width="9.1796875" style="1"/>
    <col min="10495" max="10495" width="12" style="1" customWidth="1"/>
    <col min="10496" max="10496" width="2.26953125" style="1" customWidth="1"/>
    <col min="10497" max="10497" width="49.81640625" style="1" customWidth="1"/>
    <col min="10498" max="10498" width="2.26953125" style="1" customWidth="1"/>
    <col min="10499" max="10499" width="13.54296875" style="1" customWidth="1"/>
    <col min="10500" max="10500" width="2.26953125" style="1" customWidth="1"/>
    <col min="10501" max="10501" width="17.81640625" style="1" bestFit="1" customWidth="1"/>
    <col min="10502" max="10502" width="2.1796875" style="1" customWidth="1"/>
    <col min="10503" max="10503" width="17.453125" style="1" bestFit="1" customWidth="1"/>
    <col min="10504" max="10504" width="2.26953125" style="1" customWidth="1"/>
    <col min="10505" max="10505" width="18.453125" style="1" customWidth="1"/>
    <col min="10506" max="10506" width="2.26953125" style="1" customWidth="1"/>
    <col min="10507" max="10507" width="16.81640625" style="1" customWidth="1"/>
    <col min="10508" max="10508" width="2.26953125" style="1" customWidth="1"/>
    <col min="10509" max="10509" width="15.1796875" style="1" customWidth="1"/>
    <col min="10510" max="10510" width="2.26953125" style="1" customWidth="1"/>
    <col min="10511" max="10511" width="11.453125" style="1" customWidth="1"/>
    <col min="10512" max="10512" width="2.26953125" style="1" customWidth="1"/>
    <col min="10513" max="10513" width="15.1796875" style="1" bestFit="1" customWidth="1"/>
    <col min="10514" max="10514" width="3.26953125" style="1" customWidth="1"/>
    <col min="10515" max="10515" width="9.1796875" style="1"/>
    <col min="10516" max="10516" width="23.81640625" style="1" customWidth="1"/>
    <col min="10517" max="10750" width="9.1796875" style="1"/>
    <col min="10751" max="10751" width="12" style="1" customWidth="1"/>
    <col min="10752" max="10752" width="2.26953125" style="1" customWidth="1"/>
    <col min="10753" max="10753" width="49.81640625" style="1" customWidth="1"/>
    <col min="10754" max="10754" width="2.26953125" style="1" customWidth="1"/>
    <col min="10755" max="10755" width="13.54296875" style="1" customWidth="1"/>
    <col min="10756" max="10756" width="2.26953125" style="1" customWidth="1"/>
    <col min="10757" max="10757" width="17.81640625" style="1" bestFit="1" customWidth="1"/>
    <col min="10758" max="10758" width="2.1796875" style="1" customWidth="1"/>
    <col min="10759" max="10759" width="17.453125" style="1" bestFit="1" customWidth="1"/>
    <col min="10760" max="10760" width="2.26953125" style="1" customWidth="1"/>
    <col min="10761" max="10761" width="18.453125" style="1" customWidth="1"/>
    <col min="10762" max="10762" width="2.26953125" style="1" customWidth="1"/>
    <col min="10763" max="10763" width="16.81640625" style="1" customWidth="1"/>
    <col min="10764" max="10764" width="2.26953125" style="1" customWidth="1"/>
    <col min="10765" max="10765" width="15.1796875" style="1" customWidth="1"/>
    <col min="10766" max="10766" width="2.26953125" style="1" customWidth="1"/>
    <col min="10767" max="10767" width="11.453125" style="1" customWidth="1"/>
    <col min="10768" max="10768" width="2.26953125" style="1" customWidth="1"/>
    <col min="10769" max="10769" width="15.1796875" style="1" bestFit="1" customWidth="1"/>
    <col min="10770" max="10770" width="3.26953125" style="1" customWidth="1"/>
    <col min="10771" max="10771" width="9.1796875" style="1"/>
    <col min="10772" max="10772" width="23.81640625" style="1" customWidth="1"/>
    <col min="10773" max="11006" width="9.1796875" style="1"/>
    <col min="11007" max="11007" width="12" style="1" customWidth="1"/>
    <col min="11008" max="11008" width="2.26953125" style="1" customWidth="1"/>
    <col min="11009" max="11009" width="49.81640625" style="1" customWidth="1"/>
    <col min="11010" max="11010" width="2.26953125" style="1" customWidth="1"/>
    <col min="11011" max="11011" width="13.54296875" style="1" customWidth="1"/>
    <col min="11012" max="11012" width="2.26953125" style="1" customWidth="1"/>
    <col min="11013" max="11013" width="17.81640625" style="1" bestFit="1" customWidth="1"/>
    <col min="11014" max="11014" width="2.1796875" style="1" customWidth="1"/>
    <col min="11015" max="11015" width="17.453125" style="1" bestFit="1" customWidth="1"/>
    <col min="11016" max="11016" width="2.26953125" style="1" customWidth="1"/>
    <col min="11017" max="11017" width="18.453125" style="1" customWidth="1"/>
    <col min="11018" max="11018" width="2.26953125" style="1" customWidth="1"/>
    <col min="11019" max="11019" width="16.81640625" style="1" customWidth="1"/>
    <col min="11020" max="11020" width="2.26953125" style="1" customWidth="1"/>
    <col min="11021" max="11021" width="15.1796875" style="1" customWidth="1"/>
    <col min="11022" max="11022" width="2.26953125" style="1" customWidth="1"/>
    <col min="11023" max="11023" width="11.453125" style="1" customWidth="1"/>
    <col min="11024" max="11024" width="2.26953125" style="1" customWidth="1"/>
    <col min="11025" max="11025" width="15.1796875" style="1" bestFit="1" customWidth="1"/>
    <col min="11026" max="11026" width="3.26953125" style="1" customWidth="1"/>
    <col min="11027" max="11027" width="9.1796875" style="1"/>
    <col min="11028" max="11028" width="23.81640625" style="1" customWidth="1"/>
    <col min="11029" max="11262" width="9.1796875" style="1"/>
    <col min="11263" max="11263" width="12" style="1" customWidth="1"/>
    <col min="11264" max="11264" width="2.26953125" style="1" customWidth="1"/>
    <col min="11265" max="11265" width="49.81640625" style="1" customWidth="1"/>
    <col min="11266" max="11266" width="2.26953125" style="1" customWidth="1"/>
    <col min="11267" max="11267" width="13.54296875" style="1" customWidth="1"/>
    <col min="11268" max="11268" width="2.26953125" style="1" customWidth="1"/>
    <col min="11269" max="11269" width="17.81640625" style="1" bestFit="1" customWidth="1"/>
    <col min="11270" max="11270" width="2.1796875" style="1" customWidth="1"/>
    <col min="11271" max="11271" width="17.453125" style="1" bestFit="1" customWidth="1"/>
    <col min="11272" max="11272" width="2.26953125" style="1" customWidth="1"/>
    <col min="11273" max="11273" width="18.453125" style="1" customWidth="1"/>
    <col min="11274" max="11274" width="2.26953125" style="1" customWidth="1"/>
    <col min="11275" max="11275" width="16.81640625" style="1" customWidth="1"/>
    <col min="11276" max="11276" width="2.26953125" style="1" customWidth="1"/>
    <col min="11277" max="11277" width="15.1796875" style="1" customWidth="1"/>
    <col min="11278" max="11278" width="2.26953125" style="1" customWidth="1"/>
    <col min="11279" max="11279" width="11.453125" style="1" customWidth="1"/>
    <col min="11280" max="11280" width="2.26953125" style="1" customWidth="1"/>
    <col min="11281" max="11281" width="15.1796875" style="1" bestFit="1" customWidth="1"/>
    <col min="11282" max="11282" width="3.26953125" style="1" customWidth="1"/>
    <col min="11283" max="11283" width="9.1796875" style="1"/>
    <col min="11284" max="11284" width="23.81640625" style="1" customWidth="1"/>
    <col min="11285" max="11518" width="9.1796875" style="1"/>
    <col min="11519" max="11519" width="12" style="1" customWidth="1"/>
    <col min="11520" max="11520" width="2.26953125" style="1" customWidth="1"/>
    <col min="11521" max="11521" width="49.81640625" style="1" customWidth="1"/>
    <col min="11522" max="11522" width="2.26953125" style="1" customWidth="1"/>
    <col min="11523" max="11523" width="13.54296875" style="1" customWidth="1"/>
    <col min="11524" max="11524" width="2.26953125" style="1" customWidth="1"/>
    <col min="11525" max="11525" width="17.81640625" style="1" bestFit="1" customWidth="1"/>
    <col min="11526" max="11526" width="2.1796875" style="1" customWidth="1"/>
    <col min="11527" max="11527" width="17.453125" style="1" bestFit="1" customWidth="1"/>
    <col min="11528" max="11528" width="2.26953125" style="1" customWidth="1"/>
    <col min="11529" max="11529" width="18.453125" style="1" customWidth="1"/>
    <col min="11530" max="11530" width="2.26953125" style="1" customWidth="1"/>
    <col min="11531" max="11531" width="16.81640625" style="1" customWidth="1"/>
    <col min="11532" max="11532" width="2.26953125" style="1" customWidth="1"/>
    <col min="11533" max="11533" width="15.1796875" style="1" customWidth="1"/>
    <col min="11534" max="11534" width="2.26953125" style="1" customWidth="1"/>
    <col min="11535" max="11535" width="11.453125" style="1" customWidth="1"/>
    <col min="11536" max="11536" width="2.26953125" style="1" customWidth="1"/>
    <col min="11537" max="11537" width="15.1796875" style="1" bestFit="1" customWidth="1"/>
    <col min="11538" max="11538" width="3.26953125" style="1" customWidth="1"/>
    <col min="11539" max="11539" width="9.1796875" style="1"/>
    <col min="11540" max="11540" width="23.81640625" style="1" customWidth="1"/>
    <col min="11541" max="11774" width="9.1796875" style="1"/>
    <col min="11775" max="11775" width="12" style="1" customWidth="1"/>
    <col min="11776" max="11776" width="2.26953125" style="1" customWidth="1"/>
    <col min="11777" max="11777" width="49.81640625" style="1" customWidth="1"/>
    <col min="11778" max="11778" width="2.26953125" style="1" customWidth="1"/>
    <col min="11779" max="11779" width="13.54296875" style="1" customWidth="1"/>
    <col min="11780" max="11780" width="2.26953125" style="1" customWidth="1"/>
    <col min="11781" max="11781" width="17.81640625" style="1" bestFit="1" customWidth="1"/>
    <col min="11782" max="11782" width="2.1796875" style="1" customWidth="1"/>
    <col min="11783" max="11783" width="17.453125" style="1" bestFit="1" customWidth="1"/>
    <col min="11784" max="11784" width="2.26953125" style="1" customWidth="1"/>
    <col min="11785" max="11785" width="18.453125" style="1" customWidth="1"/>
    <col min="11786" max="11786" width="2.26953125" style="1" customWidth="1"/>
    <col min="11787" max="11787" width="16.81640625" style="1" customWidth="1"/>
    <col min="11788" max="11788" width="2.26953125" style="1" customWidth="1"/>
    <col min="11789" max="11789" width="15.1796875" style="1" customWidth="1"/>
    <col min="11790" max="11790" width="2.26953125" style="1" customWidth="1"/>
    <col min="11791" max="11791" width="11.453125" style="1" customWidth="1"/>
    <col min="11792" max="11792" width="2.26953125" style="1" customWidth="1"/>
    <col min="11793" max="11793" width="15.1796875" style="1" bestFit="1" customWidth="1"/>
    <col min="11794" max="11794" width="3.26953125" style="1" customWidth="1"/>
    <col min="11795" max="11795" width="9.1796875" style="1"/>
    <col min="11796" max="11796" width="23.81640625" style="1" customWidth="1"/>
    <col min="11797" max="12030" width="9.1796875" style="1"/>
    <col min="12031" max="12031" width="12" style="1" customWidth="1"/>
    <col min="12032" max="12032" width="2.26953125" style="1" customWidth="1"/>
    <col min="12033" max="12033" width="49.81640625" style="1" customWidth="1"/>
    <col min="12034" max="12034" width="2.26953125" style="1" customWidth="1"/>
    <col min="12035" max="12035" width="13.54296875" style="1" customWidth="1"/>
    <col min="12036" max="12036" width="2.26953125" style="1" customWidth="1"/>
    <col min="12037" max="12037" width="17.81640625" style="1" bestFit="1" customWidth="1"/>
    <col min="12038" max="12038" width="2.1796875" style="1" customWidth="1"/>
    <col min="12039" max="12039" width="17.453125" style="1" bestFit="1" customWidth="1"/>
    <col min="12040" max="12040" width="2.26953125" style="1" customWidth="1"/>
    <col min="12041" max="12041" width="18.453125" style="1" customWidth="1"/>
    <col min="12042" max="12042" width="2.26953125" style="1" customWidth="1"/>
    <col min="12043" max="12043" width="16.81640625" style="1" customWidth="1"/>
    <col min="12044" max="12044" width="2.26953125" style="1" customWidth="1"/>
    <col min="12045" max="12045" width="15.1796875" style="1" customWidth="1"/>
    <col min="12046" max="12046" width="2.26953125" style="1" customWidth="1"/>
    <col min="12047" max="12047" width="11.453125" style="1" customWidth="1"/>
    <col min="12048" max="12048" width="2.26953125" style="1" customWidth="1"/>
    <col min="12049" max="12049" width="15.1796875" style="1" bestFit="1" customWidth="1"/>
    <col min="12050" max="12050" width="3.26953125" style="1" customWidth="1"/>
    <col min="12051" max="12051" width="9.1796875" style="1"/>
    <col min="12052" max="12052" width="23.81640625" style="1" customWidth="1"/>
    <col min="12053" max="12286" width="9.1796875" style="1"/>
    <col min="12287" max="12287" width="12" style="1" customWidth="1"/>
    <col min="12288" max="12288" width="2.26953125" style="1" customWidth="1"/>
    <col min="12289" max="12289" width="49.81640625" style="1" customWidth="1"/>
    <col min="12290" max="12290" width="2.26953125" style="1" customWidth="1"/>
    <col min="12291" max="12291" width="13.54296875" style="1" customWidth="1"/>
    <col min="12292" max="12292" width="2.26953125" style="1" customWidth="1"/>
    <col min="12293" max="12293" width="17.81640625" style="1" bestFit="1" customWidth="1"/>
    <col min="12294" max="12294" width="2.1796875" style="1" customWidth="1"/>
    <col min="12295" max="12295" width="17.453125" style="1" bestFit="1" customWidth="1"/>
    <col min="12296" max="12296" width="2.26953125" style="1" customWidth="1"/>
    <col min="12297" max="12297" width="18.453125" style="1" customWidth="1"/>
    <col min="12298" max="12298" width="2.26953125" style="1" customWidth="1"/>
    <col min="12299" max="12299" width="16.81640625" style="1" customWidth="1"/>
    <col min="12300" max="12300" width="2.26953125" style="1" customWidth="1"/>
    <col min="12301" max="12301" width="15.1796875" style="1" customWidth="1"/>
    <col min="12302" max="12302" width="2.26953125" style="1" customWidth="1"/>
    <col min="12303" max="12303" width="11.453125" style="1" customWidth="1"/>
    <col min="12304" max="12304" width="2.26953125" style="1" customWidth="1"/>
    <col min="12305" max="12305" width="15.1796875" style="1" bestFit="1" customWidth="1"/>
    <col min="12306" max="12306" width="3.26953125" style="1" customWidth="1"/>
    <col min="12307" max="12307" width="9.1796875" style="1"/>
    <col min="12308" max="12308" width="23.81640625" style="1" customWidth="1"/>
    <col min="12309" max="12542" width="9.1796875" style="1"/>
    <col min="12543" max="12543" width="12" style="1" customWidth="1"/>
    <col min="12544" max="12544" width="2.26953125" style="1" customWidth="1"/>
    <col min="12545" max="12545" width="49.81640625" style="1" customWidth="1"/>
    <col min="12546" max="12546" width="2.26953125" style="1" customWidth="1"/>
    <col min="12547" max="12547" width="13.54296875" style="1" customWidth="1"/>
    <col min="12548" max="12548" width="2.26953125" style="1" customWidth="1"/>
    <col min="12549" max="12549" width="17.81640625" style="1" bestFit="1" customWidth="1"/>
    <col min="12550" max="12550" width="2.1796875" style="1" customWidth="1"/>
    <col min="12551" max="12551" width="17.453125" style="1" bestFit="1" customWidth="1"/>
    <col min="12552" max="12552" width="2.26953125" style="1" customWidth="1"/>
    <col min="12553" max="12553" width="18.453125" style="1" customWidth="1"/>
    <col min="12554" max="12554" width="2.26953125" style="1" customWidth="1"/>
    <col min="12555" max="12555" width="16.81640625" style="1" customWidth="1"/>
    <col min="12556" max="12556" width="2.26953125" style="1" customWidth="1"/>
    <col min="12557" max="12557" width="15.1796875" style="1" customWidth="1"/>
    <col min="12558" max="12558" width="2.26953125" style="1" customWidth="1"/>
    <col min="12559" max="12559" width="11.453125" style="1" customWidth="1"/>
    <col min="12560" max="12560" width="2.26953125" style="1" customWidth="1"/>
    <col min="12561" max="12561" width="15.1796875" style="1" bestFit="1" customWidth="1"/>
    <col min="12562" max="12562" width="3.26953125" style="1" customWidth="1"/>
    <col min="12563" max="12563" width="9.1796875" style="1"/>
    <col min="12564" max="12564" width="23.81640625" style="1" customWidth="1"/>
    <col min="12565" max="12798" width="9.1796875" style="1"/>
    <col min="12799" max="12799" width="12" style="1" customWidth="1"/>
    <col min="12800" max="12800" width="2.26953125" style="1" customWidth="1"/>
    <col min="12801" max="12801" width="49.81640625" style="1" customWidth="1"/>
    <col min="12802" max="12802" width="2.26953125" style="1" customWidth="1"/>
    <col min="12803" max="12803" width="13.54296875" style="1" customWidth="1"/>
    <col min="12804" max="12804" width="2.26953125" style="1" customWidth="1"/>
    <col min="12805" max="12805" width="17.81640625" style="1" bestFit="1" customWidth="1"/>
    <col min="12806" max="12806" width="2.1796875" style="1" customWidth="1"/>
    <col min="12807" max="12807" width="17.453125" style="1" bestFit="1" customWidth="1"/>
    <col min="12808" max="12808" width="2.26953125" style="1" customWidth="1"/>
    <col min="12809" max="12809" width="18.453125" style="1" customWidth="1"/>
    <col min="12810" max="12810" width="2.26953125" style="1" customWidth="1"/>
    <col min="12811" max="12811" width="16.81640625" style="1" customWidth="1"/>
    <col min="12812" max="12812" width="2.26953125" style="1" customWidth="1"/>
    <col min="12813" max="12813" width="15.1796875" style="1" customWidth="1"/>
    <col min="12814" max="12814" width="2.26953125" style="1" customWidth="1"/>
    <col min="12815" max="12815" width="11.453125" style="1" customWidth="1"/>
    <col min="12816" max="12816" width="2.26953125" style="1" customWidth="1"/>
    <col min="12817" max="12817" width="15.1796875" style="1" bestFit="1" customWidth="1"/>
    <col min="12818" max="12818" width="3.26953125" style="1" customWidth="1"/>
    <col min="12819" max="12819" width="9.1796875" style="1"/>
    <col min="12820" max="12820" width="23.81640625" style="1" customWidth="1"/>
    <col min="12821" max="13054" width="9.1796875" style="1"/>
    <col min="13055" max="13055" width="12" style="1" customWidth="1"/>
    <col min="13056" max="13056" width="2.26953125" style="1" customWidth="1"/>
    <col min="13057" max="13057" width="49.81640625" style="1" customWidth="1"/>
    <col min="13058" max="13058" width="2.26953125" style="1" customWidth="1"/>
    <col min="13059" max="13059" width="13.54296875" style="1" customWidth="1"/>
    <col min="13060" max="13060" width="2.26953125" style="1" customWidth="1"/>
    <col min="13061" max="13061" width="17.81640625" style="1" bestFit="1" customWidth="1"/>
    <col min="13062" max="13062" width="2.1796875" style="1" customWidth="1"/>
    <col min="13063" max="13063" width="17.453125" style="1" bestFit="1" customWidth="1"/>
    <col min="13064" max="13064" width="2.26953125" style="1" customWidth="1"/>
    <col min="13065" max="13065" width="18.453125" style="1" customWidth="1"/>
    <col min="13066" max="13066" width="2.26953125" style="1" customWidth="1"/>
    <col min="13067" max="13067" width="16.81640625" style="1" customWidth="1"/>
    <col min="13068" max="13068" width="2.26953125" style="1" customWidth="1"/>
    <col min="13069" max="13069" width="15.1796875" style="1" customWidth="1"/>
    <col min="13070" max="13070" width="2.26953125" style="1" customWidth="1"/>
    <col min="13071" max="13071" width="11.453125" style="1" customWidth="1"/>
    <col min="13072" max="13072" width="2.26953125" style="1" customWidth="1"/>
    <col min="13073" max="13073" width="15.1796875" style="1" bestFit="1" customWidth="1"/>
    <col min="13074" max="13074" width="3.26953125" style="1" customWidth="1"/>
    <col min="13075" max="13075" width="9.1796875" style="1"/>
    <col min="13076" max="13076" width="23.81640625" style="1" customWidth="1"/>
    <col min="13077" max="13310" width="9.1796875" style="1"/>
    <col min="13311" max="13311" width="12" style="1" customWidth="1"/>
    <col min="13312" max="13312" width="2.26953125" style="1" customWidth="1"/>
    <col min="13313" max="13313" width="49.81640625" style="1" customWidth="1"/>
    <col min="13314" max="13314" width="2.26953125" style="1" customWidth="1"/>
    <col min="13315" max="13315" width="13.54296875" style="1" customWidth="1"/>
    <col min="13316" max="13316" width="2.26953125" style="1" customWidth="1"/>
    <col min="13317" max="13317" width="17.81640625" style="1" bestFit="1" customWidth="1"/>
    <col min="13318" max="13318" width="2.1796875" style="1" customWidth="1"/>
    <col min="13319" max="13319" width="17.453125" style="1" bestFit="1" customWidth="1"/>
    <col min="13320" max="13320" width="2.26953125" style="1" customWidth="1"/>
    <col min="13321" max="13321" width="18.453125" style="1" customWidth="1"/>
    <col min="13322" max="13322" width="2.26953125" style="1" customWidth="1"/>
    <col min="13323" max="13323" width="16.81640625" style="1" customWidth="1"/>
    <col min="13324" max="13324" width="2.26953125" style="1" customWidth="1"/>
    <col min="13325" max="13325" width="15.1796875" style="1" customWidth="1"/>
    <col min="13326" max="13326" width="2.26953125" style="1" customWidth="1"/>
    <col min="13327" max="13327" width="11.453125" style="1" customWidth="1"/>
    <col min="13328" max="13328" width="2.26953125" style="1" customWidth="1"/>
    <col min="13329" max="13329" width="15.1796875" style="1" bestFit="1" customWidth="1"/>
    <col min="13330" max="13330" width="3.26953125" style="1" customWidth="1"/>
    <col min="13331" max="13331" width="9.1796875" style="1"/>
    <col min="13332" max="13332" width="23.81640625" style="1" customWidth="1"/>
    <col min="13333" max="13566" width="9.1796875" style="1"/>
    <col min="13567" max="13567" width="12" style="1" customWidth="1"/>
    <col min="13568" max="13568" width="2.26953125" style="1" customWidth="1"/>
    <col min="13569" max="13569" width="49.81640625" style="1" customWidth="1"/>
    <col min="13570" max="13570" width="2.26953125" style="1" customWidth="1"/>
    <col min="13571" max="13571" width="13.54296875" style="1" customWidth="1"/>
    <col min="13572" max="13572" width="2.26953125" style="1" customWidth="1"/>
    <col min="13573" max="13573" width="17.81640625" style="1" bestFit="1" customWidth="1"/>
    <col min="13574" max="13574" width="2.1796875" style="1" customWidth="1"/>
    <col min="13575" max="13575" width="17.453125" style="1" bestFit="1" customWidth="1"/>
    <col min="13576" max="13576" width="2.26953125" style="1" customWidth="1"/>
    <col min="13577" max="13577" width="18.453125" style="1" customWidth="1"/>
    <col min="13578" max="13578" width="2.26953125" style="1" customWidth="1"/>
    <col min="13579" max="13579" width="16.81640625" style="1" customWidth="1"/>
    <col min="13580" max="13580" width="2.26953125" style="1" customWidth="1"/>
    <col min="13581" max="13581" width="15.1796875" style="1" customWidth="1"/>
    <col min="13582" max="13582" width="2.26953125" style="1" customWidth="1"/>
    <col min="13583" max="13583" width="11.453125" style="1" customWidth="1"/>
    <col min="13584" max="13584" width="2.26953125" style="1" customWidth="1"/>
    <col min="13585" max="13585" width="15.1796875" style="1" bestFit="1" customWidth="1"/>
    <col min="13586" max="13586" width="3.26953125" style="1" customWidth="1"/>
    <col min="13587" max="13587" width="9.1796875" style="1"/>
    <col min="13588" max="13588" width="23.81640625" style="1" customWidth="1"/>
    <col min="13589" max="13822" width="9.1796875" style="1"/>
    <col min="13823" max="13823" width="12" style="1" customWidth="1"/>
    <col min="13824" max="13824" width="2.26953125" style="1" customWidth="1"/>
    <col min="13825" max="13825" width="49.81640625" style="1" customWidth="1"/>
    <col min="13826" max="13826" width="2.26953125" style="1" customWidth="1"/>
    <col min="13827" max="13827" width="13.54296875" style="1" customWidth="1"/>
    <col min="13828" max="13828" width="2.26953125" style="1" customWidth="1"/>
    <col min="13829" max="13829" width="17.81640625" style="1" bestFit="1" customWidth="1"/>
    <col min="13830" max="13830" width="2.1796875" style="1" customWidth="1"/>
    <col min="13831" max="13831" width="17.453125" style="1" bestFit="1" customWidth="1"/>
    <col min="13832" max="13832" width="2.26953125" style="1" customWidth="1"/>
    <col min="13833" max="13833" width="18.453125" style="1" customWidth="1"/>
    <col min="13834" max="13834" width="2.26953125" style="1" customWidth="1"/>
    <col min="13835" max="13835" width="16.81640625" style="1" customWidth="1"/>
    <col min="13836" max="13836" width="2.26953125" style="1" customWidth="1"/>
    <col min="13837" max="13837" width="15.1796875" style="1" customWidth="1"/>
    <col min="13838" max="13838" width="2.26953125" style="1" customWidth="1"/>
    <col min="13839" max="13839" width="11.453125" style="1" customWidth="1"/>
    <col min="13840" max="13840" width="2.26953125" style="1" customWidth="1"/>
    <col min="13841" max="13841" width="15.1796875" style="1" bestFit="1" customWidth="1"/>
    <col min="13842" max="13842" width="3.26953125" style="1" customWidth="1"/>
    <col min="13843" max="13843" width="9.1796875" style="1"/>
    <col min="13844" max="13844" width="23.81640625" style="1" customWidth="1"/>
    <col min="13845" max="14078" width="9.1796875" style="1"/>
    <col min="14079" max="14079" width="12" style="1" customWidth="1"/>
    <col min="14080" max="14080" width="2.26953125" style="1" customWidth="1"/>
    <col min="14081" max="14081" width="49.81640625" style="1" customWidth="1"/>
    <col min="14082" max="14082" width="2.26953125" style="1" customWidth="1"/>
    <col min="14083" max="14083" width="13.54296875" style="1" customWidth="1"/>
    <col min="14084" max="14084" width="2.26953125" style="1" customWidth="1"/>
    <col min="14085" max="14085" width="17.81640625" style="1" bestFit="1" customWidth="1"/>
    <col min="14086" max="14086" width="2.1796875" style="1" customWidth="1"/>
    <col min="14087" max="14087" width="17.453125" style="1" bestFit="1" customWidth="1"/>
    <col min="14088" max="14088" width="2.26953125" style="1" customWidth="1"/>
    <col min="14089" max="14089" width="18.453125" style="1" customWidth="1"/>
    <col min="14090" max="14090" width="2.26953125" style="1" customWidth="1"/>
    <col min="14091" max="14091" width="16.81640625" style="1" customWidth="1"/>
    <col min="14092" max="14092" width="2.26953125" style="1" customWidth="1"/>
    <col min="14093" max="14093" width="15.1796875" style="1" customWidth="1"/>
    <col min="14094" max="14094" width="2.26953125" style="1" customWidth="1"/>
    <col min="14095" max="14095" width="11.453125" style="1" customWidth="1"/>
    <col min="14096" max="14096" width="2.26953125" style="1" customWidth="1"/>
    <col min="14097" max="14097" width="15.1796875" style="1" bestFit="1" customWidth="1"/>
    <col min="14098" max="14098" width="3.26953125" style="1" customWidth="1"/>
    <col min="14099" max="14099" width="9.1796875" style="1"/>
    <col min="14100" max="14100" width="23.81640625" style="1" customWidth="1"/>
    <col min="14101" max="14334" width="9.1796875" style="1"/>
    <col min="14335" max="14335" width="12" style="1" customWidth="1"/>
    <col min="14336" max="14336" width="2.26953125" style="1" customWidth="1"/>
    <col min="14337" max="14337" width="49.81640625" style="1" customWidth="1"/>
    <col min="14338" max="14338" width="2.26953125" style="1" customWidth="1"/>
    <col min="14339" max="14339" width="13.54296875" style="1" customWidth="1"/>
    <col min="14340" max="14340" width="2.26953125" style="1" customWidth="1"/>
    <col min="14341" max="14341" width="17.81640625" style="1" bestFit="1" customWidth="1"/>
    <col min="14342" max="14342" width="2.1796875" style="1" customWidth="1"/>
    <col min="14343" max="14343" width="17.453125" style="1" bestFit="1" customWidth="1"/>
    <col min="14344" max="14344" width="2.26953125" style="1" customWidth="1"/>
    <col min="14345" max="14345" width="18.453125" style="1" customWidth="1"/>
    <col min="14346" max="14346" width="2.26953125" style="1" customWidth="1"/>
    <col min="14347" max="14347" width="16.81640625" style="1" customWidth="1"/>
    <col min="14348" max="14348" width="2.26953125" style="1" customWidth="1"/>
    <col min="14349" max="14349" width="15.1796875" style="1" customWidth="1"/>
    <col min="14350" max="14350" width="2.26953125" style="1" customWidth="1"/>
    <col min="14351" max="14351" width="11.453125" style="1" customWidth="1"/>
    <col min="14352" max="14352" width="2.26953125" style="1" customWidth="1"/>
    <col min="14353" max="14353" width="15.1796875" style="1" bestFit="1" customWidth="1"/>
    <col min="14354" max="14354" width="3.26953125" style="1" customWidth="1"/>
    <col min="14355" max="14355" width="9.1796875" style="1"/>
    <col min="14356" max="14356" width="23.81640625" style="1" customWidth="1"/>
    <col min="14357" max="14590" width="9.1796875" style="1"/>
    <col min="14591" max="14591" width="12" style="1" customWidth="1"/>
    <col min="14592" max="14592" width="2.26953125" style="1" customWidth="1"/>
    <col min="14593" max="14593" width="49.81640625" style="1" customWidth="1"/>
    <col min="14594" max="14594" width="2.26953125" style="1" customWidth="1"/>
    <col min="14595" max="14595" width="13.54296875" style="1" customWidth="1"/>
    <col min="14596" max="14596" width="2.26953125" style="1" customWidth="1"/>
    <col min="14597" max="14597" width="17.81640625" style="1" bestFit="1" customWidth="1"/>
    <col min="14598" max="14598" width="2.1796875" style="1" customWidth="1"/>
    <col min="14599" max="14599" width="17.453125" style="1" bestFit="1" customWidth="1"/>
    <col min="14600" max="14600" width="2.26953125" style="1" customWidth="1"/>
    <col min="14601" max="14601" width="18.453125" style="1" customWidth="1"/>
    <col min="14602" max="14602" width="2.26953125" style="1" customWidth="1"/>
    <col min="14603" max="14603" width="16.81640625" style="1" customWidth="1"/>
    <col min="14604" max="14604" width="2.26953125" style="1" customWidth="1"/>
    <col min="14605" max="14605" width="15.1796875" style="1" customWidth="1"/>
    <col min="14606" max="14606" width="2.26953125" style="1" customWidth="1"/>
    <col min="14607" max="14607" width="11.453125" style="1" customWidth="1"/>
    <col min="14608" max="14608" width="2.26953125" style="1" customWidth="1"/>
    <col min="14609" max="14609" width="15.1796875" style="1" bestFit="1" customWidth="1"/>
    <col min="14610" max="14610" width="3.26953125" style="1" customWidth="1"/>
    <col min="14611" max="14611" width="9.1796875" style="1"/>
    <col min="14612" max="14612" width="23.81640625" style="1" customWidth="1"/>
    <col min="14613" max="14846" width="9.1796875" style="1"/>
    <col min="14847" max="14847" width="12" style="1" customWidth="1"/>
    <col min="14848" max="14848" width="2.26953125" style="1" customWidth="1"/>
    <col min="14849" max="14849" width="49.81640625" style="1" customWidth="1"/>
    <col min="14850" max="14850" width="2.26953125" style="1" customWidth="1"/>
    <col min="14851" max="14851" width="13.54296875" style="1" customWidth="1"/>
    <col min="14852" max="14852" width="2.26953125" style="1" customWidth="1"/>
    <col min="14853" max="14853" width="17.81640625" style="1" bestFit="1" customWidth="1"/>
    <col min="14854" max="14854" width="2.1796875" style="1" customWidth="1"/>
    <col min="14855" max="14855" width="17.453125" style="1" bestFit="1" customWidth="1"/>
    <col min="14856" max="14856" width="2.26953125" style="1" customWidth="1"/>
    <col min="14857" max="14857" width="18.453125" style="1" customWidth="1"/>
    <col min="14858" max="14858" width="2.26953125" style="1" customWidth="1"/>
    <col min="14859" max="14859" width="16.81640625" style="1" customWidth="1"/>
    <col min="14860" max="14860" width="2.26953125" style="1" customWidth="1"/>
    <col min="14861" max="14861" width="15.1796875" style="1" customWidth="1"/>
    <col min="14862" max="14862" width="2.26953125" style="1" customWidth="1"/>
    <col min="14863" max="14863" width="11.453125" style="1" customWidth="1"/>
    <col min="14864" max="14864" width="2.26953125" style="1" customWidth="1"/>
    <col min="14865" max="14865" width="15.1796875" style="1" bestFit="1" customWidth="1"/>
    <col min="14866" max="14866" width="3.26953125" style="1" customWidth="1"/>
    <col min="14867" max="14867" width="9.1796875" style="1"/>
    <col min="14868" max="14868" width="23.81640625" style="1" customWidth="1"/>
    <col min="14869" max="15102" width="9.1796875" style="1"/>
    <col min="15103" max="15103" width="12" style="1" customWidth="1"/>
    <col min="15104" max="15104" width="2.26953125" style="1" customWidth="1"/>
    <col min="15105" max="15105" width="49.81640625" style="1" customWidth="1"/>
    <col min="15106" max="15106" width="2.26953125" style="1" customWidth="1"/>
    <col min="15107" max="15107" width="13.54296875" style="1" customWidth="1"/>
    <col min="15108" max="15108" width="2.26953125" style="1" customWidth="1"/>
    <col min="15109" max="15109" width="17.81640625" style="1" bestFit="1" customWidth="1"/>
    <col min="15110" max="15110" width="2.1796875" style="1" customWidth="1"/>
    <col min="15111" max="15111" width="17.453125" style="1" bestFit="1" customWidth="1"/>
    <col min="15112" max="15112" width="2.26953125" style="1" customWidth="1"/>
    <col min="15113" max="15113" width="18.453125" style="1" customWidth="1"/>
    <col min="15114" max="15114" width="2.26953125" style="1" customWidth="1"/>
    <col min="15115" max="15115" width="16.81640625" style="1" customWidth="1"/>
    <col min="15116" max="15116" width="2.26953125" style="1" customWidth="1"/>
    <col min="15117" max="15117" width="15.1796875" style="1" customWidth="1"/>
    <col min="15118" max="15118" width="2.26953125" style="1" customWidth="1"/>
    <col min="15119" max="15119" width="11.453125" style="1" customWidth="1"/>
    <col min="15120" max="15120" width="2.26953125" style="1" customWidth="1"/>
    <col min="15121" max="15121" width="15.1796875" style="1" bestFit="1" customWidth="1"/>
    <col min="15122" max="15122" width="3.26953125" style="1" customWidth="1"/>
    <col min="15123" max="15123" width="9.1796875" style="1"/>
    <col min="15124" max="15124" width="23.81640625" style="1" customWidth="1"/>
    <col min="15125" max="15358" width="9.1796875" style="1"/>
    <col min="15359" max="15359" width="12" style="1" customWidth="1"/>
    <col min="15360" max="15360" width="2.26953125" style="1" customWidth="1"/>
    <col min="15361" max="15361" width="49.81640625" style="1" customWidth="1"/>
    <col min="15362" max="15362" width="2.26953125" style="1" customWidth="1"/>
    <col min="15363" max="15363" width="13.54296875" style="1" customWidth="1"/>
    <col min="15364" max="15364" width="2.26953125" style="1" customWidth="1"/>
    <col min="15365" max="15365" width="17.81640625" style="1" bestFit="1" customWidth="1"/>
    <col min="15366" max="15366" width="2.1796875" style="1" customWidth="1"/>
    <col min="15367" max="15367" width="17.453125" style="1" bestFit="1" customWidth="1"/>
    <col min="15368" max="15368" width="2.26953125" style="1" customWidth="1"/>
    <col min="15369" max="15369" width="18.453125" style="1" customWidth="1"/>
    <col min="15370" max="15370" width="2.26953125" style="1" customWidth="1"/>
    <col min="15371" max="15371" width="16.81640625" style="1" customWidth="1"/>
    <col min="15372" max="15372" width="2.26953125" style="1" customWidth="1"/>
    <col min="15373" max="15373" width="15.1796875" style="1" customWidth="1"/>
    <col min="15374" max="15374" width="2.26953125" style="1" customWidth="1"/>
    <col min="15375" max="15375" width="11.453125" style="1" customWidth="1"/>
    <col min="15376" max="15376" width="2.26953125" style="1" customWidth="1"/>
    <col min="15377" max="15377" width="15.1796875" style="1" bestFit="1" customWidth="1"/>
    <col min="15378" max="15378" width="3.26953125" style="1" customWidth="1"/>
    <col min="15379" max="15379" width="9.1796875" style="1"/>
    <col min="15380" max="15380" width="23.81640625" style="1" customWidth="1"/>
    <col min="15381" max="15614" width="9.1796875" style="1"/>
    <col min="15615" max="15615" width="12" style="1" customWidth="1"/>
    <col min="15616" max="15616" width="2.26953125" style="1" customWidth="1"/>
    <col min="15617" max="15617" width="49.81640625" style="1" customWidth="1"/>
    <col min="15618" max="15618" width="2.26953125" style="1" customWidth="1"/>
    <col min="15619" max="15619" width="13.54296875" style="1" customWidth="1"/>
    <col min="15620" max="15620" width="2.26953125" style="1" customWidth="1"/>
    <col min="15621" max="15621" width="17.81640625" style="1" bestFit="1" customWidth="1"/>
    <col min="15622" max="15622" width="2.1796875" style="1" customWidth="1"/>
    <col min="15623" max="15623" width="17.453125" style="1" bestFit="1" customWidth="1"/>
    <col min="15624" max="15624" width="2.26953125" style="1" customWidth="1"/>
    <col min="15625" max="15625" width="18.453125" style="1" customWidth="1"/>
    <col min="15626" max="15626" width="2.26953125" style="1" customWidth="1"/>
    <col min="15627" max="15627" width="16.81640625" style="1" customWidth="1"/>
    <col min="15628" max="15628" width="2.26953125" style="1" customWidth="1"/>
    <col min="15629" max="15629" width="15.1796875" style="1" customWidth="1"/>
    <col min="15630" max="15630" width="2.26953125" style="1" customWidth="1"/>
    <col min="15631" max="15631" width="11.453125" style="1" customWidth="1"/>
    <col min="15632" max="15632" width="2.26953125" style="1" customWidth="1"/>
    <col min="15633" max="15633" width="15.1796875" style="1" bestFit="1" customWidth="1"/>
    <col min="15634" max="15634" width="3.26953125" style="1" customWidth="1"/>
    <col min="15635" max="15635" width="9.1796875" style="1"/>
    <col min="15636" max="15636" width="23.81640625" style="1" customWidth="1"/>
    <col min="15637" max="15870" width="9.1796875" style="1"/>
    <col min="15871" max="15871" width="12" style="1" customWidth="1"/>
    <col min="15872" max="15872" width="2.26953125" style="1" customWidth="1"/>
    <col min="15873" max="15873" width="49.81640625" style="1" customWidth="1"/>
    <col min="15874" max="15874" width="2.26953125" style="1" customWidth="1"/>
    <col min="15875" max="15875" width="13.54296875" style="1" customWidth="1"/>
    <col min="15876" max="15876" width="2.26953125" style="1" customWidth="1"/>
    <col min="15877" max="15877" width="17.81640625" style="1" bestFit="1" customWidth="1"/>
    <col min="15878" max="15878" width="2.1796875" style="1" customWidth="1"/>
    <col min="15879" max="15879" width="17.453125" style="1" bestFit="1" customWidth="1"/>
    <col min="15880" max="15880" width="2.26953125" style="1" customWidth="1"/>
    <col min="15881" max="15881" width="18.453125" style="1" customWidth="1"/>
    <col min="15882" max="15882" width="2.26953125" style="1" customWidth="1"/>
    <col min="15883" max="15883" width="16.81640625" style="1" customWidth="1"/>
    <col min="15884" max="15884" width="2.26953125" style="1" customWidth="1"/>
    <col min="15885" max="15885" width="15.1796875" style="1" customWidth="1"/>
    <col min="15886" max="15886" width="2.26953125" style="1" customWidth="1"/>
    <col min="15887" max="15887" width="11.453125" style="1" customWidth="1"/>
    <col min="15888" max="15888" width="2.26953125" style="1" customWidth="1"/>
    <col min="15889" max="15889" width="15.1796875" style="1" bestFit="1" customWidth="1"/>
    <col min="15890" max="15890" width="3.26953125" style="1" customWidth="1"/>
    <col min="15891" max="15891" width="9.1796875" style="1"/>
    <col min="15892" max="15892" width="23.81640625" style="1" customWidth="1"/>
    <col min="15893" max="16126" width="9.1796875" style="1"/>
    <col min="16127" max="16127" width="12" style="1" customWidth="1"/>
    <col min="16128" max="16128" width="2.26953125" style="1" customWidth="1"/>
    <col min="16129" max="16129" width="49.81640625" style="1" customWidth="1"/>
    <col min="16130" max="16130" width="2.26953125" style="1" customWidth="1"/>
    <col min="16131" max="16131" width="13.54296875" style="1" customWidth="1"/>
    <col min="16132" max="16132" width="2.26953125" style="1" customWidth="1"/>
    <col min="16133" max="16133" width="17.81640625" style="1" bestFit="1" customWidth="1"/>
    <col min="16134" max="16134" width="2.1796875" style="1" customWidth="1"/>
    <col min="16135" max="16135" width="17.453125" style="1" bestFit="1" customWidth="1"/>
    <col min="16136" max="16136" width="2.26953125" style="1" customWidth="1"/>
    <col min="16137" max="16137" width="18.453125" style="1" customWidth="1"/>
    <col min="16138" max="16138" width="2.26953125" style="1" customWidth="1"/>
    <col min="16139" max="16139" width="16.81640625" style="1" customWidth="1"/>
    <col min="16140" max="16140" width="2.26953125" style="1" customWidth="1"/>
    <col min="16141" max="16141" width="15.1796875" style="1" customWidth="1"/>
    <col min="16142" max="16142" width="2.26953125" style="1" customWidth="1"/>
    <col min="16143" max="16143" width="11.453125" style="1" customWidth="1"/>
    <col min="16144" max="16144" width="2.26953125" style="1" customWidth="1"/>
    <col min="16145" max="16145" width="15.1796875" style="1" bestFit="1" customWidth="1"/>
    <col min="16146" max="16146" width="3.26953125" style="1" customWidth="1"/>
    <col min="16147" max="16147" width="9.1796875" style="1"/>
    <col min="16148" max="16148" width="23.81640625" style="1" customWidth="1"/>
    <col min="16149" max="16384" width="9.1796875" style="1"/>
  </cols>
  <sheetData>
    <row r="1" spans="1:20" s="59" customFormat="1" ht="30" customHeight="1" x14ac:dyDescent="0.25">
      <c r="A1" s="57" t="s">
        <v>0</v>
      </c>
      <c r="B1" s="57"/>
      <c r="C1" s="60"/>
      <c r="D1" s="60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T1" s="61"/>
    </row>
    <row r="2" spans="1:20" s="8" customFormat="1" ht="15" customHeight="1" x14ac:dyDescent="0.3">
      <c r="A2" s="14" t="s">
        <v>75</v>
      </c>
      <c r="B2" s="14"/>
      <c r="C2" s="22"/>
      <c r="D2" s="2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T2" s="56"/>
    </row>
    <row r="3" spans="1:20" s="8" customFormat="1" ht="15" customHeight="1" x14ac:dyDescent="0.3">
      <c r="A3" s="14" t="s">
        <v>76</v>
      </c>
      <c r="B3" s="14"/>
      <c r="C3" s="22"/>
      <c r="D3" s="2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T3" s="56"/>
    </row>
    <row r="4" spans="1:20" s="8" customFormat="1" ht="25" customHeight="1" x14ac:dyDescent="0.35">
      <c r="A4" s="16" t="s">
        <v>77</v>
      </c>
      <c r="B4" s="16"/>
      <c r="C4" s="22"/>
      <c r="D4" s="2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T4" s="56"/>
    </row>
    <row r="5" spans="1:20" s="8" customFormat="1" ht="25" customHeight="1" x14ac:dyDescent="0.35">
      <c r="A5" s="16" t="s">
        <v>5</v>
      </c>
      <c r="B5" s="16"/>
      <c r="C5" s="22"/>
      <c r="D5" s="2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T5" s="56"/>
    </row>
    <row r="6" spans="1:20" s="30" customFormat="1" ht="59.25" customHeight="1" x14ac:dyDescent="0.25">
      <c r="A6" s="27" t="s">
        <v>6</v>
      </c>
      <c r="B6" s="27"/>
      <c r="C6" s="27" t="s">
        <v>7</v>
      </c>
      <c r="D6" s="27"/>
      <c r="E6" s="28" t="s">
        <v>11</v>
      </c>
      <c r="F6" s="50"/>
      <c r="G6" s="28" t="s">
        <v>78</v>
      </c>
      <c r="H6" s="50"/>
      <c r="I6" s="28" t="s">
        <v>79</v>
      </c>
      <c r="J6" s="29"/>
      <c r="K6" s="28" t="s">
        <v>80</v>
      </c>
      <c r="L6" s="29"/>
      <c r="M6" s="28" t="s">
        <v>81</v>
      </c>
      <c r="N6" s="29"/>
      <c r="O6" s="28" t="s">
        <v>82</v>
      </c>
      <c r="P6" s="29"/>
      <c r="Q6" s="28" t="s">
        <v>83</v>
      </c>
    </row>
    <row r="7" spans="1:20" s="7" customFormat="1" ht="11.5" x14ac:dyDescent="0.25">
      <c r="A7" s="5" t="s">
        <v>15</v>
      </c>
      <c r="B7" s="5"/>
      <c r="C7" s="35" t="s">
        <v>16</v>
      </c>
      <c r="D7" s="35"/>
      <c r="E7" s="36" t="s">
        <v>17</v>
      </c>
      <c r="F7" s="37"/>
      <c r="G7" s="36" t="s">
        <v>18</v>
      </c>
      <c r="H7" s="37"/>
      <c r="I7" s="36" t="s">
        <v>19</v>
      </c>
      <c r="J7" s="70"/>
      <c r="K7" s="38" t="s">
        <v>84</v>
      </c>
      <c r="L7" s="38"/>
      <c r="M7" s="6" t="s">
        <v>85</v>
      </c>
      <c r="N7" s="37"/>
      <c r="O7" s="39" t="s">
        <v>22</v>
      </c>
      <c r="P7" s="37"/>
      <c r="Q7" s="40" t="s">
        <v>86</v>
      </c>
      <c r="T7" s="54"/>
    </row>
    <row r="8" spans="1:20" s="8" customFormat="1" ht="25" customHeight="1" x14ac:dyDescent="0.3">
      <c r="A8" s="74" t="s">
        <v>24</v>
      </c>
      <c r="B8" s="74"/>
      <c r="C8" s="31"/>
      <c r="D8" s="31"/>
      <c r="E8" s="31"/>
      <c r="F8" s="42"/>
      <c r="G8" s="23"/>
      <c r="H8" s="23"/>
      <c r="I8" s="23"/>
      <c r="J8" s="23"/>
      <c r="K8" s="43"/>
      <c r="L8" s="13"/>
      <c r="M8" s="44"/>
      <c r="N8" s="44"/>
      <c r="O8" s="13"/>
      <c r="P8" s="13"/>
      <c r="Q8" s="13"/>
      <c r="R8" s="13"/>
      <c r="S8" s="13"/>
      <c r="T8" s="22"/>
    </row>
    <row r="9" spans="1:20" s="8" customFormat="1" ht="25" customHeight="1" x14ac:dyDescent="0.3">
      <c r="A9" s="31" t="s">
        <v>25</v>
      </c>
      <c r="B9" s="31"/>
      <c r="C9" s="31"/>
      <c r="D9" s="31"/>
      <c r="E9" s="31"/>
      <c r="F9" s="42"/>
      <c r="G9" s="23"/>
      <c r="H9" s="23"/>
      <c r="I9" s="23"/>
      <c r="J9" s="23"/>
      <c r="K9" s="43"/>
      <c r="L9" s="13"/>
      <c r="M9" s="44"/>
      <c r="N9" s="44"/>
      <c r="O9" s="13"/>
      <c r="P9" s="13"/>
      <c r="Q9" s="13"/>
      <c r="R9" s="13"/>
      <c r="S9" s="13"/>
      <c r="T9" s="22"/>
    </row>
    <row r="10" spans="1:20" s="8" customFormat="1" ht="14.5" customHeight="1" x14ac:dyDescent="0.3">
      <c r="A10" s="31"/>
      <c r="B10" s="31"/>
      <c r="C10" s="31"/>
      <c r="D10" s="31"/>
      <c r="E10" s="31"/>
      <c r="F10" s="42"/>
      <c r="G10" s="23"/>
      <c r="H10" s="23"/>
      <c r="I10" s="23"/>
      <c r="J10" s="23"/>
      <c r="K10" s="43"/>
      <c r="L10" s="13"/>
      <c r="M10" s="44"/>
      <c r="N10" s="44"/>
      <c r="O10" s="13"/>
      <c r="P10" s="13"/>
      <c r="Q10" s="13"/>
      <c r="R10" s="13"/>
      <c r="S10" s="13"/>
      <c r="T10" s="22"/>
    </row>
    <row r="11" spans="1:20" s="8" customFormat="1" ht="14.5" customHeight="1" x14ac:dyDescent="0.3">
      <c r="A11" s="31" t="s">
        <v>26</v>
      </c>
      <c r="B11" s="31"/>
      <c r="C11" s="31"/>
      <c r="D11" s="31"/>
      <c r="E11" s="31"/>
      <c r="F11" s="42"/>
      <c r="G11" s="23"/>
      <c r="H11" s="23"/>
      <c r="I11" s="23"/>
      <c r="J11" s="23"/>
      <c r="K11" s="43"/>
      <c r="L11" s="13"/>
      <c r="M11" s="44"/>
      <c r="N11" s="44"/>
      <c r="O11" s="13"/>
      <c r="P11" s="13"/>
      <c r="Q11" s="13"/>
      <c r="R11" s="13"/>
      <c r="S11" s="13"/>
      <c r="T11" s="22"/>
    </row>
    <row r="12" spans="1:20" s="8" customFormat="1" ht="14" x14ac:dyDescent="0.3">
      <c r="A12" s="77">
        <v>331</v>
      </c>
      <c r="B12" s="77"/>
      <c r="C12" s="21" t="s">
        <v>27</v>
      </c>
      <c r="D12" s="21"/>
      <c r="E12" s="41">
        <f>VLOOKUP(A12,'Table 1 Total'!A$12:P$60,10,FALSE)</f>
        <v>1668035.55</v>
      </c>
      <c r="F12" s="41"/>
      <c r="G12" s="41">
        <f>VLOOKUP(A12,'Table 1 Total'!A$12:P$60,12,FALSE)</f>
        <v>260801.16710174701</v>
      </c>
      <c r="H12" s="41"/>
      <c r="I12" s="41">
        <f>VLOOKUP(A12,'ELG Whole Life_Total'!A$1:M$296,2,FALSE)</f>
        <v>368030.01</v>
      </c>
      <c r="J12" s="12"/>
      <c r="K12" s="19">
        <f t="shared" ref="K12:K59" si="0">G12-I12</f>
        <v>-107228.842898253</v>
      </c>
      <c r="L12" s="19"/>
      <c r="M12" s="71">
        <f t="shared" ref="M12:M15" si="1">IFERROR(K12/G12,1)</f>
        <v>-0.41115169878215901</v>
      </c>
      <c r="N12" s="10"/>
      <c r="O12" s="47">
        <f>IF(P12=" ",(VLOOKUP(A12,'ALG Remaining Life_Life'!A$2:M$35,11,FALSE)),3)</f>
        <v>61.933363986420503</v>
      </c>
      <c r="P12" s="10" t="str">
        <f>IF(VLOOKUP(A12,'ALG Remaining Life_Life'!A$2:M$35,11,FALSE)&gt;3," ","+")</f>
        <v xml:space="preserve"> </v>
      </c>
      <c r="Q12" s="19">
        <f>VLOOKUP(A12,'Table 2A Life'!A$12:Q$59,17,FALSE)+VLOOKUP(A12,'Table 2B Net Salvage'!A$12:Q$59,17,FALSE)</f>
        <v>-1731.358285685305</v>
      </c>
      <c r="R12" s="8" t="str">
        <f>IF(T12&gt;0.05," ","*")</f>
        <v xml:space="preserve"> </v>
      </c>
      <c r="S12" s="13"/>
      <c r="T12" s="8">
        <f t="shared" ref="T12:T59" si="2">ABS(M12)</f>
        <v>0.41115169878215901</v>
      </c>
    </row>
    <row r="13" spans="1:20" s="8" customFormat="1" ht="14" x14ac:dyDescent="0.3">
      <c r="A13" s="77">
        <v>332</v>
      </c>
      <c r="B13" s="77"/>
      <c r="C13" s="21" t="s">
        <v>28</v>
      </c>
      <c r="D13" s="21"/>
      <c r="E13" s="41">
        <f>VLOOKUP(A13,'Table 1 Total'!A$12:P$60,10,FALSE)</f>
        <v>8819430.7799999993</v>
      </c>
      <c r="F13" s="41"/>
      <c r="G13" s="41">
        <f>VLOOKUP(A13,'Table 1 Total'!A$12:P$60,12,FALSE)</f>
        <v>794003.19415029895</v>
      </c>
      <c r="H13" s="41"/>
      <c r="I13" s="41">
        <f>VLOOKUP(A13,'ELG Whole Life_Total'!A$1:M$296,2,FALSE)</f>
        <v>445133.92</v>
      </c>
      <c r="J13" s="12"/>
      <c r="K13" s="19">
        <f t="shared" si="0"/>
        <v>348869.27415029897</v>
      </c>
      <c r="L13" s="19"/>
      <c r="M13" s="71">
        <f t="shared" si="1"/>
        <v>0.43938018980344379</v>
      </c>
      <c r="N13" s="10"/>
      <c r="O13" s="47">
        <f>IF(P13=" ",(VLOOKUP(A13,'ALG Remaining Life_Life'!A$2:M$35,11,FALSE)),3)</f>
        <v>92.391494478569797</v>
      </c>
      <c r="P13" s="10" t="str">
        <f>IF(VLOOKUP(A13,'ALG Remaining Life_Life'!A$2:M$35,11,FALSE)&gt;3," ","+")</f>
        <v xml:space="preserve"> </v>
      </c>
      <c r="Q13" s="19">
        <f>VLOOKUP(A13,'Table 2A Life'!A$12:Q$59,17,FALSE)+VLOOKUP(A13,'Table 2B Net Salvage'!A$12:Q$59,17,FALSE)</f>
        <v>3775.9890790728487</v>
      </c>
      <c r="R13" s="8" t="str">
        <f t="shared" ref="R13:R16" si="3">IF(T13&gt;0.05," ","*")</f>
        <v xml:space="preserve"> </v>
      </c>
      <c r="S13" s="13"/>
      <c r="T13" s="8">
        <f t="shared" si="2"/>
        <v>0.43938018980344379</v>
      </c>
    </row>
    <row r="14" spans="1:20" s="55" customFormat="1" ht="14" x14ac:dyDescent="0.3">
      <c r="A14" s="77">
        <v>333</v>
      </c>
      <c r="B14" s="77"/>
      <c r="C14" s="21" t="s">
        <v>29</v>
      </c>
      <c r="D14" s="21"/>
      <c r="E14" s="41">
        <f>VLOOKUP(A14,'Table 1 Total'!A$12:P$60,10,FALSE)</f>
        <v>3293183.44</v>
      </c>
      <c r="F14" s="41"/>
      <c r="G14" s="41">
        <f>VLOOKUP(A14,'Table 1 Total'!A$12:P$60,12,FALSE)</f>
        <v>459173.25642393302</v>
      </c>
      <c r="H14" s="41"/>
      <c r="I14" s="41">
        <f>VLOOKUP(A14,'ELG Whole Life_Total'!A$1:M$296,2,FALSE)</f>
        <v>1651556.44</v>
      </c>
      <c r="J14" s="12"/>
      <c r="K14" s="19">
        <f t="shared" si="0"/>
        <v>-1192383.183576067</v>
      </c>
      <c r="L14" s="19"/>
      <c r="M14" s="71">
        <f t="shared" si="1"/>
        <v>-2.5968045109212454</v>
      </c>
      <c r="N14" s="10"/>
      <c r="O14" s="47">
        <f>IF(P14=" ",(VLOOKUP(A14,'ALG Remaining Life_Life'!A$2:M$35,11,FALSE)),3)</f>
        <v>74.892554164926494</v>
      </c>
      <c r="P14" s="10" t="str">
        <f>IF(VLOOKUP(A14,'ALG Remaining Life_Life'!A$2:M$35,11,FALSE)&gt;3," ","+")</f>
        <v xml:space="preserve"> </v>
      </c>
      <c r="Q14" s="19">
        <f>VLOOKUP(A14,'Table 2A Life'!A$12:Q$59,17,FALSE)+VLOOKUP(A14,'Table 2B Net Salvage'!A$12:Q$59,17,FALSE)</f>
        <v>-15921.251409722663</v>
      </c>
      <c r="R14" s="8" t="str">
        <f t="shared" si="3"/>
        <v xml:space="preserve"> </v>
      </c>
      <c r="S14" s="13"/>
      <c r="T14" s="8">
        <f t="shared" si="2"/>
        <v>2.5968045109212454</v>
      </c>
    </row>
    <row r="15" spans="1:20" s="55" customFormat="1" ht="14" x14ac:dyDescent="0.3">
      <c r="A15" s="77">
        <v>334</v>
      </c>
      <c r="B15" s="77"/>
      <c r="C15" s="21" t="s">
        <v>30</v>
      </c>
      <c r="D15" s="21"/>
      <c r="E15" s="41">
        <f>VLOOKUP(A15,'Table 1 Total'!A$12:P$60,10,FALSE)</f>
        <v>81241.84</v>
      </c>
      <c r="F15" s="41"/>
      <c r="G15" s="41">
        <f>VLOOKUP(A15,'Table 1 Total'!A$12:P$60,12,FALSE)</f>
        <v>53973.179439533</v>
      </c>
      <c r="H15" s="41"/>
      <c r="I15" s="41">
        <f>VLOOKUP(A15,'ELG Whole Life_Total'!A$1:M$296,2,FALSE)</f>
        <v>87001.96</v>
      </c>
      <c r="J15" s="12"/>
      <c r="K15" s="19">
        <f t="shared" si="0"/>
        <v>-33028.780560467007</v>
      </c>
      <c r="L15" s="19"/>
      <c r="M15" s="71">
        <f t="shared" si="1"/>
        <v>-0.6119480249902578</v>
      </c>
      <c r="N15" s="10"/>
      <c r="O15" s="47">
        <f>IF(P15=" ",(VLOOKUP(A15,'ALG Remaining Life_Life'!A$2:M$35,11,FALSE)),3)</f>
        <v>16.1127895814925</v>
      </c>
      <c r="P15" s="10" t="str">
        <f>IF(VLOOKUP(A15,'ALG Remaining Life_Life'!A$2:M$35,11,FALSE)&gt;3," ","+")</f>
        <v xml:space="preserve"> </v>
      </c>
      <c r="Q15" s="19">
        <f>VLOOKUP(A15,'Table 2A Life'!A$12:Q$59,17,FALSE)+VLOOKUP(A15,'Table 2B Net Salvage'!A$12:Q$59,17,FALSE)</f>
        <v>-2049.8486865616728</v>
      </c>
      <c r="R15" s="8" t="str">
        <f t="shared" si="3"/>
        <v xml:space="preserve"> </v>
      </c>
      <c r="S15" s="13"/>
      <c r="T15" s="8">
        <f t="shared" si="2"/>
        <v>0.6119480249902578</v>
      </c>
    </row>
    <row r="16" spans="1:20" s="8" customFormat="1" ht="14" x14ac:dyDescent="0.3">
      <c r="A16" s="77">
        <v>335</v>
      </c>
      <c r="B16" s="77"/>
      <c r="C16" s="21" t="s">
        <v>31</v>
      </c>
      <c r="D16" s="32"/>
      <c r="E16" s="81">
        <f>VLOOKUP(A16,'Table 1 Total'!A$12:P$60,10,FALSE)</f>
        <v>109846.18</v>
      </c>
      <c r="F16" s="41"/>
      <c r="G16" s="81">
        <f>VLOOKUP(A16,'Table 1 Total'!A$12:P$60,12,FALSE)</f>
        <v>11491.272300676501</v>
      </c>
      <c r="H16" s="41"/>
      <c r="I16" s="79">
        <f>VLOOKUP(A16,'ELG Whole Life_Total'!A$1:M$296,2,FALSE)</f>
        <v>10014.9</v>
      </c>
      <c r="J16" s="12"/>
      <c r="K16" s="80">
        <f t="shared" si="0"/>
        <v>1476.3723006765013</v>
      </c>
      <c r="L16" s="19"/>
      <c r="M16" s="71">
        <f t="shared" ref="M16" si="4">IFERROR(K16/G16,1)</f>
        <v>0.12847770569230929</v>
      </c>
      <c r="N16" s="10"/>
      <c r="O16" s="47">
        <f>IF(P16=" ",(VLOOKUP(A16,'ALG Remaining Life_Life'!A$2:M$35,11,FALSE)),3)</f>
        <v>45.978747335512402</v>
      </c>
      <c r="P16" s="10" t="str">
        <f>IF(VLOOKUP(A16,'ALG Remaining Life_Life'!A$2:M$35,11,FALSE)&gt;3," ","+")</f>
        <v xml:space="preserve"> </v>
      </c>
      <c r="Q16" s="101">
        <f>VLOOKUP(A16,'Table 2A Life'!A$12:Q$59,17,FALSE)+VLOOKUP(A16,'Table 2B Net Salvage'!A$12:Q$59,17,FALSE)</f>
        <v>32.109885245529568</v>
      </c>
      <c r="R16" s="8" t="str">
        <f t="shared" si="3"/>
        <v xml:space="preserve"> </v>
      </c>
      <c r="S16" s="13"/>
      <c r="T16" s="8">
        <f t="shared" si="2"/>
        <v>0.12847770569230929</v>
      </c>
    </row>
    <row r="17" spans="1:38" s="8" customFormat="1" ht="14" x14ac:dyDescent="0.3">
      <c r="A17" s="14" t="s">
        <v>32</v>
      </c>
      <c r="B17" s="14"/>
      <c r="C17" s="21"/>
      <c r="D17" s="32"/>
      <c r="E17" s="44">
        <f>_xlfn.IFNA(SUM(E12:E16),0)</f>
        <v>13971737.789999999</v>
      </c>
      <c r="F17" s="41"/>
      <c r="G17" s="44">
        <f>_xlfn.IFNA(SUM(G12:G16),0)</f>
        <v>1579442.0694161884</v>
      </c>
      <c r="H17" s="41"/>
      <c r="I17" s="44">
        <f>_xlfn.IFNA(SUM(I12:I16),0)</f>
        <v>2561737.23</v>
      </c>
      <c r="J17" s="12"/>
      <c r="K17" s="44">
        <f>_xlfn.IFNA(SUM(K12:K16),0)</f>
        <v>-982295.16058381146</v>
      </c>
      <c r="L17" s="19"/>
      <c r="M17" s="71"/>
      <c r="N17" s="10"/>
      <c r="O17" s="47"/>
      <c r="P17" s="10"/>
      <c r="Q17" s="44">
        <f>_xlfn.IFNA(SUM(Q12:Q16),0)</f>
        <v>-15894.359417651263</v>
      </c>
      <c r="S17" s="13"/>
    </row>
    <row r="18" spans="1:38" s="8" customFormat="1" ht="14" x14ac:dyDescent="0.3">
      <c r="A18" s="14"/>
      <c r="B18" s="14"/>
      <c r="C18" s="21"/>
      <c r="D18" s="32"/>
      <c r="E18" s="41"/>
      <c r="F18" s="41"/>
      <c r="G18" s="41"/>
      <c r="H18" s="41"/>
      <c r="I18" s="41"/>
      <c r="J18" s="12"/>
      <c r="K18" s="19"/>
      <c r="L18" s="19"/>
      <c r="M18" s="71"/>
      <c r="N18" s="10"/>
      <c r="O18" s="47"/>
      <c r="P18" s="10"/>
      <c r="Q18" s="19"/>
      <c r="S18" s="13"/>
    </row>
    <row r="19" spans="1:38" s="8" customFormat="1" ht="14" x14ac:dyDescent="0.3">
      <c r="A19" s="14" t="s">
        <v>33</v>
      </c>
      <c r="B19" s="14"/>
      <c r="C19" s="21"/>
      <c r="D19" s="32"/>
      <c r="E19" s="41"/>
      <c r="F19" s="41"/>
      <c r="G19" s="41"/>
      <c r="H19" s="41"/>
      <c r="I19" s="41"/>
      <c r="J19" s="12"/>
      <c r="K19" s="19"/>
      <c r="L19" s="19"/>
      <c r="M19" s="71"/>
      <c r="N19" s="10"/>
      <c r="O19" s="47"/>
      <c r="P19" s="10"/>
      <c r="Q19" s="19"/>
      <c r="S19" s="13"/>
    </row>
    <row r="20" spans="1:38" s="8" customFormat="1" ht="13.5" x14ac:dyDescent="0.25">
      <c r="A20" s="77">
        <v>341.2</v>
      </c>
      <c r="B20" s="77"/>
      <c r="C20" s="21" t="s">
        <v>34</v>
      </c>
      <c r="D20" s="53"/>
      <c r="E20" s="41">
        <f>VLOOKUP(A20,'Table 1 Total'!A$12:P$60,10,FALSE)</f>
        <v>6101560.3399999999</v>
      </c>
      <c r="F20" s="10"/>
      <c r="G20" s="41">
        <f>VLOOKUP(A20,'Table 1 Total'!A$12:P$60,12,FALSE)</f>
        <v>2108018.84766754</v>
      </c>
      <c r="H20" s="10"/>
      <c r="I20" s="41">
        <f>VLOOKUP(A20,'ELG Whole Life_Total'!A$1:M$296,2,FALSE)</f>
        <v>2232316.2599999998</v>
      </c>
      <c r="J20" s="95"/>
      <c r="K20" s="19">
        <f t="shared" si="0"/>
        <v>-124297.41233245982</v>
      </c>
      <c r="L20" s="11"/>
      <c r="M20" s="71">
        <f>IFERROR(K20/G20,1)</f>
        <v>-5.8964089656973986E-2</v>
      </c>
      <c r="N20" s="11"/>
      <c r="O20" s="47">
        <f>IF(P20=" ",(VLOOKUP(A20,'ALG Remaining Life_Life'!A$2:M$146,11,FALSE)),3)</f>
        <v>28.8622703530542</v>
      </c>
      <c r="P20" s="10" t="str">
        <f>IF(VLOOKUP(A20,'ALG Remaining Life_Life'!A$2:M$146,11,FALSE)&gt;3," ","+")</f>
        <v xml:space="preserve"> </v>
      </c>
      <c r="Q20" s="19">
        <f>VLOOKUP(A20,'Table 2A Life'!A$12:Q$159,17,FALSE)+VLOOKUP(A20,'Table 2B Net Salvage'!A$12:Q$161,17,FALSE)</f>
        <v>-4306.5708557229527</v>
      </c>
      <c r="R20" s="8" t="str">
        <f t="shared" ref="R20:R24" si="5">IF(T20&gt;0.05," ","*")</f>
        <v xml:space="preserve"> </v>
      </c>
      <c r="S20"/>
      <c r="T20" s="8">
        <f>ABS(M20)</f>
        <v>5.8964089656973986E-2</v>
      </c>
      <c r="U20"/>
    </row>
    <row r="21" spans="1:38" s="8" customFormat="1" ht="13.5" x14ac:dyDescent="0.25">
      <c r="A21" s="77">
        <v>342.2</v>
      </c>
      <c r="B21" s="77"/>
      <c r="C21" s="21" t="s">
        <v>35</v>
      </c>
      <c r="D21" s="53"/>
      <c r="E21" s="41">
        <f>VLOOKUP(A21,'Table 1 Total'!A$12:P$60,10,FALSE)</f>
        <v>3430727.61</v>
      </c>
      <c r="F21" s="10"/>
      <c r="G21" s="41">
        <f>VLOOKUP(A21,'Table 1 Total'!A$12:P$60,12,FALSE)</f>
        <v>1635805.4552229401</v>
      </c>
      <c r="H21" s="10"/>
      <c r="I21" s="41">
        <f>VLOOKUP(A21,'ELG Whole Life_Total'!A$1:M$296,2,FALSE)</f>
        <v>1983291.11</v>
      </c>
      <c r="J21" s="95"/>
      <c r="K21" s="19">
        <f>G21-I21</f>
        <v>-347485.65477706003</v>
      </c>
      <c r="L21" s="11"/>
      <c r="M21" s="71">
        <f t="shared" ref="M21:M25" si="6">IFERROR(K21/G21,1)</f>
        <v>-0.21242480495928046</v>
      </c>
      <c r="N21" s="11"/>
      <c r="O21" s="47">
        <f>IF(P21=" ",(VLOOKUP(A21,'ALG Remaining Life_Life'!A$2:M$146,11,FALSE)),3)</f>
        <v>22.875098796242</v>
      </c>
      <c r="P21" s="10" t="str">
        <f>IF(VLOOKUP(A21,'ALG Remaining Life_Life'!A$2:M$146,11,FALSE)&gt;3," ","+")</f>
        <v xml:space="preserve"> </v>
      </c>
      <c r="Q21" s="19">
        <f>VLOOKUP(A21,'Table 2A Life'!A$12:Q$159,17,FALSE)+VLOOKUP(A21,'Table 2B Net Salvage'!A$12:Q$161,17,FALSE)</f>
        <v>-15190.56410956993</v>
      </c>
      <c r="R21" s="8" t="str">
        <f t="shared" si="5"/>
        <v xml:space="preserve"> </v>
      </c>
      <c r="S21"/>
      <c r="T21" s="8">
        <f t="shared" si="2"/>
        <v>0.21242480495928046</v>
      </c>
      <c r="U21"/>
    </row>
    <row r="22" spans="1:38" s="8" customFormat="1" ht="13.5" x14ac:dyDescent="0.25">
      <c r="A22" s="77">
        <v>343.2</v>
      </c>
      <c r="B22" s="77"/>
      <c r="C22" s="21" t="s">
        <v>36</v>
      </c>
      <c r="D22" s="53"/>
      <c r="E22" s="41">
        <f>VLOOKUP(A22,'Table 1 Total'!A$12:P$60,10,FALSE)</f>
        <v>20512067.030000001</v>
      </c>
      <c r="F22" s="10"/>
      <c r="G22" s="41">
        <f>VLOOKUP(A22,'Table 1 Total'!A$12:P$60,12,FALSE)</f>
        <v>7074654.1500118999</v>
      </c>
      <c r="H22" s="10"/>
      <c r="I22" s="41">
        <f>VLOOKUP(A22,'ELG Whole Life_Total'!A$1:M$296,2,FALSE)</f>
        <v>4957034.92</v>
      </c>
      <c r="J22" s="95"/>
      <c r="K22" s="19">
        <f t="shared" si="0"/>
        <v>2117619.2300119</v>
      </c>
      <c r="L22" s="11"/>
      <c r="M22" s="71">
        <f t="shared" si="6"/>
        <v>0.29932477052724027</v>
      </c>
      <c r="N22" s="11"/>
      <c r="O22" s="47">
        <f>IF(P22=" ",(VLOOKUP(A22,'ALG Remaining Life_Life'!A$2:M$146,11,FALSE)),3)</f>
        <v>18.2924606952446</v>
      </c>
      <c r="P22" s="10" t="str">
        <f>IF(VLOOKUP(A22,'ALG Remaining Life_Life'!A$2:M$146,11,FALSE)&gt;3," ","+")</f>
        <v xml:space="preserve"> </v>
      </c>
      <c r="Q22" s="19">
        <f>VLOOKUP(A22,'Table 2A Life'!A$12:Q$159,17,FALSE)+VLOOKUP(A22,'Table 2B Net Salvage'!A$12:Q$161,17,FALSE)</f>
        <v>115764.59095863505</v>
      </c>
      <c r="R22" s="8" t="str">
        <f t="shared" si="5"/>
        <v xml:space="preserve"> </v>
      </c>
      <c r="S22"/>
      <c r="T22" s="8">
        <f t="shared" si="2"/>
        <v>0.29932477052724027</v>
      </c>
      <c r="U22"/>
    </row>
    <row r="23" spans="1:38" s="8" customFormat="1" ht="13.5" x14ac:dyDescent="0.25">
      <c r="A23" s="77">
        <v>345.2</v>
      </c>
      <c r="B23" s="77"/>
      <c r="C23" s="21" t="s">
        <v>37</v>
      </c>
      <c r="D23" s="53"/>
      <c r="E23" s="41">
        <f>VLOOKUP(A23,'Table 1 Total'!A$12:P$60,10,FALSE)</f>
        <v>5155802.54</v>
      </c>
      <c r="F23" s="10"/>
      <c r="G23" s="41">
        <f>VLOOKUP(A23,'Table 1 Total'!A$12:P$60,12,FALSE)</f>
        <v>1940458.2848495599</v>
      </c>
      <c r="H23" s="10"/>
      <c r="I23" s="41">
        <f>VLOOKUP(A23,'ELG Whole Life_Total'!A$1:M$296,2,FALSE)</f>
        <v>2131015.1800000002</v>
      </c>
      <c r="J23" s="95"/>
      <c r="K23" s="19">
        <f t="shared" si="0"/>
        <v>-190556.89515044028</v>
      </c>
      <c r="L23" s="11"/>
      <c r="M23" s="71">
        <f t="shared" si="6"/>
        <v>-9.8202005494394742E-2</v>
      </c>
      <c r="N23" s="11"/>
      <c r="O23" s="47">
        <f>IF(P23=" ",(VLOOKUP(A23,'ALG Remaining Life_Life'!A$2:M$146,11,FALSE)),3)</f>
        <v>23.032352268060301</v>
      </c>
      <c r="P23" s="10" t="str">
        <f>IF(VLOOKUP(A23,'ALG Remaining Life_Life'!A$2:M$146,11,FALSE)&gt;3," ","+")</f>
        <v xml:space="preserve"> </v>
      </c>
      <c r="Q23" s="19">
        <f>VLOOKUP(A23,'Table 2A Life'!A$12:Q$159,17,FALSE)+VLOOKUP(A23,'Table 2B Net Salvage'!A$12:Q$161,17,FALSE)</f>
        <v>-8273.4448020184027</v>
      </c>
      <c r="R23" s="8" t="str">
        <f t="shared" si="5"/>
        <v xml:space="preserve"> </v>
      </c>
      <c r="S23"/>
      <c r="T23" s="8">
        <f t="shared" si="2"/>
        <v>9.8202005494394742E-2</v>
      </c>
      <c r="U23"/>
    </row>
    <row r="24" spans="1:38" s="8" customFormat="1" ht="13.5" x14ac:dyDescent="0.25">
      <c r="A24" s="77">
        <v>346.2</v>
      </c>
      <c r="B24" s="77"/>
      <c r="C24" s="21" t="s">
        <v>38</v>
      </c>
      <c r="D24" s="53"/>
      <c r="E24" s="41">
        <f>VLOOKUP(A24,'Table 1 Total'!A$12:P$60,10,FALSE)</f>
        <v>1113752.55</v>
      </c>
      <c r="F24" s="10"/>
      <c r="G24" s="41">
        <f>VLOOKUP(A24,'Table 1 Total'!A$12:P$60,12,FALSE)</f>
        <v>403939.13237289799</v>
      </c>
      <c r="H24" s="10"/>
      <c r="I24" s="41">
        <f>VLOOKUP(A24,'ELG Whole Life_Total'!A$1:M$296,2,FALSE)</f>
        <v>467259.87</v>
      </c>
      <c r="J24" s="95"/>
      <c r="K24" s="19">
        <f t="shared" si="0"/>
        <v>-63320.737627102004</v>
      </c>
      <c r="L24" s="11"/>
      <c r="M24" s="71">
        <f t="shared" si="6"/>
        <v>-0.15675811663784833</v>
      </c>
      <c r="N24" s="11"/>
      <c r="O24" s="47">
        <f>IF(P24=" ",(VLOOKUP(A24,'ALG Remaining Life_Life'!A$2:M$146,11,FALSE)),3)</f>
        <v>27.161511820339999</v>
      </c>
      <c r="P24" s="10" t="str">
        <f>IF(VLOOKUP(A24,'ALG Remaining Life_Life'!A$2:M$146,11,FALSE)&gt;3," ","+")</f>
        <v xml:space="preserve"> </v>
      </c>
      <c r="Q24" s="19">
        <f>VLOOKUP(A24,'Table 2A Life'!A$12:Q$159,17,FALSE)+VLOOKUP(A24,'Table 2B Net Salvage'!A$12:Q$161,17,FALSE)</f>
        <v>-2331.2670533929572</v>
      </c>
      <c r="R24" s="8" t="str">
        <f t="shared" si="5"/>
        <v xml:space="preserve"> </v>
      </c>
      <c r="S24"/>
      <c r="T24" s="8">
        <f t="shared" si="2"/>
        <v>0.15675811663784833</v>
      </c>
      <c r="U24"/>
    </row>
    <row r="25" spans="1:38" s="8" customFormat="1" ht="13.5" x14ac:dyDescent="0.25">
      <c r="A25" s="77">
        <v>347.2</v>
      </c>
      <c r="B25" s="77"/>
      <c r="C25" s="21" t="s">
        <v>39</v>
      </c>
      <c r="D25" s="53"/>
      <c r="E25" s="81">
        <f>VLOOKUP(A25,'Table 1 Total'!A$12:P$60,10,FALSE)</f>
        <v>3536262.09</v>
      </c>
      <c r="F25" s="10"/>
      <c r="G25" s="81">
        <f>VLOOKUP(A25,'Table 1 Total'!A$12:P$60,12,FALSE)</f>
        <v>242926.26078229299</v>
      </c>
      <c r="H25" s="10"/>
      <c r="I25" s="79">
        <f>VLOOKUP(A25,'ELG Whole Life_Total'!A$1:M$296,2,FALSE)</f>
        <v>169269.1</v>
      </c>
      <c r="J25" s="95"/>
      <c r="K25" s="101">
        <f t="shared" si="0"/>
        <v>73657.16078229298</v>
      </c>
      <c r="L25" s="11"/>
      <c r="M25" s="71">
        <f t="shared" si="6"/>
        <v>0.30320789751217331</v>
      </c>
      <c r="N25" s="11"/>
      <c r="O25" s="47">
        <f>IF(P25=" ",(VLOOKUP(A25,'ALG Remaining Life_Life'!A$2:M$146,11,FALSE)),3)</f>
        <v>23.5279903616909</v>
      </c>
      <c r="P25" s="10" t="str">
        <f>IF(VLOOKUP(A25,'ALG Remaining Life_Life'!A$2:M$146,11,FALSE)&gt;3," ","+")</f>
        <v xml:space="preserve"> </v>
      </c>
      <c r="Q25" s="101">
        <f>VLOOKUP(A25,'Table 2A Life'!A$12:Q$159,17,FALSE)+VLOOKUP(A25,'Table 2B Net Salvage'!A$12:Q$161,17,FALSE)</f>
        <v>3130.61845274402</v>
      </c>
      <c r="R25" s="8" t="str">
        <f t="shared" ref="R25" si="7">IF(T25&gt;0.05," ","*")</f>
        <v xml:space="preserve"> </v>
      </c>
      <c r="S25"/>
      <c r="T25" s="8">
        <f t="shared" si="2"/>
        <v>0.30320789751217331</v>
      </c>
      <c r="U25"/>
    </row>
    <row r="26" spans="1:38" s="26" customFormat="1" ht="14" x14ac:dyDescent="0.3">
      <c r="A26" s="14" t="s">
        <v>40</v>
      </c>
      <c r="B26" s="14"/>
      <c r="C26" s="21"/>
      <c r="D26" s="21"/>
      <c r="E26" s="44">
        <f>SUM(E20:E25)</f>
        <v>39850172.159999996</v>
      </c>
      <c r="F26" s="41"/>
      <c r="G26" s="44">
        <f>SUM(G20:G25)</f>
        <v>13405802.130907129</v>
      </c>
      <c r="H26" s="41"/>
      <c r="I26" s="44">
        <f>SUM(I20:I25)</f>
        <v>11940186.439999998</v>
      </c>
      <c r="J26" s="12"/>
      <c r="K26" s="44">
        <f>SUM(K20:K25)</f>
        <v>1465615.6909071307</v>
      </c>
      <c r="L26" s="19"/>
      <c r="M26" s="71"/>
      <c r="N26" s="10"/>
      <c r="O26" s="47"/>
      <c r="P26" s="10"/>
      <c r="Q26" s="44">
        <f>SUM(Q20:Q25)</f>
        <v>88793.362590674806</v>
      </c>
      <c r="R26" s="8"/>
      <c r="S26" s="8"/>
      <c r="T26" s="8"/>
      <c r="U26" s="8"/>
      <c r="V26" s="8"/>
      <c r="W26" s="8"/>
      <c r="X26" s="8"/>
      <c r="Y26" s="8"/>
      <c r="Z26" s="8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</row>
    <row r="27" spans="1:38" s="26" customFormat="1" ht="14" x14ac:dyDescent="0.25">
      <c r="A27" s="15"/>
      <c r="B27" s="15"/>
      <c r="C27" s="21"/>
      <c r="D27" s="21"/>
      <c r="E27" s="41"/>
      <c r="F27" s="41"/>
      <c r="G27" s="41"/>
      <c r="H27" s="41"/>
      <c r="I27" s="41"/>
      <c r="J27" s="12"/>
      <c r="K27" s="19"/>
      <c r="L27" s="19"/>
      <c r="M27" s="71"/>
      <c r="N27" s="10"/>
      <c r="O27" s="47"/>
      <c r="P27" s="10"/>
      <c r="Q27" s="19"/>
      <c r="R27" s="8"/>
      <c r="S27" s="8"/>
      <c r="T27" s="8"/>
      <c r="U27" s="8"/>
      <c r="V27" s="8"/>
      <c r="W27" s="8"/>
      <c r="X27" s="8"/>
      <c r="Y27" s="8"/>
      <c r="Z27" s="8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</row>
    <row r="28" spans="1:38" s="26" customFormat="1" ht="14" x14ac:dyDescent="0.3">
      <c r="A28" s="14" t="s">
        <v>41</v>
      </c>
      <c r="B28" s="14"/>
      <c r="C28" s="21"/>
      <c r="D28" s="21"/>
      <c r="E28" s="44">
        <f>E26+E17</f>
        <v>53821909.949999996</v>
      </c>
      <c r="F28" s="41"/>
      <c r="G28" s="44">
        <f>G26+G17</f>
        <v>14985244.200323317</v>
      </c>
      <c r="H28" s="41"/>
      <c r="I28" s="44">
        <f>I26+I17</f>
        <v>14501923.669999998</v>
      </c>
      <c r="J28" s="12"/>
      <c r="K28" s="44">
        <f>K26+K17</f>
        <v>483320.53032331925</v>
      </c>
      <c r="L28" s="19"/>
      <c r="M28" s="71"/>
      <c r="N28" s="10"/>
      <c r="O28" s="47"/>
      <c r="P28" s="10"/>
      <c r="Q28" s="44">
        <f>Q26+Q17</f>
        <v>72899.00317302355</v>
      </c>
      <c r="R28" s="8"/>
      <c r="S28" s="8"/>
      <c r="T28" s="8"/>
      <c r="U28" s="8"/>
      <c r="V28" s="8"/>
      <c r="W28" s="8"/>
      <c r="X28" s="8"/>
      <c r="Y28" s="8"/>
      <c r="Z28" s="8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</row>
    <row r="29" spans="1:38" s="26" customFormat="1" ht="14" x14ac:dyDescent="0.25">
      <c r="A29" s="15"/>
      <c r="B29" s="15"/>
      <c r="C29" s="21"/>
      <c r="D29" s="21"/>
      <c r="E29" s="41"/>
      <c r="F29" s="41"/>
      <c r="G29" s="41"/>
      <c r="H29" s="41"/>
      <c r="I29" s="41"/>
      <c r="J29" s="12"/>
      <c r="K29" s="19"/>
      <c r="L29" s="19"/>
      <c r="M29" s="71"/>
      <c r="N29" s="10"/>
      <c r="O29" s="47"/>
      <c r="P29" s="10"/>
      <c r="Q29" s="19"/>
      <c r="R29" s="8"/>
      <c r="S29" s="8"/>
      <c r="T29" s="8"/>
      <c r="U29" s="8"/>
      <c r="V29" s="8"/>
      <c r="W29" s="8"/>
      <c r="X29" s="8"/>
      <c r="Y29" s="8"/>
      <c r="Z29" s="8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</row>
    <row r="30" spans="1:38" s="26" customFormat="1" ht="14" x14ac:dyDescent="0.3">
      <c r="A30" s="14" t="s">
        <v>42</v>
      </c>
      <c r="B30" s="14"/>
      <c r="C30" s="21"/>
      <c r="D30" s="21"/>
      <c r="E30" s="41"/>
      <c r="F30" s="41"/>
      <c r="G30" s="41"/>
      <c r="H30" s="41"/>
      <c r="I30" s="41"/>
      <c r="J30" s="12"/>
      <c r="K30" s="19"/>
      <c r="L30" s="19"/>
      <c r="M30" s="71"/>
      <c r="N30" s="10"/>
      <c r="O30" s="47"/>
      <c r="P30" s="10"/>
      <c r="Q30" s="19"/>
      <c r="R30" s="8"/>
      <c r="S30" s="8"/>
      <c r="T30" s="8"/>
      <c r="U30" s="8"/>
      <c r="V30" s="8"/>
      <c r="W30" s="8"/>
      <c r="X30" s="8"/>
      <c r="Y30" s="8"/>
      <c r="Z30" s="8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</row>
    <row r="31" spans="1:38" ht="13.5" x14ac:dyDescent="0.25">
      <c r="A31" s="77">
        <v>353</v>
      </c>
      <c r="B31" s="77"/>
      <c r="C31" s="21" t="s">
        <v>43</v>
      </c>
      <c r="D31" s="21"/>
      <c r="E31" s="81">
        <f>VLOOKUP(A31,'Table 1 Total'!A$12:P$60,10,FALSE)</f>
        <v>1144289.3700000001</v>
      </c>
      <c r="F31" s="41"/>
      <c r="G31" s="81">
        <f>VLOOKUP(A31,'Table 1 Total'!A$12:P$60,12,FALSE)</f>
        <v>705899.65733429499</v>
      </c>
      <c r="H31" s="41"/>
      <c r="I31" s="79">
        <f>VLOOKUP(A31,'ELG Whole Life_Total'!A$1:M$296,2,FALSE)</f>
        <v>819893.79</v>
      </c>
      <c r="J31" s="12"/>
      <c r="K31" s="80">
        <f t="shared" si="0"/>
        <v>-113994.13266570505</v>
      </c>
      <c r="L31" s="19"/>
      <c r="M31" s="71">
        <f t="shared" ref="M31" si="8">IFERROR(K31/G31,1)</f>
        <v>-0.16148772914295453</v>
      </c>
      <c r="N31" s="10"/>
      <c r="O31" s="47">
        <f>IF(P31=" ",(VLOOKUP(A31,'ALG Remaining Life_Life'!A$2:M$296,11,FALSE)),3)</f>
        <v>21.664511278271501</v>
      </c>
      <c r="P31" s="10" t="str">
        <f>IF(VLOOKUP(A31,'ALG Remaining Life_Life'!A$2:M$296,11,FALSE)&gt;3," ","+")</f>
        <v xml:space="preserve"> </v>
      </c>
      <c r="Q31" s="80">
        <f>VLOOKUP(A31,'Table 2A Life'!A$12:Q$59,17,FALSE)+VLOOKUP(A31,'Table 2B Net Salvage'!A$12:Q$59,17,FALSE)</f>
        <v>-5261.7911016546159</v>
      </c>
      <c r="R31" s="8" t="str">
        <f t="shared" ref="R31" si="9">IF(T31&gt;0.05," ","*")</f>
        <v xml:space="preserve"> </v>
      </c>
      <c r="S31" s="8"/>
      <c r="T31" s="8">
        <f t="shared" si="2"/>
        <v>0.16148772914295453</v>
      </c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4" x14ac:dyDescent="0.3">
      <c r="A32" s="14" t="s">
        <v>44</v>
      </c>
      <c r="B32" s="14"/>
      <c r="C32" s="21"/>
      <c r="D32" s="21"/>
      <c r="E32" s="44">
        <f>SUM(E31)</f>
        <v>1144289.3700000001</v>
      </c>
      <c r="F32" s="41"/>
      <c r="G32" s="44">
        <f>SUM(G31)</f>
        <v>705899.65733429499</v>
      </c>
      <c r="H32" s="41"/>
      <c r="I32" s="44">
        <f>SUM(I31)</f>
        <v>819893.79</v>
      </c>
      <c r="J32" s="12"/>
      <c r="K32" s="44">
        <f>SUM(K31)</f>
        <v>-113994.13266570505</v>
      </c>
      <c r="L32" s="19"/>
      <c r="M32" s="71"/>
      <c r="N32" s="10"/>
      <c r="O32" s="47"/>
      <c r="P32" s="10"/>
      <c r="Q32" s="44">
        <f>SUM(Q31)</f>
        <v>-5261.7911016546159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ht="13.5" x14ac:dyDescent="0.25">
      <c r="A33" s="15"/>
      <c r="B33" s="15"/>
      <c r="C33" s="21"/>
      <c r="D33" s="21"/>
      <c r="E33" s="41"/>
      <c r="F33" s="41"/>
      <c r="G33" s="41"/>
      <c r="H33" s="41"/>
      <c r="I33" s="41"/>
      <c r="J33" s="12"/>
      <c r="K33" s="19"/>
      <c r="L33" s="19"/>
      <c r="M33" s="71"/>
      <c r="N33" s="10"/>
      <c r="O33" s="47"/>
      <c r="P33" s="10"/>
      <c r="Q33" s="1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4" x14ac:dyDescent="0.3">
      <c r="A34" s="14" t="s">
        <v>45</v>
      </c>
      <c r="B34" s="14"/>
      <c r="C34" s="21"/>
      <c r="D34" s="21"/>
      <c r="E34" s="41"/>
      <c r="F34" s="41"/>
      <c r="G34" s="41"/>
      <c r="H34" s="41"/>
      <c r="I34" s="41"/>
      <c r="J34" s="12"/>
      <c r="K34" s="19"/>
      <c r="L34" s="19"/>
      <c r="M34" s="71"/>
      <c r="N34" s="10"/>
      <c r="O34" s="47"/>
      <c r="P34" s="10"/>
      <c r="Q34" s="1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3.5" x14ac:dyDescent="0.25">
      <c r="A35" s="77">
        <v>360.1</v>
      </c>
      <c r="B35" s="77"/>
      <c r="C35" s="21" t="s">
        <v>46</v>
      </c>
      <c r="D35" s="21"/>
      <c r="E35" s="41">
        <f>VLOOKUP(A35,'Table 1 Total'!A$12:P$60,10,FALSE)</f>
        <v>2160689.19</v>
      </c>
      <c r="F35" s="41"/>
      <c r="G35" s="41">
        <f>VLOOKUP(A35,'Table 1 Total'!A$12:P$60,12,FALSE)</f>
        <v>425114.992152847</v>
      </c>
      <c r="H35" s="41"/>
      <c r="I35" s="41">
        <f>VLOOKUP(A35,'ELG Whole Life_Total'!A$1:M$296,2,FALSE)</f>
        <v>434786.54</v>
      </c>
      <c r="J35" s="12"/>
      <c r="K35" s="19">
        <f t="shared" si="0"/>
        <v>-9671.5478471529786</v>
      </c>
      <c r="L35" s="19"/>
      <c r="M35" s="71">
        <f t="shared" ref="M35:M46" si="10">IFERROR(K35/G35,1)</f>
        <v>-2.2750427591778848E-2</v>
      </c>
      <c r="N35" s="10"/>
      <c r="O35" s="47">
        <f>IF(P35=" ",(VLOOKUP(A35,'ALG Remaining Life_Life'!A$2:M$296,11,FALSE)),3)</f>
        <v>62.021897236907201</v>
      </c>
      <c r="P35" s="10" t="str">
        <f>IF(VLOOKUP(A35,'ALG Remaining Life_Life'!A$2:M$296,11,FALSE)&gt;3," ","+")</f>
        <v xml:space="preserve"> </v>
      </c>
      <c r="Q35" s="19">
        <f>VLOOKUP(A35,'Table 2A Life'!A$12:Q$59,17,FALSE)+VLOOKUP(A35,'Table 2B Net Salvage'!A$12:Q$59,17,FALSE)</f>
        <v>0</v>
      </c>
      <c r="R35" s="8" t="str">
        <f t="shared" ref="R35:R47" si="11">IF(T35&gt;0.05," ","*")</f>
        <v>*</v>
      </c>
      <c r="S35" s="8"/>
      <c r="T35" s="8">
        <f t="shared" si="2"/>
        <v>2.2750427591778848E-2</v>
      </c>
      <c r="U35" s="92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3.5" x14ac:dyDescent="0.25">
      <c r="A36" s="77">
        <v>362</v>
      </c>
      <c r="B36" s="77"/>
      <c r="C36" s="21" t="s">
        <v>43</v>
      </c>
      <c r="D36" s="32"/>
      <c r="E36" s="41">
        <f>VLOOKUP(A36,'Table 1 Total'!A$12:P$60,10,FALSE)</f>
        <v>7543472.7999999998</v>
      </c>
      <c r="F36" s="41"/>
      <c r="G36" s="41">
        <f>VLOOKUP(A36,'Table 1 Total'!A$12:P$60,12,FALSE)</f>
        <v>2905181.4543050299</v>
      </c>
      <c r="H36" s="41"/>
      <c r="I36" s="41">
        <f>VLOOKUP(A36,'ELG Whole Life_Total'!A$1:M$296,2,FALSE)</f>
        <v>2978316.34</v>
      </c>
      <c r="J36" s="12"/>
      <c r="K36" s="19">
        <f t="shared" si="0"/>
        <v>-73134.885694969911</v>
      </c>
      <c r="L36" s="19"/>
      <c r="M36" s="71">
        <f t="shared" si="10"/>
        <v>-2.517394759855544E-2</v>
      </c>
      <c r="N36" s="10"/>
      <c r="O36" s="47">
        <f>IF(P36=" ",(VLOOKUP(A36,'ALG Remaining Life_Life'!A$2:M$296,11,FALSE)),3)</f>
        <v>26.434645811200301</v>
      </c>
      <c r="P36" s="10" t="str">
        <f>IF(VLOOKUP(A36,'ALG Remaining Life_Life'!A$2:M$296,11,FALSE)&gt;3," ","+")</f>
        <v xml:space="preserve"> </v>
      </c>
      <c r="Q36" s="19">
        <f>VLOOKUP(A36,'Table 2A Life'!A$12:Q$59,17,FALSE)+VLOOKUP(A36,'Table 2B Net Salvage'!A$12:Q$59,17,FALSE)</f>
        <v>-2766.6300587989281</v>
      </c>
      <c r="R36" s="8" t="str">
        <f t="shared" si="11"/>
        <v>*</v>
      </c>
      <c r="S36" s="8"/>
      <c r="T36" s="8">
        <f t="shared" si="2"/>
        <v>2.517394759855544E-2</v>
      </c>
      <c r="U36" s="92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3.5" x14ac:dyDescent="0.25">
      <c r="A37" s="77">
        <v>362.1</v>
      </c>
      <c r="B37" s="77"/>
      <c r="C37" s="21" t="s">
        <v>47</v>
      </c>
      <c r="D37" s="31"/>
      <c r="E37" s="41">
        <f>VLOOKUP(A37,'Table 1 Total'!A$12:P$60,10,FALSE)</f>
        <v>976501.82</v>
      </c>
      <c r="F37" s="41"/>
      <c r="G37" s="41">
        <f>VLOOKUP(A37,'Table 1 Total'!A$12:P$60,12,FALSE)</f>
        <v>615980.20524666703</v>
      </c>
      <c r="H37" s="41"/>
      <c r="I37" s="41">
        <f>VLOOKUP(A37,'ELG Whole Life_Total'!A$1:M$296,2,FALSE)</f>
        <v>1270158.43</v>
      </c>
      <c r="J37" s="12"/>
      <c r="K37" s="19">
        <f t="shared" si="0"/>
        <v>-654178.22475333291</v>
      </c>
      <c r="L37" s="19"/>
      <c r="M37" s="71">
        <f t="shared" si="10"/>
        <v>-1.0620117646335236</v>
      </c>
      <c r="N37" s="10"/>
      <c r="O37" s="47">
        <f>IF(P37=" ",(VLOOKUP(A37,'ALG Remaining Life_Life'!A$2:M$296,11,FALSE)),3)</f>
        <v>5.6316397136873801</v>
      </c>
      <c r="P37" s="10" t="str">
        <f>IF(VLOOKUP(A37,'ALG Remaining Life_Life'!A$2:M$296,11,FALSE)&gt;3," ","+")</f>
        <v xml:space="preserve"> </v>
      </c>
      <c r="Q37" s="19">
        <f>VLOOKUP(A37,'Table 2A Life'!A$12:Q$59,17,FALSE)+VLOOKUP(A37,'Table 2B Net Salvage'!A$12:Q$59,17,FALSE)</f>
        <v>-116161.23509524054</v>
      </c>
      <c r="R37" s="8" t="str">
        <f t="shared" si="11"/>
        <v xml:space="preserve"> </v>
      </c>
      <c r="S37" s="8"/>
      <c r="T37" s="8">
        <f t="shared" si="2"/>
        <v>1.0620117646335236</v>
      </c>
      <c r="U37" s="92"/>
      <c r="V37" s="55"/>
      <c r="W37" s="55"/>
      <c r="X37" s="55"/>
      <c r="Y37" s="55"/>
      <c r="Z37" s="55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4" x14ac:dyDescent="0.25">
      <c r="A38" s="77">
        <v>364</v>
      </c>
      <c r="B38" s="77"/>
      <c r="C38" s="21" t="s">
        <v>48</v>
      </c>
      <c r="D38"/>
      <c r="E38" s="41">
        <f>VLOOKUP(A38,'Table 1 Total'!A$12:P$60,10,FALSE)</f>
        <v>53306939.649999999</v>
      </c>
      <c r="F38" s="41"/>
      <c r="G38" s="41">
        <f>VLOOKUP(A38,'Table 1 Total'!A$12:P$60,12,FALSE)</f>
        <v>20687809.076978602</v>
      </c>
      <c r="H38" s="41"/>
      <c r="I38" s="41">
        <f>VLOOKUP(A38,'ELG Whole Life_Total'!A$1:M$296,2,FALSE)</f>
        <v>23402284.760000002</v>
      </c>
      <c r="J38" s="12"/>
      <c r="K38" s="19">
        <f t="shared" si="0"/>
        <v>-2714475.6830214001</v>
      </c>
      <c r="L38" s="19"/>
      <c r="M38" s="71">
        <f t="shared" si="10"/>
        <v>-0.13121136573336176</v>
      </c>
      <c r="N38" s="10"/>
      <c r="O38" s="47">
        <f>IF(P38=" ",(VLOOKUP(A38,'ALG Remaining Life_Life'!A$2:M$296,11,FALSE)),3)</f>
        <v>36.828521151342798</v>
      </c>
      <c r="P38" s="10" t="str">
        <f>IF(VLOOKUP(A38,'ALG Remaining Life_Life'!A$2:M$296,11,FALSE)&gt;3," ","+")</f>
        <v xml:space="preserve"> </v>
      </c>
      <c r="Q38" s="19">
        <f>VLOOKUP(A38,'Table 2A Life'!A$12:Q$59,17,FALSE)+VLOOKUP(A38,'Table 2B Net Salvage'!A$12:Q$59,17,FALSE)</f>
        <v>-73705.801866617388</v>
      </c>
      <c r="R38" s="8" t="str">
        <f t="shared" si="11"/>
        <v xml:space="preserve"> </v>
      </c>
      <c r="S38" s="26"/>
      <c r="T38" s="8">
        <f t="shared" si="2"/>
        <v>0.13121136573336176</v>
      </c>
      <c r="U38" s="92"/>
      <c r="V38" s="8"/>
      <c r="W38" s="8"/>
      <c r="X38" s="8"/>
      <c r="Y38" s="8"/>
      <c r="Z38" s="8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</row>
    <row r="39" spans="1:38" ht="14" x14ac:dyDescent="0.3">
      <c r="A39" s="77">
        <v>365</v>
      </c>
      <c r="B39" s="77"/>
      <c r="C39" s="21" t="s">
        <v>49</v>
      </c>
      <c r="D39"/>
      <c r="E39" s="41">
        <f>VLOOKUP(A39,'Table 1 Total'!A$12:P$60,10,FALSE)</f>
        <v>28793205.57</v>
      </c>
      <c r="F39" s="41"/>
      <c r="G39" s="41">
        <f>VLOOKUP(A39,'Table 1 Total'!A$12:P$60,12,FALSE)</f>
        <v>11252261.400219399</v>
      </c>
      <c r="H39" s="41"/>
      <c r="I39" s="41">
        <f>VLOOKUP(A39,'ELG Whole Life_Total'!A$1:M$296,2,FALSE)</f>
        <v>14482228.539999999</v>
      </c>
      <c r="J39" s="12"/>
      <c r="K39" s="19">
        <f t="shared" si="0"/>
        <v>-3229967.1397805996</v>
      </c>
      <c r="L39" s="19"/>
      <c r="M39" s="71">
        <f t="shared" si="10"/>
        <v>-0.28705048922144849</v>
      </c>
      <c r="N39" s="10"/>
      <c r="O39" s="47">
        <f>IF(P39=" ",(VLOOKUP(A39,'ALG Remaining Life_Life'!A$2:M$296,11,FALSE)),3)</f>
        <v>33.177723596503199</v>
      </c>
      <c r="P39" s="10" t="str">
        <f>IF(VLOOKUP(A39,'ALG Remaining Life_Life'!A$2:M$296,11,FALSE)&gt;3," ","+")</f>
        <v xml:space="preserve"> </v>
      </c>
      <c r="Q39" s="19">
        <f>VLOOKUP(A39,'Table 2A Life'!A$12:Q$59,17,FALSE)+VLOOKUP(A39,'Table 2B Net Salvage'!A$12:Q$59,17,FALSE)</f>
        <v>-97353.48871617658</v>
      </c>
      <c r="R39" s="8" t="str">
        <f t="shared" si="11"/>
        <v xml:space="preserve"> </v>
      </c>
      <c r="S39" s="22"/>
      <c r="T39" s="8">
        <f t="shared" si="2"/>
        <v>0.28705048922144849</v>
      </c>
      <c r="U39" s="92"/>
      <c r="V39" s="8"/>
      <c r="W39" s="8"/>
      <c r="X39" s="8"/>
      <c r="Y39" s="8"/>
      <c r="Z39" s="8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</row>
    <row r="40" spans="1:38" ht="13.5" x14ac:dyDescent="0.25">
      <c r="A40" s="77">
        <v>365.1</v>
      </c>
      <c r="B40" s="77"/>
      <c r="C40" s="21" t="s">
        <v>50</v>
      </c>
      <c r="D40"/>
      <c r="E40" s="41">
        <f>VLOOKUP(A40,'Table 1 Total'!A$12:P$60,10,FALSE)</f>
        <v>5234251.9000000004</v>
      </c>
      <c r="F40" s="41"/>
      <c r="G40" s="41">
        <f>VLOOKUP(A40,'Table 1 Total'!A$12:P$60,12,FALSE)</f>
        <v>1787055.7671684399</v>
      </c>
      <c r="H40" s="41"/>
      <c r="I40" s="41">
        <f>VLOOKUP(A40,'ELG Whole Life_Total'!A$1:M$296,2,FALSE)</f>
        <v>1974230.72</v>
      </c>
      <c r="J40" s="12"/>
      <c r="K40" s="19">
        <f t="shared" si="0"/>
        <v>-187174.95283156005</v>
      </c>
      <c r="L40" s="19"/>
      <c r="M40" s="71">
        <f t="shared" si="10"/>
        <v>-0.10473929032899496</v>
      </c>
      <c r="N40" s="10"/>
      <c r="O40" s="47">
        <f>IF(P40=" ",(VLOOKUP(A40,'ALG Remaining Life_Life'!A$2:M$296,11,FALSE)),3)</f>
        <v>36.245892748706197</v>
      </c>
      <c r="P40" s="10" t="str">
        <f>IF(VLOOKUP(A40,'ALG Remaining Life_Life'!A$2:M$296,11,FALSE)&gt;3," ","+")</f>
        <v xml:space="preserve"> </v>
      </c>
      <c r="Q40" s="19">
        <f>VLOOKUP(A40,'Table 2A Life'!A$12:Q$59,17,FALSE)+VLOOKUP(A40,'Table 2B Net Salvage'!A$12:Q$59,17,FALSE)</f>
        <v>-5164.0320774894226</v>
      </c>
      <c r="R40" s="8" t="str">
        <f t="shared" si="11"/>
        <v xml:space="preserve"> </v>
      </c>
      <c r="S40" s="8"/>
      <c r="T40" s="8">
        <f t="shared" si="2"/>
        <v>0.10473929032899496</v>
      </c>
      <c r="U40" s="92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3.5" x14ac:dyDescent="0.25">
      <c r="A41" s="77">
        <v>367</v>
      </c>
      <c r="B41" s="77"/>
      <c r="C41" s="21" t="s">
        <v>51</v>
      </c>
      <c r="D41"/>
      <c r="E41" s="41">
        <f>VLOOKUP(A41,'Table 1 Total'!A$12:P$60,10,FALSE)</f>
        <v>34178702.049999997</v>
      </c>
      <c r="F41" s="41"/>
      <c r="G41" s="41">
        <f>VLOOKUP(A41,'Table 1 Total'!A$12:P$60,12,FALSE)</f>
        <v>12606436.8662303</v>
      </c>
      <c r="H41" s="41"/>
      <c r="I41" s="41">
        <f>VLOOKUP(A41,'ELG Whole Life_Total'!A$1:M$296,2,FALSE)</f>
        <v>11988411.34</v>
      </c>
      <c r="J41" s="12"/>
      <c r="K41" s="19">
        <f t="shared" si="0"/>
        <v>618025.52623029985</v>
      </c>
      <c r="L41" s="19"/>
      <c r="M41" s="71">
        <f t="shared" si="10"/>
        <v>4.902460011407711E-2</v>
      </c>
      <c r="N41" s="10"/>
      <c r="O41" s="47">
        <f>IF(P41=" ",(VLOOKUP(A41,'ALG Remaining Life_Life'!A$2:M$296,11,FALSE)),3)</f>
        <v>34.9158592475505</v>
      </c>
      <c r="P41" s="10" t="str">
        <f>IF(VLOOKUP(A41,'ALG Remaining Life_Life'!A$2:M$296,11,FALSE)&gt;3," ","+")</f>
        <v xml:space="preserve"> </v>
      </c>
      <c r="Q41" s="19">
        <f>VLOOKUP(A41,'Table 2A Life'!A$12:Q$59,17,FALSE)+VLOOKUP(A41,'Table 2B Net Salvage'!A$12:Q$59,17,FALSE)</f>
        <v>17700.424378748667</v>
      </c>
      <c r="R41" s="8" t="str">
        <f t="shared" si="11"/>
        <v>*</v>
      </c>
      <c r="S41" s="8"/>
      <c r="T41" s="8">
        <f t="shared" si="2"/>
        <v>4.902460011407711E-2</v>
      </c>
      <c r="U41" s="92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ht="13.5" x14ac:dyDescent="0.25">
      <c r="A42" s="77">
        <v>367.1</v>
      </c>
      <c r="B42" s="77"/>
      <c r="C42" s="21" t="s">
        <v>52</v>
      </c>
      <c r="D42"/>
      <c r="E42" s="41">
        <f>VLOOKUP(A42,'Table 1 Total'!A$12:P$60,10,FALSE)</f>
        <v>6266150.0199999996</v>
      </c>
      <c r="F42" s="41"/>
      <c r="G42" s="41">
        <f>VLOOKUP(A42,'Table 1 Total'!A$12:P$60,12,FALSE)</f>
        <v>1696034.5997227901</v>
      </c>
      <c r="H42" s="41"/>
      <c r="I42" s="41">
        <f>VLOOKUP(A42,'ELG Whole Life_Total'!A$1:M$296,2,FALSE)</f>
        <v>2030489.56</v>
      </c>
      <c r="J42" s="12"/>
      <c r="K42" s="19">
        <f t="shared" si="0"/>
        <v>-334454.96027720999</v>
      </c>
      <c r="L42" s="19"/>
      <c r="M42" s="71">
        <f t="shared" si="10"/>
        <v>-0.19719819414761661</v>
      </c>
      <c r="N42" s="10"/>
      <c r="O42" s="47">
        <f>IF(P42=" ",(VLOOKUP(A42,'ALG Remaining Life_Life'!A$2:M$296,11,FALSE)),3)</f>
        <v>37.785780600332799</v>
      </c>
      <c r="P42" s="10" t="str">
        <f>IF(VLOOKUP(A42,'ALG Remaining Life_Life'!A$2:M$296,11,FALSE)&gt;3," ","+")</f>
        <v xml:space="preserve"> </v>
      </c>
      <c r="Q42" s="19">
        <f>VLOOKUP(A42,'Table 2A Life'!A$12:Q$59,17,FALSE)+VLOOKUP(A42,'Table 2B Net Salvage'!A$12:Q$59,17,FALSE)</f>
        <v>-8851.3444730652009</v>
      </c>
      <c r="R42" s="8" t="str">
        <f t="shared" si="11"/>
        <v xml:space="preserve"> </v>
      </c>
      <c r="S42" s="8"/>
      <c r="T42" s="8">
        <f t="shared" si="2"/>
        <v>0.19719819414761661</v>
      </c>
      <c r="U42" s="92"/>
      <c r="V42" s="55"/>
      <c r="W42" s="55"/>
      <c r="X42" s="55"/>
      <c r="Y42" s="55"/>
      <c r="Z42" s="55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4" x14ac:dyDescent="0.25">
      <c r="A43" s="77">
        <v>368</v>
      </c>
      <c r="B43" s="77"/>
      <c r="C43" s="21" t="s">
        <v>53</v>
      </c>
      <c r="D43"/>
      <c r="E43" s="41">
        <f>VLOOKUP(A43,'Table 1 Total'!A$12:P$60,10,FALSE)</f>
        <v>40867163.520000003</v>
      </c>
      <c r="F43" s="41"/>
      <c r="G43" s="41">
        <f>VLOOKUP(A43,'Table 1 Total'!A$12:P$60,12,FALSE)</f>
        <v>15706401.848820399</v>
      </c>
      <c r="H43" s="41"/>
      <c r="I43" s="41">
        <f>VLOOKUP(A43,'ELG Whole Life_Total'!A$1:M$296,2,FALSE)</f>
        <v>16341422.23</v>
      </c>
      <c r="J43" s="12"/>
      <c r="K43" s="19">
        <f t="shared" si="0"/>
        <v>-635020.38117960095</v>
      </c>
      <c r="L43" s="19"/>
      <c r="M43" s="71">
        <f t="shared" si="10"/>
        <v>-4.0430671982793626E-2</v>
      </c>
      <c r="N43" s="10"/>
      <c r="O43" s="47">
        <f>IF(P43=" ",(VLOOKUP(A43,'ALG Remaining Life_Life'!A$2:M$296,11,FALSE)),3)</f>
        <v>31.401216069801599</v>
      </c>
      <c r="P43" s="10" t="str">
        <f>IF(VLOOKUP(A43,'ALG Remaining Life_Life'!A$2:M$296,11,FALSE)&gt;3," ","+")</f>
        <v xml:space="preserve"> </v>
      </c>
      <c r="Q43" s="19">
        <f>VLOOKUP(A43,'Table 2A Life'!A$12:Q$59,17,FALSE)+VLOOKUP(A43,'Table 2B Net Salvage'!A$12:Q$59,17,FALSE)</f>
        <v>-20222.795823194152</v>
      </c>
      <c r="R43" s="8" t="str">
        <f t="shared" si="11"/>
        <v>*</v>
      </c>
      <c r="S43" s="26"/>
      <c r="T43" s="8">
        <f t="shared" si="2"/>
        <v>4.0430671982793626E-2</v>
      </c>
      <c r="U43" s="92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ht="14" x14ac:dyDescent="0.25">
      <c r="A44" s="77">
        <v>370</v>
      </c>
      <c r="B44" s="77"/>
      <c r="C44" s="21" t="s">
        <v>54</v>
      </c>
      <c r="D44"/>
      <c r="E44" s="41">
        <f>VLOOKUP(A44,'Table 1 Total'!A$12:P$60,10,FALSE)</f>
        <v>2956566.08</v>
      </c>
      <c r="F44" s="41"/>
      <c r="G44" s="41">
        <f>VLOOKUP(A44,'Table 1 Total'!A$12:P$60,12,FALSE)</f>
        <v>1772017.8706182099</v>
      </c>
      <c r="H44" s="41"/>
      <c r="I44" s="41">
        <f>VLOOKUP(A44,'ELG Whole Life_Total'!A$1:M$296,2,FALSE)</f>
        <v>1984910.3</v>
      </c>
      <c r="J44" s="12"/>
      <c r="K44" s="19">
        <f t="shared" si="0"/>
        <v>-212892.42938179011</v>
      </c>
      <c r="L44" s="19"/>
      <c r="M44" s="71">
        <f t="shared" si="10"/>
        <v>-0.12014124288008314</v>
      </c>
      <c r="N44" s="10"/>
      <c r="O44" s="47">
        <f>IF(P44=" ",(VLOOKUP(A44,'ALG Remaining Life_Life'!A$2:M$296,11,FALSE)),3)</f>
        <v>8.2651844632352507</v>
      </c>
      <c r="P44" s="10" t="str">
        <f>IF(VLOOKUP(A44,'ALG Remaining Life_Life'!A$2:M$296,11,FALSE)&gt;3," ","+")</f>
        <v xml:space="preserve"> </v>
      </c>
      <c r="Q44" s="19">
        <f>VLOOKUP(A44,'Table 2A Life'!A$12:Q$59,17,FALSE)+VLOOKUP(A44,'Table 2B Net Salvage'!A$12:Q$59,17,FALSE)</f>
        <v>-25757.734788469243</v>
      </c>
      <c r="R44" s="8" t="str">
        <f t="shared" si="11"/>
        <v xml:space="preserve"> </v>
      </c>
      <c r="S44" s="26"/>
      <c r="T44" s="8">
        <f t="shared" si="2"/>
        <v>0.12014124288008314</v>
      </c>
      <c r="U44" s="92"/>
      <c r="V44" s="8"/>
      <c r="W44" s="8"/>
      <c r="X44" s="8"/>
      <c r="Y44" s="8"/>
      <c r="Z44" s="8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38" ht="14" x14ac:dyDescent="0.25">
      <c r="A45" s="77">
        <v>371</v>
      </c>
      <c r="B45" s="77"/>
      <c r="C45" s="21" t="s">
        <v>55</v>
      </c>
      <c r="D45" s="32"/>
      <c r="E45" s="41">
        <f>VLOOKUP(A45,'Table 1 Total'!A$12:P$60,10,FALSE)</f>
        <v>173069.17</v>
      </c>
      <c r="F45" s="41"/>
      <c r="G45" s="41">
        <f>VLOOKUP(A45,'Table 1 Total'!A$12:P$60,12,FALSE)</f>
        <v>71540.126080192407</v>
      </c>
      <c r="H45" s="41"/>
      <c r="I45" s="41">
        <f>VLOOKUP(A45,'ELG Whole Life_Total'!A$1:M$296,2,FALSE)</f>
        <v>31746.47</v>
      </c>
      <c r="J45" s="12"/>
      <c r="K45" s="19">
        <f t="shared" si="0"/>
        <v>39793.656080192406</v>
      </c>
      <c r="L45" s="19"/>
      <c r="M45" s="71">
        <f t="shared" si="10"/>
        <v>0.55624246504103148</v>
      </c>
      <c r="N45" s="10"/>
      <c r="O45" s="47">
        <f>IF(P45=" ",(VLOOKUP(A45,'ALG Remaining Life_Life'!A$2:M$296,11,FALSE)),3)</f>
        <v>9.4315248596461103</v>
      </c>
      <c r="P45" s="10" t="str">
        <f>IF(VLOOKUP(A45,'ALG Remaining Life_Life'!A$2:M$296,11,FALSE)&gt;3," ","+")</f>
        <v xml:space="preserve"> </v>
      </c>
      <c r="Q45" s="19">
        <f>VLOOKUP(A45,'Table 2A Life'!A$12:Q$59,17,FALSE)+VLOOKUP(A45,'Table 2B Net Salvage'!A$12:Q$59,17,FALSE)</f>
        <v>4219.217642149707</v>
      </c>
      <c r="R45" s="8" t="str">
        <f t="shared" si="11"/>
        <v xml:space="preserve"> </v>
      </c>
      <c r="S45" s="26"/>
      <c r="T45" s="8">
        <f t="shared" si="2"/>
        <v>0.55624246504103148</v>
      </c>
      <c r="U45" s="92"/>
      <c r="V45" s="8"/>
      <c r="W45" s="8"/>
      <c r="X45" s="8"/>
      <c r="Y45" s="8"/>
      <c r="Z45" s="8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</row>
    <row r="46" spans="1:38" ht="14" x14ac:dyDescent="0.3">
      <c r="A46" s="77">
        <v>373</v>
      </c>
      <c r="B46" s="77"/>
      <c r="C46" s="21" t="s">
        <v>56</v>
      </c>
      <c r="D46" s="32"/>
      <c r="E46" s="41">
        <f>VLOOKUP(A46,'Table 1 Total'!A$12:P$60,10,FALSE)</f>
        <v>13636686.9</v>
      </c>
      <c r="F46" s="41"/>
      <c r="G46" s="41">
        <f>VLOOKUP(A46,'Table 1 Total'!A$12:P$60,12,FALSE)</f>
        <v>7722035.2911523804</v>
      </c>
      <c r="H46" s="41"/>
      <c r="I46" s="41">
        <f>VLOOKUP(A46,'ELG Whole Life_Total'!A$1:M$296,2,FALSE)</f>
        <v>7756012.3200000003</v>
      </c>
      <c r="J46" s="12"/>
      <c r="K46" s="19">
        <f t="shared" si="0"/>
        <v>-33977.028847619891</v>
      </c>
      <c r="L46" s="19"/>
      <c r="M46" s="71">
        <f t="shared" si="10"/>
        <v>-4.4000095268341369E-3</v>
      </c>
      <c r="N46" s="10"/>
      <c r="O46" s="47">
        <f>IF(P46=" ",(VLOOKUP(A46,'ALG Remaining Life_Life'!A$2:M$296,11,FALSE)),3)</f>
        <v>15.685165453797699</v>
      </c>
      <c r="P46" s="10" t="str">
        <f>IF(VLOOKUP(A46,'ALG Remaining Life_Life'!A$2:M$296,11,FALSE)&gt;3," ","+")</f>
        <v xml:space="preserve"> </v>
      </c>
      <c r="Q46" s="19">
        <f>VLOOKUP(A46,'Table 2A Life'!A$12:Q$59,17,FALSE)+VLOOKUP(A46,'Table 2B Net Salvage'!A$12:Q$59,17,FALSE)</f>
        <v>-2166.1887436063553</v>
      </c>
      <c r="R46" s="8" t="str">
        <f t="shared" si="11"/>
        <v>*</v>
      </c>
      <c r="S46" s="22"/>
      <c r="T46" s="8">
        <f t="shared" si="2"/>
        <v>4.4000095268341369E-3</v>
      </c>
      <c r="U46" s="92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4" x14ac:dyDescent="0.25">
      <c r="A47" s="77">
        <v>373.1</v>
      </c>
      <c r="B47" s="77"/>
      <c r="C47" s="21" t="s">
        <v>57</v>
      </c>
      <c r="D47"/>
      <c r="E47" s="81">
        <f>VLOOKUP(A47,'Table 1 Total'!A$12:P$60,10,FALSE)</f>
        <v>285488.05</v>
      </c>
      <c r="F47" s="41"/>
      <c r="G47" s="81">
        <f>VLOOKUP(A47,'Table 1 Total'!A$12:P$60,12,FALSE)</f>
        <v>243584.30881214101</v>
      </c>
      <c r="H47" s="41"/>
      <c r="I47" s="79">
        <f>VLOOKUP(A47,'ELG Whole Life_Total'!A$1:M$296,2,FALSE)</f>
        <v>108666.57</v>
      </c>
      <c r="J47" s="12"/>
      <c r="K47" s="101">
        <f t="shared" si="0"/>
        <v>134917.738812141</v>
      </c>
      <c r="L47" s="19"/>
      <c r="M47" s="71">
        <f t="shared" ref="M47" si="12">IFERROR(K47/G47,1)</f>
        <v>0.55388518033069734</v>
      </c>
      <c r="N47" s="10"/>
      <c r="O47" s="47">
        <f>IF(P47=" ",(VLOOKUP(A47,'ALG Remaining Life_Life'!A$2:M$296,11,FALSE)),3)</f>
        <v>3</v>
      </c>
      <c r="P47" s="10" t="str">
        <f>IF(VLOOKUP(A47,'ALG Remaining Life_Life'!A$2:M$296,11,FALSE)&gt;3," ","+")</f>
        <v>+</v>
      </c>
      <c r="Q47" s="101">
        <f>VLOOKUP(A47,'Table 2A Life'!A$12:Q$59,17,FALSE)+VLOOKUP(A47,'Table 2B Net Salvage'!A$12:Q$59,17,FALSE)</f>
        <v>44972.579604047001</v>
      </c>
      <c r="R47" s="8" t="str">
        <f t="shared" si="11"/>
        <v xml:space="preserve"> </v>
      </c>
      <c r="S47" s="26"/>
      <c r="T47" s="8">
        <f t="shared" si="2"/>
        <v>0.55388518033069734</v>
      </c>
      <c r="U47" s="92"/>
      <c r="V47" s="55"/>
      <c r="W47" s="55"/>
      <c r="X47" s="55"/>
      <c r="Y47" s="55"/>
      <c r="Z47" s="55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4" x14ac:dyDescent="0.3">
      <c r="A48" s="14" t="s">
        <v>58</v>
      </c>
      <c r="B48" s="14"/>
      <c r="C48" s="21"/>
      <c r="D48"/>
      <c r="E48" s="44">
        <f>_xlfn.IFNA(SUM(E35:E47),0)</f>
        <v>196378886.72000003</v>
      </c>
      <c r="F48" s="41"/>
      <c r="G48" s="44">
        <f>_xlfn.IFNA(SUM(G35:G47),0)</f>
        <v>77491453.807507396</v>
      </c>
      <c r="H48" s="41"/>
      <c r="I48" s="44">
        <f>_xlfn.IFNA(SUM(I35:I47),0)</f>
        <v>84783664.120000005</v>
      </c>
      <c r="J48" s="12"/>
      <c r="K48" s="44">
        <f>_xlfn.IFNA(SUM(K35:K47),0)</f>
        <v>-7292210.3124926034</v>
      </c>
      <c r="L48" s="19"/>
      <c r="M48" s="71"/>
      <c r="N48" s="10"/>
      <c r="O48" s="47"/>
      <c r="P48" s="10"/>
      <c r="Q48" s="44">
        <f>_xlfn.IFNA(SUM(Q35:Q47),0)</f>
        <v>-285257.0300177125</v>
      </c>
      <c r="R48" s="8"/>
      <c r="S48" s="26"/>
      <c r="T48" s="8"/>
      <c r="U48" s="92"/>
      <c r="V48" s="55"/>
      <c r="W48" s="55"/>
      <c r="X48" s="55"/>
      <c r="Y48" s="55"/>
      <c r="Z48" s="55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ht="14" x14ac:dyDescent="0.25">
      <c r="A49" s="15"/>
      <c r="B49" s="15"/>
      <c r="C49" s="21"/>
      <c r="D49"/>
      <c r="E49" s="41"/>
      <c r="F49" s="41"/>
      <c r="G49" s="41"/>
      <c r="H49" s="41"/>
      <c r="I49" s="41"/>
      <c r="J49" s="12"/>
      <c r="K49" s="19"/>
      <c r="L49" s="19"/>
      <c r="M49" s="71"/>
      <c r="N49" s="10"/>
      <c r="O49" s="47"/>
      <c r="P49" s="10"/>
      <c r="Q49" s="19"/>
      <c r="R49" s="8"/>
      <c r="S49" s="26"/>
      <c r="T49" s="8"/>
      <c r="U49" s="92"/>
      <c r="V49" s="55"/>
      <c r="W49" s="55"/>
      <c r="X49" s="55"/>
      <c r="Y49" s="55"/>
      <c r="Z49" s="55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4" x14ac:dyDescent="0.3">
      <c r="A50" s="14" t="s">
        <v>59</v>
      </c>
      <c r="B50" s="14"/>
      <c r="C50" s="21"/>
      <c r="D50"/>
      <c r="E50" s="41"/>
      <c r="F50" s="41"/>
      <c r="G50" s="41"/>
      <c r="H50" s="41"/>
      <c r="I50" s="41"/>
      <c r="J50" s="12"/>
      <c r="K50" s="19"/>
      <c r="L50" s="19"/>
      <c r="M50" s="71"/>
      <c r="N50" s="10"/>
      <c r="O50" s="47"/>
      <c r="P50" s="10"/>
      <c r="Q50" s="19"/>
      <c r="R50" s="8"/>
      <c r="S50" s="26"/>
      <c r="T50" s="8"/>
      <c r="U50" s="92"/>
      <c r="V50" s="55"/>
      <c r="W50" s="55"/>
      <c r="X50" s="55"/>
      <c r="Y50" s="55"/>
      <c r="Z50" s="55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ht="14" x14ac:dyDescent="0.25">
      <c r="A51" s="77">
        <v>390</v>
      </c>
      <c r="B51" s="77"/>
      <c r="C51" s="21" t="s">
        <v>27</v>
      </c>
      <c r="D51"/>
      <c r="E51" s="41">
        <f>VLOOKUP(A51,'Table 1 Total'!A$12:P$60,10,FALSE)</f>
        <v>5197272.37</v>
      </c>
      <c r="F51" s="41"/>
      <c r="G51" s="41">
        <f>VLOOKUP(A51,'Table 1 Total'!A$12:P$60,12,FALSE)</f>
        <v>2826166.5153364898</v>
      </c>
      <c r="H51" s="41"/>
      <c r="I51" s="41">
        <f>VLOOKUP(A51,'ELG Whole Life_Total'!A$1:M$296,2,FALSE)</f>
        <v>2949753.27</v>
      </c>
      <c r="J51" s="12"/>
      <c r="K51" s="19">
        <f t="shared" si="0"/>
        <v>-123586.75466351025</v>
      </c>
      <c r="L51" s="19"/>
      <c r="M51" s="71">
        <f t="shared" ref="M51:M59" si="13">IFERROR(K51/G51,1)</f>
        <v>-4.3729466750403324E-2</v>
      </c>
      <c r="N51" s="10"/>
      <c r="O51" s="47">
        <f>IF(P51=" ",(VLOOKUP(A51,'ALG Remaining Life_Life'!A$2:M$296,11,FALSE)),3)</f>
        <v>21.594160762691601</v>
      </c>
      <c r="P51" s="10" t="str">
        <f>IF(VLOOKUP(A51,'ALG Remaining Life_Life'!A$2:M$296,11,FALSE)&gt;3," ","+")</f>
        <v xml:space="preserve"> </v>
      </c>
      <c r="Q51" s="19">
        <f>VLOOKUP(A51,'Table 2A Life'!A$12:Q$59,17,FALSE)+VLOOKUP(A51,'Table 2B Net Salvage'!A$12:Q$59,17,FALSE)</f>
        <v>-5723.1561819726758</v>
      </c>
      <c r="R51" s="8" t="str">
        <f t="shared" ref="R51:R59" si="14">IF(T51&gt;0.05," ","*")</f>
        <v>*</v>
      </c>
      <c r="S51" s="26"/>
      <c r="T51" s="8">
        <f t="shared" si="2"/>
        <v>4.3729466750403324E-2</v>
      </c>
      <c r="U51" s="92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ht="14" x14ac:dyDescent="0.25">
      <c r="A52" s="77">
        <v>390.01</v>
      </c>
      <c r="B52" s="77"/>
      <c r="C52" s="21" t="s">
        <v>60</v>
      </c>
      <c r="D52"/>
      <c r="E52" s="41">
        <f>VLOOKUP(A52,'Table 1 Total'!A$12:P$60,10,FALSE)</f>
        <v>451552.45</v>
      </c>
      <c r="F52" s="41"/>
      <c r="G52" s="41">
        <f>VLOOKUP(A52,'Table 1 Total'!A$12:P$60,12,FALSE)</f>
        <v>190027.84960775901</v>
      </c>
      <c r="H52" s="41"/>
      <c r="I52" s="41">
        <f>VLOOKUP(A52,'ELG Whole Life_Total'!A$1:M$296,2,FALSE)</f>
        <v>-160352.06</v>
      </c>
      <c r="J52" s="12"/>
      <c r="K52" s="19">
        <f t="shared" si="0"/>
        <v>350379.90960775898</v>
      </c>
      <c r="L52" s="19"/>
      <c r="M52" s="71">
        <f t="shared" si="13"/>
        <v>1.8438345238920846</v>
      </c>
      <c r="N52" s="10"/>
      <c r="O52" s="47">
        <f>IF(P52=" ",(VLOOKUP(A52,'ALG Remaining Life_Life'!A$2:M$296,11,FALSE)),3)</f>
        <v>24.708454655169302</v>
      </c>
      <c r="P52" s="10" t="str">
        <f>IF(VLOOKUP(A52,'ALG Remaining Life_Life'!A$2:M$296,11,FALSE)&gt;3," ","+")</f>
        <v xml:space="preserve"> </v>
      </c>
      <c r="Q52" s="19">
        <f>VLOOKUP(A52,'Table 2A Life'!A$12:Q$59,17,FALSE)+VLOOKUP(A52,'Table 2B Net Salvage'!A$12:Q$59,17,FALSE)</f>
        <v>14180.567522236986</v>
      </c>
      <c r="R52" s="8" t="str">
        <f t="shared" si="14"/>
        <v xml:space="preserve"> </v>
      </c>
      <c r="S52" s="26"/>
      <c r="T52" s="8">
        <f t="shared" si="2"/>
        <v>1.8438345238920846</v>
      </c>
      <c r="U52" s="92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ht="14" x14ac:dyDescent="0.25">
      <c r="A53" s="77">
        <v>391</v>
      </c>
      <c r="B53" s="77"/>
      <c r="C53" s="21" t="s">
        <v>61</v>
      </c>
      <c r="D53"/>
      <c r="E53" s="41">
        <f>VLOOKUP(A53,'Table 1 Total'!A$12:P$60,10,FALSE)</f>
        <v>277519.56</v>
      </c>
      <c r="F53" s="41"/>
      <c r="G53" s="41">
        <f>VLOOKUP(A53,'Table 1 Total'!A$12:P$60,12,FALSE)</f>
        <v>156316.25266666699</v>
      </c>
      <c r="H53" s="41"/>
      <c r="I53" s="41">
        <f>VLOOKUP(A53,'ELG Whole Life_Total'!A$1:M$296,2,FALSE)</f>
        <v>184724.79</v>
      </c>
      <c r="J53" s="12"/>
      <c r="K53" s="19">
        <f t="shared" si="0"/>
        <v>-28408.537333333021</v>
      </c>
      <c r="L53" s="19"/>
      <c r="M53" s="71">
        <f t="shared" si="13"/>
        <v>-0.18173757909813867</v>
      </c>
      <c r="N53" s="10"/>
      <c r="O53" s="47">
        <f>IF(P53=" ",(VLOOKUP(A53,'ALG Remaining Life_Life'!A$2:M$296,11,FALSE)),3)</f>
        <v>6.5510683643343901</v>
      </c>
      <c r="P53" s="10" t="str">
        <f>IF(VLOOKUP(A53,'ALG Remaining Life_Life'!A$2:M$296,11,FALSE)&gt;3," ","+")</f>
        <v xml:space="preserve"> </v>
      </c>
      <c r="Q53" s="19">
        <f>VLOOKUP(A53,'Table 2A Life'!A$12:Q$59,17,FALSE)+VLOOKUP(A53,'Table 2B Net Salvage'!A$12:Q$59,17,FALSE)</f>
        <v>-4336.4739540799192</v>
      </c>
      <c r="R53" s="8" t="str">
        <f t="shared" si="14"/>
        <v xml:space="preserve"> </v>
      </c>
      <c r="S53" s="26"/>
      <c r="T53" s="8">
        <f t="shared" si="2"/>
        <v>0.18173757909813867</v>
      </c>
      <c r="U53" s="92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4" x14ac:dyDescent="0.25">
      <c r="A54" s="77">
        <v>391.1</v>
      </c>
      <c r="B54" s="77"/>
      <c r="C54" s="21" t="s">
        <v>62</v>
      </c>
      <c r="D54"/>
      <c r="E54" s="41">
        <f>VLOOKUP(A54,'Table 1 Total'!A$12:P$60,10,FALSE)</f>
        <v>60706.99</v>
      </c>
      <c r="F54" s="41"/>
      <c r="G54" s="41">
        <f>VLOOKUP(A54,'Table 1 Total'!A$12:P$60,12,FALSE)</f>
        <v>34244.695</v>
      </c>
      <c r="H54" s="41"/>
      <c r="I54" s="41">
        <f>VLOOKUP(A54,'ELG Whole Life_Total'!A$1:M$296,2,FALSE)</f>
        <v>107227.6</v>
      </c>
      <c r="J54" s="12"/>
      <c r="K54" s="19">
        <f t="shared" si="0"/>
        <v>-72982.904999999999</v>
      </c>
      <c r="L54" s="19"/>
      <c r="M54" s="71">
        <f t="shared" si="13"/>
        <v>-2.1312178426468682</v>
      </c>
      <c r="N54" s="10"/>
      <c r="O54" s="47">
        <f>IF(P54=" ",(VLOOKUP(A54,'ALG Remaining Life_Life'!A$2:M$296,11,FALSE)),3)</f>
        <v>3</v>
      </c>
      <c r="P54" s="10" t="str">
        <f>IF(VLOOKUP(A54,'ALG Remaining Life_Life'!A$2:M$296,11,FALSE)&gt;3," ","+")</f>
        <v>+</v>
      </c>
      <c r="Q54" s="19">
        <f>VLOOKUP(A54,'Table 2A Life'!A$12:Q$59,17,FALSE)+VLOOKUP(A54,'Table 2B Net Salvage'!A$12:Q$59,17,FALSE)</f>
        <v>-24327.634999999998</v>
      </c>
      <c r="R54" s="8" t="str">
        <f t="shared" si="14"/>
        <v xml:space="preserve"> </v>
      </c>
      <c r="S54" s="26"/>
      <c r="T54" s="8">
        <f t="shared" si="2"/>
        <v>2.1312178426468682</v>
      </c>
      <c r="U54" s="92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ht="14" x14ac:dyDescent="0.25">
      <c r="A55" s="77">
        <v>391.22</v>
      </c>
      <c r="B55" s="77"/>
      <c r="C55" s="21" t="s">
        <v>63</v>
      </c>
      <c r="D55"/>
      <c r="E55" s="41">
        <f>VLOOKUP(A55,'Table 1 Total'!A$12:P$60,10,FALSE)</f>
        <v>777424.93</v>
      </c>
      <c r="F55" s="41"/>
      <c r="G55" s="41">
        <f>VLOOKUP(A55,'Table 1 Total'!A$12:P$60,12,FALSE)</f>
        <v>421980.05550000002</v>
      </c>
      <c r="H55" s="41"/>
      <c r="I55" s="41">
        <f>VLOOKUP(A55,'ELG Whole Life_Total'!A$1:M$296,2,FALSE)</f>
        <v>469333.45</v>
      </c>
      <c r="J55" s="12"/>
      <c r="K55" s="19">
        <f t="shared" si="0"/>
        <v>-47353.394499999995</v>
      </c>
      <c r="L55" s="19"/>
      <c r="M55" s="71">
        <f t="shared" si="13"/>
        <v>-0.11221713889745671</v>
      </c>
      <c r="N55" s="10"/>
      <c r="O55" s="47">
        <f>IF(P55=" ",(VLOOKUP(A55,'ALG Remaining Life_Life'!A$2:M$296,11,FALSE)),3)</f>
        <v>4.5720797054964502</v>
      </c>
      <c r="P55" s="10" t="str">
        <f>IF(VLOOKUP(A55,'ALG Remaining Life_Life'!A$2:M$296,11,FALSE)&gt;3," ","+")</f>
        <v xml:space="preserve"> </v>
      </c>
      <c r="Q55" s="19">
        <f>VLOOKUP(A55,'Table 2A Life'!A$12:Q$59,17,FALSE)+VLOOKUP(A55,'Table 2B Net Salvage'!A$12:Q$59,17,FALSE)</f>
        <v>-10357.079830229735</v>
      </c>
      <c r="R55" s="8" t="str">
        <f t="shared" si="14"/>
        <v xml:space="preserve"> </v>
      </c>
      <c r="S55" s="26"/>
      <c r="T55" s="8">
        <f t="shared" si="2"/>
        <v>0.11221713889745671</v>
      </c>
      <c r="U55" s="92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ht="14" x14ac:dyDescent="0.25">
      <c r="A56" s="77">
        <v>392.2</v>
      </c>
      <c r="B56" s="77"/>
      <c r="C56" s="21" t="s">
        <v>64</v>
      </c>
      <c r="D56"/>
      <c r="E56" s="41">
        <f>VLOOKUP(A56,'Table 1 Total'!A$12:P$60,10,FALSE)</f>
        <v>2955681.54</v>
      </c>
      <c r="F56" s="41"/>
      <c r="G56" s="41">
        <f>VLOOKUP(A56,'Table 1 Total'!A$12:P$60,12,FALSE)</f>
        <v>1268173.6965989701</v>
      </c>
      <c r="H56" s="41"/>
      <c r="I56" s="41">
        <f>VLOOKUP(A56,'ELG Whole Life_Total'!A$1:M$296,2,FALSE)</f>
        <v>2329918.88</v>
      </c>
      <c r="J56" s="12"/>
      <c r="K56" s="19">
        <f t="shared" si="0"/>
        <v>-1061745.1834010298</v>
      </c>
      <c r="L56" s="19"/>
      <c r="M56" s="71">
        <f t="shared" si="13"/>
        <v>-0.83722378586502222</v>
      </c>
      <c r="N56" s="10"/>
      <c r="O56" s="47">
        <f>IF(P56=" ",(VLOOKUP(A56,'ALG Remaining Life_Life'!A$2:M$296,11,FALSE)),3)</f>
        <v>6.9180679394353</v>
      </c>
      <c r="P56" s="10" t="str">
        <f>IF(VLOOKUP(A56,'ALG Remaining Life_Life'!A$2:M$296,11,FALSE)&gt;3," ","+")</f>
        <v xml:space="preserve"> </v>
      </c>
      <c r="Q56" s="19">
        <f>VLOOKUP(A56,'Table 2A Life'!A$12:Q$59,17,FALSE)+VLOOKUP(A56,'Table 2B Net Salvage'!A$12:Q$59,17,FALSE)</f>
        <v>-153474.23481471284</v>
      </c>
      <c r="R56" s="8" t="str">
        <f t="shared" si="14"/>
        <v xml:space="preserve"> </v>
      </c>
      <c r="S56" s="26"/>
      <c r="T56" s="8">
        <f t="shared" si="2"/>
        <v>0.83722378586502222</v>
      </c>
      <c r="U56" s="92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ht="14" x14ac:dyDescent="0.25">
      <c r="A57" s="77">
        <v>392.3</v>
      </c>
      <c r="B57" s="77"/>
      <c r="C57" s="21" t="s">
        <v>65</v>
      </c>
      <c r="D57"/>
      <c r="E57" s="41">
        <f>VLOOKUP(A57,'Table 1 Total'!A$12:P$60,10,FALSE)</f>
        <v>2756972.29</v>
      </c>
      <c r="F57" s="41"/>
      <c r="G57" s="41">
        <f>VLOOKUP(A57,'Table 1 Total'!A$12:P$60,12,FALSE)</f>
        <v>1421934.04747861</v>
      </c>
      <c r="H57" s="41"/>
      <c r="I57" s="41">
        <f>VLOOKUP(A57,'ELG Whole Life_Total'!A$1:M$296,2,FALSE)</f>
        <v>1026342.81</v>
      </c>
      <c r="J57" s="12"/>
      <c r="K57" s="19">
        <f t="shared" si="0"/>
        <v>395591.2374786099</v>
      </c>
      <c r="L57" s="19"/>
      <c r="M57" s="71">
        <f t="shared" si="13"/>
        <v>0.27820645984254816</v>
      </c>
      <c r="N57" s="10"/>
      <c r="O57" s="47">
        <f>IF(P57=" ",(VLOOKUP(A57,'ALG Remaining Life_Life'!A$2:M$296,11,FALSE)),3)</f>
        <v>8.0961074657780401</v>
      </c>
      <c r="P57" s="10" t="str">
        <f>IF(VLOOKUP(A57,'ALG Remaining Life_Life'!A$2:M$296,11,FALSE)&gt;3," ","+")</f>
        <v xml:space="preserve"> </v>
      </c>
      <c r="Q57" s="19">
        <f>VLOOKUP(A57,'Table 2A Life'!A$12:Q$59,17,FALSE)+VLOOKUP(A57,'Table 2B Net Salvage'!A$12:Q$59,17,FALSE)</f>
        <v>48861.905446630997</v>
      </c>
      <c r="R57" s="8" t="str">
        <f t="shared" si="14"/>
        <v xml:space="preserve"> </v>
      </c>
      <c r="S57" s="26"/>
      <c r="T57" s="8">
        <f t="shared" si="2"/>
        <v>0.27820645984254816</v>
      </c>
      <c r="U57" s="92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4" x14ac:dyDescent="0.25">
      <c r="A58" s="77">
        <v>392.4</v>
      </c>
      <c r="B58" s="77"/>
      <c r="C58" s="21" t="s">
        <v>66</v>
      </c>
      <c r="D58"/>
      <c r="E58" s="41">
        <f>VLOOKUP(A58,'Table 1 Total'!A$12:P$60,10,FALSE)</f>
        <v>231502.9</v>
      </c>
      <c r="F58" s="41"/>
      <c r="G58" s="41">
        <f>VLOOKUP(A58,'Table 1 Total'!A$12:P$60,12,FALSE)</f>
        <v>127712.295988563</v>
      </c>
      <c r="H58" s="41"/>
      <c r="I58" s="41">
        <f>VLOOKUP(A58,'ELG Whole Life_Total'!A$1:M$296,2,FALSE)</f>
        <v>86978.07</v>
      </c>
      <c r="J58" s="12"/>
      <c r="K58" s="19">
        <f t="shared" si="0"/>
        <v>40734.22598856299</v>
      </c>
      <c r="L58" s="19"/>
      <c r="M58" s="71">
        <f t="shared" si="13"/>
        <v>0.31895304734174429</v>
      </c>
      <c r="N58" s="10"/>
      <c r="O58" s="47">
        <f>IF(P58=" ",(VLOOKUP(A58,'ALG Remaining Life_Life'!A$2:M$296,11,FALSE)),3)</f>
        <v>8.1405181498240502</v>
      </c>
      <c r="P58" s="10" t="str">
        <f>IF(VLOOKUP(A58,'ALG Remaining Life_Life'!A$2:M$296,11,FALSE)&gt;3," ","+")</f>
        <v xml:space="preserve"> </v>
      </c>
      <c r="Q58" s="19">
        <f>VLOOKUP(A58,'Table 2A Life'!A$12:Q$59,17,FALSE)+VLOOKUP(A58,'Table 2B Net Salvage'!A$12:Q$59,17,FALSE)</f>
        <v>5003.886145680226</v>
      </c>
      <c r="R58" s="8" t="str">
        <f t="shared" si="14"/>
        <v xml:space="preserve"> </v>
      </c>
      <c r="S58" s="26"/>
      <c r="T58" s="8">
        <f t="shared" si="2"/>
        <v>0.31895304734174429</v>
      </c>
      <c r="U58" s="92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ht="14" x14ac:dyDescent="0.25">
      <c r="A59" s="77">
        <v>394</v>
      </c>
      <c r="B59" s="77"/>
      <c r="C59" s="21" t="s">
        <v>67</v>
      </c>
      <c r="D59"/>
      <c r="E59" s="81">
        <f>VLOOKUP(A59,'Table 1 Total'!A$12:P$60,10,FALSE)</f>
        <v>1712700.03</v>
      </c>
      <c r="F59" s="41"/>
      <c r="G59" s="81">
        <f>VLOOKUP(A59,'Table 1 Total'!A$12:P$60,12,FALSE)</f>
        <v>785216.995666667</v>
      </c>
      <c r="H59" s="41"/>
      <c r="I59" s="79">
        <f>VLOOKUP(A59,'ELG Whole Life_Total'!A$1:M$296,2,FALSE)</f>
        <v>792168.16</v>
      </c>
      <c r="J59" s="12"/>
      <c r="K59" s="80">
        <f t="shared" si="0"/>
        <v>-6951.1643333330285</v>
      </c>
      <c r="L59" s="19"/>
      <c r="M59" s="71">
        <f t="shared" si="13"/>
        <v>-8.8525393256819827E-3</v>
      </c>
      <c r="N59" s="10"/>
      <c r="O59" s="47">
        <f>IF(P59=" ",(VLOOKUP(A59,'ALG Remaining Life_Life'!A$2:M$296,11,FALSE)),3)</f>
        <v>8.1229901741754507</v>
      </c>
      <c r="P59" s="10" t="str">
        <f>IF(VLOOKUP(A59,'ALG Remaining Life_Life'!A$2:M$296,11,FALSE)&gt;3," ","+")</f>
        <v xml:space="preserve"> </v>
      </c>
      <c r="Q59" s="101">
        <f>VLOOKUP(A59,'Table 2A Life'!A$12:Q$59,17,FALSE)+VLOOKUP(A59,'Table 2B Net Salvage'!A$12:Q$59,17,FALSE)</f>
        <v>-17.333518443451634</v>
      </c>
      <c r="R59" s="8" t="str">
        <f t="shared" si="14"/>
        <v>*</v>
      </c>
      <c r="S59" s="26"/>
      <c r="T59" s="8">
        <f t="shared" si="2"/>
        <v>8.8525393256819827E-3</v>
      </c>
      <c r="U59" s="92"/>
      <c r="V59" s="8"/>
      <c r="W59" s="8"/>
      <c r="X59" s="8"/>
      <c r="Y59" s="8"/>
      <c r="Z59" s="8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</row>
    <row r="60" spans="1:38" ht="14" x14ac:dyDescent="0.3">
      <c r="A60" s="14" t="s">
        <v>68</v>
      </c>
      <c r="B60" s="14"/>
      <c r="C60" s="21"/>
      <c r="D60"/>
      <c r="E60" s="44">
        <f>_xlfn.IFNA(SUM(E51:E59),0)</f>
        <v>14421333.059999999</v>
      </c>
      <c r="F60" s="41"/>
      <c r="G60" s="44">
        <f>_xlfn.IFNA(SUM(G51:G59),0)</f>
        <v>7231772.403843726</v>
      </c>
      <c r="H60" s="41"/>
      <c r="I60" s="44">
        <f>_xlfn.IFNA(SUM(I51:I59),0)</f>
        <v>7786094.9700000007</v>
      </c>
      <c r="J60" s="12"/>
      <c r="K60" s="44">
        <f>_xlfn.IFNA(SUM(K51:K59),0)</f>
        <v>-554322.56615627417</v>
      </c>
      <c r="L60" s="19"/>
      <c r="M60" s="71"/>
      <c r="N60" s="10"/>
      <c r="O60" s="47"/>
      <c r="P60" s="10"/>
      <c r="Q60" s="44">
        <f>_xlfn.IFNA(SUM(Q51:Q59),0)</f>
        <v>-130189.55418489042</v>
      </c>
      <c r="R60" s="8"/>
      <c r="S60" s="26"/>
      <c r="T60" s="8"/>
      <c r="U60" s="8"/>
      <c r="V60" s="8"/>
      <c r="W60" s="8"/>
      <c r="X60" s="8"/>
      <c r="Y60" s="8"/>
      <c r="Z60" s="8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</row>
    <row r="61" spans="1:38" ht="14" x14ac:dyDescent="0.25">
      <c r="A61" s="15"/>
      <c r="B61" s="15"/>
      <c r="C61" s="21"/>
      <c r="D61"/>
      <c r="E61" s="41"/>
      <c r="F61" s="41"/>
      <c r="G61" s="41"/>
      <c r="H61" s="41"/>
      <c r="I61" s="41"/>
      <c r="J61" s="12"/>
      <c r="K61" s="19"/>
      <c r="L61" s="19"/>
      <c r="M61" s="71"/>
      <c r="N61" s="10"/>
      <c r="O61" s="47"/>
      <c r="P61" s="10"/>
      <c r="Q61" s="19"/>
      <c r="R61" s="8"/>
      <c r="S61" s="26"/>
      <c r="T61" s="8"/>
      <c r="U61" s="8"/>
      <c r="V61" s="8"/>
      <c r="W61" s="8"/>
      <c r="X61" s="8"/>
      <c r="Y61" s="8"/>
      <c r="Z61" s="8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</row>
    <row r="62" spans="1:38" ht="14" x14ac:dyDescent="0.3">
      <c r="A62" s="75" t="s">
        <v>69</v>
      </c>
      <c r="B62" s="75"/>
      <c r="C62" s="21"/>
      <c r="D62" s="21"/>
      <c r="E62" s="90">
        <f>SUM(E60,E48,E32,E26,E17)</f>
        <v>265766419.10000002</v>
      </c>
      <c r="F62" s="44"/>
      <c r="G62" s="90">
        <f>SUM(G60,G48,G32,G26,G17)</f>
        <v>100414370.06900875</v>
      </c>
      <c r="H62" s="44"/>
      <c r="I62" s="90">
        <f>SUM(I60,I48,I32,I26,I17)</f>
        <v>107891576.55000001</v>
      </c>
      <c r="J62" s="65"/>
      <c r="K62" s="102">
        <f>SUM(K60,K48,K32,K26,K17)</f>
        <v>-7477206.4809912629</v>
      </c>
      <c r="L62" s="63"/>
      <c r="M62" s="66"/>
      <c r="N62" s="13"/>
      <c r="O62" s="67"/>
      <c r="P62" s="13"/>
      <c r="Q62" s="44">
        <f>SUM(Q60,Q48,Q32,Q26,Q17)</f>
        <v>-347809.37213123398</v>
      </c>
      <c r="R62" s="8"/>
      <c r="S62" s="26"/>
      <c r="T62" s="8"/>
      <c r="U62" s="55"/>
      <c r="V62" s="55"/>
      <c r="W62" s="55"/>
      <c r="X62" s="55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ht="14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26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x14ac:dyDescent="0.25">
      <c r="C64" s="21"/>
      <c r="D64" s="21"/>
      <c r="E64" s="2"/>
      <c r="G64" s="2"/>
      <c r="I64" s="2"/>
      <c r="Q64" s="2"/>
      <c r="T64" s="1"/>
    </row>
    <row r="65" spans="3:20" x14ac:dyDescent="0.25">
      <c r="C65" s="72" t="s">
        <v>87</v>
      </c>
      <c r="D65" s="21"/>
      <c r="E65" s="1"/>
      <c r="G65" s="2"/>
      <c r="I65" s="2"/>
      <c r="Q65" s="2"/>
      <c r="R65" s="2"/>
      <c r="S65" s="2"/>
      <c r="T65" s="1"/>
    </row>
    <row r="66" spans="3:20" x14ac:dyDescent="0.25">
      <c r="C66" s="72" t="s">
        <v>88</v>
      </c>
      <c r="D66" s="21"/>
      <c r="E66" s="1"/>
      <c r="G66" s="2"/>
      <c r="I66" s="2"/>
      <c r="Q66" s="2"/>
      <c r="R66" s="2"/>
      <c r="S66" s="2"/>
      <c r="T66" s="1"/>
    </row>
    <row r="67" spans="3:20" x14ac:dyDescent="0.25">
      <c r="C67" s="72" t="s">
        <v>89</v>
      </c>
      <c r="D67" s="21"/>
      <c r="E67" s="1"/>
      <c r="G67" s="2"/>
      <c r="I67" s="2"/>
      <c r="Q67" s="2"/>
      <c r="R67" s="2"/>
      <c r="S67" s="2"/>
      <c r="T67" s="1"/>
    </row>
    <row r="68" spans="3:20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3:20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</sheetData>
  <conditionalFormatting sqref="A25:B63">
    <cfRule type="expression" dxfId="19" priority="16">
      <formula>MOD(ROW(),2)=0</formula>
    </cfRule>
  </conditionalFormatting>
  <conditionalFormatting sqref="A20:D24 T20:T25 AM26:XFD30">
    <cfRule type="expression" dxfId="18" priority="63">
      <formula>MOD(ROW(),2)=0</formula>
    </cfRule>
  </conditionalFormatting>
  <conditionalFormatting sqref="A8:XFD19">
    <cfRule type="expression" dxfId="17" priority="11">
      <formula>MOD(ROW(),2)=0</formula>
    </cfRule>
  </conditionalFormatting>
  <conditionalFormatting sqref="C25:D25">
    <cfRule type="expression" dxfId="16" priority="10">
      <formula>MOD(ROW(),2)=0</formula>
    </cfRule>
  </conditionalFormatting>
  <conditionalFormatting sqref="C26:AL63">
    <cfRule type="expression" dxfId="15" priority="1">
      <formula>MOD(ROW(),2)=0</formula>
    </cfRule>
  </conditionalFormatting>
  <conditionalFormatting sqref="E20:R25">
    <cfRule type="expression" dxfId="14" priority="4">
      <formula>MOD(ROW(),2)=0</formula>
    </cfRule>
  </conditionalFormatting>
  <printOptions horizontalCentered="1"/>
  <pageMargins left="0.7" right="0.7" top="0.75" bottom="0.75" header="0.3" footer="0.3"/>
  <pageSetup scale="67" orientation="landscape" r:id="rId1"/>
  <headerFooter>
    <oddHeader>&amp;R&amp;"Arial,Bold"Attachment 4
&amp;A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D78D-F5FB-4703-AF8F-FC329470FDBF}">
  <dimension ref="A1:AL68"/>
  <sheetViews>
    <sheetView zoomScaleNormal="100" workbookViewId="0">
      <pane ySplit="7" topLeftCell="A8" activePane="bottomLeft" state="frozen"/>
      <selection activeCell="A5" sqref="A5:XFD5"/>
      <selection pane="bottomLeft" activeCell="I24" sqref="I24"/>
    </sheetView>
  </sheetViews>
  <sheetFormatPr defaultRowHeight="12.5" x14ac:dyDescent="0.25"/>
  <cols>
    <col min="1" max="1" width="8.7265625" style="21" customWidth="1"/>
    <col min="2" max="2" width="2.453125" style="21" customWidth="1"/>
    <col min="3" max="3" width="49.81640625" style="1" customWidth="1"/>
    <col min="4" max="4" width="2.7265625" style="1" customWidth="1"/>
    <col min="5" max="5" width="17.26953125" style="48" bestFit="1" customWidth="1"/>
    <col min="6" max="6" width="2.1796875" style="2" customWidth="1"/>
    <col min="7" max="7" width="17.26953125" style="34" bestFit="1" customWidth="1"/>
    <col min="8" max="8" width="2.26953125" style="2" customWidth="1"/>
    <col min="9" max="9" width="16" style="34" bestFit="1" customWidth="1"/>
    <col min="10" max="10" width="2.26953125" style="2" customWidth="1"/>
    <col min="11" max="11" width="15.7265625" style="2" bestFit="1" customWidth="1"/>
    <col min="12" max="12" width="2.26953125" style="2" customWidth="1"/>
    <col min="13" max="13" width="12.453125" style="2" bestFit="1" customWidth="1"/>
    <col min="14" max="14" width="2.26953125" style="2" customWidth="1"/>
    <col min="15" max="15" width="9.81640625" style="2" bestFit="1" customWidth="1"/>
    <col min="16" max="16" width="2.26953125" style="2" customWidth="1"/>
    <col min="17" max="17" width="16.54296875" style="34" customWidth="1"/>
    <col min="18" max="18" width="2.26953125" style="1" customWidth="1"/>
    <col min="19" max="19" width="9" style="1" customWidth="1"/>
    <col min="20" max="20" width="23.81640625" style="33" hidden="1" customWidth="1"/>
    <col min="21" max="21" width="9.26953125" style="1" bestFit="1" customWidth="1"/>
    <col min="22" max="254" width="9.1796875" style="1"/>
    <col min="255" max="255" width="12" style="1" customWidth="1"/>
    <col min="256" max="256" width="2.26953125" style="1" customWidth="1"/>
    <col min="257" max="257" width="49.81640625" style="1" customWidth="1"/>
    <col min="258" max="258" width="2.26953125" style="1" customWidth="1"/>
    <col min="259" max="259" width="13.54296875" style="1" customWidth="1"/>
    <col min="260" max="260" width="2.26953125" style="1" customWidth="1"/>
    <col min="261" max="261" width="17.81640625" style="1" bestFit="1" customWidth="1"/>
    <col min="262" max="262" width="2.1796875" style="1" customWidth="1"/>
    <col min="263" max="263" width="17.453125" style="1" bestFit="1" customWidth="1"/>
    <col min="264" max="264" width="2.26953125" style="1" customWidth="1"/>
    <col min="265" max="265" width="18.453125" style="1" customWidth="1"/>
    <col min="266" max="266" width="2.26953125" style="1" customWidth="1"/>
    <col min="267" max="267" width="16.81640625" style="1" customWidth="1"/>
    <col min="268" max="268" width="2.26953125" style="1" customWidth="1"/>
    <col min="269" max="269" width="15.1796875" style="1" customWidth="1"/>
    <col min="270" max="270" width="2.26953125" style="1" customWidth="1"/>
    <col min="271" max="271" width="11.453125" style="1" customWidth="1"/>
    <col min="272" max="272" width="2.26953125" style="1" customWidth="1"/>
    <col min="273" max="273" width="15.1796875" style="1" bestFit="1" customWidth="1"/>
    <col min="274" max="274" width="3.26953125" style="1" customWidth="1"/>
    <col min="275" max="275" width="9.1796875" style="1"/>
    <col min="276" max="276" width="23.81640625" style="1" customWidth="1"/>
    <col min="277" max="510" width="9.1796875" style="1"/>
    <col min="511" max="511" width="12" style="1" customWidth="1"/>
    <col min="512" max="512" width="2.26953125" style="1" customWidth="1"/>
    <col min="513" max="513" width="49.81640625" style="1" customWidth="1"/>
    <col min="514" max="514" width="2.26953125" style="1" customWidth="1"/>
    <col min="515" max="515" width="13.54296875" style="1" customWidth="1"/>
    <col min="516" max="516" width="2.26953125" style="1" customWidth="1"/>
    <col min="517" max="517" width="17.81640625" style="1" bestFit="1" customWidth="1"/>
    <col min="518" max="518" width="2.1796875" style="1" customWidth="1"/>
    <col min="519" max="519" width="17.453125" style="1" bestFit="1" customWidth="1"/>
    <col min="520" max="520" width="2.26953125" style="1" customWidth="1"/>
    <col min="521" max="521" width="18.453125" style="1" customWidth="1"/>
    <col min="522" max="522" width="2.26953125" style="1" customWidth="1"/>
    <col min="523" max="523" width="16.81640625" style="1" customWidth="1"/>
    <col min="524" max="524" width="2.26953125" style="1" customWidth="1"/>
    <col min="525" max="525" width="15.1796875" style="1" customWidth="1"/>
    <col min="526" max="526" width="2.26953125" style="1" customWidth="1"/>
    <col min="527" max="527" width="11.453125" style="1" customWidth="1"/>
    <col min="528" max="528" width="2.26953125" style="1" customWidth="1"/>
    <col min="529" max="529" width="15.1796875" style="1" bestFit="1" customWidth="1"/>
    <col min="530" max="530" width="3.26953125" style="1" customWidth="1"/>
    <col min="531" max="531" width="9.1796875" style="1"/>
    <col min="532" max="532" width="23.81640625" style="1" customWidth="1"/>
    <col min="533" max="766" width="9.1796875" style="1"/>
    <col min="767" max="767" width="12" style="1" customWidth="1"/>
    <col min="768" max="768" width="2.26953125" style="1" customWidth="1"/>
    <col min="769" max="769" width="49.81640625" style="1" customWidth="1"/>
    <col min="770" max="770" width="2.26953125" style="1" customWidth="1"/>
    <col min="771" max="771" width="13.54296875" style="1" customWidth="1"/>
    <col min="772" max="772" width="2.26953125" style="1" customWidth="1"/>
    <col min="773" max="773" width="17.81640625" style="1" bestFit="1" customWidth="1"/>
    <col min="774" max="774" width="2.1796875" style="1" customWidth="1"/>
    <col min="775" max="775" width="17.453125" style="1" bestFit="1" customWidth="1"/>
    <col min="776" max="776" width="2.26953125" style="1" customWidth="1"/>
    <col min="777" max="777" width="18.453125" style="1" customWidth="1"/>
    <col min="778" max="778" width="2.26953125" style="1" customWidth="1"/>
    <col min="779" max="779" width="16.81640625" style="1" customWidth="1"/>
    <col min="780" max="780" width="2.26953125" style="1" customWidth="1"/>
    <col min="781" max="781" width="15.1796875" style="1" customWidth="1"/>
    <col min="782" max="782" width="2.26953125" style="1" customWidth="1"/>
    <col min="783" max="783" width="11.453125" style="1" customWidth="1"/>
    <col min="784" max="784" width="2.26953125" style="1" customWidth="1"/>
    <col min="785" max="785" width="15.1796875" style="1" bestFit="1" customWidth="1"/>
    <col min="786" max="786" width="3.26953125" style="1" customWidth="1"/>
    <col min="787" max="787" width="9.1796875" style="1"/>
    <col min="788" max="788" width="23.81640625" style="1" customWidth="1"/>
    <col min="789" max="1022" width="9.1796875" style="1"/>
    <col min="1023" max="1023" width="12" style="1" customWidth="1"/>
    <col min="1024" max="1024" width="2.26953125" style="1" customWidth="1"/>
    <col min="1025" max="1025" width="49.81640625" style="1" customWidth="1"/>
    <col min="1026" max="1026" width="2.26953125" style="1" customWidth="1"/>
    <col min="1027" max="1027" width="13.54296875" style="1" customWidth="1"/>
    <col min="1028" max="1028" width="2.26953125" style="1" customWidth="1"/>
    <col min="1029" max="1029" width="17.81640625" style="1" bestFit="1" customWidth="1"/>
    <col min="1030" max="1030" width="2.1796875" style="1" customWidth="1"/>
    <col min="1031" max="1031" width="17.453125" style="1" bestFit="1" customWidth="1"/>
    <col min="1032" max="1032" width="2.26953125" style="1" customWidth="1"/>
    <col min="1033" max="1033" width="18.453125" style="1" customWidth="1"/>
    <col min="1034" max="1034" width="2.26953125" style="1" customWidth="1"/>
    <col min="1035" max="1035" width="16.81640625" style="1" customWidth="1"/>
    <col min="1036" max="1036" width="2.26953125" style="1" customWidth="1"/>
    <col min="1037" max="1037" width="15.1796875" style="1" customWidth="1"/>
    <col min="1038" max="1038" width="2.26953125" style="1" customWidth="1"/>
    <col min="1039" max="1039" width="11.453125" style="1" customWidth="1"/>
    <col min="1040" max="1040" width="2.26953125" style="1" customWidth="1"/>
    <col min="1041" max="1041" width="15.1796875" style="1" bestFit="1" customWidth="1"/>
    <col min="1042" max="1042" width="3.26953125" style="1" customWidth="1"/>
    <col min="1043" max="1043" width="9.1796875" style="1"/>
    <col min="1044" max="1044" width="23.81640625" style="1" customWidth="1"/>
    <col min="1045" max="1278" width="9.1796875" style="1"/>
    <col min="1279" max="1279" width="12" style="1" customWidth="1"/>
    <col min="1280" max="1280" width="2.26953125" style="1" customWidth="1"/>
    <col min="1281" max="1281" width="49.81640625" style="1" customWidth="1"/>
    <col min="1282" max="1282" width="2.26953125" style="1" customWidth="1"/>
    <col min="1283" max="1283" width="13.54296875" style="1" customWidth="1"/>
    <col min="1284" max="1284" width="2.26953125" style="1" customWidth="1"/>
    <col min="1285" max="1285" width="17.81640625" style="1" bestFit="1" customWidth="1"/>
    <col min="1286" max="1286" width="2.1796875" style="1" customWidth="1"/>
    <col min="1287" max="1287" width="17.453125" style="1" bestFit="1" customWidth="1"/>
    <col min="1288" max="1288" width="2.26953125" style="1" customWidth="1"/>
    <col min="1289" max="1289" width="18.453125" style="1" customWidth="1"/>
    <col min="1290" max="1290" width="2.26953125" style="1" customWidth="1"/>
    <col min="1291" max="1291" width="16.81640625" style="1" customWidth="1"/>
    <col min="1292" max="1292" width="2.26953125" style="1" customWidth="1"/>
    <col min="1293" max="1293" width="15.1796875" style="1" customWidth="1"/>
    <col min="1294" max="1294" width="2.26953125" style="1" customWidth="1"/>
    <col min="1295" max="1295" width="11.453125" style="1" customWidth="1"/>
    <col min="1296" max="1296" width="2.26953125" style="1" customWidth="1"/>
    <col min="1297" max="1297" width="15.1796875" style="1" bestFit="1" customWidth="1"/>
    <col min="1298" max="1298" width="3.26953125" style="1" customWidth="1"/>
    <col min="1299" max="1299" width="9.1796875" style="1"/>
    <col min="1300" max="1300" width="23.81640625" style="1" customWidth="1"/>
    <col min="1301" max="1534" width="9.1796875" style="1"/>
    <col min="1535" max="1535" width="12" style="1" customWidth="1"/>
    <col min="1536" max="1536" width="2.26953125" style="1" customWidth="1"/>
    <col min="1537" max="1537" width="49.81640625" style="1" customWidth="1"/>
    <col min="1538" max="1538" width="2.26953125" style="1" customWidth="1"/>
    <col min="1539" max="1539" width="13.54296875" style="1" customWidth="1"/>
    <col min="1540" max="1540" width="2.26953125" style="1" customWidth="1"/>
    <col min="1541" max="1541" width="17.81640625" style="1" bestFit="1" customWidth="1"/>
    <col min="1542" max="1542" width="2.1796875" style="1" customWidth="1"/>
    <col min="1543" max="1543" width="17.453125" style="1" bestFit="1" customWidth="1"/>
    <col min="1544" max="1544" width="2.26953125" style="1" customWidth="1"/>
    <col min="1545" max="1545" width="18.453125" style="1" customWidth="1"/>
    <col min="1546" max="1546" width="2.26953125" style="1" customWidth="1"/>
    <col min="1547" max="1547" width="16.81640625" style="1" customWidth="1"/>
    <col min="1548" max="1548" width="2.26953125" style="1" customWidth="1"/>
    <col min="1549" max="1549" width="15.1796875" style="1" customWidth="1"/>
    <col min="1550" max="1550" width="2.26953125" style="1" customWidth="1"/>
    <col min="1551" max="1551" width="11.453125" style="1" customWidth="1"/>
    <col min="1552" max="1552" width="2.26953125" style="1" customWidth="1"/>
    <col min="1553" max="1553" width="15.1796875" style="1" bestFit="1" customWidth="1"/>
    <col min="1554" max="1554" width="3.26953125" style="1" customWidth="1"/>
    <col min="1555" max="1555" width="9.1796875" style="1"/>
    <col min="1556" max="1556" width="23.81640625" style="1" customWidth="1"/>
    <col min="1557" max="1790" width="9.1796875" style="1"/>
    <col min="1791" max="1791" width="12" style="1" customWidth="1"/>
    <col min="1792" max="1792" width="2.26953125" style="1" customWidth="1"/>
    <col min="1793" max="1793" width="49.81640625" style="1" customWidth="1"/>
    <col min="1794" max="1794" width="2.26953125" style="1" customWidth="1"/>
    <col min="1795" max="1795" width="13.54296875" style="1" customWidth="1"/>
    <col min="1796" max="1796" width="2.26953125" style="1" customWidth="1"/>
    <col min="1797" max="1797" width="17.81640625" style="1" bestFit="1" customWidth="1"/>
    <col min="1798" max="1798" width="2.1796875" style="1" customWidth="1"/>
    <col min="1799" max="1799" width="17.453125" style="1" bestFit="1" customWidth="1"/>
    <col min="1800" max="1800" width="2.26953125" style="1" customWidth="1"/>
    <col min="1801" max="1801" width="18.453125" style="1" customWidth="1"/>
    <col min="1802" max="1802" width="2.26953125" style="1" customWidth="1"/>
    <col min="1803" max="1803" width="16.81640625" style="1" customWidth="1"/>
    <col min="1804" max="1804" width="2.26953125" style="1" customWidth="1"/>
    <col min="1805" max="1805" width="15.1796875" style="1" customWidth="1"/>
    <col min="1806" max="1806" width="2.26953125" style="1" customWidth="1"/>
    <col min="1807" max="1807" width="11.453125" style="1" customWidth="1"/>
    <col min="1808" max="1808" width="2.26953125" style="1" customWidth="1"/>
    <col min="1809" max="1809" width="15.1796875" style="1" bestFit="1" customWidth="1"/>
    <col min="1810" max="1810" width="3.26953125" style="1" customWidth="1"/>
    <col min="1811" max="1811" width="9.1796875" style="1"/>
    <col min="1812" max="1812" width="23.81640625" style="1" customWidth="1"/>
    <col min="1813" max="2046" width="9.1796875" style="1"/>
    <col min="2047" max="2047" width="12" style="1" customWidth="1"/>
    <col min="2048" max="2048" width="2.26953125" style="1" customWidth="1"/>
    <col min="2049" max="2049" width="49.81640625" style="1" customWidth="1"/>
    <col min="2050" max="2050" width="2.26953125" style="1" customWidth="1"/>
    <col min="2051" max="2051" width="13.54296875" style="1" customWidth="1"/>
    <col min="2052" max="2052" width="2.26953125" style="1" customWidth="1"/>
    <col min="2053" max="2053" width="17.81640625" style="1" bestFit="1" customWidth="1"/>
    <col min="2054" max="2054" width="2.1796875" style="1" customWidth="1"/>
    <col min="2055" max="2055" width="17.453125" style="1" bestFit="1" customWidth="1"/>
    <col min="2056" max="2056" width="2.26953125" style="1" customWidth="1"/>
    <col min="2057" max="2057" width="18.453125" style="1" customWidth="1"/>
    <col min="2058" max="2058" width="2.26953125" style="1" customWidth="1"/>
    <col min="2059" max="2059" width="16.81640625" style="1" customWidth="1"/>
    <col min="2060" max="2060" width="2.26953125" style="1" customWidth="1"/>
    <col min="2061" max="2061" width="15.1796875" style="1" customWidth="1"/>
    <col min="2062" max="2062" width="2.26953125" style="1" customWidth="1"/>
    <col min="2063" max="2063" width="11.453125" style="1" customWidth="1"/>
    <col min="2064" max="2064" width="2.26953125" style="1" customWidth="1"/>
    <col min="2065" max="2065" width="15.1796875" style="1" bestFit="1" customWidth="1"/>
    <col min="2066" max="2066" width="3.26953125" style="1" customWidth="1"/>
    <col min="2067" max="2067" width="9.1796875" style="1"/>
    <col min="2068" max="2068" width="23.81640625" style="1" customWidth="1"/>
    <col min="2069" max="2302" width="9.1796875" style="1"/>
    <col min="2303" max="2303" width="12" style="1" customWidth="1"/>
    <col min="2304" max="2304" width="2.26953125" style="1" customWidth="1"/>
    <col min="2305" max="2305" width="49.81640625" style="1" customWidth="1"/>
    <col min="2306" max="2306" width="2.26953125" style="1" customWidth="1"/>
    <col min="2307" max="2307" width="13.54296875" style="1" customWidth="1"/>
    <col min="2308" max="2308" width="2.26953125" style="1" customWidth="1"/>
    <col min="2309" max="2309" width="17.81640625" style="1" bestFit="1" customWidth="1"/>
    <col min="2310" max="2310" width="2.1796875" style="1" customWidth="1"/>
    <col min="2311" max="2311" width="17.453125" style="1" bestFit="1" customWidth="1"/>
    <col min="2312" max="2312" width="2.26953125" style="1" customWidth="1"/>
    <col min="2313" max="2313" width="18.453125" style="1" customWidth="1"/>
    <col min="2314" max="2314" width="2.26953125" style="1" customWidth="1"/>
    <col min="2315" max="2315" width="16.81640625" style="1" customWidth="1"/>
    <col min="2316" max="2316" width="2.26953125" style="1" customWidth="1"/>
    <col min="2317" max="2317" width="15.1796875" style="1" customWidth="1"/>
    <col min="2318" max="2318" width="2.26953125" style="1" customWidth="1"/>
    <col min="2319" max="2319" width="11.453125" style="1" customWidth="1"/>
    <col min="2320" max="2320" width="2.26953125" style="1" customWidth="1"/>
    <col min="2321" max="2321" width="15.1796875" style="1" bestFit="1" customWidth="1"/>
    <col min="2322" max="2322" width="3.26953125" style="1" customWidth="1"/>
    <col min="2323" max="2323" width="9.1796875" style="1"/>
    <col min="2324" max="2324" width="23.81640625" style="1" customWidth="1"/>
    <col min="2325" max="2558" width="9.1796875" style="1"/>
    <col min="2559" max="2559" width="12" style="1" customWidth="1"/>
    <col min="2560" max="2560" width="2.26953125" style="1" customWidth="1"/>
    <col min="2561" max="2561" width="49.81640625" style="1" customWidth="1"/>
    <col min="2562" max="2562" width="2.26953125" style="1" customWidth="1"/>
    <col min="2563" max="2563" width="13.54296875" style="1" customWidth="1"/>
    <col min="2564" max="2564" width="2.26953125" style="1" customWidth="1"/>
    <col min="2565" max="2565" width="17.81640625" style="1" bestFit="1" customWidth="1"/>
    <col min="2566" max="2566" width="2.1796875" style="1" customWidth="1"/>
    <col min="2567" max="2567" width="17.453125" style="1" bestFit="1" customWidth="1"/>
    <col min="2568" max="2568" width="2.26953125" style="1" customWidth="1"/>
    <col min="2569" max="2569" width="18.453125" style="1" customWidth="1"/>
    <col min="2570" max="2570" width="2.26953125" style="1" customWidth="1"/>
    <col min="2571" max="2571" width="16.81640625" style="1" customWidth="1"/>
    <col min="2572" max="2572" width="2.26953125" style="1" customWidth="1"/>
    <col min="2573" max="2573" width="15.1796875" style="1" customWidth="1"/>
    <col min="2574" max="2574" width="2.26953125" style="1" customWidth="1"/>
    <col min="2575" max="2575" width="11.453125" style="1" customWidth="1"/>
    <col min="2576" max="2576" width="2.26953125" style="1" customWidth="1"/>
    <col min="2577" max="2577" width="15.1796875" style="1" bestFit="1" customWidth="1"/>
    <col min="2578" max="2578" width="3.26953125" style="1" customWidth="1"/>
    <col min="2579" max="2579" width="9.1796875" style="1"/>
    <col min="2580" max="2580" width="23.81640625" style="1" customWidth="1"/>
    <col min="2581" max="2814" width="9.1796875" style="1"/>
    <col min="2815" max="2815" width="12" style="1" customWidth="1"/>
    <col min="2816" max="2816" width="2.26953125" style="1" customWidth="1"/>
    <col min="2817" max="2817" width="49.81640625" style="1" customWidth="1"/>
    <col min="2818" max="2818" width="2.26953125" style="1" customWidth="1"/>
    <col min="2819" max="2819" width="13.54296875" style="1" customWidth="1"/>
    <col min="2820" max="2820" width="2.26953125" style="1" customWidth="1"/>
    <col min="2821" max="2821" width="17.81640625" style="1" bestFit="1" customWidth="1"/>
    <col min="2822" max="2822" width="2.1796875" style="1" customWidth="1"/>
    <col min="2823" max="2823" width="17.453125" style="1" bestFit="1" customWidth="1"/>
    <col min="2824" max="2824" width="2.26953125" style="1" customWidth="1"/>
    <col min="2825" max="2825" width="18.453125" style="1" customWidth="1"/>
    <col min="2826" max="2826" width="2.26953125" style="1" customWidth="1"/>
    <col min="2827" max="2827" width="16.81640625" style="1" customWidth="1"/>
    <col min="2828" max="2828" width="2.26953125" style="1" customWidth="1"/>
    <col min="2829" max="2829" width="15.1796875" style="1" customWidth="1"/>
    <col min="2830" max="2830" width="2.26953125" style="1" customWidth="1"/>
    <col min="2831" max="2831" width="11.453125" style="1" customWidth="1"/>
    <col min="2832" max="2832" width="2.26953125" style="1" customWidth="1"/>
    <col min="2833" max="2833" width="15.1796875" style="1" bestFit="1" customWidth="1"/>
    <col min="2834" max="2834" width="3.26953125" style="1" customWidth="1"/>
    <col min="2835" max="2835" width="9.1796875" style="1"/>
    <col min="2836" max="2836" width="23.81640625" style="1" customWidth="1"/>
    <col min="2837" max="3070" width="9.1796875" style="1"/>
    <col min="3071" max="3071" width="12" style="1" customWidth="1"/>
    <col min="3072" max="3072" width="2.26953125" style="1" customWidth="1"/>
    <col min="3073" max="3073" width="49.81640625" style="1" customWidth="1"/>
    <col min="3074" max="3074" width="2.26953125" style="1" customWidth="1"/>
    <col min="3075" max="3075" width="13.54296875" style="1" customWidth="1"/>
    <col min="3076" max="3076" width="2.26953125" style="1" customWidth="1"/>
    <col min="3077" max="3077" width="17.81640625" style="1" bestFit="1" customWidth="1"/>
    <col min="3078" max="3078" width="2.1796875" style="1" customWidth="1"/>
    <col min="3079" max="3079" width="17.453125" style="1" bestFit="1" customWidth="1"/>
    <col min="3080" max="3080" width="2.26953125" style="1" customWidth="1"/>
    <col min="3081" max="3081" width="18.453125" style="1" customWidth="1"/>
    <col min="3082" max="3082" width="2.26953125" style="1" customWidth="1"/>
    <col min="3083" max="3083" width="16.81640625" style="1" customWidth="1"/>
    <col min="3084" max="3084" width="2.26953125" style="1" customWidth="1"/>
    <col min="3085" max="3085" width="15.1796875" style="1" customWidth="1"/>
    <col min="3086" max="3086" width="2.26953125" style="1" customWidth="1"/>
    <col min="3087" max="3087" width="11.453125" style="1" customWidth="1"/>
    <col min="3088" max="3088" width="2.26953125" style="1" customWidth="1"/>
    <col min="3089" max="3089" width="15.1796875" style="1" bestFit="1" customWidth="1"/>
    <col min="3090" max="3090" width="3.26953125" style="1" customWidth="1"/>
    <col min="3091" max="3091" width="9.1796875" style="1"/>
    <col min="3092" max="3092" width="23.81640625" style="1" customWidth="1"/>
    <col min="3093" max="3326" width="9.1796875" style="1"/>
    <col min="3327" max="3327" width="12" style="1" customWidth="1"/>
    <col min="3328" max="3328" width="2.26953125" style="1" customWidth="1"/>
    <col min="3329" max="3329" width="49.81640625" style="1" customWidth="1"/>
    <col min="3330" max="3330" width="2.26953125" style="1" customWidth="1"/>
    <col min="3331" max="3331" width="13.54296875" style="1" customWidth="1"/>
    <col min="3332" max="3332" width="2.26953125" style="1" customWidth="1"/>
    <col min="3333" max="3333" width="17.81640625" style="1" bestFit="1" customWidth="1"/>
    <col min="3334" max="3334" width="2.1796875" style="1" customWidth="1"/>
    <col min="3335" max="3335" width="17.453125" style="1" bestFit="1" customWidth="1"/>
    <col min="3336" max="3336" width="2.26953125" style="1" customWidth="1"/>
    <col min="3337" max="3337" width="18.453125" style="1" customWidth="1"/>
    <col min="3338" max="3338" width="2.26953125" style="1" customWidth="1"/>
    <col min="3339" max="3339" width="16.81640625" style="1" customWidth="1"/>
    <col min="3340" max="3340" width="2.26953125" style="1" customWidth="1"/>
    <col min="3341" max="3341" width="15.1796875" style="1" customWidth="1"/>
    <col min="3342" max="3342" width="2.26953125" style="1" customWidth="1"/>
    <col min="3343" max="3343" width="11.453125" style="1" customWidth="1"/>
    <col min="3344" max="3344" width="2.26953125" style="1" customWidth="1"/>
    <col min="3345" max="3345" width="15.1796875" style="1" bestFit="1" customWidth="1"/>
    <col min="3346" max="3346" width="3.26953125" style="1" customWidth="1"/>
    <col min="3347" max="3347" width="9.1796875" style="1"/>
    <col min="3348" max="3348" width="23.81640625" style="1" customWidth="1"/>
    <col min="3349" max="3582" width="9.1796875" style="1"/>
    <col min="3583" max="3583" width="12" style="1" customWidth="1"/>
    <col min="3584" max="3584" width="2.26953125" style="1" customWidth="1"/>
    <col min="3585" max="3585" width="49.81640625" style="1" customWidth="1"/>
    <col min="3586" max="3586" width="2.26953125" style="1" customWidth="1"/>
    <col min="3587" max="3587" width="13.54296875" style="1" customWidth="1"/>
    <col min="3588" max="3588" width="2.26953125" style="1" customWidth="1"/>
    <col min="3589" max="3589" width="17.81640625" style="1" bestFit="1" customWidth="1"/>
    <col min="3590" max="3590" width="2.1796875" style="1" customWidth="1"/>
    <col min="3591" max="3591" width="17.453125" style="1" bestFit="1" customWidth="1"/>
    <col min="3592" max="3592" width="2.26953125" style="1" customWidth="1"/>
    <col min="3593" max="3593" width="18.453125" style="1" customWidth="1"/>
    <col min="3594" max="3594" width="2.26953125" style="1" customWidth="1"/>
    <col min="3595" max="3595" width="16.81640625" style="1" customWidth="1"/>
    <col min="3596" max="3596" width="2.26953125" style="1" customWidth="1"/>
    <col min="3597" max="3597" width="15.1796875" style="1" customWidth="1"/>
    <col min="3598" max="3598" width="2.26953125" style="1" customWidth="1"/>
    <col min="3599" max="3599" width="11.453125" style="1" customWidth="1"/>
    <col min="3600" max="3600" width="2.26953125" style="1" customWidth="1"/>
    <col min="3601" max="3601" width="15.1796875" style="1" bestFit="1" customWidth="1"/>
    <col min="3602" max="3602" width="3.26953125" style="1" customWidth="1"/>
    <col min="3603" max="3603" width="9.1796875" style="1"/>
    <col min="3604" max="3604" width="23.81640625" style="1" customWidth="1"/>
    <col min="3605" max="3838" width="9.1796875" style="1"/>
    <col min="3839" max="3839" width="12" style="1" customWidth="1"/>
    <col min="3840" max="3840" width="2.26953125" style="1" customWidth="1"/>
    <col min="3841" max="3841" width="49.81640625" style="1" customWidth="1"/>
    <col min="3842" max="3842" width="2.26953125" style="1" customWidth="1"/>
    <col min="3843" max="3843" width="13.54296875" style="1" customWidth="1"/>
    <col min="3844" max="3844" width="2.26953125" style="1" customWidth="1"/>
    <col min="3845" max="3845" width="17.81640625" style="1" bestFit="1" customWidth="1"/>
    <col min="3846" max="3846" width="2.1796875" style="1" customWidth="1"/>
    <col min="3847" max="3847" width="17.453125" style="1" bestFit="1" customWidth="1"/>
    <col min="3848" max="3848" width="2.26953125" style="1" customWidth="1"/>
    <col min="3849" max="3849" width="18.453125" style="1" customWidth="1"/>
    <col min="3850" max="3850" width="2.26953125" style="1" customWidth="1"/>
    <col min="3851" max="3851" width="16.81640625" style="1" customWidth="1"/>
    <col min="3852" max="3852" width="2.26953125" style="1" customWidth="1"/>
    <col min="3853" max="3853" width="15.1796875" style="1" customWidth="1"/>
    <col min="3854" max="3854" width="2.26953125" style="1" customWidth="1"/>
    <col min="3855" max="3855" width="11.453125" style="1" customWidth="1"/>
    <col min="3856" max="3856" width="2.26953125" style="1" customWidth="1"/>
    <col min="3857" max="3857" width="15.1796875" style="1" bestFit="1" customWidth="1"/>
    <col min="3858" max="3858" width="3.26953125" style="1" customWidth="1"/>
    <col min="3859" max="3859" width="9.1796875" style="1"/>
    <col min="3860" max="3860" width="23.81640625" style="1" customWidth="1"/>
    <col min="3861" max="4094" width="9.1796875" style="1"/>
    <col min="4095" max="4095" width="12" style="1" customWidth="1"/>
    <col min="4096" max="4096" width="2.26953125" style="1" customWidth="1"/>
    <col min="4097" max="4097" width="49.81640625" style="1" customWidth="1"/>
    <col min="4098" max="4098" width="2.26953125" style="1" customWidth="1"/>
    <col min="4099" max="4099" width="13.54296875" style="1" customWidth="1"/>
    <col min="4100" max="4100" width="2.26953125" style="1" customWidth="1"/>
    <col min="4101" max="4101" width="17.81640625" style="1" bestFit="1" customWidth="1"/>
    <col min="4102" max="4102" width="2.1796875" style="1" customWidth="1"/>
    <col min="4103" max="4103" width="17.453125" style="1" bestFit="1" customWidth="1"/>
    <col min="4104" max="4104" width="2.26953125" style="1" customWidth="1"/>
    <col min="4105" max="4105" width="18.453125" style="1" customWidth="1"/>
    <col min="4106" max="4106" width="2.26953125" style="1" customWidth="1"/>
    <col min="4107" max="4107" width="16.81640625" style="1" customWidth="1"/>
    <col min="4108" max="4108" width="2.26953125" style="1" customWidth="1"/>
    <col min="4109" max="4109" width="15.1796875" style="1" customWidth="1"/>
    <col min="4110" max="4110" width="2.26953125" style="1" customWidth="1"/>
    <col min="4111" max="4111" width="11.453125" style="1" customWidth="1"/>
    <col min="4112" max="4112" width="2.26953125" style="1" customWidth="1"/>
    <col min="4113" max="4113" width="15.1796875" style="1" bestFit="1" customWidth="1"/>
    <col min="4114" max="4114" width="3.26953125" style="1" customWidth="1"/>
    <col min="4115" max="4115" width="9.1796875" style="1"/>
    <col min="4116" max="4116" width="23.81640625" style="1" customWidth="1"/>
    <col min="4117" max="4350" width="9.1796875" style="1"/>
    <col min="4351" max="4351" width="12" style="1" customWidth="1"/>
    <col min="4352" max="4352" width="2.26953125" style="1" customWidth="1"/>
    <col min="4353" max="4353" width="49.81640625" style="1" customWidth="1"/>
    <col min="4354" max="4354" width="2.26953125" style="1" customWidth="1"/>
    <col min="4355" max="4355" width="13.54296875" style="1" customWidth="1"/>
    <col min="4356" max="4356" width="2.26953125" style="1" customWidth="1"/>
    <col min="4357" max="4357" width="17.81640625" style="1" bestFit="1" customWidth="1"/>
    <col min="4358" max="4358" width="2.1796875" style="1" customWidth="1"/>
    <col min="4359" max="4359" width="17.453125" style="1" bestFit="1" customWidth="1"/>
    <col min="4360" max="4360" width="2.26953125" style="1" customWidth="1"/>
    <col min="4361" max="4361" width="18.453125" style="1" customWidth="1"/>
    <col min="4362" max="4362" width="2.26953125" style="1" customWidth="1"/>
    <col min="4363" max="4363" width="16.81640625" style="1" customWidth="1"/>
    <col min="4364" max="4364" width="2.26953125" style="1" customWidth="1"/>
    <col min="4365" max="4365" width="15.1796875" style="1" customWidth="1"/>
    <col min="4366" max="4366" width="2.26953125" style="1" customWidth="1"/>
    <col min="4367" max="4367" width="11.453125" style="1" customWidth="1"/>
    <col min="4368" max="4368" width="2.26953125" style="1" customWidth="1"/>
    <col min="4369" max="4369" width="15.1796875" style="1" bestFit="1" customWidth="1"/>
    <col min="4370" max="4370" width="3.26953125" style="1" customWidth="1"/>
    <col min="4371" max="4371" width="9.1796875" style="1"/>
    <col min="4372" max="4372" width="23.81640625" style="1" customWidth="1"/>
    <col min="4373" max="4606" width="9.1796875" style="1"/>
    <col min="4607" max="4607" width="12" style="1" customWidth="1"/>
    <col min="4608" max="4608" width="2.26953125" style="1" customWidth="1"/>
    <col min="4609" max="4609" width="49.81640625" style="1" customWidth="1"/>
    <col min="4610" max="4610" width="2.26953125" style="1" customWidth="1"/>
    <col min="4611" max="4611" width="13.54296875" style="1" customWidth="1"/>
    <col min="4612" max="4612" width="2.26953125" style="1" customWidth="1"/>
    <col min="4613" max="4613" width="17.81640625" style="1" bestFit="1" customWidth="1"/>
    <col min="4614" max="4614" width="2.1796875" style="1" customWidth="1"/>
    <col min="4615" max="4615" width="17.453125" style="1" bestFit="1" customWidth="1"/>
    <col min="4616" max="4616" width="2.26953125" style="1" customWidth="1"/>
    <col min="4617" max="4617" width="18.453125" style="1" customWidth="1"/>
    <col min="4618" max="4618" width="2.26953125" style="1" customWidth="1"/>
    <col min="4619" max="4619" width="16.81640625" style="1" customWidth="1"/>
    <col min="4620" max="4620" width="2.26953125" style="1" customWidth="1"/>
    <col min="4621" max="4621" width="15.1796875" style="1" customWidth="1"/>
    <col min="4622" max="4622" width="2.26953125" style="1" customWidth="1"/>
    <col min="4623" max="4623" width="11.453125" style="1" customWidth="1"/>
    <col min="4624" max="4624" width="2.26953125" style="1" customWidth="1"/>
    <col min="4625" max="4625" width="15.1796875" style="1" bestFit="1" customWidth="1"/>
    <col min="4626" max="4626" width="3.26953125" style="1" customWidth="1"/>
    <col min="4627" max="4627" width="9.1796875" style="1"/>
    <col min="4628" max="4628" width="23.81640625" style="1" customWidth="1"/>
    <col min="4629" max="4862" width="9.1796875" style="1"/>
    <col min="4863" max="4863" width="12" style="1" customWidth="1"/>
    <col min="4864" max="4864" width="2.26953125" style="1" customWidth="1"/>
    <col min="4865" max="4865" width="49.81640625" style="1" customWidth="1"/>
    <col min="4866" max="4866" width="2.26953125" style="1" customWidth="1"/>
    <col min="4867" max="4867" width="13.54296875" style="1" customWidth="1"/>
    <col min="4868" max="4868" width="2.26953125" style="1" customWidth="1"/>
    <col min="4869" max="4869" width="17.81640625" style="1" bestFit="1" customWidth="1"/>
    <col min="4870" max="4870" width="2.1796875" style="1" customWidth="1"/>
    <col min="4871" max="4871" width="17.453125" style="1" bestFit="1" customWidth="1"/>
    <col min="4872" max="4872" width="2.26953125" style="1" customWidth="1"/>
    <col min="4873" max="4873" width="18.453125" style="1" customWidth="1"/>
    <col min="4874" max="4874" width="2.26953125" style="1" customWidth="1"/>
    <col min="4875" max="4875" width="16.81640625" style="1" customWidth="1"/>
    <col min="4876" max="4876" width="2.26953125" style="1" customWidth="1"/>
    <col min="4877" max="4877" width="15.1796875" style="1" customWidth="1"/>
    <col min="4878" max="4878" width="2.26953125" style="1" customWidth="1"/>
    <col min="4879" max="4879" width="11.453125" style="1" customWidth="1"/>
    <col min="4880" max="4880" width="2.26953125" style="1" customWidth="1"/>
    <col min="4881" max="4881" width="15.1796875" style="1" bestFit="1" customWidth="1"/>
    <col min="4882" max="4882" width="3.26953125" style="1" customWidth="1"/>
    <col min="4883" max="4883" width="9.1796875" style="1"/>
    <col min="4884" max="4884" width="23.81640625" style="1" customWidth="1"/>
    <col min="4885" max="5118" width="9.1796875" style="1"/>
    <col min="5119" max="5119" width="12" style="1" customWidth="1"/>
    <col min="5120" max="5120" width="2.26953125" style="1" customWidth="1"/>
    <col min="5121" max="5121" width="49.81640625" style="1" customWidth="1"/>
    <col min="5122" max="5122" width="2.26953125" style="1" customWidth="1"/>
    <col min="5123" max="5123" width="13.54296875" style="1" customWidth="1"/>
    <col min="5124" max="5124" width="2.26953125" style="1" customWidth="1"/>
    <col min="5125" max="5125" width="17.81640625" style="1" bestFit="1" customWidth="1"/>
    <col min="5126" max="5126" width="2.1796875" style="1" customWidth="1"/>
    <col min="5127" max="5127" width="17.453125" style="1" bestFit="1" customWidth="1"/>
    <col min="5128" max="5128" width="2.26953125" style="1" customWidth="1"/>
    <col min="5129" max="5129" width="18.453125" style="1" customWidth="1"/>
    <col min="5130" max="5130" width="2.26953125" style="1" customWidth="1"/>
    <col min="5131" max="5131" width="16.81640625" style="1" customWidth="1"/>
    <col min="5132" max="5132" width="2.26953125" style="1" customWidth="1"/>
    <col min="5133" max="5133" width="15.1796875" style="1" customWidth="1"/>
    <col min="5134" max="5134" width="2.26953125" style="1" customWidth="1"/>
    <col min="5135" max="5135" width="11.453125" style="1" customWidth="1"/>
    <col min="5136" max="5136" width="2.26953125" style="1" customWidth="1"/>
    <col min="5137" max="5137" width="15.1796875" style="1" bestFit="1" customWidth="1"/>
    <col min="5138" max="5138" width="3.26953125" style="1" customWidth="1"/>
    <col min="5139" max="5139" width="9.1796875" style="1"/>
    <col min="5140" max="5140" width="23.81640625" style="1" customWidth="1"/>
    <col min="5141" max="5374" width="9.1796875" style="1"/>
    <col min="5375" max="5375" width="12" style="1" customWidth="1"/>
    <col min="5376" max="5376" width="2.26953125" style="1" customWidth="1"/>
    <col min="5377" max="5377" width="49.81640625" style="1" customWidth="1"/>
    <col min="5378" max="5378" width="2.26953125" style="1" customWidth="1"/>
    <col min="5379" max="5379" width="13.54296875" style="1" customWidth="1"/>
    <col min="5380" max="5380" width="2.26953125" style="1" customWidth="1"/>
    <col min="5381" max="5381" width="17.81640625" style="1" bestFit="1" customWidth="1"/>
    <col min="5382" max="5382" width="2.1796875" style="1" customWidth="1"/>
    <col min="5383" max="5383" width="17.453125" style="1" bestFit="1" customWidth="1"/>
    <col min="5384" max="5384" width="2.26953125" style="1" customWidth="1"/>
    <col min="5385" max="5385" width="18.453125" style="1" customWidth="1"/>
    <col min="5386" max="5386" width="2.26953125" style="1" customWidth="1"/>
    <col min="5387" max="5387" width="16.81640625" style="1" customWidth="1"/>
    <col min="5388" max="5388" width="2.26953125" style="1" customWidth="1"/>
    <col min="5389" max="5389" width="15.1796875" style="1" customWidth="1"/>
    <col min="5390" max="5390" width="2.26953125" style="1" customWidth="1"/>
    <col min="5391" max="5391" width="11.453125" style="1" customWidth="1"/>
    <col min="5392" max="5392" width="2.26953125" style="1" customWidth="1"/>
    <col min="5393" max="5393" width="15.1796875" style="1" bestFit="1" customWidth="1"/>
    <col min="5394" max="5394" width="3.26953125" style="1" customWidth="1"/>
    <col min="5395" max="5395" width="9.1796875" style="1"/>
    <col min="5396" max="5396" width="23.81640625" style="1" customWidth="1"/>
    <col min="5397" max="5630" width="9.1796875" style="1"/>
    <col min="5631" max="5631" width="12" style="1" customWidth="1"/>
    <col min="5632" max="5632" width="2.26953125" style="1" customWidth="1"/>
    <col min="5633" max="5633" width="49.81640625" style="1" customWidth="1"/>
    <col min="5634" max="5634" width="2.26953125" style="1" customWidth="1"/>
    <col min="5635" max="5635" width="13.54296875" style="1" customWidth="1"/>
    <col min="5636" max="5636" width="2.26953125" style="1" customWidth="1"/>
    <col min="5637" max="5637" width="17.81640625" style="1" bestFit="1" customWidth="1"/>
    <col min="5638" max="5638" width="2.1796875" style="1" customWidth="1"/>
    <col min="5639" max="5639" width="17.453125" style="1" bestFit="1" customWidth="1"/>
    <col min="5640" max="5640" width="2.26953125" style="1" customWidth="1"/>
    <col min="5641" max="5641" width="18.453125" style="1" customWidth="1"/>
    <col min="5642" max="5642" width="2.26953125" style="1" customWidth="1"/>
    <col min="5643" max="5643" width="16.81640625" style="1" customWidth="1"/>
    <col min="5644" max="5644" width="2.26953125" style="1" customWidth="1"/>
    <col min="5645" max="5645" width="15.1796875" style="1" customWidth="1"/>
    <col min="5646" max="5646" width="2.26953125" style="1" customWidth="1"/>
    <col min="5647" max="5647" width="11.453125" style="1" customWidth="1"/>
    <col min="5648" max="5648" width="2.26953125" style="1" customWidth="1"/>
    <col min="5649" max="5649" width="15.1796875" style="1" bestFit="1" customWidth="1"/>
    <col min="5650" max="5650" width="3.26953125" style="1" customWidth="1"/>
    <col min="5651" max="5651" width="9.1796875" style="1"/>
    <col min="5652" max="5652" width="23.81640625" style="1" customWidth="1"/>
    <col min="5653" max="5886" width="9.1796875" style="1"/>
    <col min="5887" max="5887" width="12" style="1" customWidth="1"/>
    <col min="5888" max="5888" width="2.26953125" style="1" customWidth="1"/>
    <col min="5889" max="5889" width="49.81640625" style="1" customWidth="1"/>
    <col min="5890" max="5890" width="2.26953125" style="1" customWidth="1"/>
    <col min="5891" max="5891" width="13.54296875" style="1" customWidth="1"/>
    <col min="5892" max="5892" width="2.26953125" style="1" customWidth="1"/>
    <col min="5893" max="5893" width="17.81640625" style="1" bestFit="1" customWidth="1"/>
    <col min="5894" max="5894" width="2.1796875" style="1" customWidth="1"/>
    <col min="5895" max="5895" width="17.453125" style="1" bestFit="1" customWidth="1"/>
    <col min="5896" max="5896" width="2.26953125" style="1" customWidth="1"/>
    <col min="5897" max="5897" width="18.453125" style="1" customWidth="1"/>
    <col min="5898" max="5898" width="2.26953125" style="1" customWidth="1"/>
    <col min="5899" max="5899" width="16.81640625" style="1" customWidth="1"/>
    <col min="5900" max="5900" width="2.26953125" style="1" customWidth="1"/>
    <col min="5901" max="5901" width="15.1796875" style="1" customWidth="1"/>
    <col min="5902" max="5902" width="2.26953125" style="1" customWidth="1"/>
    <col min="5903" max="5903" width="11.453125" style="1" customWidth="1"/>
    <col min="5904" max="5904" width="2.26953125" style="1" customWidth="1"/>
    <col min="5905" max="5905" width="15.1796875" style="1" bestFit="1" customWidth="1"/>
    <col min="5906" max="5906" width="3.26953125" style="1" customWidth="1"/>
    <col min="5907" max="5907" width="9.1796875" style="1"/>
    <col min="5908" max="5908" width="23.81640625" style="1" customWidth="1"/>
    <col min="5909" max="6142" width="9.1796875" style="1"/>
    <col min="6143" max="6143" width="12" style="1" customWidth="1"/>
    <col min="6144" max="6144" width="2.26953125" style="1" customWidth="1"/>
    <col min="6145" max="6145" width="49.81640625" style="1" customWidth="1"/>
    <col min="6146" max="6146" width="2.26953125" style="1" customWidth="1"/>
    <col min="6147" max="6147" width="13.54296875" style="1" customWidth="1"/>
    <col min="6148" max="6148" width="2.26953125" style="1" customWidth="1"/>
    <col min="6149" max="6149" width="17.81640625" style="1" bestFit="1" customWidth="1"/>
    <col min="6150" max="6150" width="2.1796875" style="1" customWidth="1"/>
    <col min="6151" max="6151" width="17.453125" style="1" bestFit="1" customWidth="1"/>
    <col min="6152" max="6152" width="2.26953125" style="1" customWidth="1"/>
    <col min="6153" max="6153" width="18.453125" style="1" customWidth="1"/>
    <col min="6154" max="6154" width="2.26953125" style="1" customWidth="1"/>
    <col min="6155" max="6155" width="16.81640625" style="1" customWidth="1"/>
    <col min="6156" max="6156" width="2.26953125" style="1" customWidth="1"/>
    <col min="6157" max="6157" width="15.1796875" style="1" customWidth="1"/>
    <col min="6158" max="6158" width="2.26953125" style="1" customWidth="1"/>
    <col min="6159" max="6159" width="11.453125" style="1" customWidth="1"/>
    <col min="6160" max="6160" width="2.26953125" style="1" customWidth="1"/>
    <col min="6161" max="6161" width="15.1796875" style="1" bestFit="1" customWidth="1"/>
    <col min="6162" max="6162" width="3.26953125" style="1" customWidth="1"/>
    <col min="6163" max="6163" width="9.1796875" style="1"/>
    <col min="6164" max="6164" width="23.81640625" style="1" customWidth="1"/>
    <col min="6165" max="6398" width="9.1796875" style="1"/>
    <col min="6399" max="6399" width="12" style="1" customWidth="1"/>
    <col min="6400" max="6400" width="2.26953125" style="1" customWidth="1"/>
    <col min="6401" max="6401" width="49.81640625" style="1" customWidth="1"/>
    <col min="6402" max="6402" width="2.26953125" style="1" customWidth="1"/>
    <col min="6403" max="6403" width="13.54296875" style="1" customWidth="1"/>
    <col min="6404" max="6404" width="2.26953125" style="1" customWidth="1"/>
    <col min="6405" max="6405" width="17.81640625" style="1" bestFit="1" customWidth="1"/>
    <col min="6406" max="6406" width="2.1796875" style="1" customWidth="1"/>
    <col min="6407" max="6407" width="17.453125" style="1" bestFit="1" customWidth="1"/>
    <col min="6408" max="6408" width="2.26953125" style="1" customWidth="1"/>
    <col min="6409" max="6409" width="18.453125" style="1" customWidth="1"/>
    <col min="6410" max="6410" width="2.26953125" style="1" customWidth="1"/>
    <col min="6411" max="6411" width="16.81640625" style="1" customWidth="1"/>
    <col min="6412" max="6412" width="2.26953125" style="1" customWidth="1"/>
    <col min="6413" max="6413" width="15.1796875" style="1" customWidth="1"/>
    <col min="6414" max="6414" width="2.26953125" style="1" customWidth="1"/>
    <col min="6415" max="6415" width="11.453125" style="1" customWidth="1"/>
    <col min="6416" max="6416" width="2.26953125" style="1" customWidth="1"/>
    <col min="6417" max="6417" width="15.1796875" style="1" bestFit="1" customWidth="1"/>
    <col min="6418" max="6418" width="3.26953125" style="1" customWidth="1"/>
    <col min="6419" max="6419" width="9.1796875" style="1"/>
    <col min="6420" max="6420" width="23.81640625" style="1" customWidth="1"/>
    <col min="6421" max="6654" width="9.1796875" style="1"/>
    <col min="6655" max="6655" width="12" style="1" customWidth="1"/>
    <col min="6656" max="6656" width="2.26953125" style="1" customWidth="1"/>
    <col min="6657" max="6657" width="49.81640625" style="1" customWidth="1"/>
    <col min="6658" max="6658" width="2.26953125" style="1" customWidth="1"/>
    <col min="6659" max="6659" width="13.54296875" style="1" customWidth="1"/>
    <col min="6660" max="6660" width="2.26953125" style="1" customWidth="1"/>
    <col min="6661" max="6661" width="17.81640625" style="1" bestFit="1" customWidth="1"/>
    <col min="6662" max="6662" width="2.1796875" style="1" customWidth="1"/>
    <col min="6663" max="6663" width="17.453125" style="1" bestFit="1" customWidth="1"/>
    <col min="6664" max="6664" width="2.26953125" style="1" customWidth="1"/>
    <col min="6665" max="6665" width="18.453125" style="1" customWidth="1"/>
    <col min="6666" max="6666" width="2.26953125" style="1" customWidth="1"/>
    <col min="6667" max="6667" width="16.81640625" style="1" customWidth="1"/>
    <col min="6668" max="6668" width="2.26953125" style="1" customWidth="1"/>
    <col min="6669" max="6669" width="15.1796875" style="1" customWidth="1"/>
    <col min="6670" max="6670" width="2.26953125" style="1" customWidth="1"/>
    <col min="6671" max="6671" width="11.453125" style="1" customWidth="1"/>
    <col min="6672" max="6672" width="2.26953125" style="1" customWidth="1"/>
    <col min="6673" max="6673" width="15.1796875" style="1" bestFit="1" customWidth="1"/>
    <col min="6674" max="6674" width="3.26953125" style="1" customWidth="1"/>
    <col min="6675" max="6675" width="9.1796875" style="1"/>
    <col min="6676" max="6676" width="23.81640625" style="1" customWidth="1"/>
    <col min="6677" max="6910" width="9.1796875" style="1"/>
    <col min="6911" max="6911" width="12" style="1" customWidth="1"/>
    <col min="6912" max="6912" width="2.26953125" style="1" customWidth="1"/>
    <col min="6913" max="6913" width="49.81640625" style="1" customWidth="1"/>
    <col min="6914" max="6914" width="2.26953125" style="1" customWidth="1"/>
    <col min="6915" max="6915" width="13.54296875" style="1" customWidth="1"/>
    <col min="6916" max="6916" width="2.26953125" style="1" customWidth="1"/>
    <col min="6917" max="6917" width="17.81640625" style="1" bestFit="1" customWidth="1"/>
    <col min="6918" max="6918" width="2.1796875" style="1" customWidth="1"/>
    <col min="6919" max="6919" width="17.453125" style="1" bestFit="1" customWidth="1"/>
    <col min="6920" max="6920" width="2.26953125" style="1" customWidth="1"/>
    <col min="6921" max="6921" width="18.453125" style="1" customWidth="1"/>
    <col min="6922" max="6922" width="2.26953125" style="1" customWidth="1"/>
    <col min="6923" max="6923" width="16.81640625" style="1" customWidth="1"/>
    <col min="6924" max="6924" width="2.26953125" style="1" customWidth="1"/>
    <col min="6925" max="6925" width="15.1796875" style="1" customWidth="1"/>
    <col min="6926" max="6926" width="2.26953125" style="1" customWidth="1"/>
    <col min="6927" max="6927" width="11.453125" style="1" customWidth="1"/>
    <col min="6928" max="6928" width="2.26953125" style="1" customWidth="1"/>
    <col min="6929" max="6929" width="15.1796875" style="1" bestFit="1" customWidth="1"/>
    <col min="6930" max="6930" width="3.26953125" style="1" customWidth="1"/>
    <col min="6931" max="6931" width="9.1796875" style="1"/>
    <col min="6932" max="6932" width="23.81640625" style="1" customWidth="1"/>
    <col min="6933" max="7166" width="9.1796875" style="1"/>
    <col min="7167" max="7167" width="12" style="1" customWidth="1"/>
    <col min="7168" max="7168" width="2.26953125" style="1" customWidth="1"/>
    <col min="7169" max="7169" width="49.81640625" style="1" customWidth="1"/>
    <col min="7170" max="7170" width="2.26953125" style="1" customWidth="1"/>
    <col min="7171" max="7171" width="13.54296875" style="1" customWidth="1"/>
    <col min="7172" max="7172" width="2.26953125" style="1" customWidth="1"/>
    <col min="7173" max="7173" width="17.81640625" style="1" bestFit="1" customWidth="1"/>
    <col min="7174" max="7174" width="2.1796875" style="1" customWidth="1"/>
    <col min="7175" max="7175" width="17.453125" style="1" bestFit="1" customWidth="1"/>
    <col min="7176" max="7176" width="2.26953125" style="1" customWidth="1"/>
    <col min="7177" max="7177" width="18.453125" style="1" customWidth="1"/>
    <col min="7178" max="7178" width="2.26953125" style="1" customWidth="1"/>
    <col min="7179" max="7179" width="16.81640625" style="1" customWidth="1"/>
    <col min="7180" max="7180" width="2.26953125" style="1" customWidth="1"/>
    <col min="7181" max="7181" width="15.1796875" style="1" customWidth="1"/>
    <col min="7182" max="7182" width="2.26953125" style="1" customWidth="1"/>
    <col min="7183" max="7183" width="11.453125" style="1" customWidth="1"/>
    <col min="7184" max="7184" width="2.26953125" style="1" customWidth="1"/>
    <col min="7185" max="7185" width="15.1796875" style="1" bestFit="1" customWidth="1"/>
    <col min="7186" max="7186" width="3.26953125" style="1" customWidth="1"/>
    <col min="7187" max="7187" width="9.1796875" style="1"/>
    <col min="7188" max="7188" width="23.81640625" style="1" customWidth="1"/>
    <col min="7189" max="7422" width="9.1796875" style="1"/>
    <col min="7423" max="7423" width="12" style="1" customWidth="1"/>
    <col min="7424" max="7424" width="2.26953125" style="1" customWidth="1"/>
    <col min="7425" max="7425" width="49.81640625" style="1" customWidth="1"/>
    <col min="7426" max="7426" width="2.26953125" style="1" customWidth="1"/>
    <col min="7427" max="7427" width="13.54296875" style="1" customWidth="1"/>
    <col min="7428" max="7428" width="2.26953125" style="1" customWidth="1"/>
    <col min="7429" max="7429" width="17.81640625" style="1" bestFit="1" customWidth="1"/>
    <col min="7430" max="7430" width="2.1796875" style="1" customWidth="1"/>
    <col min="7431" max="7431" width="17.453125" style="1" bestFit="1" customWidth="1"/>
    <col min="7432" max="7432" width="2.26953125" style="1" customWidth="1"/>
    <col min="7433" max="7433" width="18.453125" style="1" customWidth="1"/>
    <col min="7434" max="7434" width="2.26953125" style="1" customWidth="1"/>
    <col min="7435" max="7435" width="16.81640625" style="1" customWidth="1"/>
    <col min="7436" max="7436" width="2.26953125" style="1" customWidth="1"/>
    <col min="7437" max="7437" width="15.1796875" style="1" customWidth="1"/>
    <col min="7438" max="7438" width="2.26953125" style="1" customWidth="1"/>
    <col min="7439" max="7439" width="11.453125" style="1" customWidth="1"/>
    <col min="7440" max="7440" width="2.26953125" style="1" customWidth="1"/>
    <col min="7441" max="7441" width="15.1796875" style="1" bestFit="1" customWidth="1"/>
    <col min="7442" max="7442" width="3.26953125" style="1" customWidth="1"/>
    <col min="7443" max="7443" width="9.1796875" style="1"/>
    <col min="7444" max="7444" width="23.81640625" style="1" customWidth="1"/>
    <col min="7445" max="7678" width="9.1796875" style="1"/>
    <col min="7679" max="7679" width="12" style="1" customWidth="1"/>
    <col min="7680" max="7680" width="2.26953125" style="1" customWidth="1"/>
    <col min="7681" max="7681" width="49.81640625" style="1" customWidth="1"/>
    <col min="7682" max="7682" width="2.26953125" style="1" customWidth="1"/>
    <col min="7683" max="7683" width="13.54296875" style="1" customWidth="1"/>
    <col min="7684" max="7684" width="2.26953125" style="1" customWidth="1"/>
    <col min="7685" max="7685" width="17.81640625" style="1" bestFit="1" customWidth="1"/>
    <col min="7686" max="7686" width="2.1796875" style="1" customWidth="1"/>
    <col min="7687" max="7687" width="17.453125" style="1" bestFit="1" customWidth="1"/>
    <col min="7688" max="7688" width="2.26953125" style="1" customWidth="1"/>
    <col min="7689" max="7689" width="18.453125" style="1" customWidth="1"/>
    <col min="7690" max="7690" width="2.26953125" style="1" customWidth="1"/>
    <col min="7691" max="7691" width="16.81640625" style="1" customWidth="1"/>
    <col min="7692" max="7692" width="2.26953125" style="1" customWidth="1"/>
    <col min="7693" max="7693" width="15.1796875" style="1" customWidth="1"/>
    <col min="7694" max="7694" width="2.26953125" style="1" customWidth="1"/>
    <col min="7695" max="7695" width="11.453125" style="1" customWidth="1"/>
    <col min="7696" max="7696" width="2.26953125" style="1" customWidth="1"/>
    <col min="7697" max="7697" width="15.1796875" style="1" bestFit="1" customWidth="1"/>
    <col min="7698" max="7698" width="3.26953125" style="1" customWidth="1"/>
    <col min="7699" max="7699" width="9.1796875" style="1"/>
    <col min="7700" max="7700" width="23.81640625" style="1" customWidth="1"/>
    <col min="7701" max="7934" width="9.1796875" style="1"/>
    <col min="7935" max="7935" width="12" style="1" customWidth="1"/>
    <col min="7936" max="7936" width="2.26953125" style="1" customWidth="1"/>
    <col min="7937" max="7937" width="49.81640625" style="1" customWidth="1"/>
    <col min="7938" max="7938" width="2.26953125" style="1" customWidth="1"/>
    <col min="7939" max="7939" width="13.54296875" style="1" customWidth="1"/>
    <col min="7940" max="7940" width="2.26953125" style="1" customWidth="1"/>
    <col min="7941" max="7941" width="17.81640625" style="1" bestFit="1" customWidth="1"/>
    <col min="7942" max="7942" width="2.1796875" style="1" customWidth="1"/>
    <col min="7943" max="7943" width="17.453125" style="1" bestFit="1" customWidth="1"/>
    <col min="7944" max="7944" width="2.26953125" style="1" customWidth="1"/>
    <col min="7945" max="7945" width="18.453125" style="1" customWidth="1"/>
    <col min="7946" max="7946" width="2.26953125" style="1" customWidth="1"/>
    <col min="7947" max="7947" width="16.81640625" style="1" customWidth="1"/>
    <col min="7948" max="7948" width="2.26953125" style="1" customWidth="1"/>
    <col min="7949" max="7949" width="15.1796875" style="1" customWidth="1"/>
    <col min="7950" max="7950" width="2.26953125" style="1" customWidth="1"/>
    <col min="7951" max="7951" width="11.453125" style="1" customWidth="1"/>
    <col min="7952" max="7952" width="2.26953125" style="1" customWidth="1"/>
    <col min="7953" max="7953" width="15.1796875" style="1" bestFit="1" customWidth="1"/>
    <col min="7954" max="7954" width="3.26953125" style="1" customWidth="1"/>
    <col min="7955" max="7955" width="9.1796875" style="1"/>
    <col min="7956" max="7956" width="23.81640625" style="1" customWidth="1"/>
    <col min="7957" max="8190" width="9.1796875" style="1"/>
    <col min="8191" max="8191" width="12" style="1" customWidth="1"/>
    <col min="8192" max="8192" width="2.26953125" style="1" customWidth="1"/>
    <col min="8193" max="8193" width="49.81640625" style="1" customWidth="1"/>
    <col min="8194" max="8194" width="2.26953125" style="1" customWidth="1"/>
    <col min="8195" max="8195" width="13.54296875" style="1" customWidth="1"/>
    <col min="8196" max="8196" width="2.26953125" style="1" customWidth="1"/>
    <col min="8197" max="8197" width="17.81640625" style="1" bestFit="1" customWidth="1"/>
    <col min="8198" max="8198" width="2.1796875" style="1" customWidth="1"/>
    <col min="8199" max="8199" width="17.453125" style="1" bestFit="1" customWidth="1"/>
    <col min="8200" max="8200" width="2.26953125" style="1" customWidth="1"/>
    <col min="8201" max="8201" width="18.453125" style="1" customWidth="1"/>
    <col min="8202" max="8202" width="2.26953125" style="1" customWidth="1"/>
    <col min="8203" max="8203" width="16.81640625" style="1" customWidth="1"/>
    <col min="8204" max="8204" width="2.26953125" style="1" customWidth="1"/>
    <col min="8205" max="8205" width="15.1796875" style="1" customWidth="1"/>
    <col min="8206" max="8206" width="2.26953125" style="1" customWidth="1"/>
    <col min="8207" max="8207" width="11.453125" style="1" customWidth="1"/>
    <col min="8208" max="8208" width="2.26953125" style="1" customWidth="1"/>
    <col min="8209" max="8209" width="15.1796875" style="1" bestFit="1" customWidth="1"/>
    <col min="8210" max="8210" width="3.26953125" style="1" customWidth="1"/>
    <col min="8211" max="8211" width="9.1796875" style="1"/>
    <col min="8212" max="8212" width="23.81640625" style="1" customWidth="1"/>
    <col min="8213" max="8446" width="9.1796875" style="1"/>
    <col min="8447" max="8447" width="12" style="1" customWidth="1"/>
    <col min="8448" max="8448" width="2.26953125" style="1" customWidth="1"/>
    <col min="8449" max="8449" width="49.81640625" style="1" customWidth="1"/>
    <col min="8450" max="8450" width="2.26953125" style="1" customWidth="1"/>
    <col min="8451" max="8451" width="13.54296875" style="1" customWidth="1"/>
    <col min="8452" max="8452" width="2.26953125" style="1" customWidth="1"/>
    <col min="8453" max="8453" width="17.81640625" style="1" bestFit="1" customWidth="1"/>
    <col min="8454" max="8454" width="2.1796875" style="1" customWidth="1"/>
    <col min="8455" max="8455" width="17.453125" style="1" bestFit="1" customWidth="1"/>
    <col min="8456" max="8456" width="2.26953125" style="1" customWidth="1"/>
    <col min="8457" max="8457" width="18.453125" style="1" customWidth="1"/>
    <col min="8458" max="8458" width="2.26953125" style="1" customWidth="1"/>
    <col min="8459" max="8459" width="16.81640625" style="1" customWidth="1"/>
    <col min="8460" max="8460" width="2.26953125" style="1" customWidth="1"/>
    <col min="8461" max="8461" width="15.1796875" style="1" customWidth="1"/>
    <col min="8462" max="8462" width="2.26953125" style="1" customWidth="1"/>
    <col min="8463" max="8463" width="11.453125" style="1" customWidth="1"/>
    <col min="8464" max="8464" width="2.26953125" style="1" customWidth="1"/>
    <col min="8465" max="8465" width="15.1796875" style="1" bestFit="1" customWidth="1"/>
    <col min="8466" max="8466" width="3.26953125" style="1" customWidth="1"/>
    <col min="8467" max="8467" width="9.1796875" style="1"/>
    <col min="8468" max="8468" width="23.81640625" style="1" customWidth="1"/>
    <col min="8469" max="8702" width="9.1796875" style="1"/>
    <col min="8703" max="8703" width="12" style="1" customWidth="1"/>
    <col min="8704" max="8704" width="2.26953125" style="1" customWidth="1"/>
    <col min="8705" max="8705" width="49.81640625" style="1" customWidth="1"/>
    <col min="8706" max="8706" width="2.26953125" style="1" customWidth="1"/>
    <col min="8707" max="8707" width="13.54296875" style="1" customWidth="1"/>
    <col min="8708" max="8708" width="2.26953125" style="1" customWidth="1"/>
    <col min="8709" max="8709" width="17.81640625" style="1" bestFit="1" customWidth="1"/>
    <col min="8710" max="8710" width="2.1796875" style="1" customWidth="1"/>
    <col min="8711" max="8711" width="17.453125" style="1" bestFit="1" customWidth="1"/>
    <col min="8712" max="8712" width="2.26953125" style="1" customWidth="1"/>
    <col min="8713" max="8713" width="18.453125" style="1" customWidth="1"/>
    <col min="8714" max="8714" width="2.26953125" style="1" customWidth="1"/>
    <col min="8715" max="8715" width="16.81640625" style="1" customWidth="1"/>
    <col min="8716" max="8716" width="2.26953125" style="1" customWidth="1"/>
    <col min="8717" max="8717" width="15.1796875" style="1" customWidth="1"/>
    <col min="8718" max="8718" width="2.26953125" style="1" customWidth="1"/>
    <col min="8719" max="8719" width="11.453125" style="1" customWidth="1"/>
    <col min="8720" max="8720" width="2.26953125" style="1" customWidth="1"/>
    <col min="8721" max="8721" width="15.1796875" style="1" bestFit="1" customWidth="1"/>
    <col min="8722" max="8722" width="3.26953125" style="1" customWidth="1"/>
    <col min="8723" max="8723" width="9.1796875" style="1"/>
    <col min="8724" max="8724" width="23.81640625" style="1" customWidth="1"/>
    <col min="8725" max="8958" width="9.1796875" style="1"/>
    <col min="8959" max="8959" width="12" style="1" customWidth="1"/>
    <col min="8960" max="8960" width="2.26953125" style="1" customWidth="1"/>
    <col min="8961" max="8961" width="49.81640625" style="1" customWidth="1"/>
    <col min="8962" max="8962" width="2.26953125" style="1" customWidth="1"/>
    <col min="8963" max="8963" width="13.54296875" style="1" customWidth="1"/>
    <col min="8964" max="8964" width="2.26953125" style="1" customWidth="1"/>
    <col min="8965" max="8965" width="17.81640625" style="1" bestFit="1" customWidth="1"/>
    <col min="8966" max="8966" width="2.1796875" style="1" customWidth="1"/>
    <col min="8967" max="8967" width="17.453125" style="1" bestFit="1" customWidth="1"/>
    <col min="8968" max="8968" width="2.26953125" style="1" customWidth="1"/>
    <col min="8969" max="8969" width="18.453125" style="1" customWidth="1"/>
    <col min="8970" max="8970" width="2.26953125" style="1" customWidth="1"/>
    <col min="8971" max="8971" width="16.81640625" style="1" customWidth="1"/>
    <col min="8972" max="8972" width="2.26953125" style="1" customWidth="1"/>
    <col min="8973" max="8973" width="15.1796875" style="1" customWidth="1"/>
    <col min="8974" max="8974" width="2.26953125" style="1" customWidth="1"/>
    <col min="8975" max="8975" width="11.453125" style="1" customWidth="1"/>
    <col min="8976" max="8976" width="2.26953125" style="1" customWidth="1"/>
    <col min="8977" max="8977" width="15.1796875" style="1" bestFit="1" customWidth="1"/>
    <col min="8978" max="8978" width="3.26953125" style="1" customWidth="1"/>
    <col min="8979" max="8979" width="9.1796875" style="1"/>
    <col min="8980" max="8980" width="23.81640625" style="1" customWidth="1"/>
    <col min="8981" max="9214" width="9.1796875" style="1"/>
    <col min="9215" max="9215" width="12" style="1" customWidth="1"/>
    <col min="9216" max="9216" width="2.26953125" style="1" customWidth="1"/>
    <col min="9217" max="9217" width="49.81640625" style="1" customWidth="1"/>
    <col min="9218" max="9218" width="2.26953125" style="1" customWidth="1"/>
    <col min="9219" max="9219" width="13.54296875" style="1" customWidth="1"/>
    <col min="9220" max="9220" width="2.26953125" style="1" customWidth="1"/>
    <col min="9221" max="9221" width="17.81640625" style="1" bestFit="1" customWidth="1"/>
    <col min="9222" max="9222" width="2.1796875" style="1" customWidth="1"/>
    <col min="9223" max="9223" width="17.453125" style="1" bestFit="1" customWidth="1"/>
    <col min="9224" max="9224" width="2.26953125" style="1" customWidth="1"/>
    <col min="9225" max="9225" width="18.453125" style="1" customWidth="1"/>
    <col min="9226" max="9226" width="2.26953125" style="1" customWidth="1"/>
    <col min="9227" max="9227" width="16.81640625" style="1" customWidth="1"/>
    <col min="9228" max="9228" width="2.26953125" style="1" customWidth="1"/>
    <col min="9229" max="9229" width="15.1796875" style="1" customWidth="1"/>
    <col min="9230" max="9230" width="2.26953125" style="1" customWidth="1"/>
    <col min="9231" max="9231" width="11.453125" style="1" customWidth="1"/>
    <col min="9232" max="9232" width="2.26953125" style="1" customWidth="1"/>
    <col min="9233" max="9233" width="15.1796875" style="1" bestFit="1" customWidth="1"/>
    <col min="9234" max="9234" width="3.26953125" style="1" customWidth="1"/>
    <col min="9235" max="9235" width="9.1796875" style="1"/>
    <col min="9236" max="9236" width="23.81640625" style="1" customWidth="1"/>
    <col min="9237" max="9470" width="9.1796875" style="1"/>
    <col min="9471" max="9471" width="12" style="1" customWidth="1"/>
    <col min="9472" max="9472" width="2.26953125" style="1" customWidth="1"/>
    <col min="9473" max="9473" width="49.81640625" style="1" customWidth="1"/>
    <col min="9474" max="9474" width="2.26953125" style="1" customWidth="1"/>
    <col min="9475" max="9475" width="13.54296875" style="1" customWidth="1"/>
    <col min="9476" max="9476" width="2.26953125" style="1" customWidth="1"/>
    <col min="9477" max="9477" width="17.81640625" style="1" bestFit="1" customWidth="1"/>
    <col min="9478" max="9478" width="2.1796875" style="1" customWidth="1"/>
    <col min="9479" max="9479" width="17.453125" style="1" bestFit="1" customWidth="1"/>
    <col min="9480" max="9480" width="2.26953125" style="1" customWidth="1"/>
    <col min="9481" max="9481" width="18.453125" style="1" customWidth="1"/>
    <col min="9482" max="9482" width="2.26953125" style="1" customWidth="1"/>
    <col min="9483" max="9483" width="16.81640625" style="1" customWidth="1"/>
    <col min="9484" max="9484" width="2.26953125" style="1" customWidth="1"/>
    <col min="9485" max="9485" width="15.1796875" style="1" customWidth="1"/>
    <col min="9486" max="9486" width="2.26953125" style="1" customWidth="1"/>
    <col min="9487" max="9487" width="11.453125" style="1" customWidth="1"/>
    <col min="9488" max="9488" width="2.26953125" style="1" customWidth="1"/>
    <col min="9489" max="9489" width="15.1796875" style="1" bestFit="1" customWidth="1"/>
    <col min="9490" max="9490" width="3.26953125" style="1" customWidth="1"/>
    <col min="9491" max="9491" width="9.1796875" style="1"/>
    <col min="9492" max="9492" width="23.81640625" style="1" customWidth="1"/>
    <col min="9493" max="9726" width="9.1796875" style="1"/>
    <col min="9727" max="9727" width="12" style="1" customWidth="1"/>
    <col min="9728" max="9728" width="2.26953125" style="1" customWidth="1"/>
    <col min="9729" max="9729" width="49.81640625" style="1" customWidth="1"/>
    <col min="9730" max="9730" width="2.26953125" style="1" customWidth="1"/>
    <col min="9731" max="9731" width="13.54296875" style="1" customWidth="1"/>
    <col min="9732" max="9732" width="2.26953125" style="1" customWidth="1"/>
    <col min="9733" max="9733" width="17.81640625" style="1" bestFit="1" customWidth="1"/>
    <col min="9734" max="9734" width="2.1796875" style="1" customWidth="1"/>
    <col min="9735" max="9735" width="17.453125" style="1" bestFit="1" customWidth="1"/>
    <col min="9736" max="9736" width="2.26953125" style="1" customWidth="1"/>
    <col min="9737" max="9737" width="18.453125" style="1" customWidth="1"/>
    <col min="9738" max="9738" width="2.26953125" style="1" customWidth="1"/>
    <col min="9739" max="9739" width="16.81640625" style="1" customWidth="1"/>
    <col min="9740" max="9740" width="2.26953125" style="1" customWidth="1"/>
    <col min="9741" max="9741" width="15.1796875" style="1" customWidth="1"/>
    <col min="9742" max="9742" width="2.26953125" style="1" customWidth="1"/>
    <col min="9743" max="9743" width="11.453125" style="1" customWidth="1"/>
    <col min="9744" max="9744" width="2.26953125" style="1" customWidth="1"/>
    <col min="9745" max="9745" width="15.1796875" style="1" bestFit="1" customWidth="1"/>
    <col min="9746" max="9746" width="3.26953125" style="1" customWidth="1"/>
    <col min="9747" max="9747" width="9.1796875" style="1"/>
    <col min="9748" max="9748" width="23.81640625" style="1" customWidth="1"/>
    <col min="9749" max="9982" width="9.1796875" style="1"/>
    <col min="9983" max="9983" width="12" style="1" customWidth="1"/>
    <col min="9984" max="9984" width="2.26953125" style="1" customWidth="1"/>
    <col min="9985" max="9985" width="49.81640625" style="1" customWidth="1"/>
    <col min="9986" max="9986" width="2.26953125" style="1" customWidth="1"/>
    <col min="9987" max="9987" width="13.54296875" style="1" customWidth="1"/>
    <col min="9988" max="9988" width="2.26953125" style="1" customWidth="1"/>
    <col min="9989" max="9989" width="17.81640625" style="1" bestFit="1" customWidth="1"/>
    <col min="9990" max="9990" width="2.1796875" style="1" customWidth="1"/>
    <col min="9991" max="9991" width="17.453125" style="1" bestFit="1" customWidth="1"/>
    <col min="9992" max="9992" width="2.26953125" style="1" customWidth="1"/>
    <col min="9993" max="9993" width="18.453125" style="1" customWidth="1"/>
    <col min="9994" max="9994" width="2.26953125" style="1" customWidth="1"/>
    <col min="9995" max="9995" width="16.81640625" style="1" customWidth="1"/>
    <col min="9996" max="9996" width="2.26953125" style="1" customWidth="1"/>
    <col min="9997" max="9997" width="15.1796875" style="1" customWidth="1"/>
    <col min="9998" max="9998" width="2.26953125" style="1" customWidth="1"/>
    <col min="9999" max="9999" width="11.453125" style="1" customWidth="1"/>
    <col min="10000" max="10000" width="2.26953125" style="1" customWidth="1"/>
    <col min="10001" max="10001" width="15.1796875" style="1" bestFit="1" customWidth="1"/>
    <col min="10002" max="10002" width="3.26953125" style="1" customWidth="1"/>
    <col min="10003" max="10003" width="9.1796875" style="1"/>
    <col min="10004" max="10004" width="23.81640625" style="1" customWidth="1"/>
    <col min="10005" max="10238" width="9.1796875" style="1"/>
    <col min="10239" max="10239" width="12" style="1" customWidth="1"/>
    <col min="10240" max="10240" width="2.26953125" style="1" customWidth="1"/>
    <col min="10241" max="10241" width="49.81640625" style="1" customWidth="1"/>
    <col min="10242" max="10242" width="2.26953125" style="1" customWidth="1"/>
    <col min="10243" max="10243" width="13.54296875" style="1" customWidth="1"/>
    <col min="10244" max="10244" width="2.26953125" style="1" customWidth="1"/>
    <col min="10245" max="10245" width="17.81640625" style="1" bestFit="1" customWidth="1"/>
    <col min="10246" max="10246" width="2.1796875" style="1" customWidth="1"/>
    <col min="10247" max="10247" width="17.453125" style="1" bestFit="1" customWidth="1"/>
    <col min="10248" max="10248" width="2.26953125" style="1" customWidth="1"/>
    <col min="10249" max="10249" width="18.453125" style="1" customWidth="1"/>
    <col min="10250" max="10250" width="2.26953125" style="1" customWidth="1"/>
    <col min="10251" max="10251" width="16.81640625" style="1" customWidth="1"/>
    <col min="10252" max="10252" width="2.26953125" style="1" customWidth="1"/>
    <col min="10253" max="10253" width="15.1796875" style="1" customWidth="1"/>
    <col min="10254" max="10254" width="2.26953125" style="1" customWidth="1"/>
    <col min="10255" max="10255" width="11.453125" style="1" customWidth="1"/>
    <col min="10256" max="10256" width="2.26953125" style="1" customWidth="1"/>
    <col min="10257" max="10257" width="15.1796875" style="1" bestFit="1" customWidth="1"/>
    <col min="10258" max="10258" width="3.26953125" style="1" customWidth="1"/>
    <col min="10259" max="10259" width="9.1796875" style="1"/>
    <col min="10260" max="10260" width="23.81640625" style="1" customWidth="1"/>
    <col min="10261" max="10494" width="9.1796875" style="1"/>
    <col min="10495" max="10495" width="12" style="1" customWidth="1"/>
    <col min="10496" max="10496" width="2.26953125" style="1" customWidth="1"/>
    <col min="10497" max="10497" width="49.81640625" style="1" customWidth="1"/>
    <col min="10498" max="10498" width="2.26953125" style="1" customWidth="1"/>
    <col min="10499" max="10499" width="13.54296875" style="1" customWidth="1"/>
    <col min="10500" max="10500" width="2.26953125" style="1" customWidth="1"/>
    <col min="10501" max="10501" width="17.81640625" style="1" bestFit="1" customWidth="1"/>
    <col min="10502" max="10502" width="2.1796875" style="1" customWidth="1"/>
    <col min="10503" max="10503" width="17.453125" style="1" bestFit="1" customWidth="1"/>
    <col min="10504" max="10504" width="2.26953125" style="1" customWidth="1"/>
    <col min="10505" max="10505" width="18.453125" style="1" customWidth="1"/>
    <col min="10506" max="10506" width="2.26953125" style="1" customWidth="1"/>
    <col min="10507" max="10507" width="16.81640625" style="1" customWidth="1"/>
    <col min="10508" max="10508" width="2.26953125" style="1" customWidth="1"/>
    <col min="10509" max="10509" width="15.1796875" style="1" customWidth="1"/>
    <col min="10510" max="10510" width="2.26953125" style="1" customWidth="1"/>
    <col min="10511" max="10511" width="11.453125" style="1" customWidth="1"/>
    <col min="10512" max="10512" width="2.26953125" style="1" customWidth="1"/>
    <col min="10513" max="10513" width="15.1796875" style="1" bestFit="1" customWidth="1"/>
    <col min="10514" max="10514" width="3.26953125" style="1" customWidth="1"/>
    <col min="10515" max="10515" width="9.1796875" style="1"/>
    <col min="10516" max="10516" width="23.81640625" style="1" customWidth="1"/>
    <col min="10517" max="10750" width="9.1796875" style="1"/>
    <col min="10751" max="10751" width="12" style="1" customWidth="1"/>
    <col min="10752" max="10752" width="2.26953125" style="1" customWidth="1"/>
    <col min="10753" max="10753" width="49.81640625" style="1" customWidth="1"/>
    <col min="10754" max="10754" width="2.26953125" style="1" customWidth="1"/>
    <col min="10755" max="10755" width="13.54296875" style="1" customWidth="1"/>
    <col min="10756" max="10756" width="2.26953125" style="1" customWidth="1"/>
    <col min="10757" max="10757" width="17.81640625" style="1" bestFit="1" customWidth="1"/>
    <col min="10758" max="10758" width="2.1796875" style="1" customWidth="1"/>
    <col min="10759" max="10759" width="17.453125" style="1" bestFit="1" customWidth="1"/>
    <col min="10760" max="10760" width="2.26953125" style="1" customWidth="1"/>
    <col min="10761" max="10761" width="18.453125" style="1" customWidth="1"/>
    <col min="10762" max="10762" width="2.26953125" style="1" customWidth="1"/>
    <col min="10763" max="10763" width="16.81640625" style="1" customWidth="1"/>
    <col min="10764" max="10764" width="2.26953125" style="1" customWidth="1"/>
    <col min="10765" max="10765" width="15.1796875" style="1" customWidth="1"/>
    <col min="10766" max="10766" width="2.26953125" style="1" customWidth="1"/>
    <col min="10767" max="10767" width="11.453125" style="1" customWidth="1"/>
    <col min="10768" max="10768" width="2.26953125" style="1" customWidth="1"/>
    <col min="10769" max="10769" width="15.1796875" style="1" bestFit="1" customWidth="1"/>
    <col min="10770" max="10770" width="3.26953125" style="1" customWidth="1"/>
    <col min="10771" max="10771" width="9.1796875" style="1"/>
    <col min="10772" max="10772" width="23.81640625" style="1" customWidth="1"/>
    <col min="10773" max="11006" width="9.1796875" style="1"/>
    <col min="11007" max="11007" width="12" style="1" customWidth="1"/>
    <col min="11008" max="11008" width="2.26953125" style="1" customWidth="1"/>
    <col min="11009" max="11009" width="49.81640625" style="1" customWidth="1"/>
    <col min="11010" max="11010" width="2.26953125" style="1" customWidth="1"/>
    <col min="11011" max="11011" width="13.54296875" style="1" customWidth="1"/>
    <col min="11012" max="11012" width="2.26953125" style="1" customWidth="1"/>
    <col min="11013" max="11013" width="17.81640625" style="1" bestFit="1" customWidth="1"/>
    <col min="11014" max="11014" width="2.1796875" style="1" customWidth="1"/>
    <col min="11015" max="11015" width="17.453125" style="1" bestFit="1" customWidth="1"/>
    <col min="11016" max="11016" width="2.26953125" style="1" customWidth="1"/>
    <col min="11017" max="11017" width="18.453125" style="1" customWidth="1"/>
    <col min="11018" max="11018" width="2.26953125" style="1" customWidth="1"/>
    <col min="11019" max="11019" width="16.81640625" style="1" customWidth="1"/>
    <col min="11020" max="11020" width="2.26953125" style="1" customWidth="1"/>
    <col min="11021" max="11021" width="15.1796875" style="1" customWidth="1"/>
    <col min="11022" max="11022" width="2.26953125" style="1" customWidth="1"/>
    <col min="11023" max="11023" width="11.453125" style="1" customWidth="1"/>
    <col min="11024" max="11024" width="2.26953125" style="1" customWidth="1"/>
    <col min="11025" max="11025" width="15.1796875" style="1" bestFit="1" customWidth="1"/>
    <col min="11026" max="11026" width="3.26953125" style="1" customWidth="1"/>
    <col min="11027" max="11027" width="9.1796875" style="1"/>
    <col min="11028" max="11028" width="23.81640625" style="1" customWidth="1"/>
    <col min="11029" max="11262" width="9.1796875" style="1"/>
    <col min="11263" max="11263" width="12" style="1" customWidth="1"/>
    <col min="11264" max="11264" width="2.26953125" style="1" customWidth="1"/>
    <col min="11265" max="11265" width="49.81640625" style="1" customWidth="1"/>
    <col min="11266" max="11266" width="2.26953125" style="1" customWidth="1"/>
    <col min="11267" max="11267" width="13.54296875" style="1" customWidth="1"/>
    <col min="11268" max="11268" width="2.26953125" style="1" customWidth="1"/>
    <col min="11269" max="11269" width="17.81640625" style="1" bestFit="1" customWidth="1"/>
    <col min="11270" max="11270" width="2.1796875" style="1" customWidth="1"/>
    <col min="11271" max="11271" width="17.453125" style="1" bestFit="1" customWidth="1"/>
    <col min="11272" max="11272" width="2.26953125" style="1" customWidth="1"/>
    <col min="11273" max="11273" width="18.453125" style="1" customWidth="1"/>
    <col min="11274" max="11274" width="2.26953125" style="1" customWidth="1"/>
    <col min="11275" max="11275" width="16.81640625" style="1" customWidth="1"/>
    <col min="11276" max="11276" width="2.26953125" style="1" customWidth="1"/>
    <col min="11277" max="11277" width="15.1796875" style="1" customWidth="1"/>
    <col min="11278" max="11278" width="2.26953125" style="1" customWidth="1"/>
    <col min="11279" max="11279" width="11.453125" style="1" customWidth="1"/>
    <col min="11280" max="11280" width="2.26953125" style="1" customWidth="1"/>
    <col min="11281" max="11281" width="15.1796875" style="1" bestFit="1" customWidth="1"/>
    <col min="11282" max="11282" width="3.26953125" style="1" customWidth="1"/>
    <col min="11283" max="11283" width="9.1796875" style="1"/>
    <col min="11284" max="11284" width="23.81640625" style="1" customWidth="1"/>
    <col min="11285" max="11518" width="9.1796875" style="1"/>
    <col min="11519" max="11519" width="12" style="1" customWidth="1"/>
    <col min="11520" max="11520" width="2.26953125" style="1" customWidth="1"/>
    <col min="11521" max="11521" width="49.81640625" style="1" customWidth="1"/>
    <col min="11522" max="11522" width="2.26953125" style="1" customWidth="1"/>
    <col min="11523" max="11523" width="13.54296875" style="1" customWidth="1"/>
    <col min="11524" max="11524" width="2.26953125" style="1" customWidth="1"/>
    <col min="11525" max="11525" width="17.81640625" style="1" bestFit="1" customWidth="1"/>
    <col min="11526" max="11526" width="2.1796875" style="1" customWidth="1"/>
    <col min="11527" max="11527" width="17.453125" style="1" bestFit="1" customWidth="1"/>
    <col min="11528" max="11528" width="2.26953125" style="1" customWidth="1"/>
    <col min="11529" max="11529" width="18.453125" style="1" customWidth="1"/>
    <col min="11530" max="11530" width="2.26953125" style="1" customWidth="1"/>
    <col min="11531" max="11531" width="16.81640625" style="1" customWidth="1"/>
    <col min="11532" max="11532" width="2.26953125" style="1" customWidth="1"/>
    <col min="11533" max="11533" width="15.1796875" style="1" customWidth="1"/>
    <col min="11534" max="11534" width="2.26953125" style="1" customWidth="1"/>
    <col min="11535" max="11535" width="11.453125" style="1" customWidth="1"/>
    <col min="11536" max="11536" width="2.26953125" style="1" customWidth="1"/>
    <col min="11537" max="11537" width="15.1796875" style="1" bestFit="1" customWidth="1"/>
    <col min="11538" max="11538" width="3.26953125" style="1" customWidth="1"/>
    <col min="11539" max="11539" width="9.1796875" style="1"/>
    <col min="11540" max="11540" width="23.81640625" style="1" customWidth="1"/>
    <col min="11541" max="11774" width="9.1796875" style="1"/>
    <col min="11775" max="11775" width="12" style="1" customWidth="1"/>
    <col min="11776" max="11776" width="2.26953125" style="1" customWidth="1"/>
    <col min="11777" max="11777" width="49.81640625" style="1" customWidth="1"/>
    <col min="11778" max="11778" width="2.26953125" style="1" customWidth="1"/>
    <col min="11779" max="11779" width="13.54296875" style="1" customWidth="1"/>
    <col min="11780" max="11780" width="2.26953125" style="1" customWidth="1"/>
    <col min="11781" max="11781" width="17.81640625" style="1" bestFit="1" customWidth="1"/>
    <col min="11782" max="11782" width="2.1796875" style="1" customWidth="1"/>
    <col min="11783" max="11783" width="17.453125" style="1" bestFit="1" customWidth="1"/>
    <col min="11784" max="11784" width="2.26953125" style="1" customWidth="1"/>
    <col min="11785" max="11785" width="18.453125" style="1" customWidth="1"/>
    <col min="11786" max="11786" width="2.26953125" style="1" customWidth="1"/>
    <col min="11787" max="11787" width="16.81640625" style="1" customWidth="1"/>
    <col min="11788" max="11788" width="2.26953125" style="1" customWidth="1"/>
    <col min="11789" max="11789" width="15.1796875" style="1" customWidth="1"/>
    <col min="11790" max="11790" width="2.26953125" style="1" customWidth="1"/>
    <col min="11791" max="11791" width="11.453125" style="1" customWidth="1"/>
    <col min="11792" max="11792" width="2.26953125" style="1" customWidth="1"/>
    <col min="11793" max="11793" width="15.1796875" style="1" bestFit="1" customWidth="1"/>
    <col min="11794" max="11794" width="3.26953125" style="1" customWidth="1"/>
    <col min="11795" max="11795" width="9.1796875" style="1"/>
    <col min="11796" max="11796" width="23.81640625" style="1" customWidth="1"/>
    <col min="11797" max="12030" width="9.1796875" style="1"/>
    <col min="12031" max="12031" width="12" style="1" customWidth="1"/>
    <col min="12032" max="12032" width="2.26953125" style="1" customWidth="1"/>
    <col min="12033" max="12033" width="49.81640625" style="1" customWidth="1"/>
    <col min="12034" max="12034" width="2.26953125" style="1" customWidth="1"/>
    <col min="12035" max="12035" width="13.54296875" style="1" customWidth="1"/>
    <col min="12036" max="12036" width="2.26953125" style="1" customWidth="1"/>
    <col min="12037" max="12037" width="17.81640625" style="1" bestFit="1" customWidth="1"/>
    <col min="12038" max="12038" width="2.1796875" style="1" customWidth="1"/>
    <col min="12039" max="12039" width="17.453125" style="1" bestFit="1" customWidth="1"/>
    <col min="12040" max="12040" width="2.26953125" style="1" customWidth="1"/>
    <col min="12041" max="12041" width="18.453125" style="1" customWidth="1"/>
    <col min="12042" max="12042" width="2.26953125" style="1" customWidth="1"/>
    <col min="12043" max="12043" width="16.81640625" style="1" customWidth="1"/>
    <col min="12044" max="12044" width="2.26953125" style="1" customWidth="1"/>
    <col min="12045" max="12045" width="15.1796875" style="1" customWidth="1"/>
    <col min="12046" max="12046" width="2.26953125" style="1" customWidth="1"/>
    <col min="12047" max="12047" width="11.453125" style="1" customWidth="1"/>
    <col min="12048" max="12048" width="2.26953125" style="1" customWidth="1"/>
    <col min="12049" max="12049" width="15.1796875" style="1" bestFit="1" customWidth="1"/>
    <col min="12050" max="12050" width="3.26953125" style="1" customWidth="1"/>
    <col min="12051" max="12051" width="9.1796875" style="1"/>
    <col min="12052" max="12052" width="23.81640625" style="1" customWidth="1"/>
    <col min="12053" max="12286" width="9.1796875" style="1"/>
    <col min="12287" max="12287" width="12" style="1" customWidth="1"/>
    <col min="12288" max="12288" width="2.26953125" style="1" customWidth="1"/>
    <col min="12289" max="12289" width="49.81640625" style="1" customWidth="1"/>
    <col min="12290" max="12290" width="2.26953125" style="1" customWidth="1"/>
    <col min="12291" max="12291" width="13.54296875" style="1" customWidth="1"/>
    <col min="12292" max="12292" width="2.26953125" style="1" customWidth="1"/>
    <col min="12293" max="12293" width="17.81640625" style="1" bestFit="1" customWidth="1"/>
    <col min="12294" max="12294" width="2.1796875" style="1" customWidth="1"/>
    <col min="12295" max="12295" width="17.453125" style="1" bestFit="1" customWidth="1"/>
    <col min="12296" max="12296" width="2.26953125" style="1" customWidth="1"/>
    <col min="12297" max="12297" width="18.453125" style="1" customWidth="1"/>
    <col min="12298" max="12298" width="2.26953125" style="1" customWidth="1"/>
    <col min="12299" max="12299" width="16.81640625" style="1" customWidth="1"/>
    <col min="12300" max="12300" width="2.26953125" style="1" customWidth="1"/>
    <col min="12301" max="12301" width="15.1796875" style="1" customWidth="1"/>
    <col min="12302" max="12302" width="2.26953125" style="1" customWidth="1"/>
    <col min="12303" max="12303" width="11.453125" style="1" customWidth="1"/>
    <col min="12304" max="12304" width="2.26953125" style="1" customWidth="1"/>
    <col min="12305" max="12305" width="15.1796875" style="1" bestFit="1" customWidth="1"/>
    <col min="12306" max="12306" width="3.26953125" style="1" customWidth="1"/>
    <col min="12307" max="12307" width="9.1796875" style="1"/>
    <col min="12308" max="12308" width="23.81640625" style="1" customWidth="1"/>
    <col min="12309" max="12542" width="9.1796875" style="1"/>
    <col min="12543" max="12543" width="12" style="1" customWidth="1"/>
    <col min="12544" max="12544" width="2.26953125" style="1" customWidth="1"/>
    <col min="12545" max="12545" width="49.81640625" style="1" customWidth="1"/>
    <col min="12546" max="12546" width="2.26953125" style="1" customWidth="1"/>
    <col min="12547" max="12547" width="13.54296875" style="1" customWidth="1"/>
    <col min="12548" max="12548" width="2.26953125" style="1" customWidth="1"/>
    <col min="12549" max="12549" width="17.81640625" style="1" bestFit="1" customWidth="1"/>
    <col min="12550" max="12550" width="2.1796875" style="1" customWidth="1"/>
    <col min="12551" max="12551" width="17.453125" style="1" bestFit="1" customWidth="1"/>
    <col min="12552" max="12552" width="2.26953125" style="1" customWidth="1"/>
    <col min="12553" max="12553" width="18.453125" style="1" customWidth="1"/>
    <col min="12554" max="12554" width="2.26953125" style="1" customWidth="1"/>
    <col min="12555" max="12555" width="16.81640625" style="1" customWidth="1"/>
    <col min="12556" max="12556" width="2.26953125" style="1" customWidth="1"/>
    <col min="12557" max="12557" width="15.1796875" style="1" customWidth="1"/>
    <col min="12558" max="12558" width="2.26953125" style="1" customWidth="1"/>
    <col min="12559" max="12559" width="11.453125" style="1" customWidth="1"/>
    <col min="12560" max="12560" width="2.26953125" style="1" customWidth="1"/>
    <col min="12561" max="12561" width="15.1796875" style="1" bestFit="1" customWidth="1"/>
    <col min="12562" max="12562" width="3.26953125" style="1" customWidth="1"/>
    <col min="12563" max="12563" width="9.1796875" style="1"/>
    <col min="12564" max="12564" width="23.81640625" style="1" customWidth="1"/>
    <col min="12565" max="12798" width="9.1796875" style="1"/>
    <col min="12799" max="12799" width="12" style="1" customWidth="1"/>
    <col min="12800" max="12800" width="2.26953125" style="1" customWidth="1"/>
    <col min="12801" max="12801" width="49.81640625" style="1" customWidth="1"/>
    <col min="12802" max="12802" width="2.26953125" style="1" customWidth="1"/>
    <col min="12803" max="12803" width="13.54296875" style="1" customWidth="1"/>
    <col min="12804" max="12804" width="2.26953125" style="1" customWidth="1"/>
    <col min="12805" max="12805" width="17.81640625" style="1" bestFit="1" customWidth="1"/>
    <col min="12806" max="12806" width="2.1796875" style="1" customWidth="1"/>
    <col min="12807" max="12807" width="17.453125" style="1" bestFit="1" customWidth="1"/>
    <col min="12808" max="12808" width="2.26953125" style="1" customWidth="1"/>
    <col min="12809" max="12809" width="18.453125" style="1" customWidth="1"/>
    <col min="12810" max="12810" width="2.26953125" style="1" customWidth="1"/>
    <col min="12811" max="12811" width="16.81640625" style="1" customWidth="1"/>
    <col min="12812" max="12812" width="2.26953125" style="1" customWidth="1"/>
    <col min="12813" max="12813" width="15.1796875" style="1" customWidth="1"/>
    <col min="12814" max="12814" width="2.26953125" style="1" customWidth="1"/>
    <col min="12815" max="12815" width="11.453125" style="1" customWidth="1"/>
    <col min="12816" max="12816" width="2.26953125" style="1" customWidth="1"/>
    <col min="12817" max="12817" width="15.1796875" style="1" bestFit="1" customWidth="1"/>
    <col min="12818" max="12818" width="3.26953125" style="1" customWidth="1"/>
    <col min="12819" max="12819" width="9.1796875" style="1"/>
    <col min="12820" max="12820" width="23.81640625" style="1" customWidth="1"/>
    <col min="12821" max="13054" width="9.1796875" style="1"/>
    <col min="13055" max="13055" width="12" style="1" customWidth="1"/>
    <col min="13056" max="13056" width="2.26953125" style="1" customWidth="1"/>
    <col min="13057" max="13057" width="49.81640625" style="1" customWidth="1"/>
    <col min="13058" max="13058" width="2.26953125" style="1" customWidth="1"/>
    <col min="13059" max="13059" width="13.54296875" style="1" customWidth="1"/>
    <col min="13060" max="13060" width="2.26953125" style="1" customWidth="1"/>
    <col min="13061" max="13061" width="17.81640625" style="1" bestFit="1" customWidth="1"/>
    <col min="13062" max="13062" width="2.1796875" style="1" customWidth="1"/>
    <col min="13063" max="13063" width="17.453125" style="1" bestFit="1" customWidth="1"/>
    <col min="13064" max="13064" width="2.26953125" style="1" customWidth="1"/>
    <col min="13065" max="13065" width="18.453125" style="1" customWidth="1"/>
    <col min="13066" max="13066" width="2.26953125" style="1" customWidth="1"/>
    <col min="13067" max="13067" width="16.81640625" style="1" customWidth="1"/>
    <col min="13068" max="13068" width="2.26953125" style="1" customWidth="1"/>
    <col min="13069" max="13069" width="15.1796875" style="1" customWidth="1"/>
    <col min="13070" max="13070" width="2.26953125" style="1" customWidth="1"/>
    <col min="13071" max="13071" width="11.453125" style="1" customWidth="1"/>
    <col min="13072" max="13072" width="2.26953125" style="1" customWidth="1"/>
    <col min="13073" max="13073" width="15.1796875" style="1" bestFit="1" customWidth="1"/>
    <col min="13074" max="13074" width="3.26953125" style="1" customWidth="1"/>
    <col min="13075" max="13075" width="9.1796875" style="1"/>
    <col min="13076" max="13076" width="23.81640625" style="1" customWidth="1"/>
    <col min="13077" max="13310" width="9.1796875" style="1"/>
    <col min="13311" max="13311" width="12" style="1" customWidth="1"/>
    <col min="13312" max="13312" width="2.26953125" style="1" customWidth="1"/>
    <col min="13313" max="13313" width="49.81640625" style="1" customWidth="1"/>
    <col min="13314" max="13314" width="2.26953125" style="1" customWidth="1"/>
    <col min="13315" max="13315" width="13.54296875" style="1" customWidth="1"/>
    <col min="13316" max="13316" width="2.26953125" style="1" customWidth="1"/>
    <col min="13317" max="13317" width="17.81640625" style="1" bestFit="1" customWidth="1"/>
    <col min="13318" max="13318" width="2.1796875" style="1" customWidth="1"/>
    <col min="13319" max="13319" width="17.453125" style="1" bestFit="1" customWidth="1"/>
    <col min="13320" max="13320" width="2.26953125" style="1" customWidth="1"/>
    <col min="13321" max="13321" width="18.453125" style="1" customWidth="1"/>
    <col min="13322" max="13322" width="2.26953125" style="1" customWidth="1"/>
    <col min="13323" max="13323" width="16.81640625" style="1" customWidth="1"/>
    <col min="13324" max="13324" width="2.26953125" style="1" customWidth="1"/>
    <col min="13325" max="13325" width="15.1796875" style="1" customWidth="1"/>
    <col min="13326" max="13326" width="2.26953125" style="1" customWidth="1"/>
    <col min="13327" max="13327" width="11.453125" style="1" customWidth="1"/>
    <col min="13328" max="13328" width="2.26953125" style="1" customWidth="1"/>
    <col min="13329" max="13329" width="15.1796875" style="1" bestFit="1" customWidth="1"/>
    <col min="13330" max="13330" width="3.26953125" style="1" customWidth="1"/>
    <col min="13331" max="13331" width="9.1796875" style="1"/>
    <col min="13332" max="13332" width="23.81640625" style="1" customWidth="1"/>
    <col min="13333" max="13566" width="9.1796875" style="1"/>
    <col min="13567" max="13567" width="12" style="1" customWidth="1"/>
    <col min="13568" max="13568" width="2.26953125" style="1" customWidth="1"/>
    <col min="13569" max="13569" width="49.81640625" style="1" customWidth="1"/>
    <col min="13570" max="13570" width="2.26953125" style="1" customWidth="1"/>
    <col min="13571" max="13571" width="13.54296875" style="1" customWidth="1"/>
    <col min="13572" max="13572" width="2.26953125" style="1" customWidth="1"/>
    <col min="13573" max="13573" width="17.81640625" style="1" bestFit="1" customWidth="1"/>
    <col min="13574" max="13574" width="2.1796875" style="1" customWidth="1"/>
    <col min="13575" max="13575" width="17.453125" style="1" bestFit="1" customWidth="1"/>
    <col min="13576" max="13576" width="2.26953125" style="1" customWidth="1"/>
    <col min="13577" max="13577" width="18.453125" style="1" customWidth="1"/>
    <col min="13578" max="13578" width="2.26953125" style="1" customWidth="1"/>
    <col min="13579" max="13579" width="16.81640625" style="1" customWidth="1"/>
    <col min="13580" max="13580" width="2.26953125" style="1" customWidth="1"/>
    <col min="13581" max="13581" width="15.1796875" style="1" customWidth="1"/>
    <col min="13582" max="13582" width="2.26953125" style="1" customWidth="1"/>
    <col min="13583" max="13583" width="11.453125" style="1" customWidth="1"/>
    <col min="13584" max="13584" width="2.26953125" style="1" customWidth="1"/>
    <col min="13585" max="13585" width="15.1796875" style="1" bestFit="1" customWidth="1"/>
    <col min="13586" max="13586" width="3.26953125" style="1" customWidth="1"/>
    <col min="13587" max="13587" width="9.1796875" style="1"/>
    <col min="13588" max="13588" width="23.81640625" style="1" customWidth="1"/>
    <col min="13589" max="13822" width="9.1796875" style="1"/>
    <col min="13823" max="13823" width="12" style="1" customWidth="1"/>
    <col min="13824" max="13824" width="2.26953125" style="1" customWidth="1"/>
    <col min="13825" max="13825" width="49.81640625" style="1" customWidth="1"/>
    <col min="13826" max="13826" width="2.26953125" style="1" customWidth="1"/>
    <col min="13827" max="13827" width="13.54296875" style="1" customWidth="1"/>
    <col min="13828" max="13828" width="2.26953125" style="1" customWidth="1"/>
    <col min="13829" max="13829" width="17.81640625" style="1" bestFit="1" customWidth="1"/>
    <col min="13830" max="13830" width="2.1796875" style="1" customWidth="1"/>
    <col min="13831" max="13831" width="17.453125" style="1" bestFit="1" customWidth="1"/>
    <col min="13832" max="13832" width="2.26953125" style="1" customWidth="1"/>
    <col min="13833" max="13833" width="18.453125" style="1" customWidth="1"/>
    <col min="13834" max="13834" width="2.26953125" style="1" customWidth="1"/>
    <col min="13835" max="13835" width="16.81640625" style="1" customWidth="1"/>
    <col min="13836" max="13836" width="2.26953125" style="1" customWidth="1"/>
    <col min="13837" max="13837" width="15.1796875" style="1" customWidth="1"/>
    <col min="13838" max="13838" width="2.26953125" style="1" customWidth="1"/>
    <col min="13839" max="13839" width="11.453125" style="1" customWidth="1"/>
    <col min="13840" max="13840" width="2.26953125" style="1" customWidth="1"/>
    <col min="13841" max="13841" width="15.1796875" style="1" bestFit="1" customWidth="1"/>
    <col min="13842" max="13842" width="3.26953125" style="1" customWidth="1"/>
    <col min="13843" max="13843" width="9.1796875" style="1"/>
    <col min="13844" max="13844" width="23.81640625" style="1" customWidth="1"/>
    <col min="13845" max="14078" width="9.1796875" style="1"/>
    <col min="14079" max="14079" width="12" style="1" customWidth="1"/>
    <col min="14080" max="14080" width="2.26953125" style="1" customWidth="1"/>
    <col min="14081" max="14081" width="49.81640625" style="1" customWidth="1"/>
    <col min="14082" max="14082" width="2.26953125" style="1" customWidth="1"/>
    <col min="14083" max="14083" width="13.54296875" style="1" customWidth="1"/>
    <col min="14084" max="14084" width="2.26953125" style="1" customWidth="1"/>
    <col min="14085" max="14085" width="17.81640625" style="1" bestFit="1" customWidth="1"/>
    <col min="14086" max="14086" width="2.1796875" style="1" customWidth="1"/>
    <col min="14087" max="14087" width="17.453125" style="1" bestFit="1" customWidth="1"/>
    <col min="14088" max="14088" width="2.26953125" style="1" customWidth="1"/>
    <col min="14089" max="14089" width="18.453125" style="1" customWidth="1"/>
    <col min="14090" max="14090" width="2.26953125" style="1" customWidth="1"/>
    <col min="14091" max="14091" width="16.81640625" style="1" customWidth="1"/>
    <col min="14092" max="14092" width="2.26953125" style="1" customWidth="1"/>
    <col min="14093" max="14093" width="15.1796875" style="1" customWidth="1"/>
    <col min="14094" max="14094" width="2.26953125" style="1" customWidth="1"/>
    <col min="14095" max="14095" width="11.453125" style="1" customWidth="1"/>
    <col min="14096" max="14096" width="2.26953125" style="1" customWidth="1"/>
    <col min="14097" max="14097" width="15.1796875" style="1" bestFit="1" customWidth="1"/>
    <col min="14098" max="14098" width="3.26953125" style="1" customWidth="1"/>
    <col min="14099" max="14099" width="9.1796875" style="1"/>
    <col min="14100" max="14100" width="23.81640625" style="1" customWidth="1"/>
    <col min="14101" max="14334" width="9.1796875" style="1"/>
    <col min="14335" max="14335" width="12" style="1" customWidth="1"/>
    <col min="14336" max="14336" width="2.26953125" style="1" customWidth="1"/>
    <col min="14337" max="14337" width="49.81640625" style="1" customWidth="1"/>
    <col min="14338" max="14338" width="2.26953125" style="1" customWidth="1"/>
    <col min="14339" max="14339" width="13.54296875" style="1" customWidth="1"/>
    <col min="14340" max="14340" width="2.26953125" style="1" customWidth="1"/>
    <col min="14341" max="14341" width="17.81640625" style="1" bestFit="1" customWidth="1"/>
    <col min="14342" max="14342" width="2.1796875" style="1" customWidth="1"/>
    <col min="14343" max="14343" width="17.453125" style="1" bestFit="1" customWidth="1"/>
    <col min="14344" max="14344" width="2.26953125" style="1" customWidth="1"/>
    <col min="14345" max="14345" width="18.453125" style="1" customWidth="1"/>
    <col min="14346" max="14346" width="2.26953125" style="1" customWidth="1"/>
    <col min="14347" max="14347" width="16.81640625" style="1" customWidth="1"/>
    <col min="14348" max="14348" width="2.26953125" style="1" customWidth="1"/>
    <col min="14349" max="14349" width="15.1796875" style="1" customWidth="1"/>
    <col min="14350" max="14350" width="2.26953125" style="1" customWidth="1"/>
    <col min="14351" max="14351" width="11.453125" style="1" customWidth="1"/>
    <col min="14352" max="14352" width="2.26953125" style="1" customWidth="1"/>
    <col min="14353" max="14353" width="15.1796875" style="1" bestFit="1" customWidth="1"/>
    <col min="14354" max="14354" width="3.26953125" style="1" customWidth="1"/>
    <col min="14355" max="14355" width="9.1796875" style="1"/>
    <col min="14356" max="14356" width="23.81640625" style="1" customWidth="1"/>
    <col min="14357" max="14590" width="9.1796875" style="1"/>
    <col min="14591" max="14591" width="12" style="1" customWidth="1"/>
    <col min="14592" max="14592" width="2.26953125" style="1" customWidth="1"/>
    <col min="14593" max="14593" width="49.81640625" style="1" customWidth="1"/>
    <col min="14594" max="14594" width="2.26953125" style="1" customWidth="1"/>
    <col min="14595" max="14595" width="13.54296875" style="1" customWidth="1"/>
    <col min="14596" max="14596" width="2.26953125" style="1" customWidth="1"/>
    <col min="14597" max="14597" width="17.81640625" style="1" bestFit="1" customWidth="1"/>
    <col min="14598" max="14598" width="2.1796875" style="1" customWidth="1"/>
    <col min="14599" max="14599" width="17.453125" style="1" bestFit="1" customWidth="1"/>
    <col min="14600" max="14600" width="2.26953125" style="1" customWidth="1"/>
    <col min="14601" max="14601" width="18.453125" style="1" customWidth="1"/>
    <col min="14602" max="14602" width="2.26953125" style="1" customWidth="1"/>
    <col min="14603" max="14603" width="16.81640625" style="1" customWidth="1"/>
    <col min="14604" max="14604" width="2.26953125" style="1" customWidth="1"/>
    <col min="14605" max="14605" width="15.1796875" style="1" customWidth="1"/>
    <col min="14606" max="14606" width="2.26953125" style="1" customWidth="1"/>
    <col min="14607" max="14607" width="11.453125" style="1" customWidth="1"/>
    <col min="14608" max="14608" width="2.26953125" style="1" customWidth="1"/>
    <col min="14609" max="14609" width="15.1796875" style="1" bestFit="1" customWidth="1"/>
    <col min="14610" max="14610" width="3.26953125" style="1" customWidth="1"/>
    <col min="14611" max="14611" width="9.1796875" style="1"/>
    <col min="14612" max="14612" width="23.81640625" style="1" customWidth="1"/>
    <col min="14613" max="14846" width="9.1796875" style="1"/>
    <col min="14847" max="14847" width="12" style="1" customWidth="1"/>
    <col min="14848" max="14848" width="2.26953125" style="1" customWidth="1"/>
    <col min="14849" max="14849" width="49.81640625" style="1" customWidth="1"/>
    <col min="14850" max="14850" width="2.26953125" style="1" customWidth="1"/>
    <col min="14851" max="14851" width="13.54296875" style="1" customWidth="1"/>
    <col min="14852" max="14852" width="2.26953125" style="1" customWidth="1"/>
    <col min="14853" max="14853" width="17.81640625" style="1" bestFit="1" customWidth="1"/>
    <col min="14854" max="14854" width="2.1796875" style="1" customWidth="1"/>
    <col min="14855" max="14855" width="17.453125" style="1" bestFit="1" customWidth="1"/>
    <col min="14856" max="14856" width="2.26953125" style="1" customWidth="1"/>
    <col min="14857" max="14857" width="18.453125" style="1" customWidth="1"/>
    <col min="14858" max="14858" width="2.26953125" style="1" customWidth="1"/>
    <col min="14859" max="14859" width="16.81640625" style="1" customWidth="1"/>
    <col min="14860" max="14860" width="2.26953125" style="1" customWidth="1"/>
    <col min="14861" max="14861" width="15.1796875" style="1" customWidth="1"/>
    <col min="14862" max="14862" width="2.26953125" style="1" customWidth="1"/>
    <col min="14863" max="14863" width="11.453125" style="1" customWidth="1"/>
    <col min="14864" max="14864" width="2.26953125" style="1" customWidth="1"/>
    <col min="14865" max="14865" width="15.1796875" style="1" bestFit="1" customWidth="1"/>
    <col min="14866" max="14866" width="3.26953125" style="1" customWidth="1"/>
    <col min="14867" max="14867" width="9.1796875" style="1"/>
    <col min="14868" max="14868" width="23.81640625" style="1" customWidth="1"/>
    <col min="14869" max="15102" width="9.1796875" style="1"/>
    <col min="15103" max="15103" width="12" style="1" customWidth="1"/>
    <col min="15104" max="15104" width="2.26953125" style="1" customWidth="1"/>
    <col min="15105" max="15105" width="49.81640625" style="1" customWidth="1"/>
    <col min="15106" max="15106" width="2.26953125" style="1" customWidth="1"/>
    <col min="15107" max="15107" width="13.54296875" style="1" customWidth="1"/>
    <col min="15108" max="15108" width="2.26953125" style="1" customWidth="1"/>
    <col min="15109" max="15109" width="17.81640625" style="1" bestFit="1" customWidth="1"/>
    <col min="15110" max="15110" width="2.1796875" style="1" customWidth="1"/>
    <col min="15111" max="15111" width="17.453125" style="1" bestFit="1" customWidth="1"/>
    <col min="15112" max="15112" width="2.26953125" style="1" customWidth="1"/>
    <col min="15113" max="15113" width="18.453125" style="1" customWidth="1"/>
    <col min="15114" max="15114" width="2.26953125" style="1" customWidth="1"/>
    <col min="15115" max="15115" width="16.81640625" style="1" customWidth="1"/>
    <col min="15116" max="15116" width="2.26953125" style="1" customWidth="1"/>
    <col min="15117" max="15117" width="15.1796875" style="1" customWidth="1"/>
    <col min="15118" max="15118" width="2.26953125" style="1" customWidth="1"/>
    <col min="15119" max="15119" width="11.453125" style="1" customWidth="1"/>
    <col min="15120" max="15120" width="2.26953125" style="1" customWidth="1"/>
    <col min="15121" max="15121" width="15.1796875" style="1" bestFit="1" customWidth="1"/>
    <col min="15122" max="15122" width="3.26953125" style="1" customWidth="1"/>
    <col min="15123" max="15123" width="9.1796875" style="1"/>
    <col min="15124" max="15124" width="23.81640625" style="1" customWidth="1"/>
    <col min="15125" max="15358" width="9.1796875" style="1"/>
    <col min="15359" max="15359" width="12" style="1" customWidth="1"/>
    <col min="15360" max="15360" width="2.26953125" style="1" customWidth="1"/>
    <col min="15361" max="15361" width="49.81640625" style="1" customWidth="1"/>
    <col min="15362" max="15362" width="2.26953125" style="1" customWidth="1"/>
    <col min="15363" max="15363" width="13.54296875" style="1" customWidth="1"/>
    <col min="15364" max="15364" width="2.26953125" style="1" customWidth="1"/>
    <col min="15365" max="15365" width="17.81640625" style="1" bestFit="1" customWidth="1"/>
    <col min="15366" max="15366" width="2.1796875" style="1" customWidth="1"/>
    <col min="15367" max="15367" width="17.453125" style="1" bestFit="1" customWidth="1"/>
    <col min="15368" max="15368" width="2.26953125" style="1" customWidth="1"/>
    <col min="15369" max="15369" width="18.453125" style="1" customWidth="1"/>
    <col min="15370" max="15370" width="2.26953125" style="1" customWidth="1"/>
    <col min="15371" max="15371" width="16.81640625" style="1" customWidth="1"/>
    <col min="15372" max="15372" width="2.26953125" style="1" customWidth="1"/>
    <col min="15373" max="15373" width="15.1796875" style="1" customWidth="1"/>
    <col min="15374" max="15374" width="2.26953125" style="1" customWidth="1"/>
    <col min="15375" max="15375" width="11.453125" style="1" customWidth="1"/>
    <col min="15376" max="15376" width="2.26953125" style="1" customWidth="1"/>
    <col min="15377" max="15377" width="15.1796875" style="1" bestFit="1" customWidth="1"/>
    <col min="15378" max="15378" width="3.26953125" style="1" customWidth="1"/>
    <col min="15379" max="15379" width="9.1796875" style="1"/>
    <col min="15380" max="15380" width="23.81640625" style="1" customWidth="1"/>
    <col min="15381" max="15614" width="9.1796875" style="1"/>
    <col min="15615" max="15615" width="12" style="1" customWidth="1"/>
    <col min="15616" max="15616" width="2.26953125" style="1" customWidth="1"/>
    <col min="15617" max="15617" width="49.81640625" style="1" customWidth="1"/>
    <col min="15618" max="15618" width="2.26953125" style="1" customWidth="1"/>
    <col min="15619" max="15619" width="13.54296875" style="1" customWidth="1"/>
    <col min="15620" max="15620" width="2.26953125" style="1" customWidth="1"/>
    <col min="15621" max="15621" width="17.81640625" style="1" bestFit="1" customWidth="1"/>
    <col min="15622" max="15622" width="2.1796875" style="1" customWidth="1"/>
    <col min="15623" max="15623" width="17.453125" style="1" bestFit="1" customWidth="1"/>
    <col min="15624" max="15624" width="2.26953125" style="1" customWidth="1"/>
    <col min="15625" max="15625" width="18.453125" style="1" customWidth="1"/>
    <col min="15626" max="15626" width="2.26953125" style="1" customWidth="1"/>
    <col min="15627" max="15627" width="16.81640625" style="1" customWidth="1"/>
    <col min="15628" max="15628" width="2.26953125" style="1" customWidth="1"/>
    <col min="15629" max="15629" width="15.1796875" style="1" customWidth="1"/>
    <col min="15630" max="15630" width="2.26953125" style="1" customWidth="1"/>
    <col min="15631" max="15631" width="11.453125" style="1" customWidth="1"/>
    <col min="15632" max="15632" width="2.26953125" style="1" customWidth="1"/>
    <col min="15633" max="15633" width="15.1796875" style="1" bestFit="1" customWidth="1"/>
    <col min="15634" max="15634" width="3.26953125" style="1" customWidth="1"/>
    <col min="15635" max="15635" width="9.1796875" style="1"/>
    <col min="15636" max="15636" width="23.81640625" style="1" customWidth="1"/>
    <col min="15637" max="15870" width="9.1796875" style="1"/>
    <col min="15871" max="15871" width="12" style="1" customWidth="1"/>
    <col min="15872" max="15872" width="2.26953125" style="1" customWidth="1"/>
    <col min="15873" max="15873" width="49.81640625" style="1" customWidth="1"/>
    <col min="15874" max="15874" width="2.26953125" style="1" customWidth="1"/>
    <col min="15875" max="15875" width="13.54296875" style="1" customWidth="1"/>
    <col min="15876" max="15876" width="2.26953125" style="1" customWidth="1"/>
    <col min="15877" max="15877" width="17.81640625" style="1" bestFit="1" customWidth="1"/>
    <col min="15878" max="15878" width="2.1796875" style="1" customWidth="1"/>
    <col min="15879" max="15879" width="17.453125" style="1" bestFit="1" customWidth="1"/>
    <col min="15880" max="15880" width="2.26953125" style="1" customWidth="1"/>
    <col min="15881" max="15881" width="18.453125" style="1" customWidth="1"/>
    <col min="15882" max="15882" width="2.26953125" style="1" customWidth="1"/>
    <col min="15883" max="15883" width="16.81640625" style="1" customWidth="1"/>
    <col min="15884" max="15884" width="2.26953125" style="1" customWidth="1"/>
    <col min="15885" max="15885" width="15.1796875" style="1" customWidth="1"/>
    <col min="15886" max="15886" width="2.26953125" style="1" customWidth="1"/>
    <col min="15887" max="15887" width="11.453125" style="1" customWidth="1"/>
    <col min="15888" max="15888" width="2.26953125" style="1" customWidth="1"/>
    <col min="15889" max="15889" width="15.1796875" style="1" bestFit="1" customWidth="1"/>
    <col min="15890" max="15890" width="3.26953125" style="1" customWidth="1"/>
    <col min="15891" max="15891" width="9.1796875" style="1"/>
    <col min="15892" max="15892" width="23.81640625" style="1" customWidth="1"/>
    <col min="15893" max="16126" width="9.1796875" style="1"/>
    <col min="16127" max="16127" width="12" style="1" customWidth="1"/>
    <col min="16128" max="16128" width="2.26953125" style="1" customWidth="1"/>
    <col min="16129" max="16129" width="49.81640625" style="1" customWidth="1"/>
    <col min="16130" max="16130" width="2.26953125" style="1" customWidth="1"/>
    <col min="16131" max="16131" width="13.54296875" style="1" customWidth="1"/>
    <col min="16132" max="16132" width="2.26953125" style="1" customWidth="1"/>
    <col min="16133" max="16133" width="17.81640625" style="1" bestFit="1" customWidth="1"/>
    <col min="16134" max="16134" width="2.1796875" style="1" customWidth="1"/>
    <col min="16135" max="16135" width="17.453125" style="1" bestFit="1" customWidth="1"/>
    <col min="16136" max="16136" width="2.26953125" style="1" customWidth="1"/>
    <col min="16137" max="16137" width="18.453125" style="1" customWidth="1"/>
    <col min="16138" max="16138" width="2.26953125" style="1" customWidth="1"/>
    <col min="16139" max="16139" width="16.81640625" style="1" customWidth="1"/>
    <col min="16140" max="16140" width="2.26953125" style="1" customWidth="1"/>
    <col min="16141" max="16141" width="15.1796875" style="1" customWidth="1"/>
    <col min="16142" max="16142" width="2.26953125" style="1" customWidth="1"/>
    <col min="16143" max="16143" width="11.453125" style="1" customWidth="1"/>
    <col min="16144" max="16144" width="2.26953125" style="1" customWidth="1"/>
    <col min="16145" max="16145" width="15.1796875" style="1" bestFit="1" customWidth="1"/>
    <col min="16146" max="16146" width="3.26953125" style="1" customWidth="1"/>
    <col min="16147" max="16147" width="9.1796875" style="1"/>
    <col min="16148" max="16148" width="23.81640625" style="1" customWidth="1"/>
    <col min="16149" max="16384" width="9.1796875" style="1"/>
  </cols>
  <sheetData>
    <row r="1" spans="1:20" s="59" customFormat="1" ht="30" customHeight="1" x14ac:dyDescent="0.25">
      <c r="A1" s="57" t="s">
        <v>0</v>
      </c>
      <c r="B1" s="57"/>
      <c r="C1" s="60"/>
      <c r="D1" s="60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T1" s="61"/>
    </row>
    <row r="2" spans="1:20" s="8" customFormat="1" ht="15" customHeight="1" x14ac:dyDescent="0.3">
      <c r="A2" s="14" t="s">
        <v>90</v>
      </c>
      <c r="B2" s="14"/>
      <c r="C2" s="22"/>
      <c r="D2" s="2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T2" s="56"/>
    </row>
    <row r="3" spans="1:20" s="8" customFormat="1" ht="15" customHeight="1" x14ac:dyDescent="0.3">
      <c r="A3" s="14" t="s">
        <v>76</v>
      </c>
      <c r="B3" s="14"/>
      <c r="C3" s="22"/>
      <c r="D3" s="2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T3" s="56"/>
    </row>
    <row r="4" spans="1:20" s="8" customFormat="1" ht="25" customHeight="1" x14ac:dyDescent="0.35">
      <c r="A4" s="16" t="s">
        <v>91</v>
      </c>
      <c r="B4" s="16"/>
      <c r="C4" s="22"/>
      <c r="D4" s="2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T4" s="56"/>
    </row>
    <row r="5" spans="1:20" s="8" customFormat="1" ht="25" customHeight="1" x14ac:dyDescent="0.35">
      <c r="A5" s="16" t="s">
        <v>5</v>
      </c>
      <c r="B5" s="16"/>
      <c r="C5" s="22"/>
      <c r="D5" s="2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T5" s="56"/>
    </row>
    <row r="6" spans="1:20" s="30" customFormat="1" ht="59.25" customHeight="1" x14ac:dyDescent="0.25">
      <c r="A6" s="27" t="s">
        <v>6</v>
      </c>
      <c r="B6" s="27"/>
      <c r="C6" s="27" t="s">
        <v>7</v>
      </c>
      <c r="D6" s="27"/>
      <c r="E6" s="28" t="s">
        <v>11</v>
      </c>
      <c r="F6" s="50"/>
      <c r="G6" s="28" t="s">
        <v>78</v>
      </c>
      <c r="H6" s="50"/>
      <c r="I6" s="28" t="s">
        <v>79</v>
      </c>
      <c r="J6" s="29"/>
      <c r="K6" s="28" t="s">
        <v>80</v>
      </c>
      <c r="L6" s="29"/>
      <c r="M6" s="28" t="s">
        <v>81</v>
      </c>
      <c r="N6" s="29"/>
      <c r="O6" s="28" t="s">
        <v>82</v>
      </c>
      <c r="P6" s="29"/>
      <c r="Q6" s="28" t="s">
        <v>83</v>
      </c>
    </row>
    <row r="7" spans="1:20" s="7" customFormat="1" ht="11.5" x14ac:dyDescent="0.25">
      <c r="A7" s="5" t="s">
        <v>15</v>
      </c>
      <c r="B7" s="5"/>
      <c r="C7" s="35" t="s">
        <v>16</v>
      </c>
      <c r="D7" s="35"/>
      <c r="E7" s="36" t="s">
        <v>17</v>
      </c>
      <c r="F7" s="37"/>
      <c r="G7" s="36" t="s">
        <v>18</v>
      </c>
      <c r="H7" s="37"/>
      <c r="I7" s="36" t="s">
        <v>19</v>
      </c>
      <c r="J7" s="70"/>
      <c r="K7" s="38" t="s">
        <v>84</v>
      </c>
      <c r="L7" s="38"/>
      <c r="M7" s="6" t="s">
        <v>85</v>
      </c>
      <c r="N7" s="37"/>
      <c r="O7" s="39" t="s">
        <v>22</v>
      </c>
      <c r="P7" s="37"/>
      <c r="Q7" s="40" t="s">
        <v>86</v>
      </c>
      <c r="T7" s="54"/>
    </row>
    <row r="8" spans="1:20" s="8" customFormat="1" ht="25" customHeight="1" x14ac:dyDescent="0.3">
      <c r="A8" s="74" t="s">
        <v>24</v>
      </c>
      <c r="B8" s="74"/>
      <c r="C8" s="31"/>
      <c r="D8" s="31"/>
      <c r="E8" s="31"/>
      <c r="F8" s="42"/>
      <c r="G8" s="23"/>
      <c r="H8" s="23"/>
      <c r="I8" s="23"/>
      <c r="J8" s="23"/>
      <c r="K8" s="43"/>
      <c r="L8" s="13"/>
      <c r="M8" s="44"/>
      <c r="N8" s="44"/>
      <c r="O8" s="13"/>
      <c r="P8" s="13"/>
      <c r="Q8" s="13"/>
      <c r="R8" s="13"/>
      <c r="S8" s="13"/>
      <c r="T8" s="22"/>
    </row>
    <row r="9" spans="1:20" s="8" customFormat="1" ht="25" customHeight="1" x14ac:dyDescent="0.3">
      <c r="A9" s="31" t="s">
        <v>25</v>
      </c>
      <c r="B9" s="31"/>
      <c r="C9" s="31"/>
      <c r="D9" s="31"/>
      <c r="E9" s="31"/>
      <c r="F9" s="42"/>
      <c r="G9" s="23"/>
      <c r="H9" s="23"/>
      <c r="I9" s="23"/>
      <c r="J9" s="23"/>
      <c r="K9" s="43"/>
      <c r="L9" s="13"/>
      <c r="M9" s="44"/>
      <c r="N9" s="44"/>
      <c r="O9" s="13"/>
      <c r="P9" s="13"/>
      <c r="Q9" s="13"/>
      <c r="R9" s="13"/>
      <c r="S9" s="13"/>
      <c r="T9" s="22"/>
    </row>
    <row r="10" spans="1:20" s="8" customFormat="1" ht="14.5" customHeight="1" x14ac:dyDescent="0.3">
      <c r="A10" s="31"/>
      <c r="B10" s="31"/>
      <c r="C10" s="31"/>
      <c r="D10" s="31"/>
      <c r="E10" s="31"/>
      <c r="F10" s="42"/>
      <c r="G10" s="23"/>
      <c r="H10" s="23"/>
      <c r="I10" s="23"/>
      <c r="J10" s="23"/>
      <c r="K10" s="43"/>
      <c r="L10" s="13"/>
      <c r="M10" s="44"/>
      <c r="N10" s="44"/>
      <c r="O10" s="13"/>
      <c r="P10" s="13"/>
      <c r="Q10" s="13"/>
      <c r="R10" s="13"/>
      <c r="S10" s="13"/>
      <c r="T10" s="22"/>
    </row>
    <row r="11" spans="1:20" s="8" customFormat="1" ht="14.5" customHeight="1" x14ac:dyDescent="0.3">
      <c r="A11" s="31" t="s">
        <v>26</v>
      </c>
      <c r="B11" s="31"/>
      <c r="C11" s="31"/>
      <c r="D11" s="31"/>
      <c r="E11" s="31"/>
      <c r="F11" s="42"/>
      <c r="G11" s="23"/>
      <c r="H11" s="23"/>
      <c r="I11" s="23"/>
      <c r="J11" s="23"/>
      <c r="K11" s="43"/>
      <c r="L11" s="13"/>
      <c r="M11" s="44"/>
      <c r="N11" s="44"/>
      <c r="O11" s="13"/>
      <c r="P11" s="13"/>
      <c r="Q11" s="13"/>
      <c r="R11" s="13"/>
      <c r="S11" s="13"/>
      <c r="T11" s="22"/>
    </row>
    <row r="12" spans="1:20" s="8" customFormat="1" ht="14" x14ac:dyDescent="0.3">
      <c r="A12" s="77">
        <v>331</v>
      </c>
      <c r="B12" s="77"/>
      <c r="C12" s="21" t="s">
        <v>27</v>
      </c>
      <c r="D12" s="21"/>
      <c r="E12" s="41">
        <f>VLOOKUP(A12,'Table 1 Total'!A$12:P$60,10,FALSE)</f>
        <v>1668035.55</v>
      </c>
      <c r="F12" s="41"/>
      <c r="G12" s="41">
        <f>VLOOKUP(A12,'Table 1A Life'!A$10:N$37,10,FALSE)</f>
        <v>260801.16710174701</v>
      </c>
      <c r="H12" s="41"/>
      <c r="I12" s="41">
        <f>VLOOKUP(A12,'ELG Whole Life_Life'!A$1:M$26,2,FALSE)</f>
        <v>320112.42</v>
      </c>
      <c r="J12" s="12"/>
      <c r="K12" s="19">
        <f t="shared" ref="K12:K59" si="0">G12-I12</f>
        <v>-59311.252898252977</v>
      </c>
      <c r="L12" s="19"/>
      <c r="M12" s="71">
        <f t="shared" ref="M12:M16" si="1">IFERROR(K12/G12,1)</f>
        <v>-0.22741943050858254</v>
      </c>
      <c r="N12" s="10"/>
      <c r="O12" s="47">
        <f>IF(P12=" ",(VLOOKUP(A12,'ALG Remaining Life_Life'!A$2:M$27,11,FALSE)),3)</f>
        <v>61.933363986420503</v>
      </c>
      <c r="P12" s="10" t="str">
        <f>IF(VLOOKUP(A12,'ALG Remaining Life_Life'!A$2:M$146,11,FALSE)&gt;3," ","+")</f>
        <v xml:space="preserve"> </v>
      </c>
      <c r="Q12" s="19">
        <f t="shared" ref="Q12:Q59" si="2">IF(R12="*",0,K12/O12)</f>
        <v>-957.66238228650957</v>
      </c>
      <c r="R12" s="8" t="str">
        <f t="shared" ref="R12:R16" si="3">IF(T12&gt;0.05," ","*")</f>
        <v xml:space="preserve"> </v>
      </c>
      <c r="S12" s="13"/>
      <c r="T12" s="8">
        <f t="shared" ref="T12:T59" si="4">ABS(M12)</f>
        <v>0.22741943050858254</v>
      </c>
    </row>
    <row r="13" spans="1:20" s="8" customFormat="1" ht="14" x14ac:dyDescent="0.3">
      <c r="A13" s="77">
        <v>332</v>
      </c>
      <c r="B13" s="77"/>
      <c r="C13" s="21" t="s">
        <v>28</v>
      </c>
      <c r="D13" s="21"/>
      <c r="E13" s="41">
        <f>VLOOKUP(A13,'Table 1 Total'!A$12:P$60,10,FALSE)</f>
        <v>8819430.7799999993</v>
      </c>
      <c r="F13" s="41"/>
      <c r="G13" s="41">
        <f>VLOOKUP(A13,'Table 1A Life'!A$10:N$37,10,FALSE)</f>
        <v>778434.50406892097</v>
      </c>
      <c r="H13" s="41"/>
      <c r="I13" s="41">
        <f>VLOOKUP(A13,'ELG Whole Life_Life'!A$1:M$26,2,FALSE)</f>
        <v>491034.85</v>
      </c>
      <c r="J13" s="12"/>
      <c r="K13" s="19">
        <f t="shared" si="0"/>
        <v>287399.65406892099</v>
      </c>
      <c r="L13" s="19"/>
      <c r="M13" s="71">
        <f t="shared" si="1"/>
        <v>0.36920210058350039</v>
      </c>
      <c r="N13" s="10"/>
      <c r="O13" s="47">
        <f>IF(P13=" ",(VLOOKUP(A13,'ALG Remaining Life_Life'!A$2:M$27,11,FALSE)),3)</f>
        <v>92.391494478569797</v>
      </c>
      <c r="P13" s="10" t="str">
        <f>IF(VLOOKUP(A13,'ALG Remaining Life_Life'!A$2:M$35,11,FALSE)&gt;3," ","+")</f>
        <v xml:space="preserve"> </v>
      </c>
      <c r="Q13" s="19">
        <f t="shared" si="2"/>
        <v>3110.6722073381261</v>
      </c>
      <c r="R13" s="8" t="str">
        <f t="shared" si="3"/>
        <v xml:space="preserve"> </v>
      </c>
      <c r="S13" s="13"/>
      <c r="T13" s="8">
        <f t="shared" si="4"/>
        <v>0.36920210058350039</v>
      </c>
    </row>
    <row r="14" spans="1:20" s="55" customFormat="1" ht="14" x14ac:dyDescent="0.3">
      <c r="A14" s="77">
        <v>333</v>
      </c>
      <c r="B14" s="77"/>
      <c r="C14" s="21" t="s">
        <v>29</v>
      </c>
      <c r="D14" s="21"/>
      <c r="E14" s="41">
        <f>VLOOKUP(A14,'Table 1 Total'!A$12:P$60,10,FALSE)</f>
        <v>3293183.44</v>
      </c>
      <c r="F14" s="41"/>
      <c r="G14" s="41">
        <f>VLOOKUP(A14,'Table 1A Life'!A$10:N$37,10,FALSE)</f>
        <v>450169.85923915001</v>
      </c>
      <c r="H14" s="41"/>
      <c r="I14" s="41">
        <f>VLOOKUP(A14,'ELG Whole Life_Life'!A$1:M$26,2,FALSE)</f>
        <v>1692325.86</v>
      </c>
      <c r="J14" s="12"/>
      <c r="K14" s="19">
        <f t="shared" si="0"/>
        <v>-1242156.00076085</v>
      </c>
      <c r="L14" s="19"/>
      <c r="M14" s="71">
        <f t="shared" si="1"/>
        <v>-2.7593051273140929</v>
      </c>
      <c r="N14" s="10"/>
      <c r="O14" s="47">
        <f>IF(P14=" ",(VLOOKUP(A14,'ALG Remaining Life_Life'!A$2:M$27,11,FALSE)),3)</f>
        <v>74.892554164926494</v>
      </c>
      <c r="P14" s="10" t="str">
        <f>IF(VLOOKUP(A14,'ALG Remaining Life_Life'!A$2:M$35,11,FALSE)&gt;3," ","+")</f>
        <v xml:space="preserve"> </v>
      </c>
      <c r="Q14" s="19">
        <f t="shared" si="2"/>
        <v>-16585.841070734554</v>
      </c>
      <c r="R14" s="8" t="str">
        <f t="shared" si="3"/>
        <v xml:space="preserve"> </v>
      </c>
      <c r="S14" s="13"/>
      <c r="T14" s="8">
        <f t="shared" si="4"/>
        <v>2.7593051273140929</v>
      </c>
    </row>
    <row r="15" spans="1:20" s="55" customFormat="1" ht="14" x14ac:dyDescent="0.3">
      <c r="A15" s="77">
        <v>334</v>
      </c>
      <c r="B15" s="77"/>
      <c r="C15" s="21" t="s">
        <v>30</v>
      </c>
      <c r="D15" s="21"/>
      <c r="E15" s="41">
        <f>VLOOKUP(A15,'Table 1 Total'!A$12:P$60,10,FALSE)</f>
        <v>81241.84</v>
      </c>
      <c r="F15" s="41"/>
      <c r="G15" s="41">
        <f>VLOOKUP(A15,'Table 1A Life'!A$10:N$37,10,FALSE)</f>
        <v>53973.179439533</v>
      </c>
      <c r="H15" s="41"/>
      <c r="I15" s="41">
        <f>VLOOKUP(A15,'ELG Whole Life_Life'!A$1:M$26,2,FALSE)</f>
        <v>92045.759999999995</v>
      </c>
      <c r="J15" s="12"/>
      <c r="K15" s="19">
        <f t="shared" si="0"/>
        <v>-38072.580560466995</v>
      </c>
      <c r="L15" s="19"/>
      <c r="M15" s="71">
        <f t="shared" si="1"/>
        <v>-0.70539814322260386</v>
      </c>
      <c r="N15" s="10"/>
      <c r="O15" s="47">
        <f>IF(P15=" ",(VLOOKUP(A15,'ALG Remaining Life_Life'!A$2:M$27,11,FALSE)),3)</f>
        <v>16.1127895814925</v>
      </c>
      <c r="P15" s="10" t="str">
        <f>IF(VLOOKUP(A15,'ALG Remaining Life_Life'!A$2:M$35,11,FALSE)&gt;3," ","+")</f>
        <v xml:space="preserve"> </v>
      </c>
      <c r="Q15" s="19">
        <f t="shared" si="2"/>
        <v>-2362.879522996936</v>
      </c>
      <c r="R15" s="8" t="str">
        <f t="shared" si="3"/>
        <v xml:space="preserve"> </v>
      </c>
      <c r="S15" s="13"/>
      <c r="T15" s="8">
        <f t="shared" si="4"/>
        <v>0.70539814322260386</v>
      </c>
    </row>
    <row r="16" spans="1:20" s="8" customFormat="1" ht="14" x14ac:dyDescent="0.3">
      <c r="A16" s="77">
        <v>335</v>
      </c>
      <c r="B16" s="77"/>
      <c r="C16" s="21" t="s">
        <v>31</v>
      </c>
      <c r="D16" s="32"/>
      <c r="E16" s="81">
        <f>VLOOKUP(A16,'Table 1 Total'!A$12:P$60,10,FALSE)</f>
        <v>109846.18</v>
      </c>
      <c r="F16" s="41"/>
      <c r="G16" s="81">
        <f>VLOOKUP(A16,'Table 1A Life'!A$10:N$37,10,FALSE)</f>
        <v>11491.272300676501</v>
      </c>
      <c r="H16" s="41"/>
      <c r="I16" s="79">
        <f>VLOOKUP(A16,'ELG Whole Life_Life'!A$1:M$26,2,FALSE)</f>
        <v>17610.89</v>
      </c>
      <c r="J16" s="12"/>
      <c r="K16" s="80">
        <f t="shared" si="0"/>
        <v>-6119.6176993234985</v>
      </c>
      <c r="L16" s="19"/>
      <c r="M16" s="71">
        <f t="shared" si="1"/>
        <v>-0.53254483395744012</v>
      </c>
      <c r="N16" s="10"/>
      <c r="O16" s="47">
        <f>IF(P16=" ",(VLOOKUP(A16,'ALG Remaining Life_Life'!A$2:M$27,11,FALSE)),3)</f>
        <v>45.978747335512402</v>
      </c>
      <c r="P16" s="10" t="str">
        <f>IF(VLOOKUP(A16,'ALG Remaining Life_Life'!A$2:M$35,11,FALSE)&gt;3," ","+")</f>
        <v xml:space="preserve"> </v>
      </c>
      <c r="Q16" s="80">
        <f t="shared" si="2"/>
        <v>-133.09665995612968</v>
      </c>
      <c r="R16" s="8" t="str">
        <f t="shared" si="3"/>
        <v xml:space="preserve"> </v>
      </c>
      <c r="S16" s="13"/>
      <c r="T16" s="8">
        <f t="shared" si="4"/>
        <v>0.53254483395744012</v>
      </c>
    </row>
    <row r="17" spans="1:38" s="8" customFormat="1" ht="14" x14ac:dyDescent="0.3">
      <c r="A17" s="14" t="s">
        <v>32</v>
      </c>
      <c r="B17" s="14"/>
      <c r="C17" s="21"/>
      <c r="D17" s="32"/>
      <c r="E17" s="44">
        <f>_xlfn.IFNA(SUM(E12:E16),0)</f>
        <v>13971737.789999999</v>
      </c>
      <c r="F17" s="41"/>
      <c r="G17" s="44">
        <f>_xlfn.IFNA(SUM(G12:G16),0)</f>
        <v>1554869.9821500275</v>
      </c>
      <c r="H17" s="41"/>
      <c r="I17" s="44">
        <f>_xlfn.IFNA(SUM(I12:I16),0)</f>
        <v>2613129.7799999998</v>
      </c>
      <c r="J17" s="12"/>
      <c r="K17" s="44">
        <f>_xlfn.IFNA(SUM(K12:K16),0)</f>
        <v>-1058259.7978499725</v>
      </c>
      <c r="L17" s="19"/>
      <c r="M17" s="71"/>
      <c r="N17" s="10"/>
      <c r="O17" s="47"/>
      <c r="P17" s="10"/>
      <c r="Q17" s="44">
        <f>_xlfn.IFNA(SUM(Q12:Q16),0)</f>
        <v>-16928.807428636002</v>
      </c>
      <c r="S17" s="13"/>
    </row>
    <row r="18" spans="1:38" s="8" customFormat="1" ht="14" x14ac:dyDescent="0.3">
      <c r="A18" s="14"/>
      <c r="B18" s="14"/>
      <c r="C18" s="21"/>
      <c r="D18" s="32"/>
      <c r="E18" s="41"/>
      <c r="F18" s="41"/>
      <c r="G18" s="41"/>
      <c r="H18" s="41"/>
      <c r="I18" s="41"/>
      <c r="J18" s="12"/>
      <c r="K18" s="19"/>
      <c r="L18" s="19"/>
      <c r="M18" s="71"/>
      <c r="N18" s="10"/>
      <c r="O18" s="47"/>
      <c r="P18" s="10"/>
      <c r="Q18" s="19"/>
      <c r="S18" s="13"/>
    </row>
    <row r="19" spans="1:38" s="8" customFormat="1" ht="14" x14ac:dyDescent="0.3">
      <c r="A19" s="14" t="s">
        <v>33</v>
      </c>
      <c r="B19" s="14"/>
      <c r="C19" s="21"/>
      <c r="D19" s="32"/>
      <c r="E19" s="41"/>
      <c r="F19" s="41"/>
      <c r="G19" s="41"/>
      <c r="H19" s="41"/>
      <c r="I19" s="41"/>
      <c r="J19" s="12"/>
      <c r="K19" s="19"/>
      <c r="L19" s="19"/>
      <c r="M19" s="71"/>
      <c r="N19" s="10"/>
      <c r="O19" s="47"/>
      <c r="P19" s="10"/>
      <c r="Q19" s="19"/>
      <c r="S19" s="13"/>
    </row>
    <row r="20" spans="1:38" s="8" customFormat="1" ht="13.5" x14ac:dyDescent="0.25">
      <c r="A20" s="77">
        <v>341.2</v>
      </c>
      <c r="B20" s="77"/>
      <c r="C20" s="21" t="s">
        <v>34</v>
      </c>
      <c r="D20" s="53"/>
      <c r="E20" s="41">
        <f>VLOOKUP(A20,'Table 1 Total'!A$12:P$60,10,FALSE)</f>
        <v>6101560.3399999999</v>
      </c>
      <c r="F20" s="10"/>
      <c r="G20" s="41">
        <f>VLOOKUP(A20,'Table 1A Life'!A$10:N$37,10,FALSE)</f>
        <v>2087147.37392825</v>
      </c>
      <c r="H20" s="10"/>
      <c r="I20" s="41">
        <f>VLOOKUP(A20,'ELG Whole Life_Life'!A$1:M$26,2,FALSE)</f>
        <v>2343709.37</v>
      </c>
      <c r="J20" s="95"/>
      <c r="K20" s="19">
        <f t="shared" ref="K20:K25" si="5">G20-I20</f>
        <v>-256561.99607175007</v>
      </c>
      <c r="L20" s="11"/>
      <c r="M20" s="71">
        <f>IFERROR(K20/G20,1)</f>
        <v>-0.12292471498496585</v>
      </c>
      <c r="N20" s="11"/>
      <c r="O20" s="47">
        <f>IF(P20=" ",(VLOOKUP(A20,'ALG Remaining Life_Life'!A$2:M$146,11,FALSE)),3)</f>
        <v>28.8622703530542</v>
      </c>
      <c r="P20" s="10" t="str">
        <f>IF(VLOOKUP(A20,'ALG Remaining Life_Life'!A$2:M$146,11,FALSE)&gt;3," ","+")</f>
        <v xml:space="preserve"> </v>
      </c>
      <c r="Q20" s="19">
        <f t="shared" si="2"/>
        <v>-8889.1827612099387</v>
      </c>
      <c r="R20" s="8" t="str">
        <f t="shared" ref="R20:R24" si="6">IF(T20&gt;0.05," ","*")</f>
        <v xml:space="preserve"> </v>
      </c>
      <c r="S20"/>
      <c r="T20" s="8">
        <f>ABS(M20)</f>
        <v>0.12292471498496585</v>
      </c>
      <c r="U20" s="93"/>
    </row>
    <row r="21" spans="1:38" s="8" customFormat="1" ht="13.5" x14ac:dyDescent="0.25">
      <c r="A21" s="77">
        <v>342.2</v>
      </c>
      <c r="B21" s="77"/>
      <c r="C21" s="21" t="s">
        <v>35</v>
      </c>
      <c r="D21" s="53"/>
      <c r="E21" s="41">
        <f>VLOOKUP(A21,'Table 1 Total'!A$12:P$60,10,FALSE)</f>
        <v>3430727.61</v>
      </c>
      <c r="F21" s="10"/>
      <c r="G21" s="41">
        <f>VLOOKUP(A21,'Table 1A Life'!A$10:N$37,10,FALSE)</f>
        <v>1619609.3616068701</v>
      </c>
      <c r="H21" s="10"/>
      <c r="I21" s="41">
        <f>VLOOKUP(A21,'ELG Whole Life_Life'!A$1:M$26,2,FALSE)</f>
        <v>1969406.06</v>
      </c>
      <c r="J21" s="95"/>
      <c r="K21" s="19">
        <f t="shared" si="5"/>
        <v>-349796.69839312998</v>
      </c>
      <c r="L21" s="11"/>
      <c r="M21" s="71">
        <f t="shared" ref="M21:M25" si="7">IFERROR(K21/G21,1)</f>
        <v>-0.21597596722093818</v>
      </c>
      <c r="N21" s="11"/>
      <c r="O21" s="47">
        <f>IF(P21=" ",(VLOOKUP(A21,'ALG Remaining Life_Life'!A$2:M$146,11,FALSE)),3)</f>
        <v>22.875098796242</v>
      </c>
      <c r="P21" s="10" t="str">
        <f>IF(VLOOKUP(A21,'ALG Remaining Life_Life'!A$2:M$146,11,FALSE)&gt;3," ","+")</f>
        <v xml:space="preserve"> </v>
      </c>
      <c r="Q21" s="19">
        <f t="shared" si="2"/>
        <v>-15291.592902348286</v>
      </c>
      <c r="R21" s="8" t="str">
        <f t="shared" si="6"/>
        <v xml:space="preserve"> </v>
      </c>
      <c r="S21"/>
      <c r="T21" s="8">
        <f t="shared" ref="T21:T25" si="8">ABS(M21)</f>
        <v>0.21597596722093818</v>
      </c>
      <c r="U21"/>
    </row>
    <row r="22" spans="1:38" s="8" customFormat="1" ht="13.5" x14ac:dyDescent="0.25">
      <c r="A22" s="77">
        <v>343.2</v>
      </c>
      <c r="B22" s="77"/>
      <c r="C22" s="21" t="s">
        <v>36</v>
      </c>
      <c r="D22" s="53"/>
      <c r="E22" s="41">
        <f>VLOOKUP(A22,'Table 1 Total'!A$12:P$60,10,FALSE)</f>
        <v>20512067.030000001</v>
      </c>
      <c r="F22" s="10"/>
      <c r="G22" s="41">
        <f>VLOOKUP(A22,'Table 1A Life'!A$10:N$37,10,FALSE)</f>
        <v>6737765.8571541896</v>
      </c>
      <c r="H22" s="10"/>
      <c r="I22" s="41">
        <f>VLOOKUP(A22,'ELG Whole Life_Life'!A$1:M$26,2,FALSE)</f>
        <v>5198971.16</v>
      </c>
      <c r="J22" s="95"/>
      <c r="K22" s="19">
        <f t="shared" si="5"/>
        <v>1538794.6971541895</v>
      </c>
      <c r="L22" s="11"/>
      <c r="M22" s="71">
        <f t="shared" si="7"/>
        <v>0.22838352204244236</v>
      </c>
      <c r="N22" s="11"/>
      <c r="O22" s="47">
        <f>IF(P22=" ",(VLOOKUP(A22,'ALG Remaining Life_Life'!A$2:M$146,11,FALSE)),3)</f>
        <v>18.2924606952446</v>
      </c>
      <c r="P22" s="10" t="str">
        <f>IF(VLOOKUP(A22,'ALG Remaining Life_Life'!A$2:M$146,11,FALSE)&gt;3," ","+")</f>
        <v xml:space="preserve"> </v>
      </c>
      <c r="Q22" s="19">
        <f t="shared" si="2"/>
        <v>84121.798744890693</v>
      </c>
      <c r="R22" s="8" t="str">
        <f t="shared" si="6"/>
        <v xml:space="preserve"> </v>
      </c>
      <c r="S22"/>
      <c r="T22" s="8">
        <f t="shared" si="8"/>
        <v>0.22838352204244236</v>
      </c>
      <c r="U22"/>
    </row>
    <row r="23" spans="1:38" s="8" customFormat="1" ht="13.5" x14ac:dyDescent="0.25">
      <c r="A23" s="77">
        <v>345.2</v>
      </c>
      <c r="B23" s="77"/>
      <c r="C23" s="21" t="s">
        <v>37</v>
      </c>
      <c r="D23" s="53"/>
      <c r="E23" s="41">
        <f>VLOOKUP(A23,'Table 1 Total'!A$12:P$60,10,FALSE)</f>
        <v>5155802.54</v>
      </c>
      <c r="F23" s="10"/>
      <c r="G23" s="41">
        <f>VLOOKUP(A23,'Table 1A Life'!A$10:N$37,10,FALSE)</f>
        <v>1940458.2848495599</v>
      </c>
      <c r="H23" s="10"/>
      <c r="I23" s="41">
        <f>VLOOKUP(A23,'ELG Whole Life_Life'!A$1:M$26,2,FALSE)</f>
        <v>2127329.96</v>
      </c>
      <c r="J23" s="95"/>
      <c r="K23" s="19">
        <f t="shared" si="5"/>
        <v>-186871.67515044007</v>
      </c>
      <c r="L23" s="11"/>
      <c r="M23" s="71">
        <f t="shared" si="7"/>
        <v>-9.6302856190968247E-2</v>
      </c>
      <c r="N23" s="11"/>
      <c r="O23" s="47">
        <f>IF(P23=" ",(VLOOKUP(A23,'ALG Remaining Life_Life'!A$2:M$146,11,FALSE)),3)</f>
        <v>23.032352268060301</v>
      </c>
      <c r="P23" s="10" t="str">
        <f>IF(VLOOKUP(A23,'ALG Remaining Life_Life'!A$2:M$146,11,FALSE)&gt;3," ","+")</f>
        <v xml:space="preserve"> </v>
      </c>
      <c r="Q23" s="19">
        <f t="shared" si="2"/>
        <v>-8113.4429074177106</v>
      </c>
      <c r="R23" s="8" t="str">
        <f t="shared" si="6"/>
        <v xml:space="preserve"> </v>
      </c>
      <c r="S23"/>
      <c r="T23" s="8">
        <f t="shared" si="8"/>
        <v>9.6302856190968247E-2</v>
      </c>
      <c r="U23"/>
    </row>
    <row r="24" spans="1:38" s="8" customFormat="1" ht="13.5" x14ac:dyDescent="0.25">
      <c r="A24" s="77">
        <v>346.2</v>
      </c>
      <c r="B24" s="77"/>
      <c r="C24" s="21" t="s">
        <v>38</v>
      </c>
      <c r="D24" s="53"/>
      <c r="E24" s="41">
        <f>VLOOKUP(A24,'Table 1 Total'!A$12:P$60,10,FALSE)</f>
        <v>1113752.55</v>
      </c>
      <c r="F24" s="10"/>
      <c r="G24" s="41">
        <f>VLOOKUP(A24,'Table 1A Life'!A$10:N$37,10,FALSE)</f>
        <v>396018.757228331</v>
      </c>
      <c r="H24" s="10"/>
      <c r="I24" s="41">
        <f>VLOOKUP(A24,'ELG Whole Life_Life'!A$1:M$26,2,FALSE)</f>
        <v>479978.75</v>
      </c>
      <c r="J24" s="95"/>
      <c r="K24" s="19">
        <f t="shared" si="5"/>
        <v>-83959.992771669</v>
      </c>
      <c r="L24" s="11"/>
      <c r="M24" s="71">
        <f t="shared" si="7"/>
        <v>-0.2120101415379689</v>
      </c>
      <c r="N24" s="11"/>
      <c r="O24" s="47">
        <f>IF(P24=" ",(VLOOKUP(A24,'ALG Remaining Life_Life'!A$2:M$146,11,FALSE)),3)</f>
        <v>27.161511820339999</v>
      </c>
      <c r="P24" s="10" t="str">
        <f>IF(VLOOKUP(A24,'ALG Remaining Life_Life'!A$2:M$146,11,FALSE)&gt;3," ","+")</f>
        <v xml:space="preserve"> </v>
      </c>
      <c r="Q24" s="19">
        <f t="shared" si="2"/>
        <v>-3091.138421418621</v>
      </c>
      <c r="R24" s="8" t="str">
        <f t="shared" si="6"/>
        <v xml:space="preserve"> </v>
      </c>
      <c r="S24"/>
      <c r="T24" s="8">
        <f t="shared" si="8"/>
        <v>0.2120101415379689</v>
      </c>
      <c r="U24"/>
    </row>
    <row r="25" spans="1:38" s="8" customFormat="1" ht="13.5" x14ac:dyDescent="0.25">
      <c r="A25" s="77">
        <v>347.2</v>
      </c>
      <c r="B25" s="77"/>
      <c r="C25" s="21" t="s">
        <v>39</v>
      </c>
      <c r="D25" s="53"/>
      <c r="E25" s="81">
        <f>VLOOKUP(A25,'Table 1 Total'!A$12:P$60,10,FALSE)</f>
        <v>3536262.09</v>
      </c>
      <c r="F25" s="10"/>
      <c r="G25" s="81">
        <f>VLOOKUP(A25,'Table 1A Life'!A$10:N$37,10,FALSE)</f>
        <v>242926.26078229299</v>
      </c>
      <c r="H25" s="10"/>
      <c r="I25" s="79">
        <f>VLOOKUP(A25,'ELG Whole Life_Life'!A$1:M$26,2,FALSE)</f>
        <v>169269.1</v>
      </c>
      <c r="J25" s="95"/>
      <c r="K25" s="101">
        <f t="shared" si="5"/>
        <v>73657.16078229298</v>
      </c>
      <c r="L25" s="11"/>
      <c r="M25" s="71">
        <f t="shared" si="7"/>
        <v>0.30320789751217331</v>
      </c>
      <c r="N25" s="11"/>
      <c r="O25" s="47">
        <f>IF(P25=" ",(VLOOKUP(A25,'ALG Remaining Life_Life'!A$2:M$146,11,FALSE)),3)</f>
        <v>23.5279903616909</v>
      </c>
      <c r="P25" s="10" t="str">
        <f>IF(VLOOKUP(A25,'ALG Remaining Life_Life'!A$2:M$146,11,FALSE)&gt;3," ","+")</f>
        <v xml:space="preserve"> </v>
      </c>
      <c r="Q25" s="101">
        <f t="shared" ref="Q25" si="9">IF(R25="*",0,K25/O25)</f>
        <v>3130.61845274402</v>
      </c>
      <c r="R25" s="8" t="str">
        <f t="shared" ref="R25" si="10">IF(T25&gt;0.05," ","*")</f>
        <v xml:space="preserve"> </v>
      </c>
      <c r="S25"/>
      <c r="T25" s="8">
        <f t="shared" si="8"/>
        <v>0.30320789751217331</v>
      </c>
      <c r="U25"/>
    </row>
    <row r="26" spans="1:38" s="26" customFormat="1" ht="14" x14ac:dyDescent="0.3">
      <c r="A26" s="14" t="s">
        <v>40</v>
      </c>
      <c r="B26" s="14"/>
      <c r="C26" s="21"/>
      <c r="D26" s="21"/>
      <c r="E26" s="44">
        <f>SUM(E20:E25)</f>
        <v>39850172.159999996</v>
      </c>
      <c r="F26" s="41"/>
      <c r="G26" s="44">
        <f>SUM(G20:G25)</f>
        <v>13023925.895549493</v>
      </c>
      <c r="H26" s="41"/>
      <c r="I26" s="44">
        <f>SUM(I20:I25)</f>
        <v>12288664.4</v>
      </c>
      <c r="J26" s="12"/>
      <c r="K26" s="44">
        <f>SUM(K20:K25)</f>
        <v>735261.49554949324</v>
      </c>
      <c r="L26" s="19"/>
      <c r="M26" s="71"/>
      <c r="N26" s="10"/>
      <c r="O26" s="47"/>
      <c r="P26" s="10"/>
      <c r="Q26" s="44">
        <f>SUM(Q20:Q25)</f>
        <v>51867.060205240159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26" customFormat="1" ht="14" x14ac:dyDescent="0.25">
      <c r="A27" s="15"/>
      <c r="B27" s="15"/>
      <c r="C27" s="21"/>
      <c r="D27" s="21"/>
      <c r="E27" s="41"/>
      <c r="F27" s="41"/>
      <c r="G27" s="41"/>
      <c r="H27" s="41"/>
      <c r="I27" s="41"/>
      <c r="J27" s="12"/>
      <c r="K27" s="19"/>
      <c r="L27" s="19"/>
      <c r="M27" s="71"/>
      <c r="N27" s="10"/>
      <c r="O27" s="47"/>
      <c r="P27" s="10"/>
      <c r="Q27" s="1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26" customFormat="1" ht="14" x14ac:dyDescent="0.3">
      <c r="A28" s="14" t="s">
        <v>41</v>
      </c>
      <c r="B28" s="14"/>
      <c r="C28" s="21"/>
      <c r="D28" s="21"/>
      <c r="E28" s="44">
        <f>E26+E17</f>
        <v>53821909.949999996</v>
      </c>
      <c r="F28" s="41"/>
      <c r="G28" s="44">
        <f>G26+G17</f>
        <v>14578795.87769952</v>
      </c>
      <c r="H28" s="41"/>
      <c r="I28" s="44">
        <f>I26+I17</f>
        <v>14901794.18</v>
      </c>
      <c r="J28" s="12"/>
      <c r="K28" s="44">
        <f>K26+K17</f>
        <v>-322998.30230047926</v>
      </c>
      <c r="L28" s="19"/>
      <c r="M28" s="71"/>
      <c r="N28" s="10"/>
      <c r="O28" s="47"/>
      <c r="P28" s="10"/>
      <c r="Q28" s="44">
        <f>Q26+Q17</f>
        <v>34938.25277660416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26" customFormat="1" ht="14" x14ac:dyDescent="0.25">
      <c r="A29" s="15"/>
      <c r="B29" s="15"/>
      <c r="C29" s="21"/>
      <c r="D29" s="21"/>
      <c r="E29" s="41"/>
      <c r="F29" s="41"/>
      <c r="G29" s="41"/>
      <c r="H29" s="41"/>
      <c r="I29" s="41"/>
      <c r="J29" s="12"/>
      <c r="K29" s="19"/>
      <c r="L29" s="19"/>
      <c r="M29" s="71"/>
      <c r="N29" s="10"/>
      <c r="O29" s="47"/>
      <c r="P29" s="10"/>
      <c r="Q29" s="1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26" customFormat="1" ht="14" x14ac:dyDescent="0.3">
      <c r="A30" s="14" t="s">
        <v>42</v>
      </c>
      <c r="B30" s="14"/>
      <c r="C30" s="21"/>
      <c r="D30" s="21"/>
      <c r="E30" s="41"/>
      <c r="F30" s="41"/>
      <c r="G30" s="41"/>
      <c r="H30" s="41"/>
      <c r="I30" s="41"/>
      <c r="J30" s="12"/>
      <c r="K30" s="19"/>
      <c r="L30" s="19"/>
      <c r="M30" s="71"/>
      <c r="N30" s="10"/>
      <c r="O30" s="47"/>
      <c r="P30" s="10"/>
      <c r="Q30" s="19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3.5" x14ac:dyDescent="0.25">
      <c r="A31" s="77">
        <v>353</v>
      </c>
      <c r="B31" s="77"/>
      <c r="C31" s="21" t="s">
        <v>43</v>
      </c>
      <c r="D31" s="21"/>
      <c r="E31" s="81">
        <f>VLOOKUP(A31,'Table 1 Total'!A$12:P$60,10,FALSE)</f>
        <v>1144289.3700000001</v>
      </c>
      <c r="F31" s="41"/>
      <c r="G31" s="81">
        <f>VLOOKUP(A31,'Table 1A Life'!A$10:N$37,10,FALSE)</f>
        <v>705899.65733429499</v>
      </c>
      <c r="H31" s="41"/>
      <c r="I31" s="79">
        <f>VLOOKUP(A31,'ELG Whole Life_Life'!A$1:M$26,2,FALSE)</f>
        <v>798723.17</v>
      </c>
      <c r="J31" s="12"/>
      <c r="K31" s="80">
        <f t="shared" si="0"/>
        <v>-92823.512665705057</v>
      </c>
      <c r="L31" s="19"/>
      <c r="M31" s="71">
        <f t="shared" ref="M31" si="11">IFERROR(K31/G31,1)</f>
        <v>-0.13149675269178712</v>
      </c>
      <c r="N31" s="10"/>
      <c r="O31" s="47">
        <f>IF(P31=" ",(VLOOKUP(A31,'ALG Remaining Life_Life'!A$2:M$296,11,FALSE)),3)</f>
        <v>21.664511278271501</v>
      </c>
      <c r="P31" s="10" t="str">
        <f>IF(VLOOKUP(A31,'ALG Remaining Life_Life'!A$2:M$296,11,FALSE)&gt;3," ","+")</f>
        <v xml:space="preserve"> </v>
      </c>
      <c r="Q31" s="80">
        <f t="shared" si="2"/>
        <v>-4284.5883515868982</v>
      </c>
      <c r="R31" s="8" t="str">
        <f t="shared" ref="R31" si="12">IF(T31&gt;0.05," ","*")</f>
        <v xml:space="preserve"> </v>
      </c>
      <c r="S31" s="8"/>
      <c r="T31" s="8">
        <f t="shared" si="4"/>
        <v>0.13149675269178712</v>
      </c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4" x14ac:dyDescent="0.3">
      <c r="A32" s="14" t="s">
        <v>44</v>
      </c>
      <c r="B32" s="14"/>
      <c r="C32" s="21"/>
      <c r="D32" s="21"/>
      <c r="E32" s="44">
        <f>SUM(E31)</f>
        <v>1144289.3700000001</v>
      </c>
      <c r="F32" s="41"/>
      <c r="G32" s="44">
        <f>SUM(G31)</f>
        <v>705899.65733429499</v>
      </c>
      <c r="H32" s="41"/>
      <c r="I32" s="44">
        <f>SUM(I31)</f>
        <v>798723.17</v>
      </c>
      <c r="J32" s="12"/>
      <c r="K32" s="44">
        <f>SUM(K31)</f>
        <v>-92823.512665705057</v>
      </c>
      <c r="L32" s="19"/>
      <c r="M32" s="71"/>
      <c r="N32" s="10"/>
      <c r="O32" s="47"/>
      <c r="P32" s="10"/>
      <c r="Q32" s="44">
        <f>SUM(Q31)</f>
        <v>-4284.5883515868982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ht="13.5" x14ac:dyDescent="0.25">
      <c r="A33" s="15"/>
      <c r="B33" s="15"/>
      <c r="C33" s="21"/>
      <c r="D33" s="21"/>
      <c r="E33" s="41"/>
      <c r="F33" s="41"/>
      <c r="G33" s="41"/>
      <c r="H33" s="41"/>
      <c r="I33" s="41"/>
      <c r="J33" s="12"/>
      <c r="K33" s="19"/>
      <c r="L33" s="19"/>
      <c r="M33" s="71"/>
      <c r="N33" s="10"/>
      <c r="O33" s="47"/>
      <c r="P33" s="10"/>
      <c r="Q33" s="1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4" x14ac:dyDescent="0.3">
      <c r="A34" s="14" t="s">
        <v>45</v>
      </c>
      <c r="B34" s="14"/>
      <c r="C34" s="21"/>
      <c r="D34" s="21"/>
      <c r="E34" s="41"/>
      <c r="F34" s="41"/>
      <c r="G34" s="41"/>
      <c r="H34" s="41"/>
      <c r="I34" s="41"/>
      <c r="J34" s="12"/>
      <c r="K34" s="19"/>
      <c r="L34" s="19"/>
      <c r="M34" s="71"/>
      <c r="N34" s="10"/>
      <c r="O34" s="47"/>
      <c r="P34" s="10"/>
      <c r="Q34" s="1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3.5" x14ac:dyDescent="0.25">
      <c r="A35" s="77">
        <v>360.1</v>
      </c>
      <c r="B35" s="77"/>
      <c r="C35" s="21" t="s">
        <v>46</v>
      </c>
      <c r="D35" s="21"/>
      <c r="E35" s="41">
        <f>VLOOKUP(A35,'Table 1 Total'!A$12:P$60,10,FALSE)</f>
        <v>2160689.19</v>
      </c>
      <c r="F35" s="41"/>
      <c r="G35" s="41">
        <f>VLOOKUP(A35,'Table 1A Life'!A$10:N$60,10,FALSE)</f>
        <v>425114.992152847</v>
      </c>
      <c r="H35" s="41"/>
      <c r="I35" s="41">
        <f>VLOOKUP(A35,'ELG Whole Life_Life'!A$1:M$26,2,FALSE)</f>
        <v>434786.54</v>
      </c>
      <c r="J35" s="12"/>
      <c r="K35" s="19">
        <f t="shared" si="0"/>
        <v>-9671.5478471529786</v>
      </c>
      <c r="L35" s="19"/>
      <c r="M35" s="71">
        <f t="shared" ref="M35:M46" si="13">IFERROR(K35/G35,1)</f>
        <v>-2.2750427591778848E-2</v>
      </c>
      <c r="N35" s="10"/>
      <c r="O35" s="47">
        <f>IF(P35=" ",(VLOOKUP(A35,'ALG Remaining Life_Life'!A$2:M$296,11,FALSE)),3)</f>
        <v>62.021897236907201</v>
      </c>
      <c r="P35" s="10" t="str">
        <f>IF(VLOOKUP(A35,'ALG Remaining Life_Life'!A$2:M$296,11,FALSE)&gt;3," ","+")</f>
        <v xml:space="preserve"> </v>
      </c>
      <c r="Q35" s="19">
        <f t="shared" si="2"/>
        <v>0</v>
      </c>
      <c r="R35" s="8" t="str">
        <f t="shared" ref="R35:R47" si="14">IF(T35&gt;0.05," ","*")</f>
        <v>*</v>
      </c>
      <c r="S35" s="8"/>
      <c r="T35" s="8">
        <f t="shared" si="4"/>
        <v>2.2750427591778848E-2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3.5" x14ac:dyDescent="0.25">
      <c r="A36" s="77">
        <v>362</v>
      </c>
      <c r="B36" s="77"/>
      <c r="C36" s="21" t="s">
        <v>43</v>
      </c>
      <c r="D36" s="32"/>
      <c r="E36" s="41">
        <f>VLOOKUP(A36,'Table 1 Total'!A$12:P$60,10,FALSE)</f>
        <v>7543472.7999999998</v>
      </c>
      <c r="F36" s="41"/>
      <c r="G36" s="41">
        <f>VLOOKUP(A36,'Table 1A Life'!A$10:N$60,10,FALSE)</f>
        <v>2905181.4543050299</v>
      </c>
      <c r="H36" s="41"/>
      <c r="I36" s="41">
        <f>VLOOKUP(A36,'ELG Whole Life_Life'!A$1:M$26,2,FALSE)</f>
        <v>3208611.73</v>
      </c>
      <c r="J36" s="12"/>
      <c r="K36" s="19">
        <f t="shared" si="0"/>
        <v>-303430.27569497004</v>
      </c>
      <c r="L36" s="19"/>
      <c r="M36" s="71">
        <f t="shared" si="13"/>
        <v>-0.10444451765494141</v>
      </c>
      <c r="N36" s="10"/>
      <c r="O36" s="47">
        <f>IF(P36=" ",(VLOOKUP(A36,'ALG Remaining Life_Life'!A$2:M$296,11,FALSE)),3)</f>
        <v>26.434645811200301</v>
      </c>
      <c r="P36" s="10" t="str">
        <f>IF(VLOOKUP(A36,'ALG Remaining Life_Life'!A$2:M$296,11,FALSE)&gt;3," ","+")</f>
        <v xml:space="preserve"> </v>
      </c>
      <c r="Q36" s="19">
        <f t="shared" si="2"/>
        <v>-11478.507329438373</v>
      </c>
      <c r="R36" s="8" t="str">
        <f t="shared" si="14"/>
        <v xml:space="preserve"> </v>
      </c>
      <c r="S36" s="8"/>
      <c r="T36" s="8">
        <f t="shared" si="4"/>
        <v>0.10444451765494141</v>
      </c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</row>
    <row r="37" spans="1:38" ht="13.5" x14ac:dyDescent="0.25">
      <c r="A37" s="77">
        <v>362.1</v>
      </c>
      <c r="B37" s="77"/>
      <c r="C37" s="21" t="s">
        <v>47</v>
      </c>
      <c r="D37" s="31"/>
      <c r="E37" s="41">
        <f>VLOOKUP(A37,'Table 1 Total'!A$12:P$60,10,FALSE)</f>
        <v>976501.82</v>
      </c>
      <c r="F37" s="41"/>
      <c r="G37" s="41">
        <f>VLOOKUP(A37,'Table 1A Life'!A$10:N$60,10,FALSE)</f>
        <v>609881.39133333298</v>
      </c>
      <c r="H37" s="41"/>
      <c r="I37" s="41">
        <f>VLOOKUP(A37,'ELG Whole Life_Life'!A$1:M$26,2,FALSE)</f>
        <v>1280122.7</v>
      </c>
      <c r="J37" s="12"/>
      <c r="K37" s="19">
        <f t="shared" si="0"/>
        <v>-670241.30866666697</v>
      </c>
      <c r="L37" s="19"/>
      <c r="M37" s="71">
        <f t="shared" si="13"/>
        <v>-1.0989699279090548</v>
      </c>
      <c r="N37" s="10"/>
      <c r="O37" s="47">
        <f>IF(P37=" ",(VLOOKUP(A37,'ALG Remaining Life_Life'!A$2:M$296,11,FALSE)),3)</f>
        <v>5.6316397136873801</v>
      </c>
      <c r="P37" s="10" t="str">
        <f>IF(VLOOKUP(A37,'ALG Remaining Life_Life'!A$2:M$296,11,FALSE)&gt;3," ","+")</f>
        <v xml:space="preserve"> </v>
      </c>
      <c r="Q37" s="19">
        <f t="shared" si="2"/>
        <v>-119013.52762991631</v>
      </c>
      <c r="R37" s="8" t="str">
        <f t="shared" si="14"/>
        <v xml:space="preserve"> </v>
      </c>
      <c r="S37" s="8"/>
      <c r="T37" s="8">
        <f t="shared" si="4"/>
        <v>1.0989699279090548</v>
      </c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4" x14ac:dyDescent="0.25">
      <c r="A38" s="77">
        <v>364</v>
      </c>
      <c r="B38" s="77"/>
      <c r="C38" s="21" t="s">
        <v>48</v>
      </c>
      <c r="D38"/>
      <c r="E38" s="41">
        <f>VLOOKUP(A38,'Table 1 Total'!A$12:P$60,10,FALSE)</f>
        <v>53306939.649999999</v>
      </c>
      <c r="F38" s="41"/>
      <c r="G38" s="41">
        <f>VLOOKUP(A38,'Table 1A Life'!A$10:N$60,10,FALSE)</f>
        <v>17239840.897482101</v>
      </c>
      <c r="H38" s="41"/>
      <c r="I38" s="41">
        <f>VLOOKUP(A38,'ELG Whole Life_Life'!A$1:M$26,2,FALSE)</f>
        <v>21068996.960000001</v>
      </c>
      <c r="J38" s="12"/>
      <c r="K38" s="19">
        <f t="shared" si="0"/>
        <v>-3829156.0625179</v>
      </c>
      <c r="L38" s="19"/>
      <c r="M38" s="71">
        <f t="shared" si="13"/>
        <v>-0.222110870122772</v>
      </c>
      <c r="N38" s="10"/>
      <c r="O38" s="47">
        <f>IF(P38=" ",(VLOOKUP(A38,'ALG Remaining Life_Life'!A$2:M$296,11,FALSE)),3)</f>
        <v>36.828521151342798</v>
      </c>
      <c r="P38" s="10" t="str">
        <f>IF(VLOOKUP(A38,'ALG Remaining Life_Life'!A$2:M$296,11,FALSE)&gt;3," ","+")</f>
        <v xml:space="preserve"> </v>
      </c>
      <c r="Q38" s="19">
        <f t="shared" si="2"/>
        <v>-103972.5718766279</v>
      </c>
      <c r="R38" s="8" t="str">
        <f t="shared" si="14"/>
        <v xml:space="preserve"> </v>
      </c>
      <c r="S38" s="26"/>
      <c r="T38" s="8">
        <f t="shared" si="4"/>
        <v>0.222110870122772</v>
      </c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4" x14ac:dyDescent="0.3">
      <c r="A39" s="77">
        <v>365</v>
      </c>
      <c r="B39" s="77"/>
      <c r="C39" s="21" t="s">
        <v>49</v>
      </c>
      <c r="D39"/>
      <c r="E39" s="41">
        <f>VLOOKUP(A39,'Table 1 Total'!A$12:P$60,10,FALSE)</f>
        <v>28793205.57</v>
      </c>
      <c r="F39" s="41"/>
      <c r="G39" s="41">
        <f>VLOOKUP(A39,'Table 1A Life'!A$10:N$60,10,FALSE)</f>
        <v>10716439.428780301</v>
      </c>
      <c r="H39" s="41"/>
      <c r="I39" s="41">
        <f>VLOOKUP(A39,'ELG Whole Life_Life'!A$1:M$26,2,FALSE)</f>
        <v>12502351.75</v>
      </c>
      <c r="J39" s="12"/>
      <c r="K39" s="19">
        <f t="shared" si="0"/>
        <v>-1785912.3212196995</v>
      </c>
      <c r="L39" s="19"/>
      <c r="M39" s="71">
        <f t="shared" si="13"/>
        <v>-0.166651650773429</v>
      </c>
      <c r="N39" s="10"/>
      <c r="O39" s="47">
        <f>IF(P39=" ",(VLOOKUP(A39,'ALG Remaining Life_Life'!A$2:M$296,11,FALSE)),3)</f>
        <v>33.177723596503199</v>
      </c>
      <c r="P39" s="10" t="str">
        <f>IF(VLOOKUP(A39,'ALG Remaining Life_Life'!A$2:M$296,11,FALSE)&gt;3," ","+")</f>
        <v xml:space="preserve"> </v>
      </c>
      <c r="Q39" s="19">
        <f t="shared" si="2"/>
        <v>-53828.657533572543</v>
      </c>
      <c r="R39" s="8" t="str">
        <f t="shared" si="14"/>
        <v xml:space="preserve"> </v>
      </c>
      <c r="S39" s="22"/>
      <c r="T39" s="8">
        <f t="shared" si="4"/>
        <v>0.166651650773429</v>
      </c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3.5" x14ac:dyDescent="0.25">
      <c r="A40" s="77">
        <v>365.1</v>
      </c>
      <c r="B40" s="77"/>
      <c r="C40" s="21" t="s">
        <v>50</v>
      </c>
      <c r="D40"/>
      <c r="E40" s="41">
        <f>VLOOKUP(A40,'Table 1 Total'!A$12:P$60,10,FALSE)</f>
        <v>5234251.9000000004</v>
      </c>
      <c r="F40" s="41"/>
      <c r="G40" s="41">
        <f>VLOOKUP(A40,'Table 1A Life'!A$10:N$60,10,FALSE)</f>
        <v>1654681.2658967101</v>
      </c>
      <c r="H40" s="41"/>
      <c r="I40" s="41">
        <f>VLOOKUP(A40,'ELG Whole Life_Life'!A$1:M$26,2,FALSE)</f>
        <v>2012950.49</v>
      </c>
      <c r="J40" s="12"/>
      <c r="K40" s="19">
        <f t="shared" si="0"/>
        <v>-358269.22410328989</v>
      </c>
      <c r="L40" s="19"/>
      <c r="M40" s="71">
        <f t="shared" si="13"/>
        <v>-0.21651857157465035</v>
      </c>
      <c r="N40" s="10"/>
      <c r="O40" s="47">
        <f>IF(P40=" ",(VLOOKUP(A40,'ALG Remaining Life_Life'!A$2:M$296,11,FALSE)),3)</f>
        <v>36.245892748706197</v>
      </c>
      <c r="P40" s="10" t="str">
        <f>IF(VLOOKUP(A40,'ALG Remaining Life_Life'!A$2:M$296,11,FALSE)&gt;3," ","+")</f>
        <v xml:space="preserve"> </v>
      </c>
      <c r="Q40" s="19">
        <f t="shared" si="2"/>
        <v>-9884.4088787433266</v>
      </c>
      <c r="R40" s="8" t="str">
        <f t="shared" si="14"/>
        <v xml:space="preserve"> </v>
      </c>
      <c r="S40" s="8"/>
      <c r="T40" s="8">
        <f t="shared" si="4"/>
        <v>0.21651857157465035</v>
      </c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</row>
    <row r="41" spans="1:38" ht="13.5" x14ac:dyDescent="0.25">
      <c r="A41" s="77">
        <v>367</v>
      </c>
      <c r="B41" s="77"/>
      <c r="C41" s="21" t="s">
        <v>51</v>
      </c>
      <c r="D41"/>
      <c r="E41" s="41">
        <f>VLOOKUP(A41,'Table 1 Total'!A$12:P$60,10,FALSE)</f>
        <v>34178702.049999997</v>
      </c>
      <c r="F41" s="41"/>
      <c r="G41" s="41">
        <f>VLOOKUP(A41,'Table 1A Life'!A$10:N$60,10,FALSE)</f>
        <v>11460397.1511185</v>
      </c>
      <c r="H41" s="41"/>
      <c r="I41" s="41">
        <f>VLOOKUP(A41,'ELG Whole Life_Life'!A$1:M$26,2,FALSE)</f>
        <v>12447852.029999999</v>
      </c>
      <c r="J41" s="12"/>
      <c r="K41" s="19">
        <f t="shared" si="0"/>
        <v>-987454.87888149917</v>
      </c>
      <c r="L41" s="19"/>
      <c r="M41" s="71">
        <f t="shared" si="13"/>
        <v>-8.616236120448291E-2</v>
      </c>
      <c r="N41" s="10"/>
      <c r="O41" s="47">
        <f>IF(P41=" ",(VLOOKUP(A41,'ALG Remaining Life_Life'!A$2:M$296,11,FALSE)),3)</f>
        <v>34.9158592475505</v>
      </c>
      <c r="P41" s="10" t="str">
        <f>IF(VLOOKUP(A41,'ALG Remaining Life_Life'!A$2:M$296,11,FALSE)&gt;3," ","+")</f>
        <v xml:space="preserve"> </v>
      </c>
      <c r="Q41" s="19">
        <f t="shared" si="2"/>
        <v>-28280.984634533186</v>
      </c>
      <c r="R41" s="8" t="str">
        <f t="shared" si="14"/>
        <v xml:space="preserve"> </v>
      </c>
      <c r="S41" s="8"/>
      <c r="T41" s="8">
        <f t="shared" si="4"/>
        <v>8.616236120448291E-2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ht="13.5" x14ac:dyDescent="0.25">
      <c r="A42" s="77">
        <v>367.1</v>
      </c>
      <c r="B42" s="77"/>
      <c r="C42" s="21" t="s">
        <v>52</v>
      </c>
      <c r="D42"/>
      <c r="E42" s="41">
        <f>VLOOKUP(A42,'Table 1 Total'!A$12:P$60,10,FALSE)</f>
        <v>6266150.0199999996</v>
      </c>
      <c r="F42" s="41"/>
      <c r="G42" s="41">
        <f>VLOOKUP(A42,'Table 1A Life'!A$10:N$60,10,FALSE)</f>
        <v>1615271.04735504</v>
      </c>
      <c r="H42" s="41"/>
      <c r="I42" s="41">
        <f>VLOOKUP(A42,'ELG Whole Life_Life'!A$1:M$26,2,FALSE)</f>
        <v>2055522.99</v>
      </c>
      <c r="J42" s="12"/>
      <c r="K42" s="19">
        <f t="shared" si="0"/>
        <v>-440251.94264496001</v>
      </c>
      <c r="L42" s="19"/>
      <c r="M42" s="71">
        <f t="shared" si="13"/>
        <v>-0.27255607866299586</v>
      </c>
      <c r="N42" s="10"/>
      <c r="O42" s="47">
        <f>IF(P42=" ",(VLOOKUP(A42,'ALG Remaining Life_Life'!A$2:M$296,11,FALSE)),3)</f>
        <v>37.785780600332799</v>
      </c>
      <c r="P42" s="10" t="str">
        <f>IF(VLOOKUP(A42,'ALG Remaining Life_Life'!A$2:M$296,11,FALSE)&gt;3," ","+")</f>
        <v xml:space="preserve"> </v>
      </c>
      <c r="Q42" s="19">
        <f t="shared" si="2"/>
        <v>-11651.259697439795</v>
      </c>
      <c r="R42" s="8" t="str">
        <f t="shared" si="14"/>
        <v xml:space="preserve"> </v>
      </c>
      <c r="S42" s="8"/>
      <c r="T42" s="8">
        <f t="shared" si="4"/>
        <v>0.27255607866299586</v>
      </c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4" x14ac:dyDescent="0.25">
      <c r="A43" s="77">
        <v>368</v>
      </c>
      <c r="B43" s="77"/>
      <c r="C43" s="21" t="s">
        <v>53</v>
      </c>
      <c r="D43"/>
      <c r="E43" s="41">
        <f>VLOOKUP(A43,'Table 1 Total'!A$12:P$60,10,FALSE)</f>
        <v>40867163.520000003</v>
      </c>
      <c r="F43" s="41"/>
      <c r="G43" s="41">
        <f>VLOOKUP(A43,'Table 1A Life'!A$10:N$60,10,FALSE)</f>
        <v>14278547.135291301</v>
      </c>
      <c r="H43" s="41"/>
      <c r="I43" s="41">
        <f>VLOOKUP(A43,'ELG Whole Life_Life'!A$1:M$26,2,FALSE)</f>
        <v>16814446.219999999</v>
      </c>
      <c r="J43" s="12"/>
      <c r="K43" s="19">
        <f t="shared" si="0"/>
        <v>-2535899.0847086981</v>
      </c>
      <c r="L43" s="19"/>
      <c r="M43" s="71">
        <f t="shared" si="13"/>
        <v>-0.17760203896661805</v>
      </c>
      <c r="N43" s="10"/>
      <c r="O43" s="47">
        <f>IF(P43=" ",(VLOOKUP(A43,'ALG Remaining Life_Life'!A$2:M$296,11,FALSE)),3)</f>
        <v>31.401216069801599</v>
      </c>
      <c r="P43" s="10" t="str">
        <f>IF(VLOOKUP(A43,'ALG Remaining Life_Life'!A$2:M$296,11,FALSE)&gt;3," ","+")</f>
        <v xml:space="preserve"> </v>
      </c>
      <c r="Q43" s="19">
        <f t="shared" si="2"/>
        <v>-80757.98972471834</v>
      </c>
      <c r="R43" s="8" t="str">
        <f t="shared" si="14"/>
        <v xml:space="preserve"> </v>
      </c>
      <c r="S43" s="26"/>
      <c r="T43" s="8">
        <f t="shared" si="4"/>
        <v>0.17760203896661805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ht="14" x14ac:dyDescent="0.25">
      <c r="A44" s="77">
        <v>370</v>
      </c>
      <c r="B44" s="77"/>
      <c r="C44" s="21" t="s">
        <v>54</v>
      </c>
      <c r="D44"/>
      <c r="E44" s="41">
        <f>VLOOKUP(A44,'Table 1 Total'!A$12:P$60,10,FALSE)</f>
        <v>2956566.08</v>
      </c>
      <c r="F44" s="41"/>
      <c r="G44" s="41">
        <f>VLOOKUP(A44,'Table 1A Life'!A$10:N$60,10,FALSE)</f>
        <v>1737272.4221747101</v>
      </c>
      <c r="H44" s="41"/>
      <c r="I44" s="41">
        <f>VLOOKUP(A44,'ELG Whole Life_Life'!A$1:M$26,2,FALSE)</f>
        <v>2002815.6</v>
      </c>
      <c r="J44" s="12"/>
      <c r="K44" s="19">
        <f t="shared" si="0"/>
        <v>-265543.17782529001</v>
      </c>
      <c r="L44" s="19"/>
      <c r="M44" s="71">
        <f t="shared" si="13"/>
        <v>-0.15285062632427229</v>
      </c>
      <c r="N44" s="10"/>
      <c r="O44" s="47">
        <f>IF(P44=" ",(VLOOKUP(A44,'ALG Remaining Life_Life'!A$2:M$296,11,FALSE)),3)</f>
        <v>8.2651844632352507</v>
      </c>
      <c r="P44" s="10" t="str">
        <f>IF(VLOOKUP(A44,'ALG Remaining Life_Life'!A$2:M$296,11,FALSE)&gt;3," ","+")</f>
        <v xml:space="preserve"> </v>
      </c>
      <c r="Q44" s="19">
        <f t="shared" si="2"/>
        <v>-32127.919105310342</v>
      </c>
      <c r="R44" s="8" t="str">
        <f t="shared" si="14"/>
        <v xml:space="preserve"> </v>
      </c>
      <c r="S44" s="26"/>
      <c r="T44" s="8">
        <f t="shared" si="4"/>
        <v>0.15285062632427229</v>
      </c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38" ht="14" x14ac:dyDescent="0.25">
      <c r="A45" s="77">
        <v>371</v>
      </c>
      <c r="B45" s="77"/>
      <c r="C45" s="21" t="s">
        <v>55</v>
      </c>
      <c r="D45" s="32"/>
      <c r="E45" s="41">
        <f>VLOOKUP(A45,'Table 1 Total'!A$12:P$60,10,FALSE)</f>
        <v>173069.17</v>
      </c>
      <c r="F45" s="41"/>
      <c r="G45" s="41">
        <f>VLOOKUP(A45,'Table 1A Life'!A$10:N$60,10,FALSE)</f>
        <v>71540.126080192407</v>
      </c>
      <c r="H45" s="41"/>
      <c r="I45" s="41">
        <f>VLOOKUP(A45,'ELG Whole Life_Life'!A$1:M$26,2,FALSE)</f>
        <v>75373.490000000005</v>
      </c>
      <c r="J45" s="12"/>
      <c r="K45" s="19">
        <f t="shared" si="0"/>
        <v>-3833.363919807598</v>
      </c>
      <c r="L45" s="19"/>
      <c r="M45" s="71">
        <f t="shared" si="13"/>
        <v>-5.3583410176138289E-2</v>
      </c>
      <c r="N45" s="10"/>
      <c r="O45" s="47">
        <f>IF(P45=" ",(VLOOKUP(A45,'ALG Remaining Life_Life'!A$2:M$296,11,FALSE)),3)</f>
        <v>9.4315248596461103</v>
      </c>
      <c r="P45" s="10" t="str">
        <f>IF(VLOOKUP(A45,'ALG Remaining Life_Life'!A$2:M$296,11,FALSE)&gt;3," ","+")</f>
        <v xml:space="preserve"> </v>
      </c>
      <c r="Q45" s="19">
        <f t="shared" si="2"/>
        <v>-406.44158573011845</v>
      </c>
      <c r="R45" s="8" t="str">
        <f t="shared" si="14"/>
        <v xml:space="preserve"> </v>
      </c>
      <c r="S45" s="26"/>
      <c r="T45" s="8">
        <f t="shared" si="4"/>
        <v>5.3583410176138289E-2</v>
      </c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4" x14ac:dyDescent="0.3">
      <c r="A46" s="77">
        <v>373</v>
      </c>
      <c r="B46" s="77"/>
      <c r="C46" s="21" t="s">
        <v>56</v>
      </c>
      <c r="D46" s="32"/>
      <c r="E46" s="41">
        <f>VLOOKUP(A46,'Table 1 Total'!A$12:P$60,10,FALSE)</f>
        <v>13636686.9</v>
      </c>
      <c r="F46" s="41"/>
      <c r="G46" s="41">
        <f>VLOOKUP(A46,'Table 1A Life'!A$10:N$60,10,FALSE)</f>
        <v>7020032.0828657998</v>
      </c>
      <c r="H46" s="41"/>
      <c r="I46" s="41">
        <f>VLOOKUP(A46,'ELG Whole Life_Life'!A$1:M$26,2,FALSE)</f>
        <v>8329878.9400000004</v>
      </c>
      <c r="J46" s="12"/>
      <c r="K46" s="19">
        <f t="shared" si="0"/>
        <v>-1309846.8571342006</v>
      </c>
      <c r="L46" s="19"/>
      <c r="M46" s="71">
        <f t="shared" si="13"/>
        <v>-0.18658701864500304</v>
      </c>
      <c r="N46" s="10"/>
      <c r="O46" s="47">
        <f>IF(P46=" ",(VLOOKUP(A46,'ALG Remaining Life_Life'!A$2:M$296,11,FALSE)),3)</f>
        <v>15.685165453797699</v>
      </c>
      <c r="P46" s="10" t="str">
        <f>IF(VLOOKUP(A46,'ALG Remaining Life_Life'!A$2:M$296,11,FALSE)&gt;3," ","+")</f>
        <v xml:space="preserve"> </v>
      </c>
      <c r="Q46" s="19">
        <f t="shared" si="2"/>
        <v>-83508.641397025232</v>
      </c>
      <c r="R46" s="8" t="str">
        <f t="shared" si="14"/>
        <v xml:space="preserve"> </v>
      </c>
      <c r="S46" s="22"/>
      <c r="T46" s="8">
        <f t="shared" si="4"/>
        <v>0.18658701864500304</v>
      </c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4" x14ac:dyDescent="0.25">
      <c r="A47" s="77">
        <v>373.1</v>
      </c>
      <c r="B47" s="77"/>
      <c r="C47" s="21" t="s">
        <v>57</v>
      </c>
      <c r="D47"/>
      <c r="E47" s="81">
        <f>VLOOKUP(A47,'Table 1 Total'!A$12:P$60,10,FALSE)</f>
        <v>285488.05</v>
      </c>
      <c r="F47" s="41"/>
      <c r="G47" s="81">
        <f>VLOOKUP(A47,'Table 1A Life'!A$10:N$60,10,FALSE)</f>
        <v>270649.232013489</v>
      </c>
      <c r="H47" s="41"/>
      <c r="I47" s="79">
        <f>VLOOKUP(A47,'ELG Whole Life_Life'!A$1:M$26,2,FALSE)</f>
        <v>218937.63</v>
      </c>
      <c r="J47" s="12"/>
      <c r="K47" s="80">
        <f t="shared" si="0"/>
        <v>51711.602013488999</v>
      </c>
      <c r="L47" s="19"/>
      <c r="M47" s="71">
        <f t="shared" ref="M47" si="15">IFERROR(K47/G47,1)</f>
        <v>0.19106502401200873</v>
      </c>
      <c r="N47" s="10"/>
      <c r="O47" s="47">
        <f>IF(P47=" ",(VLOOKUP(A47,'ALG Remaining Life_Life'!A$2:M$296,11,FALSE)),3)</f>
        <v>3</v>
      </c>
      <c r="P47" s="10" t="str">
        <f>IF(VLOOKUP(A47,'ALG Remaining Life_Life'!A$2:M$296,11,FALSE)&gt;3," ","+")</f>
        <v>+</v>
      </c>
      <c r="Q47" s="80">
        <f t="shared" si="2"/>
        <v>17237.200671162998</v>
      </c>
      <c r="R47" s="8" t="str">
        <f t="shared" si="14"/>
        <v xml:space="preserve"> </v>
      </c>
      <c r="S47" s="26"/>
      <c r="T47" s="8">
        <f t="shared" si="4"/>
        <v>0.19106502401200873</v>
      </c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4" x14ac:dyDescent="0.3">
      <c r="A48" s="14" t="s">
        <v>58</v>
      </c>
      <c r="B48" s="14"/>
      <c r="C48" s="21"/>
      <c r="D48"/>
      <c r="E48" s="44">
        <f>_xlfn.IFNA(SUM(E35:E47),0)</f>
        <v>196378886.72000003</v>
      </c>
      <c r="F48" s="41"/>
      <c r="G48" s="44">
        <f>_xlfn.IFNA(SUM(G35:G47),0)</f>
        <v>70004848.626849353</v>
      </c>
      <c r="H48" s="41"/>
      <c r="I48" s="44">
        <f>_xlfn.IFNA(SUM(I35:I47),0)</f>
        <v>82452647.069999978</v>
      </c>
      <c r="J48" s="12"/>
      <c r="K48" s="44">
        <f>_xlfn.IFNA(SUM(K35:K47),0)</f>
        <v>-12447798.443150647</v>
      </c>
      <c r="L48" s="19"/>
      <c r="M48" s="71"/>
      <c r="N48" s="10"/>
      <c r="O48" s="47"/>
      <c r="P48" s="10"/>
      <c r="Q48" s="44">
        <f>_xlfn.IFNA(SUM(Q35:Q47),0)</f>
        <v>-517673.70872189238</v>
      </c>
      <c r="R48" s="8"/>
      <c r="S48" s="26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ht="14" x14ac:dyDescent="0.25">
      <c r="A49" s="15"/>
      <c r="B49" s="15"/>
      <c r="C49" s="21"/>
      <c r="D49"/>
      <c r="E49" s="41"/>
      <c r="F49" s="41"/>
      <c r="G49" s="41"/>
      <c r="H49" s="41"/>
      <c r="I49" s="41"/>
      <c r="J49" s="12"/>
      <c r="K49" s="19"/>
      <c r="L49" s="19"/>
      <c r="M49" s="71"/>
      <c r="N49" s="10"/>
      <c r="O49" s="47"/>
      <c r="P49" s="10"/>
      <c r="Q49" s="19"/>
      <c r="R49" s="8"/>
      <c r="S49" s="26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4" x14ac:dyDescent="0.3">
      <c r="A50" s="14" t="s">
        <v>59</v>
      </c>
      <c r="B50" s="14"/>
      <c r="C50" s="21"/>
      <c r="D50"/>
      <c r="E50" s="41"/>
      <c r="F50" s="41"/>
      <c r="G50" s="41"/>
      <c r="H50" s="41"/>
      <c r="I50" s="41"/>
      <c r="J50" s="12"/>
      <c r="K50" s="19"/>
      <c r="L50" s="19"/>
      <c r="M50" s="71"/>
      <c r="N50" s="10"/>
      <c r="O50" s="47"/>
      <c r="P50" s="10"/>
      <c r="Q50" s="19"/>
      <c r="R50" s="8"/>
      <c r="S50" s="26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ht="14" x14ac:dyDescent="0.25">
      <c r="A51" s="77">
        <v>390</v>
      </c>
      <c r="B51" s="77"/>
      <c r="C51" s="21" t="s">
        <v>27</v>
      </c>
      <c r="D51"/>
      <c r="E51" s="41">
        <f>VLOOKUP(A51,'Table 1 Total'!A$12:P$60,10,FALSE)</f>
        <v>5197272.37</v>
      </c>
      <c r="F51" s="41"/>
      <c r="G51" s="41">
        <f>VLOOKUP(A51,'Table 1A Life'!A$10:N$60,10,FALSE)</f>
        <v>2691587.1574633298</v>
      </c>
      <c r="H51" s="41"/>
      <c r="I51" s="41">
        <f>VLOOKUP(A51,'ELG Whole Life_Life'!A$1:M$226,2,FALSE)</f>
        <v>3149930.1</v>
      </c>
      <c r="J51" s="12"/>
      <c r="K51" s="19">
        <f t="shared" si="0"/>
        <v>-458342.94253667025</v>
      </c>
      <c r="L51" s="19"/>
      <c r="M51" s="71">
        <f t="shared" ref="M51:M59" si="16">IFERROR(K51/G51,1)</f>
        <v>-0.17028723787218275</v>
      </c>
      <c r="N51" s="10"/>
      <c r="O51" s="47">
        <f>IF(P51=" ",(VLOOKUP(A51,'ALG Remaining Life_Life'!A$2:M$296,11,FALSE)),3)</f>
        <v>21.594160762691601</v>
      </c>
      <c r="P51" s="10" t="str">
        <f>IF(VLOOKUP(A51,'ALG Remaining Life_Life'!A$2:M$296,11,FALSE)&gt;3," ","+")</f>
        <v xml:space="preserve"> </v>
      </c>
      <c r="Q51" s="19">
        <f t="shared" si="2"/>
        <v>-21225.318620789047</v>
      </c>
      <c r="R51" s="8" t="str">
        <f t="shared" ref="R51:R59" si="17">IF(T51&gt;0.05," ","*")</f>
        <v xml:space="preserve"> </v>
      </c>
      <c r="S51" s="26"/>
      <c r="T51" s="8">
        <f t="shared" si="4"/>
        <v>0.17028723787218275</v>
      </c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</row>
    <row r="52" spans="1:38" ht="14" x14ac:dyDescent="0.25">
      <c r="A52" s="77">
        <v>390.01</v>
      </c>
      <c r="B52" s="77"/>
      <c r="C52" s="21" t="s">
        <v>60</v>
      </c>
      <c r="D52"/>
      <c r="E52" s="41">
        <f>VLOOKUP(A52,'Table 1 Total'!A$12:P$60,10,FALSE)</f>
        <v>451552.45</v>
      </c>
      <c r="F52" s="41"/>
      <c r="G52" s="41">
        <f>VLOOKUP(A52,'Table 1A Life'!A$10:N$60,10,FALSE)</f>
        <v>190027.84960775901</v>
      </c>
      <c r="H52" s="41"/>
      <c r="I52" s="41">
        <f>VLOOKUP(A52,'ELG Whole Life_Life'!A$1:M$226,2,FALSE)</f>
        <v>919490.6</v>
      </c>
      <c r="J52" s="12"/>
      <c r="K52" s="19">
        <f t="shared" si="0"/>
        <v>-729462.75039224094</v>
      </c>
      <c r="L52" s="19"/>
      <c r="M52" s="71">
        <f t="shared" si="16"/>
        <v>-3.8387149667690408</v>
      </c>
      <c r="N52" s="10"/>
      <c r="O52" s="47">
        <f>IF(P52=" ",(VLOOKUP(A52,'ALG Remaining Life_Life'!A$2:M$296,11,FALSE)),3)</f>
        <v>24.708454655169302</v>
      </c>
      <c r="P52" s="10" t="str">
        <f>IF(VLOOKUP(A52,'ALG Remaining Life_Life'!A$2:M$296,11,FALSE)&gt;3," ","+")</f>
        <v xml:space="preserve"> </v>
      </c>
      <c r="Q52" s="19">
        <f t="shared" si="2"/>
        <v>-29522.799405005633</v>
      </c>
      <c r="R52" s="8" t="str">
        <f t="shared" si="17"/>
        <v xml:space="preserve"> </v>
      </c>
      <c r="S52" s="26"/>
      <c r="T52" s="8">
        <f t="shared" si="4"/>
        <v>3.8387149667690408</v>
      </c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</row>
    <row r="53" spans="1:38" ht="14" x14ac:dyDescent="0.25">
      <c r="A53" s="77">
        <v>391</v>
      </c>
      <c r="B53" s="77"/>
      <c r="C53" s="21" t="s">
        <v>61</v>
      </c>
      <c r="D53"/>
      <c r="E53" s="41">
        <f>VLOOKUP(A53,'Table 1 Total'!A$12:P$60,10,FALSE)</f>
        <v>277519.56</v>
      </c>
      <c r="F53" s="41"/>
      <c r="G53" s="41">
        <f>VLOOKUP(A53,'Table 1A Life'!A$10:N$60,10,FALSE)</f>
        <v>156316.25266666699</v>
      </c>
      <c r="H53" s="41"/>
      <c r="I53" s="41">
        <f>VLOOKUP(A53,'ELG Whole Life_Life'!A$1:M$226,2,FALSE)</f>
        <v>189337.54</v>
      </c>
      <c r="J53" s="12"/>
      <c r="K53" s="19">
        <f t="shared" si="0"/>
        <v>-33021.287333333021</v>
      </c>
      <c r="L53" s="19"/>
      <c r="M53" s="71">
        <f t="shared" si="16"/>
        <v>-0.21124666674135611</v>
      </c>
      <c r="N53" s="10"/>
      <c r="O53" s="47">
        <f>IF(P53=" ",(VLOOKUP(A53,'ALG Remaining Life_Life'!A$2:M$296,11,FALSE)),3)</f>
        <v>6.5510683643343901</v>
      </c>
      <c r="P53" s="10" t="str">
        <f>IF(VLOOKUP(A53,'ALG Remaining Life_Life'!A$2:M$296,11,FALSE)&gt;3," ","+")</f>
        <v xml:space="preserve"> </v>
      </c>
      <c r="Q53" s="19">
        <f t="shared" si="2"/>
        <v>-5040.595746658506</v>
      </c>
      <c r="R53" s="8" t="str">
        <f t="shared" si="17"/>
        <v xml:space="preserve"> </v>
      </c>
      <c r="S53" s="26"/>
      <c r="T53" s="8">
        <f t="shared" si="4"/>
        <v>0.21124666674135611</v>
      </c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</row>
    <row r="54" spans="1:38" ht="14" x14ac:dyDescent="0.25">
      <c r="A54" s="77">
        <v>391.1</v>
      </c>
      <c r="B54" s="77"/>
      <c r="C54" s="21" t="s">
        <v>62</v>
      </c>
      <c r="D54"/>
      <c r="E54" s="41">
        <f>VLOOKUP(A54,'Table 1 Total'!A$12:P$60,10,FALSE)</f>
        <v>60706.99</v>
      </c>
      <c r="F54" s="41"/>
      <c r="G54" s="41">
        <f>VLOOKUP(A54,'Table 1A Life'!A$10:N$60,10,FALSE)</f>
        <v>34244.695</v>
      </c>
      <c r="H54" s="41"/>
      <c r="I54" s="41">
        <f>VLOOKUP(A54,'ELG Whole Life_Life'!A$1:M$226,2,FALSE)</f>
        <v>107227.6</v>
      </c>
      <c r="J54" s="12"/>
      <c r="K54" s="19">
        <f t="shared" si="0"/>
        <v>-72982.904999999999</v>
      </c>
      <c r="L54" s="19"/>
      <c r="M54" s="71">
        <f t="shared" si="16"/>
        <v>-2.1312178426468682</v>
      </c>
      <c r="N54" s="10"/>
      <c r="O54" s="47">
        <f>IF(P54=" ",(VLOOKUP(A54,'ALG Remaining Life_Life'!A$2:M$296,11,FALSE)),3)</f>
        <v>3</v>
      </c>
      <c r="P54" s="10" t="str">
        <f>IF(VLOOKUP(A54,'ALG Remaining Life_Life'!A$2:M$296,11,FALSE)&gt;3," ","+")</f>
        <v>+</v>
      </c>
      <c r="Q54" s="19">
        <f t="shared" si="2"/>
        <v>-24327.634999999998</v>
      </c>
      <c r="R54" s="8" t="str">
        <f t="shared" si="17"/>
        <v xml:space="preserve"> </v>
      </c>
      <c r="S54" s="26"/>
      <c r="T54" s="8">
        <f t="shared" si="4"/>
        <v>2.1312178426468682</v>
      </c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</row>
    <row r="55" spans="1:38" ht="14" x14ac:dyDescent="0.25">
      <c r="A55" s="77">
        <v>391.22</v>
      </c>
      <c r="B55" s="77"/>
      <c r="C55" s="21" t="s">
        <v>63</v>
      </c>
      <c r="D55"/>
      <c r="E55" s="41">
        <f>VLOOKUP(A55,'Table 1 Total'!A$12:P$60,10,FALSE)</f>
        <v>777424.93</v>
      </c>
      <c r="F55" s="41"/>
      <c r="G55" s="41">
        <f>VLOOKUP(A55,'Table 1A Life'!A$10:N$60,10,FALSE)</f>
        <v>421980.05550000002</v>
      </c>
      <c r="H55" s="41"/>
      <c r="I55" s="41">
        <f>VLOOKUP(A55,'ELG Whole Life_Life'!A$1:M$226,2,FALSE)</f>
        <v>469333.45</v>
      </c>
      <c r="J55" s="12"/>
      <c r="K55" s="19">
        <f>G55-I55</f>
        <v>-47353.394499999995</v>
      </c>
      <c r="L55" s="19"/>
      <c r="M55" s="71">
        <f t="shared" si="16"/>
        <v>-0.11221713889745671</v>
      </c>
      <c r="N55" s="10"/>
      <c r="O55" s="47">
        <f>IF(P55=" ",(VLOOKUP(A55,'ALG Remaining Life_Life'!A$2:M$296,11,FALSE)),3)</f>
        <v>4.5720797054964502</v>
      </c>
      <c r="P55" s="10" t="str">
        <f>IF(VLOOKUP(A55,'ALG Remaining Life_Life'!A$2:M$296,11,FALSE)&gt;3," ","+")</f>
        <v xml:space="preserve"> </v>
      </c>
      <c r="Q55" s="19">
        <f t="shared" si="2"/>
        <v>-10357.079830229735</v>
      </c>
      <c r="R55" s="8" t="str">
        <f t="shared" si="17"/>
        <v xml:space="preserve"> </v>
      </c>
      <c r="S55" s="26"/>
      <c r="T55" s="8">
        <f t="shared" si="4"/>
        <v>0.11221713889745671</v>
      </c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</row>
    <row r="56" spans="1:38" ht="14" x14ac:dyDescent="0.25">
      <c r="A56" s="77">
        <v>392.2</v>
      </c>
      <c r="B56" s="77"/>
      <c r="C56" s="21" t="s">
        <v>64</v>
      </c>
      <c r="D56"/>
      <c r="E56" s="41">
        <f>VLOOKUP(A56,'Table 1 Total'!A$12:P$60,10,FALSE)</f>
        <v>2955681.54</v>
      </c>
      <c r="F56" s="41"/>
      <c r="G56" s="41">
        <f>VLOOKUP(A56,'Table 1A Life'!A$10:N$60,10,FALSE)</f>
        <v>1409081.8851099701</v>
      </c>
      <c r="H56" s="41"/>
      <c r="I56" s="41">
        <f>VLOOKUP(A56,'ELG Whole Life_Life'!A$1:M$226,2,FALSE)</f>
        <v>2520568.34</v>
      </c>
      <c r="J56" s="12"/>
      <c r="K56" s="19">
        <f t="shared" si="0"/>
        <v>-1111486.4548900297</v>
      </c>
      <c r="L56" s="19"/>
      <c r="M56" s="71">
        <f t="shared" si="16"/>
        <v>-0.78880189053263228</v>
      </c>
      <c r="N56" s="10"/>
      <c r="O56" s="47">
        <f>IF(P56=" ",(VLOOKUP(A56,'ALG Remaining Life_Life'!A$2:M$296,11,FALSE)),3)</f>
        <v>6.9180679394353</v>
      </c>
      <c r="P56" s="10" t="str">
        <f>IF(VLOOKUP(A56,'ALG Remaining Life_Life'!A$2:M$296,11,FALSE)&gt;3," ","+")</f>
        <v xml:space="preserve"> </v>
      </c>
      <c r="Q56" s="19">
        <f t="shared" si="2"/>
        <v>-160664.2872866549</v>
      </c>
      <c r="R56" s="8" t="str">
        <f t="shared" si="17"/>
        <v xml:space="preserve"> </v>
      </c>
      <c r="S56" s="26"/>
      <c r="T56" s="8">
        <f t="shared" si="4"/>
        <v>0.78880189053263228</v>
      </c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</row>
    <row r="57" spans="1:38" ht="14" x14ac:dyDescent="0.25">
      <c r="A57" s="77">
        <v>392.3</v>
      </c>
      <c r="B57" s="77"/>
      <c r="C57" s="21" t="s">
        <v>65</v>
      </c>
      <c r="D57"/>
      <c r="E57" s="41">
        <f>VLOOKUP(A57,'Table 1 Total'!A$12:P$60,10,FALSE)</f>
        <v>2756972.29</v>
      </c>
      <c r="F57" s="41"/>
      <c r="G57" s="41">
        <f>VLOOKUP(A57,'Table 1A Life'!A$10:N$60,10,FALSE)</f>
        <v>1421934.04747861</v>
      </c>
      <c r="H57" s="41"/>
      <c r="I57" s="41">
        <f>VLOOKUP(A57,'ELG Whole Life_Life'!A$1:M$226,2,FALSE)</f>
        <v>1026342.81</v>
      </c>
      <c r="J57" s="12"/>
      <c r="K57" s="19">
        <f t="shared" si="0"/>
        <v>395591.2374786099</v>
      </c>
      <c r="L57" s="19"/>
      <c r="M57" s="71">
        <f t="shared" si="16"/>
        <v>0.27820645984254816</v>
      </c>
      <c r="N57" s="10"/>
      <c r="O57" s="47">
        <f>IF(P57=" ",(VLOOKUP(A57,'ALG Remaining Life_Life'!A$2:M$296,11,FALSE)),3)</f>
        <v>8.0961074657780401</v>
      </c>
      <c r="P57" s="10" t="str">
        <f>IF(VLOOKUP(A57,'ALG Remaining Life_Life'!A$2:M$296,11,FALSE)&gt;3," ","+")</f>
        <v xml:space="preserve"> </v>
      </c>
      <c r="Q57" s="19">
        <f t="shared" si="2"/>
        <v>48861.905446630997</v>
      </c>
      <c r="R57" s="8" t="str">
        <f t="shared" si="17"/>
        <v xml:space="preserve"> </v>
      </c>
      <c r="S57" s="26"/>
      <c r="T57" s="8">
        <f t="shared" si="4"/>
        <v>0.27820645984254816</v>
      </c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</row>
    <row r="58" spans="1:38" ht="14" x14ac:dyDescent="0.25">
      <c r="A58" s="77">
        <v>392.4</v>
      </c>
      <c r="B58" s="77"/>
      <c r="C58" s="21" t="s">
        <v>66</v>
      </c>
      <c r="D58"/>
      <c r="E58" s="41">
        <f>VLOOKUP(A58,'Table 1 Total'!A$12:P$60,10,FALSE)</f>
        <v>231502.9</v>
      </c>
      <c r="F58" s="41"/>
      <c r="G58" s="41">
        <f>VLOOKUP(A58,'Table 1A Life'!A$10:N$60,10,FALSE)</f>
        <v>127712.295988563</v>
      </c>
      <c r="H58" s="41"/>
      <c r="I58" s="41">
        <f>VLOOKUP(A58,'ELG Whole Life_Life'!A$1:M$226,2,FALSE)</f>
        <v>86978.07</v>
      </c>
      <c r="J58" s="12"/>
      <c r="K58" s="19">
        <f t="shared" si="0"/>
        <v>40734.22598856299</v>
      </c>
      <c r="L58" s="19"/>
      <c r="M58" s="71">
        <f t="shared" si="16"/>
        <v>0.31895304734174429</v>
      </c>
      <c r="N58" s="10"/>
      <c r="O58" s="47">
        <f>IF(P58=" ",(VLOOKUP(A58,'ALG Remaining Life_Life'!A$2:M$296,11,FALSE)),3)</f>
        <v>8.1405181498240502</v>
      </c>
      <c r="P58" s="10" t="str">
        <f>IF(VLOOKUP(A58,'ALG Remaining Life_Life'!A$2:M$296,11,FALSE)&gt;3," ","+")</f>
        <v xml:space="preserve"> </v>
      </c>
      <c r="Q58" s="19">
        <f t="shared" si="2"/>
        <v>5003.886145680226</v>
      </c>
      <c r="R58" s="8" t="str">
        <f t="shared" si="17"/>
        <v xml:space="preserve"> </v>
      </c>
      <c r="S58" s="26"/>
      <c r="T58" s="8">
        <f t="shared" si="4"/>
        <v>0.31895304734174429</v>
      </c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</row>
    <row r="59" spans="1:38" ht="14" x14ac:dyDescent="0.25">
      <c r="A59" s="77">
        <v>394</v>
      </c>
      <c r="B59" s="77"/>
      <c r="C59" s="21" t="s">
        <v>67</v>
      </c>
      <c r="D59"/>
      <c r="E59" s="81">
        <f>VLOOKUP(A59,'Table 1 Total'!A$12:P$60,10,FALSE)</f>
        <v>1712700.03</v>
      </c>
      <c r="F59" s="41"/>
      <c r="G59" s="81">
        <f>VLOOKUP(A59,'Table 1A Life'!A$10:N$60,10,FALSE)</f>
        <v>785216.995666667</v>
      </c>
      <c r="H59" s="41"/>
      <c r="I59" s="79">
        <f>VLOOKUP(A59,'ELG Whole Life_Life'!A$1:M$226,2,FALSE)</f>
        <v>792027.36</v>
      </c>
      <c r="J59" s="12"/>
      <c r="K59" s="80">
        <f t="shared" si="0"/>
        <v>-6810.3643333329819</v>
      </c>
      <c r="L59" s="19"/>
      <c r="M59" s="71">
        <f t="shared" si="16"/>
        <v>-8.6732258355549582E-3</v>
      </c>
      <c r="N59" s="10"/>
      <c r="O59" s="47">
        <f>IF(P59=" ",(VLOOKUP(A59,'ALG Remaining Life_Life'!A$2:M$296,11,FALSE)),3)</f>
        <v>8.1229901741754507</v>
      </c>
      <c r="P59" s="10" t="str">
        <f>IF(VLOOKUP(A59,'ALG Remaining Life_Life'!A$2:M$296,11,FALSE)&gt;3," ","+")</f>
        <v xml:space="preserve"> </v>
      </c>
      <c r="Q59" s="80">
        <f t="shared" si="2"/>
        <v>0</v>
      </c>
      <c r="R59" s="8" t="str">
        <f t="shared" si="17"/>
        <v>*</v>
      </c>
      <c r="S59" s="26"/>
      <c r="T59" s="8">
        <f t="shared" si="4"/>
        <v>8.6732258355549582E-3</v>
      </c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ht="14" x14ac:dyDescent="0.3">
      <c r="A60" s="14" t="s">
        <v>68</v>
      </c>
      <c r="B60" s="14"/>
      <c r="C60" s="21"/>
      <c r="D60"/>
      <c r="E60" s="44">
        <f>_xlfn.IFNA(SUM(E51:E59),0)</f>
        <v>14421333.059999999</v>
      </c>
      <c r="F60" s="41"/>
      <c r="G60" s="44">
        <f>_xlfn.IFNA(SUM(G51:G59),0)</f>
        <v>7238101.2344815666</v>
      </c>
      <c r="H60" s="41"/>
      <c r="I60" s="44">
        <f>_xlfn.IFNA(SUM(I51:I59),0)</f>
        <v>9261235.8699999992</v>
      </c>
      <c r="J60" s="12"/>
      <c r="K60" s="44">
        <f>_xlfn.IFNA(SUM(K51:K59),0)</f>
        <v>-2023134.635518434</v>
      </c>
      <c r="L60" s="19"/>
      <c r="M60" s="71"/>
      <c r="N60" s="10"/>
      <c r="O60" s="47"/>
      <c r="P60" s="10"/>
      <c r="Q60" s="44">
        <f>_xlfn.IFNA(SUM(Q51:Q59),0)</f>
        <v>-197271.92429702659</v>
      </c>
      <c r="R60" s="8"/>
      <c r="S60" s="26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ht="14" x14ac:dyDescent="0.25">
      <c r="A61" s="15"/>
      <c r="B61" s="15"/>
      <c r="C61" s="21"/>
      <c r="D61"/>
      <c r="E61" s="41"/>
      <c r="F61" s="41"/>
      <c r="G61" s="41"/>
      <c r="H61" s="41"/>
      <c r="I61" s="41"/>
      <c r="J61" s="12"/>
      <c r="K61" s="19"/>
      <c r="L61" s="19"/>
      <c r="M61" s="71"/>
      <c r="N61" s="10"/>
      <c r="O61" s="47"/>
      <c r="P61" s="10"/>
      <c r="Q61" s="19"/>
      <c r="R61" s="8"/>
      <c r="S61" s="26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ht="14" x14ac:dyDescent="0.3">
      <c r="A62" s="75" t="s">
        <v>69</v>
      </c>
      <c r="B62" s="32"/>
      <c r="C62" s="21"/>
      <c r="D62" s="21"/>
      <c r="E62" s="90">
        <f>SUM(E60,E48,E32,E26,E17)</f>
        <v>265766419.10000002</v>
      </c>
      <c r="F62" s="44"/>
      <c r="G62" s="90">
        <f>SUM(G60,G48,G32,G26,G17)</f>
        <v>92527645.396364748</v>
      </c>
      <c r="H62" s="44"/>
      <c r="I62" s="90">
        <f>SUM(I60,I48,I32,I26,I17)</f>
        <v>107414400.28999999</v>
      </c>
      <c r="J62" s="65"/>
      <c r="K62" s="102">
        <f>SUM(K60,K48,K32,K26,K17)</f>
        <v>-14886754.893635266</v>
      </c>
      <c r="L62" s="63"/>
      <c r="M62" s="66"/>
      <c r="N62" s="13"/>
      <c r="O62" s="67"/>
      <c r="P62" s="13"/>
      <c r="Q62" s="44">
        <f>SUM(Q60,Q48,Q32,Q26,Q17)</f>
        <v>-684291.96859390184</v>
      </c>
      <c r="R62" s="8"/>
      <c r="S62" s="26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ht="14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26"/>
      <c r="T63" s="8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</row>
    <row r="64" spans="1:38" x14ac:dyDescent="0.25">
      <c r="C64" s="21"/>
      <c r="D64" s="21"/>
      <c r="E64" s="2"/>
      <c r="G64" s="2"/>
      <c r="I64" s="2"/>
      <c r="Q64" s="2"/>
      <c r="T64" s="1"/>
    </row>
    <row r="65" spans="3:20" x14ac:dyDescent="0.25">
      <c r="C65" s="72" t="s">
        <v>87</v>
      </c>
      <c r="D65" s="21"/>
      <c r="E65" s="1"/>
      <c r="G65" s="2"/>
      <c r="I65" s="2"/>
      <c r="Q65" s="2"/>
      <c r="R65" s="2"/>
      <c r="S65" s="2"/>
      <c r="T65" s="1"/>
    </row>
    <row r="66" spans="3:20" x14ac:dyDescent="0.25">
      <c r="C66" s="72" t="s">
        <v>88</v>
      </c>
      <c r="D66" s="21"/>
      <c r="E66" s="1"/>
      <c r="G66" s="2"/>
      <c r="I66" s="2"/>
      <c r="Q66" s="2"/>
      <c r="R66" s="2"/>
      <c r="S66" s="2"/>
      <c r="T66" s="1"/>
    </row>
    <row r="67" spans="3:20" x14ac:dyDescent="0.25">
      <c r="C67" s="72" t="s">
        <v>89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3:20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</sheetData>
  <conditionalFormatting sqref="A51:E60">
    <cfRule type="expression" dxfId="13" priority="1">
      <formula>MOD(ROW(),2)=0</formula>
    </cfRule>
  </conditionalFormatting>
  <conditionalFormatting sqref="A20:R25">
    <cfRule type="expression" dxfId="12" priority="4">
      <formula>MOD(ROW(),2)=0</formula>
    </cfRule>
  </conditionalFormatting>
  <conditionalFormatting sqref="A31:AL50">
    <cfRule type="expression" dxfId="11" priority="2">
      <formula>MOD(ROW(),2)=0</formula>
    </cfRule>
  </conditionalFormatting>
  <conditionalFormatting sqref="A8:XFD19">
    <cfRule type="expression" dxfId="10" priority="24">
      <formula>MOD(ROW(),2)=0</formula>
    </cfRule>
  </conditionalFormatting>
  <conditionalFormatting sqref="F60:Q60">
    <cfRule type="expression" dxfId="9" priority="162">
      <formula>MOD(ROW(),2)=0</formula>
    </cfRule>
  </conditionalFormatting>
  <conditionalFormatting sqref="F51:AL59">
    <cfRule type="expression" dxfId="8" priority="5">
      <formula>MOD(ROW(),2)=0</formula>
    </cfRule>
  </conditionalFormatting>
  <conditionalFormatting sqref="R60:AL63 A61:Q63">
    <cfRule type="expression" dxfId="7" priority="122">
      <formula>MOD(ROW(),2)=0</formula>
    </cfRule>
  </conditionalFormatting>
  <conditionalFormatting sqref="T20:T25 A26:XFD30">
    <cfRule type="expression" dxfId="6" priority="23">
      <formula>MOD(ROW(),2)=0</formula>
    </cfRule>
  </conditionalFormatting>
  <printOptions horizontalCentered="1"/>
  <pageMargins left="0.7" right="0.7" top="0.75" bottom="0.75" header="0.3" footer="0.3"/>
  <pageSetup scale="67" orientation="landscape" r:id="rId1"/>
  <headerFooter>
    <oddHeader>&amp;R&amp;"Arial,Bold"Attachment 4
&amp;A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A552-3F8E-418F-BB2F-24E8AE60767B}">
  <dimension ref="A1:AL76"/>
  <sheetViews>
    <sheetView zoomScaleNormal="100" workbookViewId="0">
      <pane ySplit="7" topLeftCell="A8" activePane="bottomLeft" state="frozen"/>
      <selection activeCell="A5" sqref="A5:XFD5"/>
      <selection pane="bottomLeft" activeCell="G14" sqref="G14"/>
    </sheetView>
  </sheetViews>
  <sheetFormatPr defaultRowHeight="12.5" x14ac:dyDescent="0.25"/>
  <cols>
    <col min="1" max="2" width="8.7265625" style="21" customWidth="1"/>
    <col min="3" max="3" width="52.81640625" style="1" customWidth="1"/>
    <col min="4" max="4" width="2.7265625" style="1" customWidth="1"/>
    <col min="5" max="5" width="17.26953125" style="48" bestFit="1" customWidth="1"/>
    <col min="6" max="6" width="2.1796875" style="2" customWidth="1"/>
    <col min="7" max="7" width="18.26953125" style="34" bestFit="1" customWidth="1"/>
    <col min="8" max="8" width="2.26953125" style="2" customWidth="1"/>
    <col min="9" max="9" width="14.26953125" style="34" bestFit="1" customWidth="1"/>
    <col min="10" max="10" width="2.26953125" style="2" customWidth="1"/>
    <col min="11" max="11" width="15.7265625" style="2" bestFit="1" customWidth="1"/>
    <col min="12" max="12" width="2.26953125" style="2" customWidth="1"/>
    <col min="13" max="13" width="15.7265625" style="2" customWidth="1"/>
    <col min="14" max="14" width="2.26953125" style="2" customWidth="1"/>
    <col min="15" max="15" width="9.81640625" style="2" bestFit="1" customWidth="1"/>
    <col min="16" max="16" width="2.26953125" style="2" customWidth="1"/>
    <col min="17" max="17" width="13.7265625" style="34" bestFit="1" customWidth="1"/>
    <col min="18" max="18" width="9.7265625" style="1" customWidth="1"/>
    <col min="19" max="19" width="9.1796875" style="1" customWidth="1"/>
    <col min="20" max="20" width="23.81640625" style="33" hidden="1" customWidth="1"/>
    <col min="21" max="254" width="9.1796875" style="1"/>
    <col min="255" max="255" width="12" style="1" customWidth="1"/>
    <col min="256" max="256" width="2.26953125" style="1" customWidth="1"/>
    <col min="257" max="257" width="49.81640625" style="1" customWidth="1"/>
    <col min="258" max="258" width="2.26953125" style="1" customWidth="1"/>
    <col min="259" max="259" width="13.54296875" style="1" customWidth="1"/>
    <col min="260" max="260" width="2.26953125" style="1" customWidth="1"/>
    <col min="261" max="261" width="17.81640625" style="1" bestFit="1" customWidth="1"/>
    <col min="262" max="262" width="2.1796875" style="1" customWidth="1"/>
    <col min="263" max="263" width="17.453125" style="1" bestFit="1" customWidth="1"/>
    <col min="264" max="264" width="2.26953125" style="1" customWidth="1"/>
    <col min="265" max="265" width="18.453125" style="1" customWidth="1"/>
    <col min="266" max="266" width="2.26953125" style="1" customWidth="1"/>
    <col min="267" max="267" width="16.81640625" style="1" customWidth="1"/>
    <col min="268" max="268" width="2.26953125" style="1" customWidth="1"/>
    <col min="269" max="269" width="15.1796875" style="1" customWidth="1"/>
    <col min="270" max="270" width="2.26953125" style="1" customWidth="1"/>
    <col min="271" max="271" width="11.453125" style="1" customWidth="1"/>
    <col min="272" max="272" width="2.26953125" style="1" customWidth="1"/>
    <col min="273" max="273" width="15.1796875" style="1" bestFit="1" customWidth="1"/>
    <col min="274" max="274" width="3.26953125" style="1" customWidth="1"/>
    <col min="275" max="275" width="9.1796875" style="1"/>
    <col min="276" max="276" width="23.81640625" style="1" customWidth="1"/>
    <col min="277" max="510" width="9.1796875" style="1"/>
    <col min="511" max="511" width="12" style="1" customWidth="1"/>
    <col min="512" max="512" width="2.26953125" style="1" customWidth="1"/>
    <col min="513" max="513" width="49.81640625" style="1" customWidth="1"/>
    <col min="514" max="514" width="2.26953125" style="1" customWidth="1"/>
    <col min="515" max="515" width="13.54296875" style="1" customWidth="1"/>
    <col min="516" max="516" width="2.26953125" style="1" customWidth="1"/>
    <col min="517" max="517" width="17.81640625" style="1" bestFit="1" customWidth="1"/>
    <col min="518" max="518" width="2.1796875" style="1" customWidth="1"/>
    <col min="519" max="519" width="17.453125" style="1" bestFit="1" customWidth="1"/>
    <col min="520" max="520" width="2.26953125" style="1" customWidth="1"/>
    <col min="521" max="521" width="18.453125" style="1" customWidth="1"/>
    <col min="522" max="522" width="2.26953125" style="1" customWidth="1"/>
    <col min="523" max="523" width="16.81640625" style="1" customWidth="1"/>
    <col min="524" max="524" width="2.26953125" style="1" customWidth="1"/>
    <col min="525" max="525" width="15.1796875" style="1" customWidth="1"/>
    <col min="526" max="526" width="2.26953125" style="1" customWidth="1"/>
    <col min="527" max="527" width="11.453125" style="1" customWidth="1"/>
    <col min="528" max="528" width="2.26953125" style="1" customWidth="1"/>
    <col min="529" max="529" width="15.1796875" style="1" bestFit="1" customWidth="1"/>
    <col min="530" max="530" width="3.26953125" style="1" customWidth="1"/>
    <col min="531" max="531" width="9.1796875" style="1"/>
    <col min="532" max="532" width="23.81640625" style="1" customWidth="1"/>
    <col min="533" max="766" width="9.1796875" style="1"/>
    <col min="767" max="767" width="12" style="1" customWidth="1"/>
    <col min="768" max="768" width="2.26953125" style="1" customWidth="1"/>
    <col min="769" max="769" width="49.81640625" style="1" customWidth="1"/>
    <col min="770" max="770" width="2.26953125" style="1" customWidth="1"/>
    <col min="771" max="771" width="13.54296875" style="1" customWidth="1"/>
    <col min="772" max="772" width="2.26953125" style="1" customWidth="1"/>
    <col min="773" max="773" width="17.81640625" style="1" bestFit="1" customWidth="1"/>
    <col min="774" max="774" width="2.1796875" style="1" customWidth="1"/>
    <col min="775" max="775" width="17.453125" style="1" bestFit="1" customWidth="1"/>
    <col min="776" max="776" width="2.26953125" style="1" customWidth="1"/>
    <col min="777" max="777" width="18.453125" style="1" customWidth="1"/>
    <col min="778" max="778" width="2.26953125" style="1" customWidth="1"/>
    <col min="779" max="779" width="16.81640625" style="1" customWidth="1"/>
    <col min="780" max="780" width="2.26953125" style="1" customWidth="1"/>
    <col min="781" max="781" width="15.1796875" style="1" customWidth="1"/>
    <col min="782" max="782" width="2.26953125" style="1" customWidth="1"/>
    <col min="783" max="783" width="11.453125" style="1" customWidth="1"/>
    <col min="784" max="784" width="2.26953125" style="1" customWidth="1"/>
    <col min="785" max="785" width="15.1796875" style="1" bestFit="1" customWidth="1"/>
    <col min="786" max="786" width="3.26953125" style="1" customWidth="1"/>
    <col min="787" max="787" width="9.1796875" style="1"/>
    <col min="788" max="788" width="23.81640625" style="1" customWidth="1"/>
    <col min="789" max="1022" width="9.1796875" style="1"/>
    <col min="1023" max="1023" width="12" style="1" customWidth="1"/>
    <col min="1024" max="1024" width="2.26953125" style="1" customWidth="1"/>
    <col min="1025" max="1025" width="49.81640625" style="1" customWidth="1"/>
    <col min="1026" max="1026" width="2.26953125" style="1" customWidth="1"/>
    <col min="1027" max="1027" width="13.54296875" style="1" customWidth="1"/>
    <col min="1028" max="1028" width="2.26953125" style="1" customWidth="1"/>
    <col min="1029" max="1029" width="17.81640625" style="1" bestFit="1" customWidth="1"/>
    <col min="1030" max="1030" width="2.1796875" style="1" customWidth="1"/>
    <col min="1031" max="1031" width="17.453125" style="1" bestFit="1" customWidth="1"/>
    <col min="1032" max="1032" width="2.26953125" style="1" customWidth="1"/>
    <col min="1033" max="1033" width="18.453125" style="1" customWidth="1"/>
    <col min="1034" max="1034" width="2.26953125" style="1" customWidth="1"/>
    <col min="1035" max="1035" width="16.81640625" style="1" customWidth="1"/>
    <col min="1036" max="1036" width="2.26953125" style="1" customWidth="1"/>
    <col min="1037" max="1037" width="15.1796875" style="1" customWidth="1"/>
    <col min="1038" max="1038" width="2.26953125" style="1" customWidth="1"/>
    <col min="1039" max="1039" width="11.453125" style="1" customWidth="1"/>
    <col min="1040" max="1040" width="2.26953125" style="1" customWidth="1"/>
    <col min="1041" max="1041" width="15.1796875" style="1" bestFit="1" customWidth="1"/>
    <col min="1042" max="1042" width="3.26953125" style="1" customWidth="1"/>
    <col min="1043" max="1043" width="9.1796875" style="1"/>
    <col min="1044" max="1044" width="23.81640625" style="1" customWidth="1"/>
    <col min="1045" max="1278" width="9.1796875" style="1"/>
    <col min="1279" max="1279" width="12" style="1" customWidth="1"/>
    <col min="1280" max="1280" width="2.26953125" style="1" customWidth="1"/>
    <col min="1281" max="1281" width="49.81640625" style="1" customWidth="1"/>
    <col min="1282" max="1282" width="2.26953125" style="1" customWidth="1"/>
    <col min="1283" max="1283" width="13.54296875" style="1" customWidth="1"/>
    <col min="1284" max="1284" width="2.26953125" style="1" customWidth="1"/>
    <col min="1285" max="1285" width="17.81640625" style="1" bestFit="1" customWidth="1"/>
    <col min="1286" max="1286" width="2.1796875" style="1" customWidth="1"/>
    <col min="1287" max="1287" width="17.453125" style="1" bestFit="1" customWidth="1"/>
    <col min="1288" max="1288" width="2.26953125" style="1" customWidth="1"/>
    <col min="1289" max="1289" width="18.453125" style="1" customWidth="1"/>
    <col min="1290" max="1290" width="2.26953125" style="1" customWidth="1"/>
    <col min="1291" max="1291" width="16.81640625" style="1" customWidth="1"/>
    <col min="1292" max="1292" width="2.26953125" style="1" customWidth="1"/>
    <col min="1293" max="1293" width="15.1796875" style="1" customWidth="1"/>
    <col min="1294" max="1294" width="2.26953125" style="1" customWidth="1"/>
    <col min="1295" max="1295" width="11.453125" style="1" customWidth="1"/>
    <col min="1296" max="1296" width="2.26953125" style="1" customWidth="1"/>
    <col min="1297" max="1297" width="15.1796875" style="1" bestFit="1" customWidth="1"/>
    <col min="1298" max="1298" width="3.26953125" style="1" customWidth="1"/>
    <col min="1299" max="1299" width="9.1796875" style="1"/>
    <col min="1300" max="1300" width="23.81640625" style="1" customWidth="1"/>
    <col min="1301" max="1534" width="9.1796875" style="1"/>
    <col min="1535" max="1535" width="12" style="1" customWidth="1"/>
    <col min="1536" max="1536" width="2.26953125" style="1" customWidth="1"/>
    <col min="1537" max="1537" width="49.81640625" style="1" customWidth="1"/>
    <col min="1538" max="1538" width="2.26953125" style="1" customWidth="1"/>
    <col min="1539" max="1539" width="13.54296875" style="1" customWidth="1"/>
    <col min="1540" max="1540" width="2.26953125" style="1" customWidth="1"/>
    <col min="1541" max="1541" width="17.81640625" style="1" bestFit="1" customWidth="1"/>
    <col min="1542" max="1542" width="2.1796875" style="1" customWidth="1"/>
    <col min="1543" max="1543" width="17.453125" style="1" bestFit="1" customWidth="1"/>
    <col min="1544" max="1544" width="2.26953125" style="1" customWidth="1"/>
    <col min="1545" max="1545" width="18.453125" style="1" customWidth="1"/>
    <col min="1546" max="1546" width="2.26953125" style="1" customWidth="1"/>
    <col min="1547" max="1547" width="16.81640625" style="1" customWidth="1"/>
    <col min="1548" max="1548" width="2.26953125" style="1" customWidth="1"/>
    <col min="1549" max="1549" width="15.1796875" style="1" customWidth="1"/>
    <col min="1550" max="1550" width="2.26953125" style="1" customWidth="1"/>
    <col min="1551" max="1551" width="11.453125" style="1" customWidth="1"/>
    <col min="1552" max="1552" width="2.26953125" style="1" customWidth="1"/>
    <col min="1553" max="1553" width="15.1796875" style="1" bestFit="1" customWidth="1"/>
    <col min="1554" max="1554" width="3.26953125" style="1" customWidth="1"/>
    <col min="1555" max="1555" width="9.1796875" style="1"/>
    <col min="1556" max="1556" width="23.81640625" style="1" customWidth="1"/>
    <col min="1557" max="1790" width="9.1796875" style="1"/>
    <col min="1791" max="1791" width="12" style="1" customWidth="1"/>
    <col min="1792" max="1792" width="2.26953125" style="1" customWidth="1"/>
    <col min="1793" max="1793" width="49.81640625" style="1" customWidth="1"/>
    <col min="1794" max="1794" width="2.26953125" style="1" customWidth="1"/>
    <col min="1795" max="1795" width="13.54296875" style="1" customWidth="1"/>
    <col min="1796" max="1796" width="2.26953125" style="1" customWidth="1"/>
    <col min="1797" max="1797" width="17.81640625" style="1" bestFit="1" customWidth="1"/>
    <col min="1798" max="1798" width="2.1796875" style="1" customWidth="1"/>
    <col min="1799" max="1799" width="17.453125" style="1" bestFit="1" customWidth="1"/>
    <col min="1800" max="1800" width="2.26953125" style="1" customWidth="1"/>
    <col min="1801" max="1801" width="18.453125" style="1" customWidth="1"/>
    <col min="1802" max="1802" width="2.26953125" style="1" customWidth="1"/>
    <col min="1803" max="1803" width="16.81640625" style="1" customWidth="1"/>
    <col min="1804" max="1804" width="2.26953125" style="1" customWidth="1"/>
    <col min="1805" max="1805" width="15.1796875" style="1" customWidth="1"/>
    <col min="1806" max="1806" width="2.26953125" style="1" customWidth="1"/>
    <col min="1807" max="1807" width="11.453125" style="1" customWidth="1"/>
    <col min="1808" max="1808" width="2.26953125" style="1" customWidth="1"/>
    <col min="1809" max="1809" width="15.1796875" style="1" bestFit="1" customWidth="1"/>
    <col min="1810" max="1810" width="3.26953125" style="1" customWidth="1"/>
    <col min="1811" max="1811" width="9.1796875" style="1"/>
    <col min="1812" max="1812" width="23.81640625" style="1" customWidth="1"/>
    <col min="1813" max="2046" width="9.1796875" style="1"/>
    <col min="2047" max="2047" width="12" style="1" customWidth="1"/>
    <col min="2048" max="2048" width="2.26953125" style="1" customWidth="1"/>
    <col min="2049" max="2049" width="49.81640625" style="1" customWidth="1"/>
    <col min="2050" max="2050" width="2.26953125" style="1" customWidth="1"/>
    <col min="2051" max="2051" width="13.54296875" style="1" customWidth="1"/>
    <col min="2052" max="2052" width="2.26953125" style="1" customWidth="1"/>
    <col min="2053" max="2053" width="17.81640625" style="1" bestFit="1" customWidth="1"/>
    <col min="2054" max="2054" width="2.1796875" style="1" customWidth="1"/>
    <col min="2055" max="2055" width="17.453125" style="1" bestFit="1" customWidth="1"/>
    <col min="2056" max="2056" width="2.26953125" style="1" customWidth="1"/>
    <col min="2057" max="2057" width="18.453125" style="1" customWidth="1"/>
    <col min="2058" max="2058" width="2.26953125" style="1" customWidth="1"/>
    <col min="2059" max="2059" width="16.81640625" style="1" customWidth="1"/>
    <col min="2060" max="2060" width="2.26953125" style="1" customWidth="1"/>
    <col min="2061" max="2061" width="15.1796875" style="1" customWidth="1"/>
    <col min="2062" max="2062" width="2.26953125" style="1" customWidth="1"/>
    <col min="2063" max="2063" width="11.453125" style="1" customWidth="1"/>
    <col min="2064" max="2064" width="2.26953125" style="1" customWidth="1"/>
    <col min="2065" max="2065" width="15.1796875" style="1" bestFit="1" customWidth="1"/>
    <col min="2066" max="2066" width="3.26953125" style="1" customWidth="1"/>
    <col min="2067" max="2067" width="9.1796875" style="1"/>
    <col min="2068" max="2068" width="23.81640625" style="1" customWidth="1"/>
    <col min="2069" max="2302" width="9.1796875" style="1"/>
    <col min="2303" max="2303" width="12" style="1" customWidth="1"/>
    <col min="2304" max="2304" width="2.26953125" style="1" customWidth="1"/>
    <col min="2305" max="2305" width="49.81640625" style="1" customWidth="1"/>
    <col min="2306" max="2306" width="2.26953125" style="1" customWidth="1"/>
    <col min="2307" max="2307" width="13.54296875" style="1" customWidth="1"/>
    <col min="2308" max="2308" width="2.26953125" style="1" customWidth="1"/>
    <col min="2309" max="2309" width="17.81640625" style="1" bestFit="1" customWidth="1"/>
    <col min="2310" max="2310" width="2.1796875" style="1" customWidth="1"/>
    <col min="2311" max="2311" width="17.453125" style="1" bestFit="1" customWidth="1"/>
    <col min="2312" max="2312" width="2.26953125" style="1" customWidth="1"/>
    <col min="2313" max="2313" width="18.453125" style="1" customWidth="1"/>
    <col min="2314" max="2314" width="2.26953125" style="1" customWidth="1"/>
    <col min="2315" max="2315" width="16.81640625" style="1" customWidth="1"/>
    <col min="2316" max="2316" width="2.26953125" style="1" customWidth="1"/>
    <col min="2317" max="2317" width="15.1796875" style="1" customWidth="1"/>
    <col min="2318" max="2318" width="2.26953125" style="1" customWidth="1"/>
    <col min="2319" max="2319" width="11.453125" style="1" customWidth="1"/>
    <col min="2320" max="2320" width="2.26953125" style="1" customWidth="1"/>
    <col min="2321" max="2321" width="15.1796875" style="1" bestFit="1" customWidth="1"/>
    <col min="2322" max="2322" width="3.26953125" style="1" customWidth="1"/>
    <col min="2323" max="2323" width="9.1796875" style="1"/>
    <col min="2324" max="2324" width="23.81640625" style="1" customWidth="1"/>
    <col min="2325" max="2558" width="9.1796875" style="1"/>
    <col min="2559" max="2559" width="12" style="1" customWidth="1"/>
    <col min="2560" max="2560" width="2.26953125" style="1" customWidth="1"/>
    <col min="2561" max="2561" width="49.81640625" style="1" customWidth="1"/>
    <col min="2562" max="2562" width="2.26953125" style="1" customWidth="1"/>
    <col min="2563" max="2563" width="13.54296875" style="1" customWidth="1"/>
    <col min="2564" max="2564" width="2.26953125" style="1" customWidth="1"/>
    <col min="2565" max="2565" width="17.81640625" style="1" bestFit="1" customWidth="1"/>
    <col min="2566" max="2566" width="2.1796875" style="1" customWidth="1"/>
    <col min="2567" max="2567" width="17.453125" style="1" bestFit="1" customWidth="1"/>
    <col min="2568" max="2568" width="2.26953125" style="1" customWidth="1"/>
    <col min="2569" max="2569" width="18.453125" style="1" customWidth="1"/>
    <col min="2570" max="2570" width="2.26953125" style="1" customWidth="1"/>
    <col min="2571" max="2571" width="16.81640625" style="1" customWidth="1"/>
    <col min="2572" max="2572" width="2.26953125" style="1" customWidth="1"/>
    <col min="2573" max="2573" width="15.1796875" style="1" customWidth="1"/>
    <col min="2574" max="2574" width="2.26953125" style="1" customWidth="1"/>
    <col min="2575" max="2575" width="11.453125" style="1" customWidth="1"/>
    <col min="2576" max="2576" width="2.26953125" style="1" customWidth="1"/>
    <col min="2577" max="2577" width="15.1796875" style="1" bestFit="1" customWidth="1"/>
    <col min="2578" max="2578" width="3.26953125" style="1" customWidth="1"/>
    <col min="2579" max="2579" width="9.1796875" style="1"/>
    <col min="2580" max="2580" width="23.81640625" style="1" customWidth="1"/>
    <col min="2581" max="2814" width="9.1796875" style="1"/>
    <col min="2815" max="2815" width="12" style="1" customWidth="1"/>
    <col min="2816" max="2816" width="2.26953125" style="1" customWidth="1"/>
    <col min="2817" max="2817" width="49.81640625" style="1" customWidth="1"/>
    <col min="2818" max="2818" width="2.26953125" style="1" customWidth="1"/>
    <col min="2819" max="2819" width="13.54296875" style="1" customWidth="1"/>
    <col min="2820" max="2820" width="2.26953125" style="1" customWidth="1"/>
    <col min="2821" max="2821" width="17.81640625" style="1" bestFit="1" customWidth="1"/>
    <col min="2822" max="2822" width="2.1796875" style="1" customWidth="1"/>
    <col min="2823" max="2823" width="17.453125" style="1" bestFit="1" customWidth="1"/>
    <col min="2824" max="2824" width="2.26953125" style="1" customWidth="1"/>
    <col min="2825" max="2825" width="18.453125" style="1" customWidth="1"/>
    <col min="2826" max="2826" width="2.26953125" style="1" customWidth="1"/>
    <col min="2827" max="2827" width="16.81640625" style="1" customWidth="1"/>
    <col min="2828" max="2828" width="2.26953125" style="1" customWidth="1"/>
    <col min="2829" max="2829" width="15.1796875" style="1" customWidth="1"/>
    <col min="2830" max="2830" width="2.26953125" style="1" customWidth="1"/>
    <col min="2831" max="2831" width="11.453125" style="1" customWidth="1"/>
    <col min="2832" max="2832" width="2.26953125" style="1" customWidth="1"/>
    <col min="2833" max="2833" width="15.1796875" style="1" bestFit="1" customWidth="1"/>
    <col min="2834" max="2834" width="3.26953125" style="1" customWidth="1"/>
    <col min="2835" max="2835" width="9.1796875" style="1"/>
    <col min="2836" max="2836" width="23.81640625" style="1" customWidth="1"/>
    <col min="2837" max="3070" width="9.1796875" style="1"/>
    <col min="3071" max="3071" width="12" style="1" customWidth="1"/>
    <col min="3072" max="3072" width="2.26953125" style="1" customWidth="1"/>
    <col min="3073" max="3073" width="49.81640625" style="1" customWidth="1"/>
    <col min="3074" max="3074" width="2.26953125" style="1" customWidth="1"/>
    <col min="3075" max="3075" width="13.54296875" style="1" customWidth="1"/>
    <col min="3076" max="3076" width="2.26953125" style="1" customWidth="1"/>
    <col min="3077" max="3077" width="17.81640625" style="1" bestFit="1" customWidth="1"/>
    <col min="3078" max="3078" width="2.1796875" style="1" customWidth="1"/>
    <col min="3079" max="3079" width="17.453125" style="1" bestFit="1" customWidth="1"/>
    <col min="3080" max="3080" width="2.26953125" style="1" customWidth="1"/>
    <col min="3081" max="3081" width="18.453125" style="1" customWidth="1"/>
    <col min="3082" max="3082" width="2.26953125" style="1" customWidth="1"/>
    <col min="3083" max="3083" width="16.81640625" style="1" customWidth="1"/>
    <col min="3084" max="3084" width="2.26953125" style="1" customWidth="1"/>
    <col min="3085" max="3085" width="15.1796875" style="1" customWidth="1"/>
    <col min="3086" max="3086" width="2.26953125" style="1" customWidth="1"/>
    <col min="3087" max="3087" width="11.453125" style="1" customWidth="1"/>
    <col min="3088" max="3088" width="2.26953125" style="1" customWidth="1"/>
    <col min="3089" max="3089" width="15.1796875" style="1" bestFit="1" customWidth="1"/>
    <col min="3090" max="3090" width="3.26953125" style="1" customWidth="1"/>
    <col min="3091" max="3091" width="9.1796875" style="1"/>
    <col min="3092" max="3092" width="23.81640625" style="1" customWidth="1"/>
    <col min="3093" max="3326" width="9.1796875" style="1"/>
    <col min="3327" max="3327" width="12" style="1" customWidth="1"/>
    <col min="3328" max="3328" width="2.26953125" style="1" customWidth="1"/>
    <col min="3329" max="3329" width="49.81640625" style="1" customWidth="1"/>
    <col min="3330" max="3330" width="2.26953125" style="1" customWidth="1"/>
    <col min="3331" max="3331" width="13.54296875" style="1" customWidth="1"/>
    <col min="3332" max="3332" width="2.26953125" style="1" customWidth="1"/>
    <col min="3333" max="3333" width="17.81640625" style="1" bestFit="1" customWidth="1"/>
    <col min="3334" max="3334" width="2.1796875" style="1" customWidth="1"/>
    <col min="3335" max="3335" width="17.453125" style="1" bestFit="1" customWidth="1"/>
    <col min="3336" max="3336" width="2.26953125" style="1" customWidth="1"/>
    <col min="3337" max="3337" width="18.453125" style="1" customWidth="1"/>
    <col min="3338" max="3338" width="2.26953125" style="1" customWidth="1"/>
    <col min="3339" max="3339" width="16.81640625" style="1" customWidth="1"/>
    <col min="3340" max="3340" width="2.26953125" style="1" customWidth="1"/>
    <col min="3341" max="3341" width="15.1796875" style="1" customWidth="1"/>
    <col min="3342" max="3342" width="2.26953125" style="1" customWidth="1"/>
    <col min="3343" max="3343" width="11.453125" style="1" customWidth="1"/>
    <col min="3344" max="3344" width="2.26953125" style="1" customWidth="1"/>
    <col min="3345" max="3345" width="15.1796875" style="1" bestFit="1" customWidth="1"/>
    <col min="3346" max="3346" width="3.26953125" style="1" customWidth="1"/>
    <col min="3347" max="3347" width="9.1796875" style="1"/>
    <col min="3348" max="3348" width="23.81640625" style="1" customWidth="1"/>
    <col min="3349" max="3582" width="9.1796875" style="1"/>
    <col min="3583" max="3583" width="12" style="1" customWidth="1"/>
    <col min="3584" max="3584" width="2.26953125" style="1" customWidth="1"/>
    <col min="3585" max="3585" width="49.81640625" style="1" customWidth="1"/>
    <col min="3586" max="3586" width="2.26953125" style="1" customWidth="1"/>
    <col min="3587" max="3587" width="13.54296875" style="1" customWidth="1"/>
    <col min="3588" max="3588" width="2.26953125" style="1" customWidth="1"/>
    <col min="3589" max="3589" width="17.81640625" style="1" bestFit="1" customWidth="1"/>
    <col min="3590" max="3590" width="2.1796875" style="1" customWidth="1"/>
    <col min="3591" max="3591" width="17.453125" style="1" bestFit="1" customWidth="1"/>
    <col min="3592" max="3592" width="2.26953125" style="1" customWidth="1"/>
    <col min="3593" max="3593" width="18.453125" style="1" customWidth="1"/>
    <col min="3594" max="3594" width="2.26953125" style="1" customWidth="1"/>
    <col min="3595" max="3595" width="16.81640625" style="1" customWidth="1"/>
    <col min="3596" max="3596" width="2.26953125" style="1" customWidth="1"/>
    <col min="3597" max="3597" width="15.1796875" style="1" customWidth="1"/>
    <col min="3598" max="3598" width="2.26953125" style="1" customWidth="1"/>
    <col min="3599" max="3599" width="11.453125" style="1" customWidth="1"/>
    <col min="3600" max="3600" width="2.26953125" style="1" customWidth="1"/>
    <col min="3601" max="3601" width="15.1796875" style="1" bestFit="1" customWidth="1"/>
    <col min="3602" max="3602" width="3.26953125" style="1" customWidth="1"/>
    <col min="3603" max="3603" width="9.1796875" style="1"/>
    <col min="3604" max="3604" width="23.81640625" style="1" customWidth="1"/>
    <col min="3605" max="3838" width="9.1796875" style="1"/>
    <col min="3839" max="3839" width="12" style="1" customWidth="1"/>
    <col min="3840" max="3840" width="2.26953125" style="1" customWidth="1"/>
    <col min="3841" max="3841" width="49.81640625" style="1" customWidth="1"/>
    <col min="3842" max="3842" width="2.26953125" style="1" customWidth="1"/>
    <col min="3843" max="3843" width="13.54296875" style="1" customWidth="1"/>
    <col min="3844" max="3844" width="2.26953125" style="1" customWidth="1"/>
    <col min="3845" max="3845" width="17.81640625" style="1" bestFit="1" customWidth="1"/>
    <col min="3846" max="3846" width="2.1796875" style="1" customWidth="1"/>
    <col min="3847" max="3847" width="17.453125" style="1" bestFit="1" customWidth="1"/>
    <col min="3848" max="3848" width="2.26953125" style="1" customWidth="1"/>
    <col min="3849" max="3849" width="18.453125" style="1" customWidth="1"/>
    <col min="3850" max="3850" width="2.26953125" style="1" customWidth="1"/>
    <col min="3851" max="3851" width="16.81640625" style="1" customWidth="1"/>
    <col min="3852" max="3852" width="2.26953125" style="1" customWidth="1"/>
    <col min="3853" max="3853" width="15.1796875" style="1" customWidth="1"/>
    <col min="3854" max="3854" width="2.26953125" style="1" customWidth="1"/>
    <col min="3855" max="3855" width="11.453125" style="1" customWidth="1"/>
    <col min="3856" max="3856" width="2.26953125" style="1" customWidth="1"/>
    <col min="3857" max="3857" width="15.1796875" style="1" bestFit="1" customWidth="1"/>
    <col min="3858" max="3858" width="3.26953125" style="1" customWidth="1"/>
    <col min="3859" max="3859" width="9.1796875" style="1"/>
    <col min="3860" max="3860" width="23.81640625" style="1" customWidth="1"/>
    <col min="3861" max="4094" width="9.1796875" style="1"/>
    <col min="4095" max="4095" width="12" style="1" customWidth="1"/>
    <col min="4096" max="4096" width="2.26953125" style="1" customWidth="1"/>
    <col min="4097" max="4097" width="49.81640625" style="1" customWidth="1"/>
    <col min="4098" max="4098" width="2.26953125" style="1" customWidth="1"/>
    <col min="4099" max="4099" width="13.54296875" style="1" customWidth="1"/>
    <col min="4100" max="4100" width="2.26953125" style="1" customWidth="1"/>
    <col min="4101" max="4101" width="17.81640625" style="1" bestFit="1" customWidth="1"/>
    <col min="4102" max="4102" width="2.1796875" style="1" customWidth="1"/>
    <col min="4103" max="4103" width="17.453125" style="1" bestFit="1" customWidth="1"/>
    <col min="4104" max="4104" width="2.26953125" style="1" customWidth="1"/>
    <col min="4105" max="4105" width="18.453125" style="1" customWidth="1"/>
    <col min="4106" max="4106" width="2.26953125" style="1" customWidth="1"/>
    <col min="4107" max="4107" width="16.81640625" style="1" customWidth="1"/>
    <col min="4108" max="4108" width="2.26953125" style="1" customWidth="1"/>
    <col min="4109" max="4109" width="15.1796875" style="1" customWidth="1"/>
    <col min="4110" max="4110" width="2.26953125" style="1" customWidth="1"/>
    <col min="4111" max="4111" width="11.453125" style="1" customWidth="1"/>
    <col min="4112" max="4112" width="2.26953125" style="1" customWidth="1"/>
    <col min="4113" max="4113" width="15.1796875" style="1" bestFit="1" customWidth="1"/>
    <col min="4114" max="4114" width="3.26953125" style="1" customWidth="1"/>
    <col min="4115" max="4115" width="9.1796875" style="1"/>
    <col min="4116" max="4116" width="23.81640625" style="1" customWidth="1"/>
    <col min="4117" max="4350" width="9.1796875" style="1"/>
    <col min="4351" max="4351" width="12" style="1" customWidth="1"/>
    <col min="4352" max="4352" width="2.26953125" style="1" customWidth="1"/>
    <col min="4353" max="4353" width="49.81640625" style="1" customWidth="1"/>
    <col min="4354" max="4354" width="2.26953125" style="1" customWidth="1"/>
    <col min="4355" max="4355" width="13.54296875" style="1" customWidth="1"/>
    <col min="4356" max="4356" width="2.26953125" style="1" customWidth="1"/>
    <col min="4357" max="4357" width="17.81640625" style="1" bestFit="1" customWidth="1"/>
    <col min="4358" max="4358" width="2.1796875" style="1" customWidth="1"/>
    <col min="4359" max="4359" width="17.453125" style="1" bestFit="1" customWidth="1"/>
    <col min="4360" max="4360" width="2.26953125" style="1" customWidth="1"/>
    <col min="4361" max="4361" width="18.453125" style="1" customWidth="1"/>
    <col min="4362" max="4362" width="2.26953125" style="1" customWidth="1"/>
    <col min="4363" max="4363" width="16.81640625" style="1" customWidth="1"/>
    <col min="4364" max="4364" width="2.26953125" style="1" customWidth="1"/>
    <col min="4365" max="4365" width="15.1796875" style="1" customWidth="1"/>
    <col min="4366" max="4366" width="2.26953125" style="1" customWidth="1"/>
    <col min="4367" max="4367" width="11.453125" style="1" customWidth="1"/>
    <col min="4368" max="4368" width="2.26953125" style="1" customWidth="1"/>
    <col min="4369" max="4369" width="15.1796875" style="1" bestFit="1" customWidth="1"/>
    <col min="4370" max="4370" width="3.26953125" style="1" customWidth="1"/>
    <col min="4371" max="4371" width="9.1796875" style="1"/>
    <col min="4372" max="4372" width="23.81640625" style="1" customWidth="1"/>
    <col min="4373" max="4606" width="9.1796875" style="1"/>
    <col min="4607" max="4607" width="12" style="1" customWidth="1"/>
    <col min="4608" max="4608" width="2.26953125" style="1" customWidth="1"/>
    <col min="4609" max="4609" width="49.81640625" style="1" customWidth="1"/>
    <col min="4610" max="4610" width="2.26953125" style="1" customWidth="1"/>
    <col min="4611" max="4611" width="13.54296875" style="1" customWidth="1"/>
    <col min="4612" max="4612" width="2.26953125" style="1" customWidth="1"/>
    <col min="4613" max="4613" width="17.81640625" style="1" bestFit="1" customWidth="1"/>
    <col min="4614" max="4614" width="2.1796875" style="1" customWidth="1"/>
    <col min="4615" max="4615" width="17.453125" style="1" bestFit="1" customWidth="1"/>
    <col min="4616" max="4616" width="2.26953125" style="1" customWidth="1"/>
    <col min="4617" max="4617" width="18.453125" style="1" customWidth="1"/>
    <col min="4618" max="4618" width="2.26953125" style="1" customWidth="1"/>
    <col min="4619" max="4619" width="16.81640625" style="1" customWidth="1"/>
    <col min="4620" max="4620" width="2.26953125" style="1" customWidth="1"/>
    <col min="4621" max="4621" width="15.1796875" style="1" customWidth="1"/>
    <col min="4622" max="4622" width="2.26953125" style="1" customWidth="1"/>
    <col min="4623" max="4623" width="11.453125" style="1" customWidth="1"/>
    <col min="4624" max="4624" width="2.26953125" style="1" customWidth="1"/>
    <col min="4625" max="4625" width="15.1796875" style="1" bestFit="1" customWidth="1"/>
    <col min="4626" max="4626" width="3.26953125" style="1" customWidth="1"/>
    <col min="4627" max="4627" width="9.1796875" style="1"/>
    <col min="4628" max="4628" width="23.81640625" style="1" customWidth="1"/>
    <col min="4629" max="4862" width="9.1796875" style="1"/>
    <col min="4863" max="4863" width="12" style="1" customWidth="1"/>
    <col min="4864" max="4864" width="2.26953125" style="1" customWidth="1"/>
    <col min="4865" max="4865" width="49.81640625" style="1" customWidth="1"/>
    <col min="4866" max="4866" width="2.26953125" style="1" customWidth="1"/>
    <col min="4867" max="4867" width="13.54296875" style="1" customWidth="1"/>
    <col min="4868" max="4868" width="2.26953125" style="1" customWidth="1"/>
    <col min="4869" max="4869" width="17.81640625" style="1" bestFit="1" customWidth="1"/>
    <col min="4870" max="4870" width="2.1796875" style="1" customWidth="1"/>
    <col min="4871" max="4871" width="17.453125" style="1" bestFit="1" customWidth="1"/>
    <col min="4872" max="4872" width="2.26953125" style="1" customWidth="1"/>
    <col min="4873" max="4873" width="18.453125" style="1" customWidth="1"/>
    <col min="4874" max="4874" width="2.26953125" style="1" customWidth="1"/>
    <col min="4875" max="4875" width="16.81640625" style="1" customWidth="1"/>
    <col min="4876" max="4876" width="2.26953125" style="1" customWidth="1"/>
    <col min="4877" max="4877" width="15.1796875" style="1" customWidth="1"/>
    <col min="4878" max="4878" width="2.26953125" style="1" customWidth="1"/>
    <col min="4879" max="4879" width="11.453125" style="1" customWidth="1"/>
    <col min="4880" max="4880" width="2.26953125" style="1" customWidth="1"/>
    <col min="4881" max="4881" width="15.1796875" style="1" bestFit="1" customWidth="1"/>
    <col min="4882" max="4882" width="3.26953125" style="1" customWidth="1"/>
    <col min="4883" max="4883" width="9.1796875" style="1"/>
    <col min="4884" max="4884" width="23.81640625" style="1" customWidth="1"/>
    <col min="4885" max="5118" width="9.1796875" style="1"/>
    <col min="5119" max="5119" width="12" style="1" customWidth="1"/>
    <col min="5120" max="5120" width="2.26953125" style="1" customWidth="1"/>
    <col min="5121" max="5121" width="49.81640625" style="1" customWidth="1"/>
    <col min="5122" max="5122" width="2.26953125" style="1" customWidth="1"/>
    <col min="5123" max="5123" width="13.54296875" style="1" customWidth="1"/>
    <col min="5124" max="5124" width="2.26953125" style="1" customWidth="1"/>
    <col min="5125" max="5125" width="17.81640625" style="1" bestFit="1" customWidth="1"/>
    <col min="5126" max="5126" width="2.1796875" style="1" customWidth="1"/>
    <col min="5127" max="5127" width="17.453125" style="1" bestFit="1" customWidth="1"/>
    <col min="5128" max="5128" width="2.26953125" style="1" customWidth="1"/>
    <col min="5129" max="5129" width="18.453125" style="1" customWidth="1"/>
    <col min="5130" max="5130" width="2.26953125" style="1" customWidth="1"/>
    <col min="5131" max="5131" width="16.81640625" style="1" customWidth="1"/>
    <col min="5132" max="5132" width="2.26953125" style="1" customWidth="1"/>
    <col min="5133" max="5133" width="15.1796875" style="1" customWidth="1"/>
    <col min="5134" max="5134" width="2.26953125" style="1" customWidth="1"/>
    <col min="5135" max="5135" width="11.453125" style="1" customWidth="1"/>
    <col min="5136" max="5136" width="2.26953125" style="1" customWidth="1"/>
    <col min="5137" max="5137" width="15.1796875" style="1" bestFit="1" customWidth="1"/>
    <col min="5138" max="5138" width="3.26953125" style="1" customWidth="1"/>
    <col min="5139" max="5139" width="9.1796875" style="1"/>
    <col min="5140" max="5140" width="23.81640625" style="1" customWidth="1"/>
    <col min="5141" max="5374" width="9.1796875" style="1"/>
    <col min="5375" max="5375" width="12" style="1" customWidth="1"/>
    <col min="5376" max="5376" width="2.26953125" style="1" customWidth="1"/>
    <col min="5377" max="5377" width="49.81640625" style="1" customWidth="1"/>
    <col min="5378" max="5378" width="2.26953125" style="1" customWidth="1"/>
    <col min="5379" max="5379" width="13.54296875" style="1" customWidth="1"/>
    <col min="5380" max="5380" width="2.26953125" style="1" customWidth="1"/>
    <col min="5381" max="5381" width="17.81640625" style="1" bestFit="1" customWidth="1"/>
    <col min="5382" max="5382" width="2.1796875" style="1" customWidth="1"/>
    <col min="5383" max="5383" width="17.453125" style="1" bestFit="1" customWidth="1"/>
    <col min="5384" max="5384" width="2.26953125" style="1" customWidth="1"/>
    <col min="5385" max="5385" width="18.453125" style="1" customWidth="1"/>
    <col min="5386" max="5386" width="2.26953125" style="1" customWidth="1"/>
    <col min="5387" max="5387" width="16.81640625" style="1" customWidth="1"/>
    <col min="5388" max="5388" width="2.26953125" style="1" customWidth="1"/>
    <col min="5389" max="5389" width="15.1796875" style="1" customWidth="1"/>
    <col min="5390" max="5390" width="2.26953125" style="1" customWidth="1"/>
    <col min="5391" max="5391" width="11.453125" style="1" customWidth="1"/>
    <col min="5392" max="5392" width="2.26953125" style="1" customWidth="1"/>
    <col min="5393" max="5393" width="15.1796875" style="1" bestFit="1" customWidth="1"/>
    <col min="5394" max="5394" width="3.26953125" style="1" customWidth="1"/>
    <col min="5395" max="5395" width="9.1796875" style="1"/>
    <col min="5396" max="5396" width="23.81640625" style="1" customWidth="1"/>
    <col min="5397" max="5630" width="9.1796875" style="1"/>
    <col min="5631" max="5631" width="12" style="1" customWidth="1"/>
    <col min="5632" max="5632" width="2.26953125" style="1" customWidth="1"/>
    <col min="5633" max="5633" width="49.81640625" style="1" customWidth="1"/>
    <col min="5634" max="5634" width="2.26953125" style="1" customWidth="1"/>
    <col min="5635" max="5635" width="13.54296875" style="1" customWidth="1"/>
    <col min="5636" max="5636" width="2.26953125" style="1" customWidth="1"/>
    <col min="5637" max="5637" width="17.81640625" style="1" bestFit="1" customWidth="1"/>
    <col min="5638" max="5638" width="2.1796875" style="1" customWidth="1"/>
    <col min="5639" max="5639" width="17.453125" style="1" bestFit="1" customWidth="1"/>
    <col min="5640" max="5640" width="2.26953125" style="1" customWidth="1"/>
    <col min="5641" max="5641" width="18.453125" style="1" customWidth="1"/>
    <col min="5642" max="5642" width="2.26953125" style="1" customWidth="1"/>
    <col min="5643" max="5643" width="16.81640625" style="1" customWidth="1"/>
    <col min="5644" max="5644" width="2.26953125" style="1" customWidth="1"/>
    <col min="5645" max="5645" width="15.1796875" style="1" customWidth="1"/>
    <col min="5646" max="5646" width="2.26953125" style="1" customWidth="1"/>
    <col min="5647" max="5647" width="11.453125" style="1" customWidth="1"/>
    <col min="5648" max="5648" width="2.26953125" style="1" customWidth="1"/>
    <col min="5649" max="5649" width="15.1796875" style="1" bestFit="1" customWidth="1"/>
    <col min="5650" max="5650" width="3.26953125" style="1" customWidth="1"/>
    <col min="5651" max="5651" width="9.1796875" style="1"/>
    <col min="5652" max="5652" width="23.81640625" style="1" customWidth="1"/>
    <col min="5653" max="5886" width="9.1796875" style="1"/>
    <col min="5887" max="5887" width="12" style="1" customWidth="1"/>
    <col min="5888" max="5888" width="2.26953125" style="1" customWidth="1"/>
    <col min="5889" max="5889" width="49.81640625" style="1" customWidth="1"/>
    <col min="5890" max="5890" width="2.26953125" style="1" customWidth="1"/>
    <col min="5891" max="5891" width="13.54296875" style="1" customWidth="1"/>
    <col min="5892" max="5892" width="2.26953125" style="1" customWidth="1"/>
    <col min="5893" max="5893" width="17.81640625" style="1" bestFit="1" customWidth="1"/>
    <col min="5894" max="5894" width="2.1796875" style="1" customWidth="1"/>
    <col min="5895" max="5895" width="17.453125" style="1" bestFit="1" customWidth="1"/>
    <col min="5896" max="5896" width="2.26953125" style="1" customWidth="1"/>
    <col min="5897" max="5897" width="18.453125" style="1" customWidth="1"/>
    <col min="5898" max="5898" width="2.26953125" style="1" customWidth="1"/>
    <col min="5899" max="5899" width="16.81640625" style="1" customWidth="1"/>
    <col min="5900" max="5900" width="2.26953125" style="1" customWidth="1"/>
    <col min="5901" max="5901" width="15.1796875" style="1" customWidth="1"/>
    <col min="5902" max="5902" width="2.26953125" style="1" customWidth="1"/>
    <col min="5903" max="5903" width="11.453125" style="1" customWidth="1"/>
    <col min="5904" max="5904" width="2.26953125" style="1" customWidth="1"/>
    <col min="5905" max="5905" width="15.1796875" style="1" bestFit="1" customWidth="1"/>
    <col min="5906" max="5906" width="3.26953125" style="1" customWidth="1"/>
    <col min="5907" max="5907" width="9.1796875" style="1"/>
    <col min="5908" max="5908" width="23.81640625" style="1" customWidth="1"/>
    <col min="5909" max="6142" width="9.1796875" style="1"/>
    <col min="6143" max="6143" width="12" style="1" customWidth="1"/>
    <col min="6144" max="6144" width="2.26953125" style="1" customWidth="1"/>
    <col min="6145" max="6145" width="49.81640625" style="1" customWidth="1"/>
    <col min="6146" max="6146" width="2.26953125" style="1" customWidth="1"/>
    <col min="6147" max="6147" width="13.54296875" style="1" customWidth="1"/>
    <col min="6148" max="6148" width="2.26953125" style="1" customWidth="1"/>
    <col min="6149" max="6149" width="17.81640625" style="1" bestFit="1" customWidth="1"/>
    <col min="6150" max="6150" width="2.1796875" style="1" customWidth="1"/>
    <col min="6151" max="6151" width="17.453125" style="1" bestFit="1" customWidth="1"/>
    <col min="6152" max="6152" width="2.26953125" style="1" customWidth="1"/>
    <col min="6153" max="6153" width="18.453125" style="1" customWidth="1"/>
    <col min="6154" max="6154" width="2.26953125" style="1" customWidth="1"/>
    <col min="6155" max="6155" width="16.81640625" style="1" customWidth="1"/>
    <col min="6156" max="6156" width="2.26953125" style="1" customWidth="1"/>
    <col min="6157" max="6157" width="15.1796875" style="1" customWidth="1"/>
    <col min="6158" max="6158" width="2.26953125" style="1" customWidth="1"/>
    <col min="6159" max="6159" width="11.453125" style="1" customWidth="1"/>
    <col min="6160" max="6160" width="2.26953125" style="1" customWidth="1"/>
    <col min="6161" max="6161" width="15.1796875" style="1" bestFit="1" customWidth="1"/>
    <col min="6162" max="6162" width="3.26953125" style="1" customWidth="1"/>
    <col min="6163" max="6163" width="9.1796875" style="1"/>
    <col min="6164" max="6164" width="23.81640625" style="1" customWidth="1"/>
    <col min="6165" max="6398" width="9.1796875" style="1"/>
    <col min="6399" max="6399" width="12" style="1" customWidth="1"/>
    <col min="6400" max="6400" width="2.26953125" style="1" customWidth="1"/>
    <col min="6401" max="6401" width="49.81640625" style="1" customWidth="1"/>
    <col min="6402" max="6402" width="2.26953125" style="1" customWidth="1"/>
    <col min="6403" max="6403" width="13.54296875" style="1" customWidth="1"/>
    <col min="6404" max="6404" width="2.26953125" style="1" customWidth="1"/>
    <col min="6405" max="6405" width="17.81640625" style="1" bestFit="1" customWidth="1"/>
    <col min="6406" max="6406" width="2.1796875" style="1" customWidth="1"/>
    <col min="6407" max="6407" width="17.453125" style="1" bestFit="1" customWidth="1"/>
    <col min="6408" max="6408" width="2.26953125" style="1" customWidth="1"/>
    <col min="6409" max="6409" width="18.453125" style="1" customWidth="1"/>
    <col min="6410" max="6410" width="2.26953125" style="1" customWidth="1"/>
    <col min="6411" max="6411" width="16.81640625" style="1" customWidth="1"/>
    <col min="6412" max="6412" width="2.26953125" style="1" customWidth="1"/>
    <col min="6413" max="6413" width="15.1796875" style="1" customWidth="1"/>
    <col min="6414" max="6414" width="2.26953125" style="1" customWidth="1"/>
    <col min="6415" max="6415" width="11.453125" style="1" customWidth="1"/>
    <col min="6416" max="6416" width="2.26953125" style="1" customWidth="1"/>
    <col min="6417" max="6417" width="15.1796875" style="1" bestFit="1" customWidth="1"/>
    <col min="6418" max="6418" width="3.26953125" style="1" customWidth="1"/>
    <col min="6419" max="6419" width="9.1796875" style="1"/>
    <col min="6420" max="6420" width="23.81640625" style="1" customWidth="1"/>
    <col min="6421" max="6654" width="9.1796875" style="1"/>
    <col min="6655" max="6655" width="12" style="1" customWidth="1"/>
    <col min="6656" max="6656" width="2.26953125" style="1" customWidth="1"/>
    <col min="6657" max="6657" width="49.81640625" style="1" customWidth="1"/>
    <col min="6658" max="6658" width="2.26953125" style="1" customWidth="1"/>
    <col min="6659" max="6659" width="13.54296875" style="1" customWidth="1"/>
    <col min="6660" max="6660" width="2.26953125" style="1" customWidth="1"/>
    <col min="6661" max="6661" width="17.81640625" style="1" bestFit="1" customWidth="1"/>
    <col min="6662" max="6662" width="2.1796875" style="1" customWidth="1"/>
    <col min="6663" max="6663" width="17.453125" style="1" bestFit="1" customWidth="1"/>
    <col min="6664" max="6664" width="2.26953125" style="1" customWidth="1"/>
    <col min="6665" max="6665" width="18.453125" style="1" customWidth="1"/>
    <col min="6666" max="6666" width="2.26953125" style="1" customWidth="1"/>
    <col min="6667" max="6667" width="16.81640625" style="1" customWidth="1"/>
    <col min="6668" max="6668" width="2.26953125" style="1" customWidth="1"/>
    <col min="6669" max="6669" width="15.1796875" style="1" customWidth="1"/>
    <col min="6670" max="6670" width="2.26953125" style="1" customWidth="1"/>
    <col min="6671" max="6671" width="11.453125" style="1" customWidth="1"/>
    <col min="6672" max="6672" width="2.26953125" style="1" customWidth="1"/>
    <col min="6673" max="6673" width="15.1796875" style="1" bestFit="1" customWidth="1"/>
    <col min="6674" max="6674" width="3.26953125" style="1" customWidth="1"/>
    <col min="6675" max="6675" width="9.1796875" style="1"/>
    <col min="6676" max="6676" width="23.81640625" style="1" customWidth="1"/>
    <col min="6677" max="6910" width="9.1796875" style="1"/>
    <col min="6911" max="6911" width="12" style="1" customWidth="1"/>
    <col min="6912" max="6912" width="2.26953125" style="1" customWidth="1"/>
    <col min="6913" max="6913" width="49.81640625" style="1" customWidth="1"/>
    <col min="6914" max="6914" width="2.26953125" style="1" customWidth="1"/>
    <col min="6915" max="6915" width="13.54296875" style="1" customWidth="1"/>
    <col min="6916" max="6916" width="2.26953125" style="1" customWidth="1"/>
    <col min="6917" max="6917" width="17.81640625" style="1" bestFit="1" customWidth="1"/>
    <col min="6918" max="6918" width="2.1796875" style="1" customWidth="1"/>
    <col min="6919" max="6919" width="17.453125" style="1" bestFit="1" customWidth="1"/>
    <col min="6920" max="6920" width="2.26953125" style="1" customWidth="1"/>
    <col min="6921" max="6921" width="18.453125" style="1" customWidth="1"/>
    <col min="6922" max="6922" width="2.26953125" style="1" customWidth="1"/>
    <col min="6923" max="6923" width="16.81640625" style="1" customWidth="1"/>
    <col min="6924" max="6924" width="2.26953125" style="1" customWidth="1"/>
    <col min="6925" max="6925" width="15.1796875" style="1" customWidth="1"/>
    <col min="6926" max="6926" width="2.26953125" style="1" customWidth="1"/>
    <col min="6927" max="6927" width="11.453125" style="1" customWidth="1"/>
    <col min="6928" max="6928" width="2.26953125" style="1" customWidth="1"/>
    <col min="6929" max="6929" width="15.1796875" style="1" bestFit="1" customWidth="1"/>
    <col min="6930" max="6930" width="3.26953125" style="1" customWidth="1"/>
    <col min="6931" max="6931" width="9.1796875" style="1"/>
    <col min="6932" max="6932" width="23.81640625" style="1" customWidth="1"/>
    <col min="6933" max="7166" width="9.1796875" style="1"/>
    <col min="7167" max="7167" width="12" style="1" customWidth="1"/>
    <col min="7168" max="7168" width="2.26953125" style="1" customWidth="1"/>
    <col min="7169" max="7169" width="49.81640625" style="1" customWidth="1"/>
    <col min="7170" max="7170" width="2.26953125" style="1" customWidth="1"/>
    <col min="7171" max="7171" width="13.54296875" style="1" customWidth="1"/>
    <col min="7172" max="7172" width="2.26953125" style="1" customWidth="1"/>
    <col min="7173" max="7173" width="17.81640625" style="1" bestFit="1" customWidth="1"/>
    <col min="7174" max="7174" width="2.1796875" style="1" customWidth="1"/>
    <col min="7175" max="7175" width="17.453125" style="1" bestFit="1" customWidth="1"/>
    <col min="7176" max="7176" width="2.26953125" style="1" customWidth="1"/>
    <col min="7177" max="7177" width="18.453125" style="1" customWidth="1"/>
    <col min="7178" max="7178" width="2.26953125" style="1" customWidth="1"/>
    <col min="7179" max="7179" width="16.81640625" style="1" customWidth="1"/>
    <col min="7180" max="7180" width="2.26953125" style="1" customWidth="1"/>
    <col min="7181" max="7181" width="15.1796875" style="1" customWidth="1"/>
    <col min="7182" max="7182" width="2.26953125" style="1" customWidth="1"/>
    <col min="7183" max="7183" width="11.453125" style="1" customWidth="1"/>
    <col min="7184" max="7184" width="2.26953125" style="1" customWidth="1"/>
    <col min="7185" max="7185" width="15.1796875" style="1" bestFit="1" customWidth="1"/>
    <col min="7186" max="7186" width="3.26953125" style="1" customWidth="1"/>
    <col min="7187" max="7187" width="9.1796875" style="1"/>
    <col min="7188" max="7188" width="23.81640625" style="1" customWidth="1"/>
    <col min="7189" max="7422" width="9.1796875" style="1"/>
    <col min="7423" max="7423" width="12" style="1" customWidth="1"/>
    <col min="7424" max="7424" width="2.26953125" style="1" customWidth="1"/>
    <col min="7425" max="7425" width="49.81640625" style="1" customWidth="1"/>
    <col min="7426" max="7426" width="2.26953125" style="1" customWidth="1"/>
    <col min="7427" max="7427" width="13.54296875" style="1" customWidth="1"/>
    <col min="7428" max="7428" width="2.26953125" style="1" customWidth="1"/>
    <col min="7429" max="7429" width="17.81640625" style="1" bestFit="1" customWidth="1"/>
    <col min="7430" max="7430" width="2.1796875" style="1" customWidth="1"/>
    <col min="7431" max="7431" width="17.453125" style="1" bestFit="1" customWidth="1"/>
    <col min="7432" max="7432" width="2.26953125" style="1" customWidth="1"/>
    <col min="7433" max="7433" width="18.453125" style="1" customWidth="1"/>
    <col min="7434" max="7434" width="2.26953125" style="1" customWidth="1"/>
    <col min="7435" max="7435" width="16.81640625" style="1" customWidth="1"/>
    <col min="7436" max="7436" width="2.26953125" style="1" customWidth="1"/>
    <col min="7437" max="7437" width="15.1796875" style="1" customWidth="1"/>
    <col min="7438" max="7438" width="2.26953125" style="1" customWidth="1"/>
    <col min="7439" max="7439" width="11.453125" style="1" customWidth="1"/>
    <col min="7440" max="7440" width="2.26953125" style="1" customWidth="1"/>
    <col min="7441" max="7441" width="15.1796875" style="1" bestFit="1" customWidth="1"/>
    <col min="7442" max="7442" width="3.26953125" style="1" customWidth="1"/>
    <col min="7443" max="7443" width="9.1796875" style="1"/>
    <col min="7444" max="7444" width="23.81640625" style="1" customWidth="1"/>
    <col min="7445" max="7678" width="9.1796875" style="1"/>
    <col min="7679" max="7679" width="12" style="1" customWidth="1"/>
    <col min="7680" max="7680" width="2.26953125" style="1" customWidth="1"/>
    <col min="7681" max="7681" width="49.81640625" style="1" customWidth="1"/>
    <col min="7682" max="7682" width="2.26953125" style="1" customWidth="1"/>
    <col min="7683" max="7683" width="13.54296875" style="1" customWidth="1"/>
    <col min="7684" max="7684" width="2.26953125" style="1" customWidth="1"/>
    <col min="7685" max="7685" width="17.81640625" style="1" bestFit="1" customWidth="1"/>
    <col min="7686" max="7686" width="2.1796875" style="1" customWidth="1"/>
    <col min="7687" max="7687" width="17.453125" style="1" bestFit="1" customWidth="1"/>
    <col min="7688" max="7688" width="2.26953125" style="1" customWidth="1"/>
    <col min="7689" max="7689" width="18.453125" style="1" customWidth="1"/>
    <col min="7690" max="7690" width="2.26953125" style="1" customWidth="1"/>
    <col min="7691" max="7691" width="16.81640625" style="1" customWidth="1"/>
    <col min="7692" max="7692" width="2.26953125" style="1" customWidth="1"/>
    <col min="7693" max="7693" width="15.1796875" style="1" customWidth="1"/>
    <col min="7694" max="7694" width="2.26953125" style="1" customWidth="1"/>
    <col min="7695" max="7695" width="11.453125" style="1" customWidth="1"/>
    <col min="7696" max="7696" width="2.26953125" style="1" customWidth="1"/>
    <col min="7697" max="7697" width="15.1796875" style="1" bestFit="1" customWidth="1"/>
    <col min="7698" max="7698" width="3.26953125" style="1" customWidth="1"/>
    <col min="7699" max="7699" width="9.1796875" style="1"/>
    <col min="7700" max="7700" width="23.81640625" style="1" customWidth="1"/>
    <col min="7701" max="7934" width="9.1796875" style="1"/>
    <col min="7935" max="7935" width="12" style="1" customWidth="1"/>
    <col min="7936" max="7936" width="2.26953125" style="1" customWidth="1"/>
    <col min="7937" max="7937" width="49.81640625" style="1" customWidth="1"/>
    <col min="7938" max="7938" width="2.26953125" style="1" customWidth="1"/>
    <col min="7939" max="7939" width="13.54296875" style="1" customWidth="1"/>
    <col min="7940" max="7940" width="2.26953125" style="1" customWidth="1"/>
    <col min="7941" max="7941" width="17.81640625" style="1" bestFit="1" customWidth="1"/>
    <col min="7942" max="7942" width="2.1796875" style="1" customWidth="1"/>
    <col min="7943" max="7943" width="17.453125" style="1" bestFit="1" customWidth="1"/>
    <col min="7944" max="7944" width="2.26953125" style="1" customWidth="1"/>
    <col min="7945" max="7945" width="18.453125" style="1" customWidth="1"/>
    <col min="7946" max="7946" width="2.26953125" style="1" customWidth="1"/>
    <col min="7947" max="7947" width="16.81640625" style="1" customWidth="1"/>
    <col min="7948" max="7948" width="2.26953125" style="1" customWidth="1"/>
    <col min="7949" max="7949" width="15.1796875" style="1" customWidth="1"/>
    <col min="7950" max="7950" width="2.26953125" style="1" customWidth="1"/>
    <col min="7951" max="7951" width="11.453125" style="1" customWidth="1"/>
    <col min="7952" max="7952" width="2.26953125" style="1" customWidth="1"/>
    <col min="7953" max="7953" width="15.1796875" style="1" bestFit="1" customWidth="1"/>
    <col min="7954" max="7954" width="3.26953125" style="1" customWidth="1"/>
    <col min="7955" max="7955" width="9.1796875" style="1"/>
    <col min="7956" max="7956" width="23.81640625" style="1" customWidth="1"/>
    <col min="7957" max="8190" width="9.1796875" style="1"/>
    <col min="8191" max="8191" width="12" style="1" customWidth="1"/>
    <col min="8192" max="8192" width="2.26953125" style="1" customWidth="1"/>
    <col min="8193" max="8193" width="49.81640625" style="1" customWidth="1"/>
    <col min="8194" max="8194" width="2.26953125" style="1" customWidth="1"/>
    <col min="8195" max="8195" width="13.54296875" style="1" customWidth="1"/>
    <col min="8196" max="8196" width="2.26953125" style="1" customWidth="1"/>
    <col min="8197" max="8197" width="17.81640625" style="1" bestFit="1" customWidth="1"/>
    <col min="8198" max="8198" width="2.1796875" style="1" customWidth="1"/>
    <col min="8199" max="8199" width="17.453125" style="1" bestFit="1" customWidth="1"/>
    <col min="8200" max="8200" width="2.26953125" style="1" customWidth="1"/>
    <col min="8201" max="8201" width="18.453125" style="1" customWidth="1"/>
    <col min="8202" max="8202" width="2.26953125" style="1" customWidth="1"/>
    <col min="8203" max="8203" width="16.81640625" style="1" customWidth="1"/>
    <col min="8204" max="8204" width="2.26953125" style="1" customWidth="1"/>
    <col min="8205" max="8205" width="15.1796875" style="1" customWidth="1"/>
    <col min="8206" max="8206" width="2.26953125" style="1" customWidth="1"/>
    <col min="8207" max="8207" width="11.453125" style="1" customWidth="1"/>
    <col min="8208" max="8208" width="2.26953125" style="1" customWidth="1"/>
    <col min="8209" max="8209" width="15.1796875" style="1" bestFit="1" customWidth="1"/>
    <col min="8210" max="8210" width="3.26953125" style="1" customWidth="1"/>
    <col min="8211" max="8211" width="9.1796875" style="1"/>
    <col min="8212" max="8212" width="23.81640625" style="1" customWidth="1"/>
    <col min="8213" max="8446" width="9.1796875" style="1"/>
    <col min="8447" max="8447" width="12" style="1" customWidth="1"/>
    <col min="8448" max="8448" width="2.26953125" style="1" customWidth="1"/>
    <col min="8449" max="8449" width="49.81640625" style="1" customWidth="1"/>
    <col min="8450" max="8450" width="2.26953125" style="1" customWidth="1"/>
    <col min="8451" max="8451" width="13.54296875" style="1" customWidth="1"/>
    <col min="8452" max="8452" width="2.26953125" style="1" customWidth="1"/>
    <col min="8453" max="8453" width="17.81640625" style="1" bestFit="1" customWidth="1"/>
    <col min="8454" max="8454" width="2.1796875" style="1" customWidth="1"/>
    <col min="8455" max="8455" width="17.453125" style="1" bestFit="1" customWidth="1"/>
    <col min="8456" max="8456" width="2.26953125" style="1" customWidth="1"/>
    <col min="8457" max="8457" width="18.453125" style="1" customWidth="1"/>
    <col min="8458" max="8458" width="2.26953125" style="1" customWidth="1"/>
    <col min="8459" max="8459" width="16.81640625" style="1" customWidth="1"/>
    <col min="8460" max="8460" width="2.26953125" style="1" customWidth="1"/>
    <col min="8461" max="8461" width="15.1796875" style="1" customWidth="1"/>
    <col min="8462" max="8462" width="2.26953125" style="1" customWidth="1"/>
    <col min="8463" max="8463" width="11.453125" style="1" customWidth="1"/>
    <col min="8464" max="8464" width="2.26953125" style="1" customWidth="1"/>
    <col min="8465" max="8465" width="15.1796875" style="1" bestFit="1" customWidth="1"/>
    <col min="8466" max="8466" width="3.26953125" style="1" customWidth="1"/>
    <col min="8467" max="8467" width="9.1796875" style="1"/>
    <col min="8468" max="8468" width="23.81640625" style="1" customWidth="1"/>
    <col min="8469" max="8702" width="9.1796875" style="1"/>
    <col min="8703" max="8703" width="12" style="1" customWidth="1"/>
    <col min="8704" max="8704" width="2.26953125" style="1" customWidth="1"/>
    <col min="8705" max="8705" width="49.81640625" style="1" customWidth="1"/>
    <col min="8706" max="8706" width="2.26953125" style="1" customWidth="1"/>
    <col min="8707" max="8707" width="13.54296875" style="1" customWidth="1"/>
    <col min="8708" max="8708" width="2.26953125" style="1" customWidth="1"/>
    <col min="8709" max="8709" width="17.81640625" style="1" bestFit="1" customWidth="1"/>
    <col min="8710" max="8710" width="2.1796875" style="1" customWidth="1"/>
    <col min="8711" max="8711" width="17.453125" style="1" bestFit="1" customWidth="1"/>
    <col min="8712" max="8712" width="2.26953125" style="1" customWidth="1"/>
    <col min="8713" max="8713" width="18.453125" style="1" customWidth="1"/>
    <col min="8714" max="8714" width="2.26953125" style="1" customWidth="1"/>
    <col min="8715" max="8715" width="16.81640625" style="1" customWidth="1"/>
    <col min="8716" max="8716" width="2.26953125" style="1" customWidth="1"/>
    <col min="8717" max="8717" width="15.1796875" style="1" customWidth="1"/>
    <col min="8718" max="8718" width="2.26953125" style="1" customWidth="1"/>
    <col min="8719" max="8719" width="11.453125" style="1" customWidth="1"/>
    <col min="8720" max="8720" width="2.26953125" style="1" customWidth="1"/>
    <col min="8721" max="8721" width="15.1796875" style="1" bestFit="1" customWidth="1"/>
    <col min="8722" max="8722" width="3.26953125" style="1" customWidth="1"/>
    <col min="8723" max="8723" width="9.1796875" style="1"/>
    <col min="8724" max="8724" width="23.81640625" style="1" customWidth="1"/>
    <col min="8725" max="8958" width="9.1796875" style="1"/>
    <col min="8959" max="8959" width="12" style="1" customWidth="1"/>
    <col min="8960" max="8960" width="2.26953125" style="1" customWidth="1"/>
    <col min="8961" max="8961" width="49.81640625" style="1" customWidth="1"/>
    <col min="8962" max="8962" width="2.26953125" style="1" customWidth="1"/>
    <col min="8963" max="8963" width="13.54296875" style="1" customWidth="1"/>
    <col min="8964" max="8964" width="2.26953125" style="1" customWidth="1"/>
    <col min="8965" max="8965" width="17.81640625" style="1" bestFit="1" customWidth="1"/>
    <col min="8966" max="8966" width="2.1796875" style="1" customWidth="1"/>
    <col min="8967" max="8967" width="17.453125" style="1" bestFit="1" customWidth="1"/>
    <col min="8968" max="8968" width="2.26953125" style="1" customWidth="1"/>
    <col min="8969" max="8969" width="18.453125" style="1" customWidth="1"/>
    <col min="8970" max="8970" width="2.26953125" style="1" customWidth="1"/>
    <col min="8971" max="8971" width="16.81640625" style="1" customWidth="1"/>
    <col min="8972" max="8972" width="2.26953125" style="1" customWidth="1"/>
    <col min="8973" max="8973" width="15.1796875" style="1" customWidth="1"/>
    <col min="8974" max="8974" width="2.26953125" style="1" customWidth="1"/>
    <col min="8975" max="8975" width="11.453125" style="1" customWidth="1"/>
    <col min="8976" max="8976" width="2.26953125" style="1" customWidth="1"/>
    <col min="8977" max="8977" width="15.1796875" style="1" bestFit="1" customWidth="1"/>
    <col min="8978" max="8978" width="3.26953125" style="1" customWidth="1"/>
    <col min="8979" max="8979" width="9.1796875" style="1"/>
    <col min="8980" max="8980" width="23.81640625" style="1" customWidth="1"/>
    <col min="8981" max="9214" width="9.1796875" style="1"/>
    <col min="9215" max="9215" width="12" style="1" customWidth="1"/>
    <col min="9216" max="9216" width="2.26953125" style="1" customWidth="1"/>
    <col min="9217" max="9217" width="49.81640625" style="1" customWidth="1"/>
    <col min="9218" max="9218" width="2.26953125" style="1" customWidth="1"/>
    <col min="9219" max="9219" width="13.54296875" style="1" customWidth="1"/>
    <col min="9220" max="9220" width="2.26953125" style="1" customWidth="1"/>
    <col min="9221" max="9221" width="17.81640625" style="1" bestFit="1" customWidth="1"/>
    <col min="9222" max="9222" width="2.1796875" style="1" customWidth="1"/>
    <col min="9223" max="9223" width="17.453125" style="1" bestFit="1" customWidth="1"/>
    <col min="9224" max="9224" width="2.26953125" style="1" customWidth="1"/>
    <col min="9225" max="9225" width="18.453125" style="1" customWidth="1"/>
    <col min="9226" max="9226" width="2.26953125" style="1" customWidth="1"/>
    <col min="9227" max="9227" width="16.81640625" style="1" customWidth="1"/>
    <col min="9228" max="9228" width="2.26953125" style="1" customWidth="1"/>
    <col min="9229" max="9229" width="15.1796875" style="1" customWidth="1"/>
    <col min="9230" max="9230" width="2.26953125" style="1" customWidth="1"/>
    <col min="9231" max="9231" width="11.453125" style="1" customWidth="1"/>
    <col min="9232" max="9232" width="2.26953125" style="1" customWidth="1"/>
    <col min="9233" max="9233" width="15.1796875" style="1" bestFit="1" customWidth="1"/>
    <col min="9234" max="9234" width="3.26953125" style="1" customWidth="1"/>
    <col min="9235" max="9235" width="9.1796875" style="1"/>
    <col min="9236" max="9236" width="23.81640625" style="1" customWidth="1"/>
    <col min="9237" max="9470" width="9.1796875" style="1"/>
    <col min="9471" max="9471" width="12" style="1" customWidth="1"/>
    <col min="9472" max="9472" width="2.26953125" style="1" customWidth="1"/>
    <col min="9473" max="9473" width="49.81640625" style="1" customWidth="1"/>
    <col min="9474" max="9474" width="2.26953125" style="1" customWidth="1"/>
    <col min="9475" max="9475" width="13.54296875" style="1" customWidth="1"/>
    <col min="9476" max="9476" width="2.26953125" style="1" customWidth="1"/>
    <col min="9477" max="9477" width="17.81640625" style="1" bestFit="1" customWidth="1"/>
    <col min="9478" max="9478" width="2.1796875" style="1" customWidth="1"/>
    <col min="9479" max="9479" width="17.453125" style="1" bestFit="1" customWidth="1"/>
    <col min="9480" max="9480" width="2.26953125" style="1" customWidth="1"/>
    <col min="9481" max="9481" width="18.453125" style="1" customWidth="1"/>
    <col min="9482" max="9482" width="2.26953125" style="1" customWidth="1"/>
    <col min="9483" max="9483" width="16.81640625" style="1" customWidth="1"/>
    <col min="9484" max="9484" width="2.26953125" style="1" customWidth="1"/>
    <col min="9485" max="9485" width="15.1796875" style="1" customWidth="1"/>
    <col min="9486" max="9486" width="2.26953125" style="1" customWidth="1"/>
    <col min="9487" max="9487" width="11.453125" style="1" customWidth="1"/>
    <col min="9488" max="9488" width="2.26953125" style="1" customWidth="1"/>
    <col min="9489" max="9489" width="15.1796875" style="1" bestFit="1" customWidth="1"/>
    <col min="9490" max="9490" width="3.26953125" style="1" customWidth="1"/>
    <col min="9491" max="9491" width="9.1796875" style="1"/>
    <col min="9492" max="9492" width="23.81640625" style="1" customWidth="1"/>
    <col min="9493" max="9726" width="9.1796875" style="1"/>
    <col min="9727" max="9727" width="12" style="1" customWidth="1"/>
    <col min="9728" max="9728" width="2.26953125" style="1" customWidth="1"/>
    <col min="9729" max="9729" width="49.81640625" style="1" customWidth="1"/>
    <col min="9730" max="9730" width="2.26953125" style="1" customWidth="1"/>
    <col min="9731" max="9731" width="13.54296875" style="1" customWidth="1"/>
    <col min="9732" max="9732" width="2.26953125" style="1" customWidth="1"/>
    <col min="9733" max="9733" width="17.81640625" style="1" bestFit="1" customWidth="1"/>
    <col min="9734" max="9734" width="2.1796875" style="1" customWidth="1"/>
    <col min="9735" max="9735" width="17.453125" style="1" bestFit="1" customWidth="1"/>
    <col min="9736" max="9736" width="2.26953125" style="1" customWidth="1"/>
    <col min="9737" max="9737" width="18.453125" style="1" customWidth="1"/>
    <col min="9738" max="9738" width="2.26953125" style="1" customWidth="1"/>
    <col min="9739" max="9739" width="16.81640625" style="1" customWidth="1"/>
    <col min="9740" max="9740" width="2.26953125" style="1" customWidth="1"/>
    <col min="9741" max="9741" width="15.1796875" style="1" customWidth="1"/>
    <col min="9742" max="9742" width="2.26953125" style="1" customWidth="1"/>
    <col min="9743" max="9743" width="11.453125" style="1" customWidth="1"/>
    <col min="9744" max="9744" width="2.26953125" style="1" customWidth="1"/>
    <col min="9745" max="9745" width="15.1796875" style="1" bestFit="1" customWidth="1"/>
    <col min="9746" max="9746" width="3.26953125" style="1" customWidth="1"/>
    <col min="9747" max="9747" width="9.1796875" style="1"/>
    <col min="9748" max="9748" width="23.81640625" style="1" customWidth="1"/>
    <col min="9749" max="9982" width="9.1796875" style="1"/>
    <col min="9983" max="9983" width="12" style="1" customWidth="1"/>
    <col min="9984" max="9984" width="2.26953125" style="1" customWidth="1"/>
    <col min="9985" max="9985" width="49.81640625" style="1" customWidth="1"/>
    <col min="9986" max="9986" width="2.26953125" style="1" customWidth="1"/>
    <col min="9987" max="9987" width="13.54296875" style="1" customWidth="1"/>
    <col min="9988" max="9988" width="2.26953125" style="1" customWidth="1"/>
    <col min="9989" max="9989" width="17.81640625" style="1" bestFit="1" customWidth="1"/>
    <col min="9990" max="9990" width="2.1796875" style="1" customWidth="1"/>
    <col min="9991" max="9991" width="17.453125" style="1" bestFit="1" customWidth="1"/>
    <col min="9992" max="9992" width="2.26953125" style="1" customWidth="1"/>
    <col min="9993" max="9993" width="18.453125" style="1" customWidth="1"/>
    <col min="9994" max="9994" width="2.26953125" style="1" customWidth="1"/>
    <col min="9995" max="9995" width="16.81640625" style="1" customWidth="1"/>
    <col min="9996" max="9996" width="2.26953125" style="1" customWidth="1"/>
    <col min="9997" max="9997" width="15.1796875" style="1" customWidth="1"/>
    <col min="9998" max="9998" width="2.26953125" style="1" customWidth="1"/>
    <col min="9999" max="9999" width="11.453125" style="1" customWidth="1"/>
    <col min="10000" max="10000" width="2.26953125" style="1" customWidth="1"/>
    <col min="10001" max="10001" width="15.1796875" style="1" bestFit="1" customWidth="1"/>
    <col min="10002" max="10002" width="3.26953125" style="1" customWidth="1"/>
    <col min="10003" max="10003" width="9.1796875" style="1"/>
    <col min="10004" max="10004" width="23.81640625" style="1" customWidth="1"/>
    <col min="10005" max="10238" width="9.1796875" style="1"/>
    <col min="10239" max="10239" width="12" style="1" customWidth="1"/>
    <col min="10240" max="10240" width="2.26953125" style="1" customWidth="1"/>
    <col min="10241" max="10241" width="49.81640625" style="1" customWidth="1"/>
    <col min="10242" max="10242" width="2.26953125" style="1" customWidth="1"/>
    <col min="10243" max="10243" width="13.54296875" style="1" customWidth="1"/>
    <col min="10244" max="10244" width="2.26953125" style="1" customWidth="1"/>
    <col min="10245" max="10245" width="17.81640625" style="1" bestFit="1" customWidth="1"/>
    <col min="10246" max="10246" width="2.1796875" style="1" customWidth="1"/>
    <col min="10247" max="10247" width="17.453125" style="1" bestFit="1" customWidth="1"/>
    <col min="10248" max="10248" width="2.26953125" style="1" customWidth="1"/>
    <col min="10249" max="10249" width="18.453125" style="1" customWidth="1"/>
    <col min="10250" max="10250" width="2.26953125" style="1" customWidth="1"/>
    <col min="10251" max="10251" width="16.81640625" style="1" customWidth="1"/>
    <col min="10252" max="10252" width="2.26953125" style="1" customWidth="1"/>
    <col min="10253" max="10253" width="15.1796875" style="1" customWidth="1"/>
    <col min="10254" max="10254" width="2.26953125" style="1" customWidth="1"/>
    <col min="10255" max="10255" width="11.453125" style="1" customWidth="1"/>
    <col min="10256" max="10256" width="2.26953125" style="1" customWidth="1"/>
    <col min="10257" max="10257" width="15.1796875" style="1" bestFit="1" customWidth="1"/>
    <col min="10258" max="10258" width="3.26953125" style="1" customWidth="1"/>
    <col min="10259" max="10259" width="9.1796875" style="1"/>
    <col min="10260" max="10260" width="23.81640625" style="1" customWidth="1"/>
    <col min="10261" max="10494" width="9.1796875" style="1"/>
    <col min="10495" max="10495" width="12" style="1" customWidth="1"/>
    <col min="10496" max="10496" width="2.26953125" style="1" customWidth="1"/>
    <col min="10497" max="10497" width="49.81640625" style="1" customWidth="1"/>
    <col min="10498" max="10498" width="2.26953125" style="1" customWidth="1"/>
    <col min="10499" max="10499" width="13.54296875" style="1" customWidth="1"/>
    <col min="10500" max="10500" width="2.26953125" style="1" customWidth="1"/>
    <col min="10501" max="10501" width="17.81640625" style="1" bestFit="1" customWidth="1"/>
    <col min="10502" max="10502" width="2.1796875" style="1" customWidth="1"/>
    <col min="10503" max="10503" width="17.453125" style="1" bestFit="1" customWidth="1"/>
    <col min="10504" max="10504" width="2.26953125" style="1" customWidth="1"/>
    <col min="10505" max="10505" width="18.453125" style="1" customWidth="1"/>
    <col min="10506" max="10506" width="2.26953125" style="1" customWidth="1"/>
    <col min="10507" max="10507" width="16.81640625" style="1" customWidth="1"/>
    <col min="10508" max="10508" width="2.26953125" style="1" customWidth="1"/>
    <col min="10509" max="10509" width="15.1796875" style="1" customWidth="1"/>
    <col min="10510" max="10510" width="2.26953125" style="1" customWidth="1"/>
    <col min="10511" max="10511" width="11.453125" style="1" customWidth="1"/>
    <col min="10512" max="10512" width="2.26953125" style="1" customWidth="1"/>
    <col min="10513" max="10513" width="15.1796875" style="1" bestFit="1" customWidth="1"/>
    <col min="10514" max="10514" width="3.26953125" style="1" customWidth="1"/>
    <col min="10515" max="10515" width="9.1796875" style="1"/>
    <col min="10516" max="10516" width="23.81640625" style="1" customWidth="1"/>
    <col min="10517" max="10750" width="9.1796875" style="1"/>
    <col min="10751" max="10751" width="12" style="1" customWidth="1"/>
    <col min="10752" max="10752" width="2.26953125" style="1" customWidth="1"/>
    <col min="10753" max="10753" width="49.81640625" style="1" customWidth="1"/>
    <col min="10754" max="10754" width="2.26953125" style="1" customWidth="1"/>
    <col min="10755" max="10755" width="13.54296875" style="1" customWidth="1"/>
    <col min="10756" max="10756" width="2.26953125" style="1" customWidth="1"/>
    <col min="10757" max="10757" width="17.81640625" style="1" bestFit="1" customWidth="1"/>
    <col min="10758" max="10758" width="2.1796875" style="1" customWidth="1"/>
    <col min="10759" max="10759" width="17.453125" style="1" bestFit="1" customWidth="1"/>
    <col min="10760" max="10760" width="2.26953125" style="1" customWidth="1"/>
    <col min="10761" max="10761" width="18.453125" style="1" customWidth="1"/>
    <col min="10762" max="10762" width="2.26953125" style="1" customWidth="1"/>
    <col min="10763" max="10763" width="16.81640625" style="1" customWidth="1"/>
    <col min="10764" max="10764" width="2.26953125" style="1" customWidth="1"/>
    <col min="10765" max="10765" width="15.1796875" style="1" customWidth="1"/>
    <col min="10766" max="10766" width="2.26953125" style="1" customWidth="1"/>
    <col min="10767" max="10767" width="11.453125" style="1" customWidth="1"/>
    <col min="10768" max="10768" width="2.26953125" style="1" customWidth="1"/>
    <col min="10769" max="10769" width="15.1796875" style="1" bestFit="1" customWidth="1"/>
    <col min="10770" max="10770" width="3.26953125" style="1" customWidth="1"/>
    <col min="10771" max="10771" width="9.1796875" style="1"/>
    <col min="10772" max="10772" width="23.81640625" style="1" customWidth="1"/>
    <col min="10773" max="11006" width="9.1796875" style="1"/>
    <col min="11007" max="11007" width="12" style="1" customWidth="1"/>
    <col min="11008" max="11008" width="2.26953125" style="1" customWidth="1"/>
    <col min="11009" max="11009" width="49.81640625" style="1" customWidth="1"/>
    <col min="11010" max="11010" width="2.26953125" style="1" customWidth="1"/>
    <col min="11011" max="11011" width="13.54296875" style="1" customWidth="1"/>
    <col min="11012" max="11012" width="2.26953125" style="1" customWidth="1"/>
    <col min="11013" max="11013" width="17.81640625" style="1" bestFit="1" customWidth="1"/>
    <col min="11014" max="11014" width="2.1796875" style="1" customWidth="1"/>
    <col min="11015" max="11015" width="17.453125" style="1" bestFit="1" customWidth="1"/>
    <col min="11016" max="11016" width="2.26953125" style="1" customWidth="1"/>
    <col min="11017" max="11017" width="18.453125" style="1" customWidth="1"/>
    <col min="11018" max="11018" width="2.26953125" style="1" customWidth="1"/>
    <col min="11019" max="11019" width="16.81640625" style="1" customWidth="1"/>
    <col min="11020" max="11020" width="2.26953125" style="1" customWidth="1"/>
    <col min="11021" max="11021" width="15.1796875" style="1" customWidth="1"/>
    <col min="11022" max="11022" width="2.26953125" style="1" customWidth="1"/>
    <col min="11023" max="11023" width="11.453125" style="1" customWidth="1"/>
    <col min="11024" max="11024" width="2.26953125" style="1" customWidth="1"/>
    <col min="11025" max="11025" width="15.1796875" style="1" bestFit="1" customWidth="1"/>
    <col min="11026" max="11026" width="3.26953125" style="1" customWidth="1"/>
    <col min="11027" max="11027" width="9.1796875" style="1"/>
    <col min="11028" max="11028" width="23.81640625" style="1" customWidth="1"/>
    <col min="11029" max="11262" width="9.1796875" style="1"/>
    <col min="11263" max="11263" width="12" style="1" customWidth="1"/>
    <col min="11264" max="11264" width="2.26953125" style="1" customWidth="1"/>
    <col min="11265" max="11265" width="49.81640625" style="1" customWidth="1"/>
    <col min="11266" max="11266" width="2.26953125" style="1" customWidth="1"/>
    <col min="11267" max="11267" width="13.54296875" style="1" customWidth="1"/>
    <col min="11268" max="11268" width="2.26953125" style="1" customWidth="1"/>
    <col min="11269" max="11269" width="17.81640625" style="1" bestFit="1" customWidth="1"/>
    <col min="11270" max="11270" width="2.1796875" style="1" customWidth="1"/>
    <col min="11271" max="11271" width="17.453125" style="1" bestFit="1" customWidth="1"/>
    <col min="11272" max="11272" width="2.26953125" style="1" customWidth="1"/>
    <col min="11273" max="11273" width="18.453125" style="1" customWidth="1"/>
    <col min="11274" max="11274" width="2.26953125" style="1" customWidth="1"/>
    <col min="11275" max="11275" width="16.81640625" style="1" customWidth="1"/>
    <col min="11276" max="11276" width="2.26953125" style="1" customWidth="1"/>
    <col min="11277" max="11277" width="15.1796875" style="1" customWidth="1"/>
    <col min="11278" max="11278" width="2.26953125" style="1" customWidth="1"/>
    <col min="11279" max="11279" width="11.453125" style="1" customWidth="1"/>
    <col min="11280" max="11280" width="2.26953125" style="1" customWidth="1"/>
    <col min="11281" max="11281" width="15.1796875" style="1" bestFit="1" customWidth="1"/>
    <col min="11282" max="11282" width="3.26953125" style="1" customWidth="1"/>
    <col min="11283" max="11283" width="9.1796875" style="1"/>
    <col min="11284" max="11284" width="23.81640625" style="1" customWidth="1"/>
    <col min="11285" max="11518" width="9.1796875" style="1"/>
    <col min="11519" max="11519" width="12" style="1" customWidth="1"/>
    <col min="11520" max="11520" width="2.26953125" style="1" customWidth="1"/>
    <col min="11521" max="11521" width="49.81640625" style="1" customWidth="1"/>
    <col min="11522" max="11522" width="2.26953125" style="1" customWidth="1"/>
    <col min="11523" max="11523" width="13.54296875" style="1" customWidth="1"/>
    <col min="11524" max="11524" width="2.26953125" style="1" customWidth="1"/>
    <col min="11525" max="11525" width="17.81640625" style="1" bestFit="1" customWidth="1"/>
    <col min="11526" max="11526" width="2.1796875" style="1" customWidth="1"/>
    <col min="11527" max="11527" width="17.453125" style="1" bestFit="1" customWidth="1"/>
    <col min="11528" max="11528" width="2.26953125" style="1" customWidth="1"/>
    <col min="11529" max="11529" width="18.453125" style="1" customWidth="1"/>
    <col min="11530" max="11530" width="2.26953125" style="1" customWidth="1"/>
    <col min="11531" max="11531" width="16.81640625" style="1" customWidth="1"/>
    <col min="11532" max="11532" width="2.26953125" style="1" customWidth="1"/>
    <col min="11533" max="11533" width="15.1796875" style="1" customWidth="1"/>
    <col min="11534" max="11534" width="2.26953125" style="1" customWidth="1"/>
    <col min="11535" max="11535" width="11.453125" style="1" customWidth="1"/>
    <col min="11536" max="11536" width="2.26953125" style="1" customWidth="1"/>
    <col min="11537" max="11537" width="15.1796875" style="1" bestFit="1" customWidth="1"/>
    <col min="11538" max="11538" width="3.26953125" style="1" customWidth="1"/>
    <col min="11539" max="11539" width="9.1796875" style="1"/>
    <col min="11540" max="11540" width="23.81640625" style="1" customWidth="1"/>
    <col min="11541" max="11774" width="9.1796875" style="1"/>
    <col min="11775" max="11775" width="12" style="1" customWidth="1"/>
    <col min="11776" max="11776" width="2.26953125" style="1" customWidth="1"/>
    <col min="11777" max="11777" width="49.81640625" style="1" customWidth="1"/>
    <col min="11778" max="11778" width="2.26953125" style="1" customWidth="1"/>
    <col min="11779" max="11779" width="13.54296875" style="1" customWidth="1"/>
    <col min="11780" max="11780" width="2.26953125" style="1" customWidth="1"/>
    <col min="11781" max="11781" width="17.81640625" style="1" bestFit="1" customWidth="1"/>
    <col min="11782" max="11782" width="2.1796875" style="1" customWidth="1"/>
    <col min="11783" max="11783" width="17.453125" style="1" bestFit="1" customWidth="1"/>
    <col min="11784" max="11784" width="2.26953125" style="1" customWidth="1"/>
    <col min="11785" max="11785" width="18.453125" style="1" customWidth="1"/>
    <col min="11786" max="11786" width="2.26953125" style="1" customWidth="1"/>
    <col min="11787" max="11787" width="16.81640625" style="1" customWidth="1"/>
    <col min="11788" max="11788" width="2.26953125" style="1" customWidth="1"/>
    <col min="11789" max="11789" width="15.1796875" style="1" customWidth="1"/>
    <col min="11790" max="11790" width="2.26953125" style="1" customWidth="1"/>
    <col min="11791" max="11791" width="11.453125" style="1" customWidth="1"/>
    <col min="11792" max="11792" width="2.26953125" style="1" customWidth="1"/>
    <col min="11793" max="11793" width="15.1796875" style="1" bestFit="1" customWidth="1"/>
    <col min="11794" max="11794" width="3.26953125" style="1" customWidth="1"/>
    <col min="11795" max="11795" width="9.1796875" style="1"/>
    <col min="11796" max="11796" width="23.81640625" style="1" customWidth="1"/>
    <col min="11797" max="12030" width="9.1796875" style="1"/>
    <col min="12031" max="12031" width="12" style="1" customWidth="1"/>
    <col min="12032" max="12032" width="2.26953125" style="1" customWidth="1"/>
    <col min="12033" max="12033" width="49.81640625" style="1" customWidth="1"/>
    <col min="12034" max="12034" width="2.26953125" style="1" customWidth="1"/>
    <col min="12035" max="12035" width="13.54296875" style="1" customWidth="1"/>
    <col min="12036" max="12036" width="2.26953125" style="1" customWidth="1"/>
    <col min="12037" max="12037" width="17.81640625" style="1" bestFit="1" customWidth="1"/>
    <col min="12038" max="12038" width="2.1796875" style="1" customWidth="1"/>
    <col min="12039" max="12039" width="17.453125" style="1" bestFit="1" customWidth="1"/>
    <col min="12040" max="12040" width="2.26953125" style="1" customWidth="1"/>
    <col min="12041" max="12041" width="18.453125" style="1" customWidth="1"/>
    <col min="12042" max="12042" width="2.26953125" style="1" customWidth="1"/>
    <col min="12043" max="12043" width="16.81640625" style="1" customWidth="1"/>
    <col min="12044" max="12044" width="2.26953125" style="1" customWidth="1"/>
    <col min="12045" max="12045" width="15.1796875" style="1" customWidth="1"/>
    <col min="12046" max="12046" width="2.26953125" style="1" customWidth="1"/>
    <col min="12047" max="12047" width="11.453125" style="1" customWidth="1"/>
    <col min="12048" max="12048" width="2.26953125" style="1" customWidth="1"/>
    <col min="12049" max="12049" width="15.1796875" style="1" bestFit="1" customWidth="1"/>
    <col min="12050" max="12050" width="3.26953125" style="1" customWidth="1"/>
    <col min="12051" max="12051" width="9.1796875" style="1"/>
    <col min="12052" max="12052" width="23.81640625" style="1" customWidth="1"/>
    <col min="12053" max="12286" width="9.1796875" style="1"/>
    <col min="12287" max="12287" width="12" style="1" customWidth="1"/>
    <col min="12288" max="12288" width="2.26953125" style="1" customWidth="1"/>
    <col min="12289" max="12289" width="49.81640625" style="1" customWidth="1"/>
    <col min="12290" max="12290" width="2.26953125" style="1" customWidth="1"/>
    <col min="12291" max="12291" width="13.54296875" style="1" customWidth="1"/>
    <col min="12292" max="12292" width="2.26953125" style="1" customWidth="1"/>
    <col min="12293" max="12293" width="17.81640625" style="1" bestFit="1" customWidth="1"/>
    <col min="12294" max="12294" width="2.1796875" style="1" customWidth="1"/>
    <col min="12295" max="12295" width="17.453125" style="1" bestFit="1" customWidth="1"/>
    <col min="12296" max="12296" width="2.26953125" style="1" customWidth="1"/>
    <col min="12297" max="12297" width="18.453125" style="1" customWidth="1"/>
    <col min="12298" max="12298" width="2.26953125" style="1" customWidth="1"/>
    <col min="12299" max="12299" width="16.81640625" style="1" customWidth="1"/>
    <col min="12300" max="12300" width="2.26953125" style="1" customWidth="1"/>
    <col min="12301" max="12301" width="15.1796875" style="1" customWidth="1"/>
    <col min="12302" max="12302" width="2.26953125" style="1" customWidth="1"/>
    <col min="12303" max="12303" width="11.453125" style="1" customWidth="1"/>
    <col min="12304" max="12304" width="2.26953125" style="1" customWidth="1"/>
    <col min="12305" max="12305" width="15.1796875" style="1" bestFit="1" customWidth="1"/>
    <col min="12306" max="12306" width="3.26953125" style="1" customWidth="1"/>
    <col min="12307" max="12307" width="9.1796875" style="1"/>
    <col min="12308" max="12308" width="23.81640625" style="1" customWidth="1"/>
    <col min="12309" max="12542" width="9.1796875" style="1"/>
    <col min="12543" max="12543" width="12" style="1" customWidth="1"/>
    <col min="12544" max="12544" width="2.26953125" style="1" customWidth="1"/>
    <col min="12545" max="12545" width="49.81640625" style="1" customWidth="1"/>
    <col min="12546" max="12546" width="2.26953125" style="1" customWidth="1"/>
    <col min="12547" max="12547" width="13.54296875" style="1" customWidth="1"/>
    <col min="12548" max="12548" width="2.26953125" style="1" customWidth="1"/>
    <col min="12549" max="12549" width="17.81640625" style="1" bestFit="1" customWidth="1"/>
    <col min="12550" max="12550" width="2.1796875" style="1" customWidth="1"/>
    <col min="12551" max="12551" width="17.453125" style="1" bestFit="1" customWidth="1"/>
    <col min="12552" max="12552" width="2.26953125" style="1" customWidth="1"/>
    <col min="12553" max="12553" width="18.453125" style="1" customWidth="1"/>
    <col min="12554" max="12554" width="2.26953125" style="1" customWidth="1"/>
    <col min="12555" max="12555" width="16.81640625" style="1" customWidth="1"/>
    <col min="12556" max="12556" width="2.26953125" style="1" customWidth="1"/>
    <col min="12557" max="12557" width="15.1796875" style="1" customWidth="1"/>
    <col min="12558" max="12558" width="2.26953125" style="1" customWidth="1"/>
    <col min="12559" max="12559" width="11.453125" style="1" customWidth="1"/>
    <col min="12560" max="12560" width="2.26953125" style="1" customWidth="1"/>
    <col min="12561" max="12561" width="15.1796875" style="1" bestFit="1" customWidth="1"/>
    <col min="12562" max="12562" width="3.26953125" style="1" customWidth="1"/>
    <col min="12563" max="12563" width="9.1796875" style="1"/>
    <col min="12564" max="12564" width="23.81640625" style="1" customWidth="1"/>
    <col min="12565" max="12798" width="9.1796875" style="1"/>
    <col min="12799" max="12799" width="12" style="1" customWidth="1"/>
    <col min="12800" max="12800" width="2.26953125" style="1" customWidth="1"/>
    <col min="12801" max="12801" width="49.81640625" style="1" customWidth="1"/>
    <col min="12802" max="12802" width="2.26953125" style="1" customWidth="1"/>
    <col min="12803" max="12803" width="13.54296875" style="1" customWidth="1"/>
    <col min="12804" max="12804" width="2.26953125" style="1" customWidth="1"/>
    <col min="12805" max="12805" width="17.81640625" style="1" bestFit="1" customWidth="1"/>
    <col min="12806" max="12806" width="2.1796875" style="1" customWidth="1"/>
    <col min="12807" max="12807" width="17.453125" style="1" bestFit="1" customWidth="1"/>
    <col min="12808" max="12808" width="2.26953125" style="1" customWidth="1"/>
    <col min="12809" max="12809" width="18.453125" style="1" customWidth="1"/>
    <col min="12810" max="12810" width="2.26953125" style="1" customWidth="1"/>
    <col min="12811" max="12811" width="16.81640625" style="1" customWidth="1"/>
    <col min="12812" max="12812" width="2.26953125" style="1" customWidth="1"/>
    <col min="12813" max="12813" width="15.1796875" style="1" customWidth="1"/>
    <col min="12814" max="12814" width="2.26953125" style="1" customWidth="1"/>
    <col min="12815" max="12815" width="11.453125" style="1" customWidth="1"/>
    <col min="12816" max="12816" width="2.26953125" style="1" customWidth="1"/>
    <col min="12817" max="12817" width="15.1796875" style="1" bestFit="1" customWidth="1"/>
    <col min="12818" max="12818" width="3.26953125" style="1" customWidth="1"/>
    <col min="12819" max="12819" width="9.1796875" style="1"/>
    <col min="12820" max="12820" width="23.81640625" style="1" customWidth="1"/>
    <col min="12821" max="13054" width="9.1796875" style="1"/>
    <col min="13055" max="13055" width="12" style="1" customWidth="1"/>
    <col min="13056" max="13056" width="2.26953125" style="1" customWidth="1"/>
    <col min="13057" max="13057" width="49.81640625" style="1" customWidth="1"/>
    <col min="13058" max="13058" width="2.26953125" style="1" customWidth="1"/>
    <col min="13059" max="13059" width="13.54296875" style="1" customWidth="1"/>
    <col min="13060" max="13060" width="2.26953125" style="1" customWidth="1"/>
    <col min="13061" max="13061" width="17.81640625" style="1" bestFit="1" customWidth="1"/>
    <col min="13062" max="13062" width="2.1796875" style="1" customWidth="1"/>
    <col min="13063" max="13063" width="17.453125" style="1" bestFit="1" customWidth="1"/>
    <col min="13064" max="13064" width="2.26953125" style="1" customWidth="1"/>
    <col min="13065" max="13065" width="18.453125" style="1" customWidth="1"/>
    <col min="13066" max="13066" width="2.26953125" style="1" customWidth="1"/>
    <col min="13067" max="13067" width="16.81640625" style="1" customWidth="1"/>
    <col min="13068" max="13068" width="2.26953125" style="1" customWidth="1"/>
    <col min="13069" max="13069" width="15.1796875" style="1" customWidth="1"/>
    <col min="13070" max="13070" width="2.26953125" style="1" customWidth="1"/>
    <col min="13071" max="13071" width="11.453125" style="1" customWidth="1"/>
    <col min="13072" max="13072" width="2.26953125" style="1" customWidth="1"/>
    <col min="13073" max="13073" width="15.1796875" style="1" bestFit="1" customWidth="1"/>
    <col min="13074" max="13074" width="3.26953125" style="1" customWidth="1"/>
    <col min="13075" max="13075" width="9.1796875" style="1"/>
    <col min="13076" max="13076" width="23.81640625" style="1" customWidth="1"/>
    <col min="13077" max="13310" width="9.1796875" style="1"/>
    <col min="13311" max="13311" width="12" style="1" customWidth="1"/>
    <col min="13312" max="13312" width="2.26953125" style="1" customWidth="1"/>
    <col min="13313" max="13313" width="49.81640625" style="1" customWidth="1"/>
    <col min="13314" max="13314" width="2.26953125" style="1" customWidth="1"/>
    <col min="13315" max="13315" width="13.54296875" style="1" customWidth="1"/>
    <col min="13316" max="13316" width="2.26953125" style="1" customWidth="1"/>
    <col min="13317" max="13317" width="17.81640625" style="1" bestFit="1" customWidth="1"/>
    <col min="13318" max="13318" width="2.1796875" style="1" customWidth="1"/>
    <col min="13319" max="13319" width="17.453125" style="1" bestFit="1" customWidth="1"/>
    <col min="13320" max="13320" width="2.26953125" style="1" customWidth="1"/>
    <col min="13321" max="13321" width="18.453125" style="1" customWidth="1"/>
    <col min="13322" max="13322" width="2.26953125" style="1" customWidth="1"/>
    <col min="13323" max="13323" width="16.81640625" style="1" customWidth="1"/>
    <col min="13324" max="13324" width="2.26953125" style="1" customWidth="1"/>
    <col min="13325" max="13325" width="15.1796875" style="1" customWidth="1"/>
    <col min="13326" max="13326" width="2.26953125" style="1" customWidth="1"/>
    <col min="13327" max="13327" width="11.453125" style="1" customWidth="1"/>
    <col min="13328" max="13328" width="2.26953125" style="1" customWidth="1"/>
    <col min="13329" max="13329" width="15.1796875" style="1" bestFit="1" customWidth="1"/>
    <col min="13330" max="13330" width="3.26953125" style="1" customWidth="1"/>
    <col min="13331" max="13331" width="9.1796875" style="1"/>
    <col min="13332" max="13332" width="23.81640625" style="1" customWidth="1"/>
    <col min="13333" max="13566" width="9.1796875" style="1"/>
    <col min="13567" max="13567" width="12" style="1" customWidth="1"/>
    <col min="13568" max="13568" width="2.26953125" style="1" customWidth="1"/>
    <col min="13569" max="13569" width="49.81640625" style="1" customWidth="1"/>
    <col min="13570" max="13570" width="2.26953125" style="1" customWidth="1"/>
    <col min="13571" max="13571" width="13.54296875" style="1" customWidth="1"/>
    <col min="13572" max="13572" width="2.26953125" style="1" customWidth="1"/>
    <col min="13573" max="13573" width="17.81640625" style="1" bestFit="1" customWidth="1"/>
    <col min="13574" max="13574" width="2.1796875" style="1" customWidth="1"/>
    <col min="13575" max="13575" width="17.453125" style="1" bestFit="1" customWidth="1"/>
    <col min="13576" max="13576" width="2.26953125" style="1" customWidth="1"/>
    <col min="13577" max="13577" width="18.453125" style="1" customWidth="1"/>
    <col min="13578" max="13578" width="2.26953125" style="1" customWidth="1"/>
    <col min="13579" max="13579" width="16.81640625" style="1" customWidth="1"/>
    <col min="13580" max="13580" width="2.26953125" style="1" customWidth="1"/>
    <col min="13581" max="13581" width="15.1796875" style="1" customWidth="1"/>
    <col min="13582" max="13582" width="2.26953125" style="1" customWidth="1"/>
    <col min="13583" max="13583" width="11.453125" style="1" customWidth="1"/>
    <col min="13584" max="13584" width="2.26953125" style="1" customWidth="1"/>
    <col min="13585" max="13585" width="15.1796875" style="1" bestFit="1" customWidth="1"/>
    <col min="13586" max="13586" width="3.26953125" style="1" customWidth="1"/>
    <col min="13587" max="13587" width="9.1796875" style="1"/>
    <col min="13588" max="13588" width="23.81640625" style="1" customWidth="1"/>
    <col min="13589" max="13822" width="9.1796875" style="1"/>
    <col min="13823" max="13823" width="12" style="1" customWidth="1"/>
    <col min="13824" max="13824" width="2.26953125" style="1" customWidth="1"/>
    <col min="13825" max="13825" width="49.81640625" style="1" customWidth="1"/>
    <col min="13826" max="13826" width="2.26953125" style="1" customWidth="1"/>
    <col min="13827" max="13827" width="13.54296875" style="1" customWidth="1"/>
    <col min="13828" max="13828" width="2.26953125" style="1" customWidth="1"/>
    <col min="13829" max="13829" width="17.81640625" style="1" bestFit="1" customWidth="1"/>
    <col min="13830" max="13830" width="2.1796875" style="1" customWidth="1"/>
    <col min="13831" max="13831" width="17.453125" style="1" bestFit="1" customWidth="1"/>
    <col min="13832" max="13832" width="2.26953125" style="1" customWidth="1"/>
    <col min="13833" max="13833" width="18.453125" style="1" customWidth="1"/>
    <col min="13834" max="13834" width="2.26953125" style="1" customWidth="1"/>
    <col min="13835" max="13835" width="16.81640625" style="1" customWidth="1"/>
    <col min="13836" max="13836" width="2.26953125" style="1" customWidth="1"/>
    <col min="13837" max="13837" width="15.1796875" style="1" customWidth="1"/>
    <col min="13838" max="13838" width="2.26953125" style="1" customWidth="1"/>
    <col min="13839" max="13839" width="11.453125" style="1" customWidth="1"/>
    <col min="13840" max="13840" width="2.26953125" style="1" customWidth="1"/>
    <col min="13841" max="13841" width="15.1796875" style="1" bestFit="1" customWidth="1"/>
    <col min="13842" max="13842" width="3.26953125" style="1" customWidth="1"/>
    <col min="13843" max="13843" width="9.1796875" style="1"/>
    <col min="13844" max="13844" width="23.81640625" style="1" customWidth="1"/>
    <col min="13845" max="14078" width="9.1796875" style="1"/>
    <col min="14079" max="14079" width="12" style="1" customWidth="1"/>
    <col min="14080" max="14080" width="2.26953125" style="1" customWidth="1"/>
    <col min="14081" max="14081" width="49.81640625" style="1" customWidth="1"/>
    <col min="14082" max="14082" width="2.26953125" style="1" customWidth="1"/>
    <col min="14083" max="14083" width="13.54296875" style="1" customWidth="1"/>
    <col min="14084" max="14084" width="2.26953125" style="1" customWidth="1"/>
    <col min="14085" max="14085" width="17.81640625" style="1" bestFit="1" customWidth="1"/>
    <col min="14086" max="14086" width="2.1796875" style="1" customWidth="1"/>
    <col min="14087" max="14087" width="17.453125" style="1" bestFit="1" customWidth="1"/>
    <col min="14088" max="14088" width="2.26953125" style="1" customWidth="1"/>
    <col min="14089" max="14089" width="18.453125" style="1" customWidth="1"/>
    <col min="14090" max="14090" width="2.26953125" style="1" customWidth="1"/>
    <col min="14091" max="14091" width="16.81640625" style="1" customWidth="1"/>
    <col min="14092" max="14092" width="2.26953125" style="1" customWidth="1"/>
    <col min="14093" max="14093" width="15.1796875" style="1" customWidth="1"/>
    <col min="14094" max="14094" width="2.26953125" style="1" customWidth="1"/>
    <col min="14095" max="14095" width="11.453125" style="1" customWidth="1"/>
    <col min="14096" max="14096" width="2.26953125" style="1" customWidth="1"/>
    <col min="14097" max="14097" width="15.1796875" style="1" bestFit="1" customWidth="1"/>
    <col min="14098" max="14098" width="3.26953125" style="1" customWidth="1"/>
    <col min="14099" max="14099" width="9.1796875" style="1"/>
    <col min="14100" max="14100" width="23.81640625" style="1" customWidth="1"/>
    <col min="14101" max="14334" width="9.1796875" style="1"/>
    <col min="14335" max="14335" width="12" style="1" customWidth="1"/>
    <col min="14336" max="14336" width="2.26953125" style="1" customWidth="1"/>
    <col min="14337" max="14337" width="49.81640625" style="1" customWidth="1"/>
    <col min="14338" max="14338" width="2.26953125" style="1" customWidth="1"/>
    <col min="14339" max="14339" width="13.54296875" style="1" customWidth="1"/>
    <col min="14340" max="14340" width="2.26953125" style="1" customWidth="1"/>
    <col min="14341" max="14341" width="17.81640625" style="1" bestFit="1" customWidth="1"/>
    <col min="14342" max="14342" width="2.1796875" style="1" customWidth="1"/>
    <col min="14343" max="14343" width="17.453125" style="1" bestFit="1" customWidth="1"/>
    <col min="14344" max="14344" width="2.26953125" style="1" customWidth="1"/>
    <col min="14345" max="14345" width="18.453125" style="1" customWidth="1"/>
    <col min="14346" max="14346" width="2.26953125" style="1" customWidth="1"/>
    <col min="14347" max="14347" width="16.81640625" style="1" customWidth="1"/>
    <col min="14348" max="14348" width="2.26953125" style="1" customWidth="1"/>
    <col min="14349" max="14349" width="15.1796875" style="1" customWidth="1"/>
    <col min="14350" max="14350" width="2.26953125" style="1" customWidth="1"/>
    <col min="14351" max="14351" width="11.453125" style="1" customWidth="1"/>
    <col min="14352" max="14352" width="2.26953125" style="1" customWidth="1"/>
    <col min="14353" max="14353" width="15.1796875" style="1" bestFit="1" customWidth="1"/>
    <col min="14354" max="14354" width="3.26953125" style="1" customWidth="1"/>
    <col min="14355" max="14355" width="9.1796875" style="1"/>
    <col min="14356" max="14356" width="23.81640625" style="1" customWidth="1"/>
    <col min="14357" max="14590" width="9.1796875" style="1"/>
    <col min="14591" max="14591" width="12" style="1" customWidth="1"/>
    <col min="14592" max="14592" width="2.26953125" style="1" customWidth="1"/>
    <col min="14593" max="14593" width="49.81640625" style="1" customWidth="1"/>
    <col min="14594" max="14594" width="2.26953125" style="1" customWidth="1"/>
    <col min="14595" max="14595" width="13.54296875" style="1" customWidth="1"/>
    <col min="14596" max="14596" width="2.26953125" style="1" customWidth="1"/>
    <col min="14597" max="14597" width="17.81640625" style="1" bestFit="1" customWidth="1"/>
    <col min="14598" max="14598" width="2.1796875" style="1" customWidth="1"/>
    <col min="14599" max="14599" width="17.453125" style="1" bestFit="1" customWidth="1"/>
    <col min="14600" max="14600" width="2.26953125" style="1" customWidth="1"/>
    <col min="14601" max="14601" width="18.453125" style="1" customWidth="1"/>
    <col min="14602" max="14602" width="2.26953125" style="1" customWidth="1"/>
    <col min="14603" max="14603" width="16.81640625" style="1" customWidth="1"/>
    <col min="14604" max="14604" width="2.26953125" style="1" customWidth="1"/>
    <col min="14605" max="14605" width="15.1796875" style="1" customWidth="1"/>
    <col min="14606" max="14606" width="2.26953125" style="1" customWidth="1"/>
    <col min="14607" max="14607" width="11.453125" style="1" customWidth="1"/>
    <col min="14608" max="14608" width="2.26953125" style="1" customWidth="1"/>
    <col min="14609" max="14609" width="15.1796875" style="1" bestFit="1" customWidth="1"/>
    <col min="14610" max="14610" width="3.26953125" style="1" customWidth="1"/>
    <col min="14611" max="14611" width="9.1796875" style="1"/>
    <col min="14612" max="14612" width="23.81640625" style="1" customWidth="1"/>
    <col min="14613" max="14846" width="9.1796875" style="1"/>
    <col min="14847" max="14847" width="12" style="1" customWidth="1"/>
    <col min="14848" max="14848" width="2.26953125" style="1" customWidth="1"/>
    <col min="14849" max="14849" width="49.81640625" style="1" customWidth="1"/>
    <col min="14850" max="14850" width="2.26953125" style="1" customWidth="1"/>
    <col min="14851" max="14851" width="13.54296875" style="1" customWidth="1"/>
    <col min="14852" max="14852" width="2.26953125" style="1" customWidth="1"/>
    <col min="14853" max="14853" width="17.81640625" style="1" bestFit="1" customWidth="1"/>
    <col min="14854" max="14854" width="2.1796875" style="1" customWidth="1"/>
    <col min="14855" max="14855" width="17.453125" style="1" bestFit="1" customWidth="1"/>
    <col min="14856" max="14856" width="2.26953125" style="1" customWidth="1"/>
    <col min="14857" max="14857" width="18.453125" style="1" customWidth="1"/>
    <col min="14858" max="14858" width="2.26953125" style="1" customWidth="1"/>
    <col min="14859" max="14859" width="16.81640625" style="1" customWidth="1"/>
    <col min="14860" max="14860" width="2.26953125" style="1" customWidth="1"/>
    <col min="14861" max="14861" width="15.1796875" style="1" customWidth="1"/>
    <col min="14862" max="14862" width="2.26953125" style="1" customWidth="1"/>
    <col min="14863" max="14863" width="11.453125" style="1" customWidth="1"/>
    <col min="14864" max="14864" width="2.26953125" style="1" customWidth="1"/>
    <col min="14865" max="14865" width="15.1796875" style="1" bestFit="1" customWidth="1"/>
    <col min="14866" max="14866" width="3.26953125" style="1" customWidth="1"/>
    <col min="14867" max="14867" width="9.1796875" style="1"/>
    <col min="14868" max="14868" width="23.81640625" style="1" customWidth="1"/>
    <col min="14869" max="15102" width="9.1796875" style="1"/>
    <col min="15103" max="15103" width="12" style="1" customWidth="1"/>
    <col min="15104" max="15104" width="2.26953125" style="1" customWidth="1"/>
    <col min="15105" max="15105" width="49.81640625" style="1" customWidth="1"/>
    <col min="15106" max="15106" width="2.26953125" style="1" customWidth="1"/>
    <col min="15107" max="15107" width="13.54296875" style="1" customWidth="1"/>
    <col min="15108" max="15108" width="2.26953125" style="1" customWidth="1"/>
    <col min="15109" max="15109" width="17.81640625" style="1" bestFit="1" customWidth="1"/>
    <col min="15110" max="15110" width="2.1796875" style="1" customWidth="1"/>
    <col min="15111" max="15111" width="17.453125" style="1" bestFit="1" customWidth="1"/>
    <col min="15112" max="15112" width="2.26953125" style="1" customWidth="1"/>
    <col min="15113" max="15113" width="18.453125" style="1" customWidth="1"/>
    <col min="15114" max="15114" width="2.26953125" style="1" customWidth="1"/>
    <col min="15115" max="15115" width="16.81640625" style="1" customWidth="1"/>
    <col min="15116" max="15116" width="2.26953125" style="1" customWidth="1"/>
    <col min="15117" max="15117" width="15.1796875" style="1" customWidth="1"/>
    <col min="15118" max="15118" width="2.26953125" style="1" customWidth="1"/>
    <col min="15119" max="15119" width="11.453125" style="1" customWidth="1"/>
    <col min="15120" max="15120" width="2.26953125" style="1" customWidth="1"/>
    <col min="15121" max="15121" width="15.1796875" style="1" bestFit="1" customWidth="1"/>
    <col min="15122" max="15122" width="3.26953125" style="1" customWidth="1"/>
    <col min="15123" max="15123" width="9.1796875" style="1"/>
    <col min="15124" max="15124" width="23.81640625" style="1" customWidth="1"/>
    <col min="15125" max="15358" width="9.1796875" style="1"/>
    <col min="15359" max="15359" width="12" style="1" customWidth="1"/>
    <col min="15360" max="15360" width="2.26953125" style="1" customWidth="1"/>
    <col min="15361" max="15361" width="49.81640625" style="1" customWidth="1"/>
    <col min="15362" max="15362" width="2.26953125" style="1" customWidth="1"/>
    <col min="15363" max="15363" width="13.54296875" style="1" customWidth="1"/>
    <col min="15364" max="15364" width="2.26953125" style="1" customWidth="1"/>
    <col min="15365" max="15365" width="17.81640625" style="1" bestFit="1" customWidth="1"/>
    <col min="15366" max="15366" width="2.1796875" style="1" customWidth="1"/>
    <col min="15367" max="15367" width="17.453125" style="1" bestFit="1" customWidth="1"/>
    <col min="15368" max="15368" width="2.26953125" style="1" customWidth="1"/>
    <col min="15369" max="15369" width="18.453125" style="1" customWidth="1"/>
    <col min="15370" max="15370" width="2.26953125" style="1" customWidth="1"/>
    <col min="15371" max="15371" width="16.81640625" style="1" customWidth="1"/>
    <col min="15372" max="15372" width="2.26953125" style="1" customWidth="1"/>
    <col min="15373" max="15373" width="15.1796875" style="1" customWidth="1"/>
    <col min="15374" max="15374" width="2.26953125" style="1" customWidth="1"/>
    <col min="15375" max="15375" width="11.453125" style="1" customWidth="1"/>
    <col min="15376" max="15376" width="2.26953125" style="1" customWidth="1"/>
    <col min="15377" max="15377" width="15.1796875" style="1" bestFit="1" customWidth="1"/>
    <col min="15378" max="15378" width="3.26953125" style="1" customWidth="1"/>
    <col min="15379" max="15379" width="9.1796875" style="1"/>
    <col min="15380" max="15380" width="23.81640625" style="1" customWidth="1"/>
    <col min="15381" max="15614" width="9.1796875" style="1"/>
    <col min="15615" max="15615" width="12" style="1" customWidth="1"/>
    <col min="15616" max="15616" width="2.26953125" style="1" customWidth="1"/>
    <col min="15617" max="15617" width="49.81640625" style="1" customWidth="1"/>
    <col min="15618" max="15618" width="2.26953125" style="1" customWidth="1"/>
    <col min="15619" max="15619" width="13.54296875" style="1" customWidth="1"/>
    <col min="15620" max="15620" width="2.26953125" style="1" customWidth="1"/>
    <col min="15621" max="15621" width="17.81640625" style="1" bestFit="1" customWidth="1"/>
    <col min="15622" max="15622" width="2.1796875" style="1" customWidth="1"/>
    <col min="15623" max="15623" width="17.453125" style="1" bestFit="1" customWidth="1"/>
    <col min="15624" max="15624" width="2.26953125" style="1" customWidth="1"/>
    <col min="15625" max="15625" width="18.453125" style="1" customWidth="1"/>
    <col min="15626" max="15626" width="2.26953125" style="1" customWidth="1"/>
    <col min="15627" max="15627" width="16.81640625" style="1" customWidth="1"/>
    <col min="15628" max="15628" width="2.26953125" style="1" customWidth="1"/>
    <col min="15629" max="15629" width="15.1796875" style="1" customWidth="1"/>
    <col min="15630" max="15630" width="2.26953125" style="1" customWidth="1"/>
    <col min="15631" max="15631" width="11.453125" style="1" customWidth="1"/>
    <col min="15632" max="15632" width="2.26953125" style="1" customWidth="1"/>
    <col min="15633" max="15633" width="15.1796875" style="1" bestFit="1" customWidth="1"/>
    <col min="15634" max="15634" width="3.26953125" style="1" customWidth="1"/>
    <col min="15635" max="15635" width="9.1796875" style="1"/>
    <col min="15636" max="15636" width="23.81640625" style="1" customWidth="1"/>
    <col min="15637" max="15870" width="9.1796875" style="1"/>
    <col min="15871" max="15871" width="12" style="1" customWidth="1"/>
    <col min="15872" max="15872" width="2.26953125" style="1" customWidth="1"/>
    <col min="15873" max="15873" width="49.81640625" style="1" customWidth="1"/>
    <col min="15874" max="15874" width="2.26953125" style="1" customWidth="1"/>
    <col min="15875" max="15875" width="13.54296875" style="1" customWidth="1"/>
    <col min="15876" max="15876" width="2.26953125" style="1" customWidth="1"/>
    <col min="15877" max="15877" width="17.81640625" style="1" bestFit="1" customWidth="1"/>
    <col min="15878" max="15878" width="2.1796875" style="1" customWidth="1"/>
    <col min="15879" max="15879" width="17.453125" style="1" bestFit="1" customWidth="1"/>
    <col min="15880" max="15880" width="2.26953125" style="1" customWidth="1"/>
    <col min="15881" max="15881" width="18.453125" style="1" customWidth="1"/>
    <col min="15882" max="15882" width="2.26953125" style="1" customWidth="1"/>
    <col min="15883" max="15883" width="16.81640625" style="1" customWidth="1"/>
    <col min="15884" max="15884" width="2.26953125" style="1" customWidth="1"/>
    <col min="15885" max="15885" width="15.1796875" style="1" customWidth="1"/>
    <col min="15886" max="15886" width="2.26953125" style="1" customWidth="1"/>
    <col min="15887" max="15887" width="11.453125" style="1" customWidth="1"/>
    <col min="15888" max="15888" width="2.26953125" style="1" customWidth="1"/>
    <col min="15889" max="15889" width="15.1796875" style="1" bestFit="1" customWidth="1"/>
    <col min="15890" max="15890" width="3.26953125" style="1" customWidth="1"/>
    <col min="15891" max="15891" width="9.1796875" style="1"/>
    <col min="15892" max="15892" width="23.81640625" style="1" customWidth="1"/>
    <col min="15893" max="16126" width="9.1796875" style="1"/>
    <col min="16127" max="16127" width="12" style="1" customWidth="1"/>
    <col min="16128" max="16128" width="2.26953125" style="1" customWidth="1"/>
    <col min="16129" max="16129" width="49.81640625" style="1" customWidth="1"/>
    <col min="16130" max="16130" width="2.26953125" style="1" customWidth="1"/>
    <col min="16131" max="16131" width="13.54296875" style="1" customWidth="1"/>
    <col min="16132" max="16132" width="2.26953125" style="1" customWidth="1"/>
    <col min="16133" max="16133" width="17.81640625" style="1" bestFit="1" customWidth="1"/>
    <col min="16134" max="16134" width="2.1796875" style="1" customWidth="1"/>
    <col min="16135" max="16135" width="17.453125" style="1" bestFit="1" customWidth="1"/>
    <col min="16136" max="16136" width="2.26953125" style="1" customWidth="1"/>
    <col min="16137" max="16137" width="18.453125" style="1" customWidth="1"/>
    <col min="16138" max="16138" width="2.26953125" style="1" customWidth="1"/>
    <col min="16139" max="16139" width="16.81640625" style="1" customWidth="1"/>
    <col min="16140" max="16140" width="2.26953125" style="1" customWidth="1"/>
    <col min="16141" max="16141" width="15.1796875" style="1" customWidth="1"/>
    <col min="16142" max="16142" width="2.26953125" style="1" customWidth="1"/>
    <col min="16143" max="16143" width="11.453125" style="1" customWidth="1"/>
    <col min="16144" max="16144" width="2.26953125" style="1" customWidth="1"/>
    <col min="16145" max="16145" width="15.1796875" style="1" bestFit="1" customWidth="1"/>
    <col min="16146" max="16146" width="3.26953125" style="1" customWidth="1"/>
    <col min="16147" max="16147" width="9.1796875" style="1"/>
    <col min="16148" max="16148" width="23.81640625" style="1" customWidth="1"/>
    <col min="16149" max="16384" width="9.1796875" style="1"/>
  </cols>
  <sheetData>
    <row r="1" spans="1:20" s="59" customFormat="1" ht="30" customHeight="1" x14ac:dyDescent="0.25">
      <c r="A1" s="57" t="s">
        <v>0</v>
      </c>
      <c r="B1" s="57"/>
      <c r="C1" s="60"/>
      <c r="D1" s="60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T1" s="61"/>
    </row>
    <row r="2" spans="1:20" s="8" customFormat="1" ht="15" customHeight="1" x14ac:dyDescent="0.3">
      <c r="A2" s="14" t="s">
        <v>92</v>
      </c>
      <c r="B2" s="14"/>
      <c r="C2" s="22"/>
      <c r="D2" s="2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T2" s="56"/>
    </row>
    <row r="3" spans="1:20" s="8" customFormat="1" ht="15" customHeight="1" x14ac:dyDescent="0.3">
      <c r="A3" s="14" t="s">
        <v>76</v>
      </c>
      <c r="B3" s="14"/>
      <c r="C3" s="22"/>
      <c r="D3" s="2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T3" s="56"/>
    </row>
    <row r="4" spans="1:20" s="8" customFormat="1" ht="25" customHeight="1" x14ac:dyDescent="0.35">
      <c r="A4" s="16" t="s">
        <v>93</v>
      </c>
      <c r="B4" s="16"/>
      <c r="C4" s="22"/>
      <c r="D4" s="2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T4" s="56"/>
    </row>
    <row r="5" spans="1:20" s="8" customFormat="1" ht="25" customHeight="1" x14ac:dyDescent="0.35">
      <c r="A5" s="16" t="s">
        <v>5</v>
      </c>
      <c r="B5" s="16"/>
      <c r="C5" s="22"/>
      <c r="D5" s="2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T5" s="56"/>
    </row>
    <row r="6" spans="1:20" s="30" customFormat="1" ht="59.25" customHeight="1" x14ac:dyDescent="0.25">
      <c r="A6" s="27" t="s">
        <v>6</v>
      </c>
      <c r="B6" s="27"/>
      <c r="C6" s="27" t="s">
        <v>7</v>
      </c>
      <c r="D6" s="27"/>
      <c r="E6" s="28" t="s">
        <v>11</v>
      </c>
      <c r="F6" s="50"/>
      <c r="G6" s="28" t="s">
        <v>78</v>
      </c>
      <c r="H6" s="50"/>
      <c r="I6" s="28" t="s">
        <v>79</v>
      </c>
      <c r="J6" s="29"/>
      <c r="K6" s="28" t="s">
        <v>80</v>
      </c>
      <c r="L6" s="29"/>
      <c r="M6" s="28" t="s">
        <v>81</v>
      </c>
      <c r="N6" s="29"/>
      <c r="O6" s="28" t="s">
        <v>82</v>
      </c>
      <c r="P6" s="29"/>
      <c r="Q6" s="28" t="s">
        <v>83</v>
      </c>
    </row>
    <row r="7" spans="1:20" s="7" customFormat="1" ht="11.5" x14ac:dyDescent="0.25">
      <c r="A7" s="5" t="s">
        <v>15</v>
      </c>
      <c r="B7" s="5"/>
      <c r="C7" s="35" t="s">
        <v>16</v>
      </c>
      <c r="D7" s="35"/>
      <c r="E7" s="36" t="s">
        <v>17</v>
      </c>
      <c r="F7" s="37"/>
      <c r="G7" s="36" t="s">
        <v>18</v>
      </c>
      <c r="H7" s="37"/>
      <c r="I7" s="36" t="s">
        <v>19</v>
      </c>
      <c r="J7" s="70"/>
      <c r="K7" s="38" t="s">
        <v>84</v>
      </c>
      <c r="L7" s="38"/>
      <c r="M7" s="6" t="s">
        <v>85</v>
      </c>
      <c r="N7" s="37"/>
      <c r="O7" s="39" t="s">
        <v>22</v>
      </c>
      <c r="P7" s="37"/>
      <c r="Q7" s="40" t="s">
        <v>86</v>
      </c>
      <c r="T7" s="54"/>
    </row>
    <row r="8" spans="1:20" s="8" customFormat="1" ht="25" customHeight="1" x14ac:dyDescent="0.3">
      <c r="A8" s="74" t="s">
        <v>24</v>
      </c>
      <c r="B8" s="74"/>
      <c r="C8" s="31"/>
      <c r="D8" s="31"/>
      <c r="E8" s="31"/>
      <c r="F8" s="42"/>
      <c r="G8" s="23"/>
      <c r="H8" s="23"/>
      <c r="I8" s="23"/>
      <c r="J8" s="23"/>
      <c r="K8" s="43"/>
      <c r="L8" s="13"/>
      <c r="M8" s="44"/>
      <c r="N8" s="44"/>
      <c r="O8" s="13"/>
      <c r="P8" s="13"/>
      <c r="Q8" s="13"/>
      <c r="R8" s="13"/>
      <c r="S8" s="13"/>
      <c r="T8" s="22"/>
    </row>
    <row r="9" spans="1:20" s="8" customFormat="1" ht="25" customHeight="1" x14ac:dyDescent="0.3">
      <c r="A9" s="31" t="s">
        <v>25</v>
      </c>
      <c r="B9" s="31"/>
      <c r="C9" s="31"/>
      <c r="D9" s="31"/>
      <c r="E9" s="31"/>
      <c r="F9" s="42"/>
      <c r="G9" s="23"/>
      <c r="H9" s="23"/>
      <c r="I9" s="23"/>
      <c r="J9" s="23"/>
      <c r="K9" s="43"/>
      <c r="L9" s="13"/>
      <c r="M9" s="44"/>
      <c r="N9" s="44"/>
      <c r="O9" s="13"/>
      <c r="P9" s="13"/>
      <c r="Q9" s="13"/>
      <c r="R9" s="13"/>
      <c r="S9" s="13"/>
      <c r="T9" s="22"/>
    </row>
    <row r="10" spans="1:20" s="8" customFormat="1" ht="14.5" customHeight="1" x14ac:dyDescent="0.3">
      <c r="A10" s="31"/>
      <c r="B10" s="31"/>
      <c r="C10" s="31"/>
      <c r="D10" s="31"/>
      <c r="E10" s="31"/>
      <c r="F10" s="42"/>
      <c r="G10" s="23"/>
      <c r="H10" s="23"/>
      <c r="I10" s="23"/>
      <c r="J10" s="23"/>
      <c r="K10" s="43"/>
      <c r="L10" s="13"/>
      <c r="M10" s="44"/>
      <c r="N10" s="44"/>
      <c r="O10" s="13"/>
      <c r="P10" s="13"/>
      <c r="Q10" s="13"/>
      <c r="R10" s="13"/>
      <c r="S10" s="13"/>
      <c r="T10" s="22"/>
    </row>
    <row r="11" spans="1:20" s="8" customFormat="1" ht="14.5" customHeight="1" x14ac:dyDescent="0.3">
      <c r="A11" s="31" t="s">
        <v>26</v>
      </c>
      <c r="B11" s="31"/>
      <c r="C11" s="31"/>
      <c r="D11" s="31"/>
      <c r="E11" s="31"/>
      <c r="F11" s="42"/>
      <c r="G11" s="23"/>
      <c r="H11" s="23"/>
      <c r="I11" s="23"/>
      <c r="J11" s="23"/>
      <c r="K11" s="43"/>
      <c r="L11" s="13"/>
      <c r="M11" s="44"/>
      <c r="N11" s="44"/>
      <c r="O11" s="13"/>
      <c r="P11" s="13"/>
      <c r="Q11" s="13"/>
      <c r="R11" s="13"/>
      <c r="S11" s="13"/>
      <c r="T11" s="22"/>
    </row>
    <row r="12" spans="1:20" s="8" customFormat="1" ht="13.5" x14ac:dyDescent="0.25">
      <c r="A12" s="77">
        <v>331</v>
      </c>
      <c r="B12" s="77"/>
      <c r="C12" s="21" t="s">
        <v>27</v>
      </c>
      <c r="D12" s="21"/>
      <c r="E12" s="41">
        <f>VLOOKUP(A12,'Table 1 Total'!A$12:P$60,10,FALSE)</f>
        <v>1668035.55</v>
      </c>
      <c r="F12" s="41"/>
      <c r="G12" s="107">
        <f>'Table 1B Net Salvage'!J13</f>
        <v>0</v>
      </c>
      <c r="H12" s="41"/>
      <c r="I12" s="107">
        <f>'Table 2 Total'!I12-'Table 2A Life'!I12</f>
        <v>47917.590000000026</v>
      </c>
      <c r="J12" s="12"/>
      <c r="K12" s="19">
        <f t="shared" ref="K12:K59" si="0">G12-I12</f>
        <v>-47917.590000000026</v>
      </c>
      <c r="L12" s="19"/>
      <c r="M12" s="104">
        <f>IFERROR(K12/G12,1)</f>
        <v>1</v>
      </c>
      <c r="N12" s="10"/>
      <c r="O12" s="47">
        <f>IF(P12=" ",(VLOOKUP(A12,'ALG Remaining Life_Life'!A$2:M$27,11,FALSE)),3)</f>
        <v>61.933363986420503</v>
      </c>
      <c r="P12" s="10" t="str">
        <f>IF(VLOOKUP(A12,'ALG Remaining Life_Life'!A$2:M$35,11,FALSE)&gt;3," ","+")</f>
        <v xml:space="preserve"> </v>
      </c>
      <c r="Q12" s="19">
        <f t="shared" ref="Q12:Q59" si="1">IF(R12="*",0,K12/O12)</f>
        <v>-773.69590339879528</v>
      </c>
      <c r="R12" s="8" t="str">
        <f t="shared" ref="R12:R59" si="2">IF(T12&gt;0.05," ","*")</f>
        <v xml:space="preserve"> </v>
      </c>
      <c r="T12" s="8">
        <f>ABS(M12)</f>
        <v>1</v>
      </c>
    </row>
    <row r="13" spans="1:20" s="8" customFormat="1" ht="13.5" x14ac:dyDescent="0.25">
      <c r="A13" s="77">
        <v>332</v>
      </c>
      <c r="B13" s="77"/>
      <c r="C13" s="21" t="s">
        <v>28</v>
      </c>
      <c r="D13" s="21"/>
      <c r="E13" s="41">
        <f>VLOOKUP(A13,'Table 1 Total'!A$12:P$60,10,FALSE)</f>
        <v>8819430.7799999993</v>
      </c>
      <c r="F13" s="41"/>
      <c r="G13" s="107">
        <f>'Table 1B Net Salvage'!J14</f>
        <v>15568.690081377979</v>
      </c>
      <c r="H13" s="41"/>
      <c r="I13" s="107">
        <f>'Table 2 Total'!I13-'Table 2A Life'!I13</f>
        <v>-45900.929999999993</v>
      </c>
      <c r="J13" s="12"/>
      <c r="K13" s="19">
        <f t="shared" si="0"/>
        <v>61469.620081377972</v>
      </c>
      <c r="L13" s="19"/>
      <c r="M13" s="104">
        <f>IFERROR(K13/G13,1)</f>
        <v>3.9482846508007126</v>
      </c>
      <c r="N13" s="10"/>
      <c r="O13" s="47">
        <f>IF(P13=" ",(VLOOKUP(A13,'ALG Remaining Life_Life'!A$2:M$27,11,FALSE)),3)</f>
        <v>92.391494478569797</v>
      </c>
      <c r="P13" s="10" t="str">
        <f>IF(VLOOKUP(A13,'ALG Remaining Life_Life'!A$2:M$35,11,FALSE)&gt;3," ","+")</f>
        <v xml:space="preserve"> </v>
      </c>
      <c r="Q13" s="19">
        <f t="shared" si="1"/>
        <v>665.31687173472278</v>
      </c>
      <c r="R13" s="8" t="str">
        <f t="shared" si="2"/>
        <v xml:space="preserve"> </v>
      </c>
      <c r="T13" s="8">
        <f t="shared" ref="T13:T59" si="3">ABS(M13)</f>
        <v>3.9482846508007126</v>
      </c>
    </row>
    <row r="14" spans="1:20" s="55" customFormat="1" ht="13.5" x14ac:dyDescent="0.25">
      <c r="A14" s="77">
        <v>333</v>
      </c>
      <c r="B14" s="77"/>
      <c r="C14" s="21" t="s">
        <v>29</v>
      </c>
      <c r="D14" s="21"/>
      <c r="E14" s="41">
        <f>VLOOKUP(A14,'Table 1 Total'!A$12:P$60,10,FALSE)</f>
        <v>3293183.44</v>
      </c>
      <c r="F14" s="41"/>
      <c r="G14" s="107">
        <f>'Table 1B Net Salvage'!J15</f>
        <v>9003.3971847830107</v>
      </c>
      <c r="H14" s="41"/>
      <c r="I14" s="107">
        <f>'Table 2 Total'!I14-'Table 2A Life'!I14</f>
        <v>-40769.420000000158</v>
      </c>
      <c r="J14" s="12"/>
      <c r="K14" s="19">
        <f t="shared" si="0"/>
        <v>49772.817184783169</v>
      </c>
      <c r="L14" s="19"/>
      <c r="M14" s="104">
        <f t="shared" ref="M14:M16" si="4">IFERROR(K14/G14,1)</f>
        <v>5.528226308721127</v>
      </c>
      <c r="N14" s="10"/>
      <c r="O14" s="47">
        <f>IF(P14=" ",(VLOOKUP(A14,'ALG Remaining Life_Life'!A$2:M$27,11,FALSE)),3)</f>
        <v>74.892554164926494</v>
      </c>
      <c r="P14" s="10" t="str">
        <f>IF(VLOOKUP(A14,'ALG Remaining Life_Life'!A$2:M$35,11,FALSE)&gt;3," ","+")</f>
        <v xml:space="preserve"> </v>
      </c>
      <c r="Q14" s="19">
        <f t="shared" si="1"/>
        <v>664.58966101189083</v>
      </c>
      <c r="R14" s="8" t="str">
        <f t="shared" si="2"/>
        <v xml:space="preserve"> </v>
      </c>
      <c r="S14" s="8"/>
      <c r="T14" s="8">
        <f t="shared" si="3"/>
        <v>5.528226308721127</v>
      </c>
    </row>
    <row r="15" spans="1:20" s="55" customFormat="1" ht="13.5" x14ac:dyDescent="0.25">
      <c r="A15" s="77">
        <v>334</v>
      </c>
      <c r="B15" s="77"/>
      <c r="C15" s="21" t="s">
        <v>30</v>
      </c>
      <c r="D15" s="21"/>
      <c r="E15" s="41">
        <f>VLOOKUP(A15,'Table 1 Total'!A$12:P$60,10,FALSE)</f>
        <v>81241.84</v>
      </c>
      <c r="F15" s="41"/>
      <c r="G15" s="107">
        <f>'Table 1B Net Salvage'!J16</f>
        <v>0</v>
      </c>
      <c r="H15" s="41"/>
      <c r="I15" s="107">
        <f>'Table 2 Total'!I15-'Table 2A Life'!I15</f>
        <v>-5043.7999999999884</v>
      </c>
      <c r="J15" s="12"/>
      <c r="K15" s="19">
        <f t="shared" si="0"/>
        <v>5043.7999999999884</v>
      </c>
      <c r="L15" s="19"/>
      <c r="M15" s="104">
        <f t="shared" si="4"/>
        <v>1</v>
      </c>
      <c r="N15" s="10"/>
      <c r="O15" s="47">
        <f>IF(P15=" ",(VLOOKUP(A15,'ALG Remaining Life_Life'!A$2:M$27,11,FALSE)),3)</f>
        <v>16.1127895814925</v>
      </c>
      <c r="P15" s="10" t="str">
        <f>IF(VLOOKUP(A15,'ALG Remaining Life_Life'!A$2:M$35,11,FALSE)&gt;3," ","+")</f>
        <v xml:space="preserve"> </v>
      </c>
      <c r="Q15" s="19">
        <f t="shared" si="1"/>
        <v>313.03083643526298</v>
      </c>
      <c r="R15" s="8" t="str">
        <f t="shared" si="2"/>
        <v xml:space="preserve"> </v>
      </c>
      <c r="S15" s="8"/>
      <c r="T15" s="8">
        <f t="shared" si="3"/>
        <v>1</v>
      </c>
    </row>
    <row r="16" spans="1:20" s="8" customFormat="1" ht="13.5" x14ac:dyDescent="0.25">
      <c r="A16" s="77">
        <v>335</v>
      </c>
      <c r="B16" s="77"/>
      <c r="C16" s="21" t="s">
        <v>31</v>
      </c>
      <c r="D16" s="32"/>
      <c r="E16" s="81">
        <f>VLOOKUP(A16,'Table 1 Total'!A$12:P$60,10,FALSE)</f>
        <v>109846.18</v>
      </c>
      <c r="F16" s="41"/>
      <c r="G16" s="81">
        <f>'Table 1B Net Salvage'!J17</f>
        <v>0</v>
      </c>
      <c r="H16" s="41"/>
      <c r="I16" s="81">
        <f>'Table 2 Total'!I16-'Table 2A Life'!I16</f>
        <v>-7595.99</v>
      </c>
      <c r="J16" s="12"/>
      <c r="K16" s="80">
        <f t="shared" si="0"/>
        <v>7595.99</v>
      </c>
      <c r="L16" s="19"/>
      <c r="M16" s="104">
        <f t="shared" si="4"/>
        <v>1</v>
      </c>
      <c r="N16" s="10"/>
      <c r="O16" s="47">
        <f>IF(P16=" ",(VLOOKUP(A16,'ALG Remaining Life_Life'!A$2:M$27,11,FALSE)),3)</f>
        <v>45.978747335512402</v>
      </c>
      <c r="P16" s="10" t="str">
        <f>IF(VLOOKUP(A16,'ALG Remaining Life_Life'!A$2:M$35,11,FALSE)&gt;3," ","+")</f>
        <v xml:space="preserve"> </v>
      </c>
      <c r="Q16" s="80">
        <f t="shared" si="1"/>
        <v>165.20654520165925</v>
      </c>
      <c r="R16" s="8" t="str">
        <f t="shared" si="2"/>
        <v xml:space="preserve"> </v>
      </c>
      <c r="T16" s="8">
        <f t="shared" si="3"/>
        <v>1</v>
      </c>
    </row>
    <row r="17" spans="1:38" s="8" customFormat="1" ht="14" x14ac:dyDescent="0.3">
      <c r="A17" s="14" t="s">
        <v>32</v>
      </c>
      <c r="B17" s="14"/>
      <c r="C17" s="21"/>
      <c r="D17" s="32"/>
      <c r="E17" s="44">
        <f>_xlfn.IFNA(SUM(E12:E16),0)</f>
        <v>13971737.789999999</v>
      </c>
      <c r="F17" s="41"/>
      <c r="G17" s="44">
        <f>_xlfn.IFNA(SUM(G12:G16),0)</f>
        <v>24572.08726616099</v>
      </c>
      <c r="H17" s="41"/>
      <c r="I17" s="44">
        <f>_xlfn.IFNA(SUM(I12:I16),0)</f>
        <v>-51392.550000000112</v>
      </c>
      <c r="J17" s="12"/>
      <c r="K17" s="44">
        <f>_xlfn.IFNA(SUM(K12:K16),0)</f>
        <v>75964.637266161109</v>
      </c>
      <c r="L17" s="19"/>
      <c r="M17" s="104"/>
      <c r="N17" s="10"/>
      <c r="O17" s="47"/>
      <c r="P17" s="10"/>
      <c r="Q17" s="44">
        <f>_xlfn.IFNA(SUM(Q12:Q16),0)</f>
        <v>1034.4480109847407</v>
      </c>
    </row>
    <row r="18" spans="1:38" s="8" customFormat="1" ht="14" x14ac:dyDescent="0.3">
      <c r="A18" s="14"/>
      <c r="B18" s="14"/>
      <c r="C18" s="21"/>
      <c r="D18" s="32"/>
      <c r="E18" s="41"/>
      <c r="F18" s="41"/>
      <c r="G18" s="41"/>
      <c r="H18" s="41"/>
      <c r="I18" s="41"/>
      <c r="J18" s="12"/>
      <c r="K18" s="19"/>
      <c r="L18" s="19"/>
      <c r="M18" s="104"/>
      <c r="N18" s="10"/>
      <c r="O18" s="47"/>
      <c r="P18" s="10"/>
      <c r="Q18" s="19"/>
    </row>
    <row r="19" spans="1:38" s="8" customFormat="1" ht="14" x14ac:dyDescent="0.3">
      <c r="A19" s="14" t="s">
        <v>33</v>
      </c>
      <c r="B19" s="14"/>
      <c r="C19" s="21"/>
      <c r="D19" s="32"/>
      <c r="E19" s="41"/>
      <c r="F19" s="41"/>
      <c r="G19" s="41"/>
      <c r="H19" s="41"/>
      <c r="I19" s="41"/>
      <c r="J19" s="12"/>
      <c r="K19" s="19"/>
      <c r="L19" s="19"/>
      <c r="M19" s="104"/>
      <c r="N19" s="10"/>
      <c r="O19" s="47"/>
      <c r="P19" s="10"/>
      <c r="Q19" s="19"/>
    </row>
    <row r="20" spans="1:38" s="8" customFormat="1" ht="13.5" x14ac:dyDescent="0.25">
      <c r="A20" s="77">
        <v>341.2</v>
      </c>
      <c r="B20" s="77"/>
      <c r="C20" s="21" t="s">
        <v>34</v>
      </c>
      <c r="D20" s="53"/>
      <c r="E20" s="107">
        <f>VLOOKUP(A20,'Table 1 Total'!A$12:P$60,10,FALSE)</f>
        <v>6101560.3399999999</v>
      </c>
      <c r="F20" s="10"/>
      <c r="G20" s="41">
        <f>'Table 1B Net Salvage'!J21</f>
        <v>20871.473739289911</v>
      </c>
      <c r="H20" s="10"/>
      <c r="I20" s="107">
        <f>'Table 2 Total'!I20-'Table 2A Life'!I20</f>
        <v>-111393.11000000034</v>
      </c>
      <c r="J20" s="95"/>
      <c r="K20" s="109">
        <f>G20-I20</f>
        <v>132264.58373929025</v>
      </c>
      <c r="L20" s="107"/>
      <c r="M20" s="110">
        <f t="shared" ref="M20:M25" si="5">IFERROR(K20/G20,1)</f>
        <v>6.33709844313994</v>
      </c>
      <c r="N20" s="107"/>
      <c r="O20" s="111">
        <f>IF(P20=" ",(VLOOKUP(A20,'ALG Remaining Life_Life'!A$2:M$146,11,FALSE)),3)</f>
        <v>28.8622703530542</v>
      </c>
      <c r="P20" s="10" t="str">
        <f>IF(VLOOKUP(A20,'ALG Remaining Life_Life'!A$2:M$146,11,FALSE)&gt;3," ","+")</f>
        <v xml:space="preserve"> </v>
      </c>
      <c r="Q20" s="109">
        <f>IF(R20="*",0,K20/O20)</f>
        <v>4582.611905486986</v>
      </c>
      <c r="R20" s="8" t="str">
        <f t="shared" si="2"/>
        <v xml:space="preserve"> </v>
      </c>
      <c r="S20"/>
      <c r="T20" s="8">
        <f>ABS(M20)</f>
        <v>6.33709844313994</v>
      </c>
      <c r="U20"/>
    </row>
    <row r="21" spans="1:38" s="8" customFormat="1" ht="13.5" x14ac:dyDescent="0.25">
      <c r="A21" s="77">
        <v>342.2</v>
      </c>
      <c r="B21" s="77"/>
      <c r="C21" s="21" t="s">
        <v>35</v>
      </c>
      <c r="D21" s="53"/>
      <c r="E21" s="107">
        <f>VLOOKUP(A21,'Table 1 Total'!A$12:P$60,10,FALSE)</f>
        <v>3430727.61</v>
      </c>
      <c r="F21" s="10"/>
      <c r="G21" s="41">
        <f>'Table 1B Net Salvage'!J22</f>
        <v>16196.093616069993</v>
      </c>
      <c r="H21" s="10"/>
      <c r="I21" s="107">
        <f>'Table 2 Total'!I21-'Table 2A Life'!I21</f>
        <v>13885.050000000047</v>
      </c>
      <c r="J21" s="95"/>
      <c r="K21" s="109">
        <f t="shared" ref="K21:K25" si="6">G21-I21</f>
        <v>2311.0436160699464</v>
      </c>
      <c r="L21" s="107"/>
      <c r="M21" s="110">
        <f t="shared" si="5"/>
        <v>0.1426914212064628</v>
      </c>
      <c r="N21" s="107"/>
      <c r="O21" s="111">
        <f>IF(P21=" ",(VLOOKUP(A21,'ALG Remaining Life_Life'!A$2:M$146,11,FALSE)),3)</f>
        <v>22.875098796242</v>
      </c>
      <c r="P21" s="10" t="str">
        <f>IF(VLOOKUP(A21,'ALG Remaining Life_Life'!A$2:M$146,11,FALSE)&gt;3," ","+")</f>
        <v xml:space="preserve"> </v>
      </c>
      <c r="Q21" s="109">
        <f>IF(R21="*",0,K21/O21)</f>
        <v>101.02879277835568</v>
      </c>
      <c r="R21" s="8" t="str">
        <f t="shared" si="2"/>
        <v xml:space="preserve"> </v>
      </c>
      <c r="S21"/>
      <c r="T21" s="8">
        <f>ABS(M21)</f>
        <v>0.1426914212064628</v>
      </c>
      <c r="U21"/>
    </row>
    <row r="22" spans="1:38" s="8" customFormat="1" ht="13.5" x14ac:dyDescent="0.25">
      <c r="A22" s="77">
        <v>343.2</v>
      </c>
      <c r="B22" s="77"/>
      <c r="C22" s="21" t="s">
        <v>36</v>
      </c>
      <c r="D22" s="53"/>
      <c r="E22" s="107">
        <f>VLOOKUP(A22,'Table 1 Total'!A$12:P$60,10,FALSE)</f>
        <v>20512067.030000001</v>
      </c>
      <c r="F22" s="10"/>
      <c r="G22" s="41">
        <f>'Table 1B Net Salvage'!J23</f>
        <v>336888.29285771027</v>
      </c>
      <c r="H22" s="10"/>
      <c r="I22" s="107">
        <f>'Table 2 Total'!I22-'Table 2A Life'!I22</f>
        <v>-241936.24000000022</v>
      </c>
      <c r="J22" s="95"/>
      <c r="K22" s="109">
        <f t="shared" si="6"/>
        <v>578824.5328577105</v>
      </c>
      <c r="L22" s="107"/>
      <c r="M22" s="110">
        <f t="shared" si="5"/>
        <v>1.7181497402231949</v>
      </c>
      <c r="N22" s="107"/>
      <c r="O22" s="111">
        <f>IF(P22=" ",(VLOOKUP(A22,'ALG Remaining Life_Life'!A$2:M$146,11,FALSE)),3)</f>
        <v>18.2924606952446</v>
      </c>
      <c r="P22" s="10" t="str">
        <f>IF(VLOOKUP(A22,'ALG Remaining Life_Life'!A$2:M$146,11,FALSE)&gt;3," ","+")</f>
        <v xml:space="preserve"> </v>
      </c>
      <c r="Q22" s="109">
        <f>IF(R22="*",0,K22/O22)</f>
        <v>31642.792213744357</v>
      </c>
      <c r="R22" s="8" t="str">
        <f t="shared" si="2"/>
        <v xml:space="preserve"> </v>
      </c>
      <c r="S22"/>
      <c r="T22" s="8">
        <f>ABS(M22)</f>
        <v>1.7181497402231949</v>
      </c>
      <c r="U22"/>
    </row>
    <row r="23" spans="1:38" s="8" customFormat="1" ht="13.5" x14ac:dyDescent="0.25">
      <c r="A23" s="77">
        <v>345.2</v>
      </c>
      <c r="B23" s="77"/>
      <c r="C23" s="21" t="s">
        <v>37</v>
      </c>
      <c r="D23" s="53"/>
      <c r="E23" s="107">
        <f>VLOOKUP(A23,'Table 1 Total'!A$12:P$60,10,FALSE)</f>
        <v>5155802.54</v>
      </c>
      <c r="F23" s="10"/>
      <c r="G23" s="41">
        <f>'Table 1B Net Salvage'!J24</f>
        <v>0</v>
      </c>
      <c r="H23" s="10"/>
      <c r="I23" s="107">
        <f>'Table 2 Total'!I23-'Table 2A Life'!I23</f>
        <v>3685.2200000002049</v>
      </c>
      <c r="J23" s="95"/>
      <c r="K23" s="109">
        <f t="shared" si="6"/>
        <v>-3685.2200000002049</v>
      </c>
      <c r="L23" s="107"/>
      <c r="M23" s="110">
        <f t="shared" si="5"/>
        <v>1</v>
      </c>
      <c r="N23" s="107"/>
      <c r="O23" s="111">
        <f>IF(P23=" ",(VLOOKUP(A23,'ALG Remaining Life_Life'!A$2:M$146,11,FALSE)),3)</f>
        <v>23.032352268060301</v>
      </c>
      <c r="P23" s="10" t="str">
        <f>IF(VLOOKUP(A23,'ALG Remaining Life_Life'!A$2:M$146,11,FALSE)&gt;3," ","+")</f>
        <v xml:space="preserve"> </v>
      </c>
      <c r="Q23" s="109">
        <f>IF(R23="*",0,K23/O23)</f>
        <v>-160.00189460069248</v>
      </c>
      <c r="R23" s="8" t="str">
        <f t="shared" si="2"/>
        <v xml:space="preserve"> </v>
      </c>
      <c r="S23"/>
      <c r="T23" s="8">
        <f>ABS(M23)</f>
        <v>1</v>
      </c>
      <c r="U23"/>
    </row>
    <row r="24" spans="1:38" s="8" customFormat="1" ht="13.5" x14ac:dyDescent="0.25">
      <c r="A24" s="77">
        <v>346.2</v>
      </c>
      <c r="B24" s="77"/>
      <c r="C24" s="21" t="s">
        <v>38</v>
      </c>
      <c r="D24" s="53"/>
      <c r="E24" s="107">
        <f>VLOOKUP(A24,'Table 1 Total'!A$12:P$60,10,FALSE)</f>
        <v>1113752.55</v>
      </c>
      <c r="F24" s="10"/>
      <c r="G24" s="41">
        <f>'Table 1B Net Salvage'!J25</f>
        <v>7920.3751445669914</v>
      </c>
      <c r="H24" s="10"/>
      <c r="I24" s="107">
        <f>'Table 2 Total'!I24-'Table 2A Life'!I24</f>
        <v>-12718.880000000005</v>
      </c>
      <c r="J24" s="95"/>
      <c r="K24" s="109">
        <f t="shared" si="6"/>
        <v>20639.255144566996</v>
      </c>
      <c r="L24" s="107"/>
      <c r="M24" s="110">
        <f t="shared" si="5"/>
        <v>2.6058431283680501</v>
      </c>
      <c r="N24" s="107"/>
      <c r="O24" s="111">
        <f>IF(P24=" ",(VLOOKUP(A24,'ALG Remaining Life_Life'!A$2:M$146,11,FALSE)),3)</f>
        <v>27.161511820339999</v>
      </c>
      <c r="P24" s="10" t="str">
        <f>IF(VLOOKUP(A24,'ALG Remaining Life_Life'!A$2:M$146,11,FALSE)&gt;3," ","+")</f>
        <v xml:space="preserve"> </v>
      </c>
      <c r="Q24" s="112">
        <f>IF(R24="*",0,K24/O24)</f>
        <v>759.87136802566386</v>
      </c>
      <c r="R24" s="8" t="str">
        <f t="shared" si="2"/>
        <v xml:space="preserve"> </v>
      </c>
      <c r="S24"/>
      <c r="T24" s="8">
        <f>ABS(M24)</f>
        <v>2.6058431283680501</v>
      </c>
      <c r="U24"/>
    </row>
    <row r="25" spans="1:38" s="8" customFormat="1" ht="13.5" x14ac:dyDescent="0.25">
      <c r="A25" s="77">
        <v>347.2</v>
      </c>
      <c r="B25" s="77"/>
      <c r="C25" s="21" t="s">
        <v>39</v>
      </c>
      <c r="D25" s="53"/>
      <c r="E25" s="81">
        <f>VLOOKUP(A25,'Table 1 Total'!A$12:P$60,10,FALSE)</f>
        <v>3536262.09</v>
      </c>
      <c r="F25" s="10"/>
      <c r="G25" s="79">
        <f>'Table 1B Net Salvage'!J26</f>
        <v>0</v>
      </c>
      <c r="H25" s="10"/>
      <c r="I25" s="81">
        <f>'Table 2 Total'!I25-'Table 2A Life'!I25</f>
        <v>0</v>
      </c>
      <c r="J25" s="95"/>
      <c r="K25" s="113">
        <f t="shared" si="6"/>
        <v>0</v>
      </c>
      <c r="L25" s="107"/>
      <c r="M25" s="110">
        <f t="shared" si="5"/>
        <v>1</v>
      </c>
      <c r="N25" s="107"/>
      <c r="O25" s="111">
        <f>IF(P25=" ",(VLOOKUP(A25,'ALG Remaining Life_Life'!A$2:M$146,11,FALSE)),3)</f>
        <v>23.5279903616909</v>
      </c>
      <c r="P25" s="10" t="str">
        <f>IF(VLOOKUP(A25,'ALG Remaining Life_Life'!A$2:M$146,11,FALSE)&gt;3," ","+")</f>
        <v xml:space="preserve"> </v>
      </c>
      <c r="Q25" s="114">
        <f t="shared" ref="Q25" si="7">IF(R25="*",0,K25/O25)</f>
        <v>0</v>
      </c>
      <c r="R25" s="8" t="str">
        <f t="shared" si="2"/>
        <v xml:space="preserve"> </v>
      </c>
      <c r="S25"/>
      <c r="T25" s="8">
        <f t="shared" ref="T25" si="8">ABS(M25)</f>
        <v>1</v>
      </c>
      <c r="U25"/>
    </row>
    <row r="26" spans="1:38" s="26" customFormat="1" ht="14" x14ac:dyDescent="0.3">
      <c r="A26" s="14" t="s">
        <v>40</v>
      </c>
      <c r="B26" s="14"/>
      <c r="C26" s="21"/>
      <c r="D26" s="21"/>
      <c r="E26" s="44">
        <f>SUM(E20:E25)</f>
        <v>39850172.159999996</v>
      </c>
      <c r="F26" s="41"/>
      <c r="G26" s="44">
        <f>SUM(G20:G25)</f>
        <v>381876.23535763717</v>
      </c>
      <c r="H26" s="41"/>
      <c r="I26" s="44">
        <f>SUM(I20:I25)</f>
        <v>-348477.96000000031</v>
      </c>
      <c r="J26" s="12"/>
      <c r="K26" s="44">
        <f>SUM(K20:K25)</f>
        <v>730354.19535763748</v>
      </c>
      <c r="L26" s="19"/>
      <c r="M26" s="104"/>
      <c r="N26" s="10"/>
      <c r="O26" s="47"/>
      <c r="P26" s="10"/>
      <c r="Q26" s="44">
        <f>SUM(Q20:Q25)</f>
        <v>36926.302385434668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26" customFormat="1" ht="14" x14ac:dyDescent="0.25">
      <c r="A27" s="15"/>
      <c r="B27" s="15"/>
      <c r="C27" s="21"/>
      <c r="D27" s="21"/>
      <c r="E27" s="41"/>
      <c r="F27" s="41"/>
      <c r="G27" s="41"/>
      <c r="H27" s="41"/>
      <c r="I27" s="41"/>
      <c r="J27" s="12"/>
      <c r="K27" s="19"/>
      <c r="L27" s="19"/>
      <c r="M27" s="104"/>
      <c r="N27" s="10"/>
      <c r="O27" s="47"/>
      <c r="P27" s="10"/>
      <c r="Q27" s="1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26" customFormat="1" ht="14" x14ac:dyDescent="0.3">
      <c r="A28" s="14" t="s">
        <v>41</v>
      </c>
      <c r="B28" s="14"/>
      <c r="C28" s="21"/>
      <c r="D28" s="21"/>
      <c r="E28" s="44">
        <f>E26+E17</f>
        <v>53821909.949999996</v>
      </c>
      <c r="F28" s="41"/>
      <c r="G28" s="44">
        <f>G26+G17</f>
        <v>406448.32262379816</v>
      </c>
      <c r="H28" s="41"/>
      <c r="I28" s="44">
        <f>SUM(I26,I17)</f>
        <v>-399870.51000000042</v>
      </c>
      <c r="J28" s="12"/>
      <c r="K28" s="44">
        <f>K26+K17</f>
        <v>806318.83262379863</v>
      </c>
      <c r="L28" s="19"/>
      <c r="M28" s="104"/>
      <c r="N28" s="10"/>
      <c r="O28" s="47"/>
      <c r="P28" s="10"/>
      <c r="Q28" s="44">
        <f>Q26+Q17</f>
        <v>37960.750396419411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3.5" x14ac:dyDescent="0.25">
      <c r="A29" s="15"/>
      <c r="B29" s="15"/>
      <c r="C29" s="21"/>
      <c r="D29" s="21"/>
      <c r="E29" s="41"/>
      <c r="F29" s="41"/>
      <c r="G29" s="41"/>
      <c r="H29" s="41"/>
      <c r="I29" s="41"/>
      <c r="J29" s="12"/>
      <c r="K29" s="19"/>
      <c r="L29" s="19"/>
      <c r="M29" s="104"/>
      <c r="N29" s="10"/>
      <c r="O29" s="47"/>
      <c r="P29" s="10"/>
      <c r="Q29" s="19"/>
      <c r="R29" s="8"/>
      <c r="S29" s="8"/>
      <c r="T29" s="8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</row>
    <row r="30" spans="1:38" ht="14" x14ac:dyDescent="0.3">
      <c r="A30" s="14" t="s">
        <v>42</v>
      </c>
      <c r="B30" s="14"/>
      <c r="C30" s="21"/>
      <c r="D30" s="21"/>
      <c r="E30" s="41"/>
      <c r="F30" s="41"/>
      <c r="G30" s="41"/>
      <c r="H30" s="41"/>
      <c r="I30" s="41"/>
      <c r="J30" s="12"/>
      <c r="K30" s="19"/>
      <c r="L30" s="19"/>
      <c r="M30" s="104"/>
      <c r="N30" s="10"/>
      <c r="O30" s="47"/>
      <c r="P30" s="10"/>
      <c r="Q30" s="19"/>
      <c r="R30" s="8"/>
      <c r="S30" s="8"/>
      <c r="T30" s="8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</row>
    <row r="31" spans="1:38" ht="13.5" x14ac:dyDescent="0.25">
      <c r="A31" s="77">
        <v>353</v>
      </c>
      <c r="B31" s="77"/>
      <c r="C31" s="21" t="s">
        <v>43</v>
      </c>
      <c r="D31" s="21"/>
      <c r="E31" s="81">
        <f>VLOOKUP(A31,'Table 1 Total'!A$12:P$60,10,FALSE)</f>
        <v>1144289.3700000001</v>
      </c>
      <c r="F31" s="41"/>
      <c r="G31" s="79">
        <f>'Table 1B Net Salvage'!J32</f>
        <v>0</v>
      </c>
      <c r="H31" s="41"/>
      <c r="I31" s="81">
        <f>'Table 2 Total'!I31-'Table 2A Life'!I31</f>
        <v>21170.619999999995</v>
      </c>
      <c r="J31" s="12"/>
      <c r="K31" s="80">
        <f t="shared" si="0"/>
        <v>-21170.619999999995</v>
      </c>
      <c r="L31" s="19"/>
      <c r="M31" s="104">
        <f>IFERROR(K31/G31,1)</f>
        <v>1</v>
      </c>
      <c r="N31" s="10"/>
      <c r="O31" s="47">
        <f>IF(P31=" ",(VLOOKUP(A31,'ALG Remaining Life_Life'!A$2:M$216,11,FALSE)),3)</f>
        <v>21.664511278271501</v>
      </c>
      <c r="P31" s="10" t="str">
        <f>IF(VLOOKUP(A31,'ALG Remaining Life_Life'!A$2:M$296,11,FALSE)&gt;3," ","+")</f>
        <v xml:space="preserve"> </v>
      </c>
      <c r="Q31" s="80">
        <f t="shared" si="1"/>
        <v>-977.2027500677176</v>
      </c>
      <c r="R31" s="8" t="str">
        <f t="shared" si="2"/>
        <v xml:space="preserve"> </v>
      </c>
      <c r="S31" s="8"/>
      <c r="T31" s="8">
        <f t="shared" si="3"/>
        <v>1</v>
      </c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</row>
    <row r="32" spans="1:38" ht="14" x14ac:dyDescent="0.3">
      <c r="A32" s="14" t="s">
        <v>44</v>
      </c>
      <c r="B32" s="14"/>
      <c r="C32" s="21"/>
      <c r="D32" s="21"/>
      <c r="E32" s="44">
        <f>SUM(E31)</f>
        <v>1144289.3700000001</v>
      </c>
      <c r="F32" s="41"/>
      <c r="G32" s="44">
        <f>SUM(G31)</f>
        <v>0</v>
      </c>
      <c r="H32" s="41"/>
      <c r="I32" s="44">
        <f>SUM(I31)</f>
        <v>21170.619999999995</v>
      </c>
      <c r="J32" s="12"/>
      <c r="K32" s="44">
        <f>SUM(K31)</f>
        <v>-21170.619999999995</v>
      </c>
      <c r="L32" s="19"/>
      <c r="M32" s="104"/>
      <c r="N32" s="10"/>
      <c r="O32" s="47"/>
      <c r="P32" s="10"/>
      <c r="Q32" s="44">
        <f>SUM(Q31)</f>
        <v>-977.2027500677176</v>
      </c>
      <c r="R32" s="8"/>
      <c r="S32" s="8"/>
      <c r="T32" s="8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</row>
    <row r="33" spans="1:38" ht="13.5" x14ac:dyDescent="0.25">
      <c r="A33" s="15"/>
      <c r="B33" s="15"/>
      <c r="C33" s="21"/>
      <c r="D33" s="21"/>
      <c r="E33" s="41"/>
      <c r="F33" s="41"/>
      <c r="G33" s="41"/>
      <c r="H33" s="41"/>
      <c r="I33" s="41"/>
      <c r="J33" s="12"/>
      <c r="K33" s="19"/>
      <c r="L33" s="19"/>
      <c r="M33" s="104"/>
      <c r="N33" s="10"/>
      <c r="O33" s="47"/>
      <c r="P33" s="10"/>
      <c r="Q33" s="1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4" x14ac:dyDescent="0.3">
      <c r="A34" s="14" t="s">
        <v>45</v>
      </c>
      <c r="B34" s="14"/>
      <c r="C34" s="21"/>
      <c r="D34" s="32"/>
      <c r="E34" s="41"/>
      <c r="F34" s="41"/>
      <c r="G34" s="41"/>
      <c r="H34" s="41"/>
      <c r="I34" s="41"/>
      <c r="J34" s="12"/>
      <c r="K34" s="19"/>
      <c r="L34" s="19"/>
      <c r="M34" s="104"/>
      <c r="N34" s="10"/>
      <c r="O34" s="47"/>
      <c r="P34" s="10"/>
      <c r="Q34" s="1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3.5" x14ac:dyDescent="0.25">
      <c r="A35" s="77">
        <v>360.1</v>
      </c>
      <c r="B35" s="77"/>
      <c r="C35" s="21" t="s">
        <v>46</v>
      </c>
      <c r="D35" s="31"/>
      <c r="E35" s="41">
        <f>VLOOKUP(A35,'Table 1 Total'!A$12:P$60,10,FALSE)</f>
        <v>2160689.19</v>
      </c>
      <c r="F35" s="41"/>
      <c r="G35" s="11">
        <f>'Table 1B Net Salvage'!J36</f>
        <v>0</v>
      </c>
      <c r="H35" s="41"/>
      <c r="I35" s="107">
        <f>'Table 2 Total'!I35-'Table 2A Life'!I35</f>
        <v>0</v>
      </c>
      <c r="J35" s="12"/>
      <c r="K35" s="19">
        <f t="shared" si="0"/>
        <v>0</v>
      </c>
      <c r="L35" s="19"/>
      <c r="M35" s="104">
        <f>IFERROR(K35/G35,1)</f>
        <v>1</v>
      </c>
      <c r="N35" s="10"/>
      <c r="O35" s="47">
        <f>IF(P35=" ",(VLOOKUP(A35,'ALG Remaining Life_Life'!A$2:M$216,11,FALSE)),3)</f>
        <v>62.021897236907201</v>
      </c>
      <c r="P35" s="10" t="str">
        <f>IF(VLOOKUP(A35,'ALG Remaining Life_Life'!A$2:M$296,11,FALSE)&gt;3," ","+")</f>
        <v xml:space="preserve"> </v>
      </c>
      <c r="Q35" s="19">
        <f t="shared" si="1"/>
        <v>0</v>
      </c>
      <c r="R35" s="8" t="str">
        <f t="shared" si="2"/>
        <v xml:space="preserve"> </v>
      </c>
      <c r="S35" s="8"/>
      <c r="T35" s="8">
        <f t="shared" si="3"/>
        <v>1</v>
      </c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3.5" x14ac:dyDescent="0.25">
      <c r="A36" s="77">
        <v>362</v>
      </c>
      <c r="B36" s="77"/>
      <c r="C36" s="21" t="s">
        <v>43</v>
      </c>
      <c r="D36"/>
      <c r="E36" s="41">
        <f>VLOOKUP(A36,'Table 1 Total'!A$12:P$60,10,FALSE)</f>
        <v>7543472.7999999998</v>
      </c>
      <c r="F36" s="41"/>
      <c r="G36" s="11">
        <f>'Table 1B Net Salvage'!J37</f>
        <v>0</v>
      </c>
      <c r="H36" s="41"/>
      <c r="I36" s="107">
        <f>'Table 2 Total'!I36-'Table 2A Life'!I36</f>
        <v>-230295.39000000013</v>
      </c>
      <c r="J36" s="12"/>
      <c r="K36" s="19">
        <f t="shared" si="0"/>
        <v>230295.39000000013</v>
      </c>
      <c r="L36" s="19"/>
      <c r="M36" s="104">
        <f t="shared" ref="M36:M47" si="9">IFERROR(K36/G36,1)</f>
        <v>1</v>
      </c>
      <c r="N36" s="10"/>
      <c r="O36" s="47">
        <f>IF(P36=" ",(VLOOKUP(A36,'ALG Remaining Life_Life'!A$2:M$216,11,FALSE)),3)</f>
        <v>26.434645811200301</v>
      </c>
      <c r="P36" s="10" t="str">
        <f>IF(VLOOKUP(A36,'ALG Remaining Life_Life'!A$2:M$296,11,FALSE)&gt;3," ","+")</f>
        <v xml:space="preserve"> </v>
      </c>
      <c r="Q36" s="19">
        <f t="shared" si="1"/>
        <v>8711.8772706394448</v>
      </c>
      <c r="R36" s="8" t="str">
        <f t="shared" si="2"/>
        <v xml:space="preserve"> </v>
      </c>
      <c r="S36" s="8"/>
      <c r="T36" s="8">
        <f t="shared" si="3"/>
        <v>1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3.5" x14ac:dyDescent="0.25">
      <c r="A37" s="77">
        <v>362.1</v>
      </c>
      <c r="B37" s="77"/>
      <c r="C37" s="21" t="s">
        <v>47</v>
      </c>
      <c r="D37"/>
      <c r="E37" s="41">
        <f>VLOOKUP(A37,'Table 1 Total'!A$12:P$60,10,FALSE)</f>
        <v>976501.82</v>
      </c>
      <c r="F37" s="41"/>
      <c r="G37" s="11">
        <f>'Table 1B Net Salvage'!J38</f>
        <v>6098.8139133340446</v>
      </c>
      <c r="H37" s="41"/>
      <c r="I37" s="107">
        <f>'Table 2 Total'!I37-'Table 2A Life'!I37</f>
        <v>-9964.2700000000186</v>
      </c>
      <c r="J37" s="12"/>
      <c r="K37" s="19">
        <f t="shared" si="0"/>
        <v>16063.083913334063</v>
      </c>
      <c r="L37" s="19"/>
      <c r="M37" s="104">
        <f t="shared" si="9"/>
        <v>2.6338045629191598</v>
      </c>
      <c r="N37" s="10"/>
      <c r="O37" s="47">
        <f>IF(P37=" ",(VLOOKUP(A37,'ALG Remaining Life_Life'!A$2:M$216,11,FALSE)),3)</f>
        <v>5.6316397136873801</v>
      </c>
      <c r="P37" s="10" t="str">
        <f>IF(VLOOKUP(A37,'ALG Remaining Life_Life'!A$2:M$296,11,FALSE)&gt;3," ","+")</f>
        <v xml:space="preserve"> </v>
      </c>
      <c r="Q37" s="19">
        <f t="shared" si="1"/>
        <v>2852.2925346757625</v>
      </c>
      <c r="R37" s="8" t="str">
        <f t="shared" si="2"/>
        <v xml:space="preserve"> </v>
      </c>
      <c r="S37" s="8"/>
      <c r="T37" s="8">
        <f t="shared" si="3"/>
        <v>2.6338045629191598</v>
      </c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</row>
    <row r="38" spans="1:38" ht="13.5" x14ac:dyDescent="0.25">
      <c r="A38" s="77">
        <v>364</v>
      </c>
      <c r="B38" s="77"/>
      <c r="C38" s="21" t="s">
        <v>48</v>
      </c>
      <c r="D38"/>
      <c r="E38" s="41">
        <f>VLOOKUP(A38,'Table 1 Total'!A$12:P$60,10,FALSE)</f>
        <v>53306939.649999999</v>
      </c>
      <c r="F38" s="41"/>
      <c r="G38" s="11">
        <f>'Table 1B Net Salvage'!J39</f>
        <v>3447968.1794965006</v>
      </c>
      <c r="H38" s="41"/>
      <c r="I38" s="107">
        <f>'Table 2 Total'!I38-'Table 2A Life'!I38</f>
        <v>2333287.8000000007</v>
      </c>
      <c r="J38" s="12"/>
      <c r="K38" s="19">
        <f t="shared" si="0"/>
        <v>1114680.3794964999</v>
      </c>
      <c r="L38" s="19"/>
      <c r="M38" s="104">
        <f t="shared" si="9"/>
        <v>0.32328615621367895</v>
      </c>
      <c r="N38" s="10"/>
      <c r="O38" s="47">
        <f>IF(P38=" ",(VLOOKUP(A38,'ALG Remaining Life_Life'!A$2:M$216,11,FALSE)),3)</f>
        <v>36.828521151342798</v>
      </c>
      <c r="P38" s="10" t="str">
        <f>IF(VLOOKUP(A38,'ALG Remaining Life_Life'!A$2:M$296,11,FALSE)&gt;3," ","+")</f>
        <v xml:space="preserve"> </v>
      </c>
      <c r="Q38" s="19">
        <f t="shared" si="1"/>
        <v>30266.77001001051</v>
      </c>
      <c r="R38" s="8" t="str">
        <f t="shared" si="2"/>
        <v xml:space="preserve"> </v>
      </c>
      <c r="S38" s="8"/>
      <c r="T38" s="8">
        <f t="shared" si="3"/>
        <v>0.32328615621367895</v>
      </c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3.5" x14ac:dyDescent="0.25">
      <c r="A39" s="77">
        <v>365</v>
      </c>
      <c r="B39" s="77"/>
      <c r="C39" s="21" t="s">
        <v>49</v>
      </c>
      <c r="D39"/>
      <c r="E39" s="41">
        <f>VLOOKUP(A39,'Table 1 Total'!A$12:P$60,10,FALSE)</f>
        <v>28793205.57</v>
      </c>
      <c r="F39" s="41"/>
      <c r="G39" s="11">
        <f>'Table 1B Net Salvage'!J40</f>
        <v>535821.97143909894</v>
      </c>
      <c r="H39" s="41"/>
      <c r="I39" s="107">
        <f>'Table 2 Total'!I39-'Table 2A Life'!I39</f>
        <v>1979876.7899999991</v>
      </c>
      <c r="J39" s="12"/>
      <c r="K39" s="19">
        <f t="shared" si="0"/>
        <v>-1444054.8185609002</v>
      </c>
      <c r="L39" s="19"/>
      <c r="M39" s="104">
        <f t="shared" si="9"/>
        <v>-2.6950272581814616</v>
      </c>
      <c r="N39" s="10"/>
      <c r="O39" s="47">
        <f>IF(P39=" ",(VLOOKUP(A39,'ALG Remaining Life_Life'!A$2:M$216,11,FALSE)),3)</f>
        <v>33.177723596503199</v>
      </c>
      <c r="P39" s="10" t="str">
        <f>IF(VLOOKUP(A39,'ALG Remaining Life_Life'!A$2:M$296,11,FALSE)&gt;3," ","+")</f>
        <v xml:space="preserve"> </v>
      </c>
      <c r="Q39" s="19">
        <f t="shared" si="1"/>
        <v>-43524.831182604037</v>
      </c>
      <c r="R39" s="8" t="str">
        <f t="shared" si="2"/>
        <v xml:space="preserve"> </v>
      </c>
      <c r="S39" s="8"/>
      <c r="T39" s="8">
        <f t="shared" si="3"/>
        <v>2.6950272581814616</v>
      </c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</row>
    <row r="40" spans="1:38" ht="13.5" x14ac:dyDescent="0.25">
      <c r="A40" s="77">
        <v>365.1</v>
      </c>
      <c r="B40" s="77"/>
      <c r="C40" s="21" t="s">
        <v>50</v>
      </c>
      <c r="D40"/>
      <c r="E40" s="41">
        <f>VLOOKUP(A40,'Table 1 Total'!A$12:P$60,10,FALSE)</f>
        <v>5234251.9000000004</v>
      </c>
      <c r="F40" s="41"/>
      <c r="G40" s="11">
        <f>'Table 1B Net Salvage'!J41</f>
        <v>132374.50127172982</v>
      </c>
      <c r="H40" s="41"/>
      <c r="I40" s="107">
        <f>'Table 2 Total'!I40-'Table 2A Life'!I40</f>
        <v>-38719.770000000019</v>
      </c>
      <c r="J40" s="12"/>
      <c r="K40" s="19">
        <f t="shared" si="0"/>
        <v>171094.27127172984</v>
      </c>
      <c r="L40" s="19"/>
      <c r="M40" s="104">
        <f t="shared" si="9"/>
        <v>1.2925017252417712</v>
      </c>
      <c r="N40" s="10"/>
      <c r="O40" s="47">
        <f>IF(P40=" ",(VLOOKUP(A40,'ALG Remaining Life_Life'!A$2:M$216,11,FALSE)),3)</f>
        <v>36.245892748706197</v>
      </c>
      <c r="P40" s="10" t="str">
        <f>IF(VLOOKUP(A40,'ALG Remaining Life_Life'!A$2:M$296,11,FALSE)&gt;3," ","+")</f>
        <v xml:space="preserve"> </v>
      </c>
      <c r="Q40" s="19">
        <f t="shared" si="1"/>
        <v>4720.376801253904</v>
      </c>
      <c r="R40" s="8" t="str">
        <f t="shared" si="2"/>
        <v xml:space="preserve"> </v>
      </c>
      <c r="S40" s="8"/>
      <c r="T40" s="8">
        <f t="shared" si="3"/>
        <v>1.2925017252417712</v>
      </c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3.5" x14ac:dyDescent="0.25">
      <c r="A41" s="77">
        <v>367</v>
      </c>
      <c r="B41" s="77"/>
      <c r="C41" s="21" t="s">
        <v>51</v>
      </c>
      <c r="D41"/>
      <c r="E41" s="41">
        <f>VLOOKUP(A41,'Table 1 Total'!A$12:P$60,10,FALSE)</f>
        <v>34178702.049999997</v>
      </c>
      <c r="F41" s="41"/>
      <c r="G41" s="11">
        <f>'Table 1B Net Salvage'!J42</f>
        <v>1146039.7151117995</v>
      </c>
      <c r="H41" s="41"/>
      <c r="I41" s="107">
        <f>'Table 2 Total'!I41-'Table 2A Life'!I41</f>
        <v>-459440.68999999948</v>
      </c>
      <c r="J41" s="12"/>
      <c r="K41" s="19">
        <f t="shared" si="0"/>
        <v>1605480.405111799</v>
      </c>
      <c r="L41" s="19"/>
      <c r="M41" s="104">
        <f t="shared" si="9"/>
        <v>1.4008942132997368</v>
      </c>
      <c r="N41" s="10"/>
      <c r="O41" s="47">
        <f>IF(P41=" ",(VLOOKUP(A41,'ALG Remaining Life_Life'!A$2:M$216,11,FALSE)),3)</f>
        <v>34.9158592475505</v>
      </c>
      <c r="P41" s="10" t="str">
        <f>IF(VLOOKUP(A41,'ALG Remaining Life_Life'!A$2:M$296,11,FALSE)&gt;3," ","+")</f>
        <v xml:space="preserve"> </v>
      </c>
      <c r="Q41" s="19">
        <f t="shared" si="1"/>
        <v>45981.409013281853</v>
      </c>
      <c r="R41" s="8" t="str">
        <f t="shared" si="2"/>
        <v xml:space="preserve"> </v>
      </c>
      <c r="S41" s="8"/>
      <c r="T41" s="8">
        <f t="shared" si="3"/>
        <v>1.4008942132997368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ht="13.5" x14ac:dyDescent="0.25">
      <c r="A42" s="77">
        <v>367.1</v>
      </c>
      <c r="B42" s="77"/>
      <c r="C42" s="21" t="s">
        <v>52</v>
      </c>
      <c r="D42"/>
      <c r="E42" s="41">
        <f>VLOOKUP(A42,'Table 1 Total'!A$12:P$60,10,FALSE)</f>
        <v>6266150.0199999996</v>
      </c>
      <c r="F42" s="41"/>
      <c r="G42" s="11">
        <f>'Table 1B Net Salvage'!J43</f>
        <v>80763.55236775009</v>
      </c>
      <c r="H42" s="41"/>
      <c r="I42" s="107">
        <f>'Table 2 Total'!I42-'Table 2A Life'!I42</f>
        <v>-25033.429999999935</v>
      </c>
      <c r="J42" s="12"/>
      <c r="K42" s="19">
        <f t="shared" si="0"/>
        <v>105796.98236775002</v>
      </c>
      <c r="L42" s="19"/>
      <c r="M42" s="104">
        <f t="shared" si="9"/>
        <v>1.3099594961600043</v>
      </c>
      <c r="N42" s="10"/>
      <c r="O42" s="47">
        <f>IF(P42=" ",(VLOOKUP(A42,'ALG Remaining Life_Life'!A$2:M$216,11,FALSE)),3)</f>
        <v>37.785780600332799</v>
      </c>
      <c r="P42" s="10" t="str">
        <f>IF(VLOOKUP(A42,'ALG Remaining Life_Life'!A$2:M$296,11,FALSE)&gt;3," ","+")</f>
        <v xml:space="preserve"> </v>
      </c>
      <c r="Q42" s="19">
        <f t="shared" si="1"/>
        <v>2799.9152243745948</v>
      </c>
      <c r="R42" s="8" t="str">
        <f t="shared" si="2"/>
        <v xml:space="preserve"> </v>
      </c>
      <c r="S42" s="8"/>
      <c r="T42" s="8">
        <f t="shared" si="3"/>
        <v>1.3099594961600043</v>
      </c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ht="13.5" x14ac:dyDescent="0.25">
      <c r="A43" s="77">
        <v>368</v>
      </c>
      <c r="B43" s="77"/>
      <c r="C43" s="21" t="s">
        <v>53</v>
      </c>
      <c r="D43" s="32"/>
      <c r="E43" s="41">
        <f>VLOOKUP(A43,'Table 1 Total'!A$12:P$60,10,FALSE)</f>
        <v>40867163.520000003</v>
      </c>
      <c r="F43" s="41"/>
      <c r="G43" s="11">
        <f>'Table 1B Net Salvage'!J44</f>
        <v>1427854.7135290988</v>
      </c>
      <c r="H43" s="41"/>
      <c r="I43" s="107">
        <f>'Table 2 Total'!I43-'Table 2A Life'!I43</f>
        <v>-473023.98999999836</v>
      </c>
      <c r="J43" s="12"/>
      <c r="K43" s="19">
        <f t="shared" si="0"/>
        <v>1900878.7035290971</v>
      </c>
      <c r="L43" s="19"/>
      <c r="M43" s="104">
        <f t="shared" si="9"/>
        <v>1.3312829978554805</v>
      </c>
      <c r="N43" s="10"/>
      <c r="O43" s="47">
        <f>IF(P43=" ",(VLOOKUP(A43,'ALG Remaining Life_Life'!A$2:M$216,11,FALSE)),3)</f>
        <v>31.401216069801599</v>
      </c>
      <c r="P43" s="10" t="str">
        <f>IF(VLOOKUP(A43,'ALG Remaining Life_Life'!A$2:M$296,11,FALSE)&gt;3," ","+")</f>
        <v xml:space="preserve"> </v>
      </c>
      <c r="Q43" s="19">
        <f t="shared" si="1"/>
        <v>60535.193901524188</v>
      </c>
      <c r="R43" s="8" t="str">
        <f t="shared" si="2"/>
        <v xml:space="preserve"> </v>
      </c>
      <c r="S43" s="8"/>
      <c r="T43" s="8">
        <f t="shared" si="3"/>
        <v>1.3312829978554805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ht="13.5" x14ac:dyDescent="0.25">
      <c r="A44" s="77">
        <v>370</v>
      </c>
      <c r="B44" s="77"/>
      <c r="C44" s="21" t="s">
        <v>54</v>
      </c>
      <c r="D44" s="32"/>
      <c r="E44" s="41">
        <f>VLOOKUP(A44,'Table 1 Total'!A$12:P$60,10,FALSE)</f>
        <v>2956566.08</v>
      </c>
      <c r="F44" s="41"/>
      <c r="G44" s="11">
        <f>'Table 1B Net Salvage'!J45</f>
        <v>34745.448443499859</v>
      </c>
      <c r="H44" s="41"/>
      <c r="I44" s="107">
        <f>'Table 2 Total'!I44-'Table 2A Life'!I44</f>
        <v>-17905.300000000047</v>
      </c>
      <c r="J44" s="12"/>
      <c r="K44" s="19">
        <f t="shared" si="0"/>
        <v>52650.748443499906</v>
      </c>
      <c r="L44" s="19"/>
      <c r="M44" s="104">
        <f t="shared" si="9"/>
        <v>1.5153279293291075</v>
      </c>
      <c r="N44" s="10"/>
      <c r="O44" s="47">
        <f>IF(P44=" ",(VLOOKUP(A44,'ALG Remaining Life_Life'!A$2:M$216,11,FALSE)),3)</f>
        <v>8.2651844632352507</v>
      </c>
      <c r="P44" s="10" t="str">
        <f>IF(VLOOKUP(A44,'ALG Remaining Life_Life'!A$2:M$296,11,FALSE)&gt;3," ","+")</f>
        <v xml:space="preserve"> </v>
      </c>
      <c r="Q44" s="19">
        <f t="shared" si="1"/>
        <v>6370.1843168410987</v>
      </c>
      <c r="R44" s="8" t="str">
        <f t="shared" si="2"/>
        <v xml:space="preserve"> </v>
      </c>
      <c r="S44" s="8"/>
      <c r="T44" s="8">
        <f t="shared" si="3"/>
        <v>1.5153279293291075</v>
      </c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38" ht="13.5" x14ac:dyDescent="0.25">
      <c r="A45" s="77">
        <v>371</v>
      </c>
      <c r="B45" s="77"/>
      <c r="C45" s="21" t="s">
        <v>55</v>
      </c>
      <c r="D45"/>
      <c r="E45" s="41">
        <f>VLOOKUP(A45,'Table 1 Total'!A$12:P$60,10,FALSE)</f>
        <v>173069.17</v>
      </c>
      <c r="F45" s="41"/>
      <c r="G45" s="11">
        <f>'Table 1B Net Salvage'!J46</f>
        <v>0</v>
      </c>
      <c r="H45" s="41"/>
      <c r="I45" s="107">
        <f>'Table 2 Total'!I45-'Table 2A Life'!I45</f>
        <v>-43627.020000000004</v>
      </c>
      <c r="J45" s="12"/>
      <c r="K45" s="19">
        <f t="shared" si="0"/>
        <v>43627.020000000004</v>
      </c>
      <c r="L45" s="19"/>
      <c r="M45" s="104">
        <f t="shared" si="9"/>
        <v>1</v>
      </c>
      <c r="N45" s="10"/>
      <c r="O45" s="47">
        <f>IF(P45=" ",(VLOOKUP(A45,'ALG Remaining Life_Life'!A$2:M$216,11,FALSE)),3)</f>
        <v>9.4315248596461103</v>
      </c>
      <c r="P45" s="10" t="str">
        <f>IF(VLOOKUP(A45,'ALG Remaining Life_Life'!A$2:M$296,11,FALSE)&gt;3," ","+")</f>
        <v xml:space="preserve"> </v>
      </c>
      <c r="Q45" s="19">
        <f t="shared" si="1"/>
        <v>4625.6592278798253</v>
      </c>
      <c r="R45" s="8" t="str">
        <f t="shared" si="2"/>
        <v xml:space="preserve"> </v>
      </c>
      <c r="S45" s="8"/>
      <c r="T45" s="8">
        <f t="shared" si="3"/>
        <v>1</v>
      </c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3.5" x14ac:dyDescent="0.25">
      <c r="A46" s="77">
        <v>373</v>
      </c>
      <c r="B46" s="77"/>
      <c r="C46" s="21" t="s">
        <v>56</v>
      </c>
      <c r="D46"/>
      <c r="E46" s="41">
        <f>VLOOKUP(A46,'Table 1 Total'!A$12:P$60,10,FALSE)</f>
        <v>13636686.9</v>
      </c>
      <c r="F46" s="41"/>
      <c r="G46" s="11">
        <f>'Table 1B Net Salvage'!J47</f>
        <v>702003.20828658063</v>
      </c>
      <c r="H46" s="41"/>
      <c r="I46" s="107">
        <f>'Table 2 Total'!I46-'Table 2A Life'!I46</f>
        <v>-573866.62000000011</v>
      </c>
      <c r="J46" s="12"/>
      <c r="K46" s="19">
        <f t="shared" si="0"/>
        <v>1275869.8282865807</v>
      </c>
      <c r="L46" s="19"/>
      <c r="M46" s="104">
        <f t="shared" si="9"/>
        <v>1.8174700816548535</v>
      </c>
      <c r="N46" s="10"/>
      <c r="O46" s="47">
        <f>IF(P46=" ",(VLOOKUP(A46,'ALG Remaining Life_Life'!A$2:M$216,11,FALSE)),3)</f>
        <v>15.685165453797699</v>
      </c>
      <c r="P46" s="10" t="str">
        <f>IF(VLOOKUP(A46,'ALG Remaining Life_Life'!A$2:M$296,11,FALSE)&gt;3," ","+")</f>
        <v xml:space="preserve"> </v>
      </c>
      <c r="Q46" s="19">
        <f t="shared" si="1"/>
        <v>81342.452653418877</v>
      </c>
      <c r="R46" s="8" t="str">
        <f t="shared" si="2"/>
        <v xml:space="preserve"> </v>
      </c>
      <c r="S46" s="8"/>
      <c r="T46" s="8">
        <f t="shared" si="3"/>
        <v>1.8174700816548535</v>
      </c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ht="13.5" x14ac:dyDescent="0.25">
      <c r="A47" s="77">
        <v>373.1</v>
      </c>
      <c r="B47" s="77"/>
      <c r="C47" s="21" t="s">
        <v>57</v>
      </c>
      <c r="D47"/>
      <c r="E47" s="81">
        <f>VLOOKUP(A47,'Table 1 Total'!A$12:P$60,10,FALSE)</f>
        <v>285488.05</v>
      </c>
      <c r="F47" s="41"/>
      <c r="G47" s="81">
        <f>'Table 1B Net Salvage'!J48</f>
        <v>-27064.923201347992</v>
      </c>
      <c r="H47" s="41"/>
      <c r="I47" s="81">
        <f>'Table 2 Total'!I47-'Table 2A Life'!I47</f>
        <v>-110271.06</v>
      </c>
      <c r="J47" s="12"/>
      <c r="K47" s="80">
        <f t="shared" si="0"/>
        <v>83206.136798652005</v>
      </c>
      <c r="L47" s="19"/>
      <c r="M47" s="104">
        <f t="shared" si="9"/>
        <v>-3.0743163828563107</v>
      </c>
      <c r="N47" s="10"/>
      <c r="O47" s="47">
        <f>IF(P47=" ",(VLOOKUP(A47,'ALG Remaining Life_Life'!A$2:M$216,11,FALSE)),3)</f>
        <v>3</v>
      </c>
      <c r="P47" s="10" t="str">
        <f>IF(VLOOKUP(A47,'ALG Remaining Life_Life'!A$2:M$296,11,FALSE)&gt;3," ","+")</f>
        <v>+</v>
      </c>
      <c r="Q47" s="80">
        <f t="shared" si="1"/>
        <v>27735.378932884003</v>
      </c>
      <c r="R47" s="8" t="str">
        <f t="shared" si="2"/>
        <v xml:space="preserve"> </v>
      </c>
      <c r="S47" s="8"/>
      <c r="T47" s="8">
        <f t="shared" si="3"/>
        <v>3.0743163828563107</v>
      </c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4" x14ac:dyDescent="0.3">
      <c r="A48" s="14" t="s">
        <v>58</v>
      </c>
      <c r="B48" s="14"/>
      <c r="C48" s="21"/>
      <c r="D48"/>
      <c r="E48" s="44">
        <f>SUM(E35:E47)</f>
        <v>196378886.72000003</v>
      </c>
      <c r="F48" s="41"/>
      <c r="G48" s="44">
        <f>SUM(G35:G47)</f>
        <v>7486605.1806580462</v>
      </c>
      <c r="H48" s="41"/>
      <c r="I48" s="44">
        <f>SUM(I35:I47)</f>
        <v>2331017.0500000017</v>
      </c>
      <c r="J48" s="12"/>
      <c r="K48" s="44">
        <f>SUM(K35:K47)</f>
        <v>5155588.1306580435</v>
      </c>
      <c r="L48" s="19"/>
      <c r="M48" s="104"/>
      <c r="N48" s="10"/>
      <c r="O48" s="47"/>
      <c r="P48" s="10"/>
      <c r="Q48" s="44">
        <f>_xlfn.IFNA(SUM(Q35:Q47),0)</f>
        <v>232416.67870418003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ht="13.5" x14ac:dyDescent="0.25">
      <c r="A49" s="15"/>
      <c r="B49" s="15"/>
      <c r="C49" s="21"/>
      <c r="D49"/>
      <c r="E49" s="41"/>
      <c r="F49" s="41"/>
      <c r="G49" s="41"/>
      <c r="H49" s="41"/>
      <c r="I49" s="41"/>
      <c r="J49" s="12"/>
      <c r="K49" s="19"/>
      <c r="L49" s="19"/>
      <c r="M49" s="104"/>
      <c r="N49" s="10"/>
      <c r="O49" s="47"/>
      <c r="P49" s="10"/>
      <c r="Q49" s="19"/>
      <c r="R49" s="8"/>
      <c r="S49" s="8"/>
      <c r="T49" s="8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</row>
    <row r="50" spans="1:38" ht="14" x14ac:dyDescent="0.3">
      <c r="A50" s="14" t="s">
        <v>59</v>
      </c>
      <c r="B50" s="14"/>
      <c r="C50" s="21"/>
      <c r="D50"/>
      <c r="E50" s="41"/>
      <c r="F50" s="41"/>
      <c r="G50" s="41"/>
      <c r="H50" s="41"/>
      <c r="I50" s="41"/>
      <c r="J50" s="12"/>
      <c r="K50" s="19"/>
      <c r="L50" s="19"/>
      <c r="M50" s="104"/>
      <c r="N50" s="10"/>
      <c r="O50" s="47"/>
      <c r="P50" s="10"/>
      <c r="Q50" s="19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ht="13.5" x14ac:dyDescent="0.25">
      <c r="A51" s="77">
        <v>390</v>
      </c>
      <c r="B51" s="77"/>
      <c r="C51" s="21" t="s">
        <v>27</v>
      </c>
      <c r="D51"/>
      <c r="E51" s="41">
        <f>VLOOKUP(A51,'Table 1 Total'!A$12:P$60,10,FALSE)</f>
        <v>5197272.37</v>
      </c>
      <c r="F51" s="41"/>
      <c r="G51" s="11">
        <f>'Table 1B Net Salvage'!J52</f>
        <v>134579.35787315993</v>
      </c>
      <c r="H51" s="41"/>
      <c r="I51" s="107">
        <f>'Table 2 Total'!I51-'Table 2A Life'!I51</f>
        <v>-200176.83000000007</v>
      </c>
      <c r="J51" s="12"/>
      <c r="K51" s="19">
        <f t="shared" si="0"/>
        <v>334756.18787316</v>
      </c>
      <c r="L51" s="19"/>
      <c r="M51" s="104">
        <f t="shared" ref="M51:M59" si="10">IFERROR(K51/G51,1)</f>
        <v>2.4874259556853087</v>
      </c>
      <c r="N51" s="10"/>
      <c r="O51" s="47">
        <f>IF(P51=" ",(VLOOKUP(A51,'ALG Remaining Life_Life'!A$2:M$296,11,FALSE)),3)</f>
        <v>21.594160762691601</v>
      </c>
      <c r="P51" s="10" t="str">
        <f>IF(VLOOKUP(A51,'ALG Remaining Life_Life'!A$2:M$296,11,FALSE)&gt;3," ","+")</f>
        <v xml:space="preserve"> </v>
      </c>
      <c r="Q51" s="19">
        <f t="shared" si="1"/>
        <v>15502.162438816371</v>
      </c>
      <c r="R51" s="8" t="str">
        <f t="shared" si="2"/>
        <v xml:space="preserve"> </v>
      </c>
      <c r="S51" s="8"/>
      <c r="T51" s="8">
        <f t="shared" si="3"/>
        <v>2.4874259556853087</v>
      </c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ht="13.5" x14ac:dyDescent="0.25">
      <c r="A52" s="77">
        <v>390.01</v>
      </c>
      <c r="B52" s="77"/>
      <c r="C52" s="21" t="s">
        <v>60</v>
      </c>
      <c r="D52"/>
      <c r="E52" s="41">
        <f>VLOOKUP(A52,'Table 1 Total'!A$12:P$60,10,FALSE)</f>
        <v>451552.45</v>
      </c>
      <c r="F52" s="41"/>
      <c r="G52" s="11">
        <f>'Table 1B Net Salvage'!J53</f>
        <v>0</v>
      </c>
      <c r="H52" s="41"/>
      <c r="I52" s="107">
        <f>'Table 2 Total'!I52-'Table 2A Life'!I52</f>
        <v>-1079842.6599999999</v>
      </c>
      <c r="J52" s="12"/>
      <c r="K52" s="19">
        <f t="shared" si="0"/>
        <v>1079842.6599999999</v>
      </c>
      <c r="L52" s="19"/>
      <c r="M52" s="104">
        <f t="shared" si="10"/>
        <v>1</v>
      </c>
      <c r="N52" s="10"/>
      <c r="O52" s="47">
        <f>IF(P52=" ",(VLOOKUP(A52,'ALG Remaining Life_Life'!A$2:M$296,11,FALSE)),3)</f>
        <v>24.708454655169302</v>
      </c>
      <c r="P52" s="10" t="str">
        <f>IF(VLOOKUP(A52,'ALG Remaining Life_Life'!A$2:M$296,11,FALSE)&gt;3," ","+")</f>
        <v xml:space="preserve"> </v>
      </c>
      <c r="Q52" s="19">
        <f t="shared" si="1"/>
        <v>43703.36692724262</v>
      </c>
      <c r="R52" s="8" t="str">
        <f t="shared" si="2"/>
        <v xml:space="preserve"> </v>
      </c>
      <c r="S52" s="8"/>
      <c r="T52" s="8">
        <f t="shared" si="3"/>
        <v>1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ht="13.5" x14ac:dyDescent="0.25">
      <c r="A53" s="77">
        <v>391</v>
      </c>
      <c r="B53" s="77"/>
      <c r="C53" s="21" t="s">
        <v>61</v>
      </c>
      <c r="D53"/>
      <c r="E53" s="41">
        <f>VLOOKUP(A53,'Table 1 Total'!A$12:P$60,10,FALSE)</f>
        <v>277519.56</v>
      </c>
      <c r="F53" s="41"/>
      <c r="G53" s="11">
        <f>'Table 1B Net Salvage'!J54</f>
        <v>0</v>
      </c>
      <c r="H53" s="41"/>
      <c r="I53" s="107">
        <f>'Table 2 Total'!I53-'Table 2A Life'!I53</f>
        <v>-4612.75</v>
      </c>
      <c r="J53" s="12"/>
      <c r="K53" s="19">
        <f t="shared" si="0"/>
        <v>4612.75</v>
      </c>
      <c r="L53" s="19"/>
      <c r="M53" s="104">
        <f t="shared" si="10"/>
        <v>1</v>
      </c>
      <c r="N53" s="10"/>
      <c r="O53" s="47">
        <f>IF(P53=" ",(VLOOKUP(A53,'ALG Remaining Life_Life'!A$2:M$296,11,FALSE)),3)</f>
        <v>6.5510683643343901</v>
      </c>
      <c r="P53" s="10" t="str">
        <f>IF(VLOOKUP(A53,'ALG Remaining Life_Life'!A$2:M$296,11,FALSE)&gt;3," ","+")</f>
        <v xml:space="preserve"> </v>
      </c>
      <c r="Q53" s="19">
        <f t="shared" si="1"/>
        <v>704.12179257858656</v>
      </c>
      <c r="R53" s="8" t="str">
        <f t="shared" si="2"/>
        <v xml:space="preserve"> </v>
      </c>
      <c r="S53" s="8"/>
      <c r="T53" s="8">
        <f t="shared" si="3"/>
        <v>1</v>
      </c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3.5" x14ac:dyDescent="0.25">
      <c r="A54" s="77">
        <v>391.1</v>
      </c>
      <c r="B54" s="77"/>
      <c r="C54" s="21" t="s">
        <v>62</v>
      </c>
      <c r="D54"/>
      <c r="E54" s="41">
        <f>VLOOKUP(A54,'Table 1 Total'!A$12:P$60,10,FALSE)</f>
        <v>60706.99</v>
      </c>
      <c r="F54" s="41"/>
      <c r="G54" s="11">
        <f>'Table 1B Net Salvage'!J55</f>
        <v>0</v>
      </c>
      <c r="H54" s="41"/>
      <c r="I54" s="107">
        <f>'Table 2 Total'!I54-'Table 2A Life'!I54</f>
        <v>0</v>
      </c>
      <c r="J54" s="12"/>
      <c r="K54" s="19">
        <f t="shared" si="0"/>
        <v>0</v>
      </c>
      <c r="L54" s="19"/>
      <c r="M54" s="104">
        <f t="shared" si="10"/>
        <v>1</v>
      </c>
      <c r="N54" s="10"/>
      <c r="O54" s="47">
        <f>IF(P54=" ",(VLOOKUP(A54,'ALG Remaining Life_Life'!A$2:M$296,11,FALSE)),3)</f>
        <v>3</v>
      </c>
      <c r="P54" s="10" t="str">
        <f>IF(VLOOKUP(A54,'ALG Remaining Life_Life'!A$2:M$296,11,FALSE)&gt;3," ","+")</f>
        <v>+</v>
      </c>
      <c r="Q54" s="19">
        <f t="shared" si="1"/>
        <v>0</v>
      </c>
      <c r="R54" s="8" t="str">
        <f t="shared" si="2"/>
        <v xml:space="preserve"> </v>
      </c>
      <c r="S54" s="8"/>
      <c r="T54" s="8">
        <f t="shared" si="3"/>
        <v>1</v>
      </c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ht="13.5" x14ac:dyDescent="0.25">
      <c r="A55" s="77">
        <v>391.22</v>
      </c>
      <c r="B55" s="77"/>
      <c r="C55" s="21" t="s">
        <v>63</v>
      </c>
      <c r="D55"/>
      <c r="E55" s="41">
        <f>VLOOKUP(A55,'Table 1 Total'!A$12:P$60,10,FALSE)</f>
        <v>777424.93</v>
      </c>
      <c r="F55" s="41"/>
      <c r="G55" s="11">
        <f>'Table 1B Net Salvage'!J56</f>
        <v>0</v>
      </c>
      <c r="H55" s="41"/>
      <c r="I55" s="107">
        <f>'Table 2 Total'!I55-'Table 2A Life'!I55</f>
        <v>0</v>
      </c>
      <c r="J55" s="12"/>
      <c r="K55" s="19">
        <f t="shared" si="0"/>
        <v>0</v>
      </c>
      <c r="L55" s="19"/>
      <c r="M55" s="104">
        <f t="shared" si="10"/>
        <v>1</v>
      </c>
      <c r="N55" s="10"/>
      <c r="O55" s="47">
        <f>IF(P55=" ",(VLOOKUP(A55,'ALG Remaining Life_Life'!A$2:M$296,11,FALSE)),3)</f>
        <v>4.5720797054964502</v>
      </c>
      <c r="P55" s="10" t="str">
        <f>IF(VLOOKUP(A55,'ALG Remaining Life_Life'!A$2:M$296,11,FALSE)&gt;3," ","+")</f>
        <v xml:space="preserve"> </v>
      </c>
      <c r="Q55" s="19">
        <f t="shared" si="1"/>
        <v>0</v>
      </c>
      <c r="R55" s="8" t="str">
        <f t="shared" si="2"/>
        <v xml:space="preserve"> </v>
      </c>
      <c r="S55" s="8"/>
      <c r="T55" s="8">
        <f t="shared" si="3"/>
        <v>1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ht="13.5" x14ac:dyDescent="0.25">
      <c r="A56" s="77">
        <v>392.2</v>
      </c>
      <c r="B56" s="77"/>
      <c r="C56" s="21" t="s">
        <v>64</v>
      </c>
      <c r="D56"/>
      <c r="E56" s="41">
        <f>VLOOKUP(A56,'Table 1 Total'!A$12:P$60,10,FALSE)</f>
        <v>2955681.54</v>
      </c>
      <c r="F56" s="41"/>
      <c r="G56" s="11">
        <f>'Table 1B Net Salvage'!J57</f>
        <v>-140908.18851100001</v>
      </c>
      <c r="H56" s="41"/>
      <c r="I56" s="107">
        <f>'Table 2 Total'!I56-'Table 2A Life'!I56</f>
        <v>-190649.45999999996</v>
      </c>
      <c r="J56" s="12"/>
      <c r="K56" s="19">
        <f t="shared" si="0"/>
        <v>49741.271488999948</v>
      </c>
      <c r="L56" s="19"/>
      <c r="M56" s="104">
        <f t="shared" si="10"/>
        <v>-0.35300483254113291</v>
      </c>
      <c r="N56" s="10"/>
      <c r="O56" s="47">
        <f>IF(P56=" ",(VLOOKUP(A56,'ALG Remaining Life_Life'!A$2:M$296,11,FALSE)),3)</f>
        <v>6.9180679394353</v>
      </c>
      <c r="P56" s="10" t="str">
        <f>IF(VLOOKUP(A56,'ALG Remaining Life_Life'!A$2:M$296,11,FALSE)&gt;3," ","+")</f>
        <v xml:space="preserve"> </v>
      </c>
      <c r="Q56" s="19">
        <f t="shared" si="1"/>
        <v>7190.0524719420682</v>
      </c>
      <c r="R56" s="8" t="str">
        <f t="shared" si="2"/>
        <v xml:space="preserve"> </v>
      </c>
      <c r="S56" s="8"/>
      <c r="T56" s="8">
        <f t="shared" si="3"/>
        <v>0.35300483254113291</v>
      </c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ht="13.5" x14ac:dyDescent="0.25">
      <c r="A57" s="77">
        <v>392.3</v>
      </c>
      <c r="B57" s="77"/>
      <c r="C57" s="21" t="s">
        <v>65</v>
      </c>
      <c r="D57"/>
      <c r="E57" s="41">
        <f>VLOOKUP(A57,'Table 1 Total'!A$12:P$60,10,FALSE)</f>
        <v>2756972.29</v>
      </c>
      <c r="F57" s="41"/>
      <c r="G57" s="11">
        <f>'Table 1B Net Salvage'!J58</f>
        <v>0</v>
      </c>
      <c r="H57" s="41"/>
      <c r="I57" s="107">
        <f>'Table 2 Total'!I57-'Table 2A Life'!I57</f>
        <v>0</v>
      </c>
      <c r="J57" s="12"/>
      <c r="K57" s="19">
        <f t="shared" si="0"/>
        <v>0</v>
      </c>
      <c r="L57" s="19"/>
      <c r="M57" s="104">
        <f t="shared" si="10"/>
        <v>1</v>
      </c>
      <c r="N57" s="10"/>
      <c r="O57" s="47">
        <f>IF(P57=" ",(VLOOKUP(A57,'ALG Remaining Life_Life'!A$2:M$296,11,FALSE)),3)</f>
        <v>8.0961074657780401</v>
      </c>
      <c r="P57" s="10" t="str">
        <f>IF(VLOOKUP(A57,'ALG Remaining Life_Life'!A$2:M$296,11,FALSE)&gt;3," ","+")</f>
        <v xml:space="preserve"> </v>
      </c>
      <c r="Q57" s="19">
        <f t="shared" si="1"/>
        <v>0</v>
      </c>
      <c r="R57" s="8" t="str">
        <f t="shared" si="2"/>
        <v xml:space="preserve"> </v>
      </c>
      <c r="S57" s="8"/>
      <c r="T57" s="8">
        <f t="shared" si="3"/>
        <v>1</v>
      </c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3.5" x14ac:dyDescent="0.25">
      <c r="A58" s="77">
        <v>392.4</v>
      </c>
      <c r="B58" s="77"/>
      <c r="C58" s="21" t="s">
        <v>66</v>
      </c>
      <c r="D58"/>
      <c r="E58" s="41">
        <f>VLOOKUP(A58,'Table 1 Total'!A$12:P$60,10,FALSE)</f>
        <v>231502.9</v>
      </c>
      <c r="F58" s="41"/>
      <c r="G58" s="11">
        <f>'Table 1B Net Salvage'!J59</f>
        <v>0</v>
      </c>
      <c r="H58" s="41"/>
      <c r="I58" s="107">
        <f>'Table 2 Total'!I58-'Table 2A Life'!I58</f>
        <v>0</v>
      </c>
      <c r="J58" s="12"/>
      <c r="K58" s="19">
        <f t="shared" si="0"/>
        <v>0</v>
      </c>
      <c r="L58" s="19"/>
      <c r="M58" s="104">
        <f t="shared" si="10"/>
        <v>1</v>
      </c>
      <c r="N58" s="10"/>
      <c r="O58" s="47">
        <f>IF(P58=" ",(VLOOKUP(A58,'ALG Remaining Life_Life'!A$2:M$296,11,FALSE)),3)</f>
        <v>8.1405181498240502</v>
      </c>
      <c r="P58" s="10" t="str">
        <f>IF(VLOOKUP(A58,'ALG Remaining Life_Life'!A$2:M$296,11,FALSE)&gt;3," ","+")</f>
        <v xml:space="preserve"> </v>
      </c>
      <c r="Q58" s="19">
        <f t="shared" si="1"/>
        <v>0</v>
      </c>
      <c r="R58" s="8" t="str">
        <f t="shared" si="2"/>
        <v xml:space="preserve"> </v>
      </c>
      <c r="S58" s="8"/>
      <c r="T58" s="8">
        <f t="shared" si="3"/>
        <v>1</v>
      </c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ht="13.5" x14ac:dyDescent="0.25">
      <c r="A59" s="77">
        <v>394</v>
      </c>
      <c r="B59" s="77"/>
      <c r="C59" s="21" t="s">
        <v>67</v>
      </c>
      <c r="D59"/>
      <c r="E59" s="81">
        <f>VLOOKUP(A59,'Table 1 Total'!A$12:P$60,10,FALSE)</f>
        <v>1712700.03</v>
      </c>
      <c r="F59" s="41"/>
      <c r="G59" s="81">
        <f>'Table 1B Net Salvage'!J60</f>
        <v>0</v>
      </c>
      <c r="H59" s="41"/>
      <c r="I59" s="81">
        <f>'Table 2 Total'!I59-'Table 2A Life'!I59</f>
        <v>140.80000000004657</v>
      </c>
      <c r="J59" s="12"/>
      <c r="K59" s="80">
        <f t="shared" si="0"/>
        <v>-140.80000000004657</v>
      </c>
      <c r="L59" s="19"/>
      <c r="M59" s="104">
        <f t="shared" si="10"/>
        <v>1</v>
      </c>
      <c r="N59" s="10"/>
      <c r="O59" s="47">
        <f>IF(P59=" ",(VLOOKUP(A59,'ALG Remaining Life_Life'!A$2:M$296,11,FALSE)),3)</f>
        <v>8.1229901741754507</v>
      </c>
      <c r="P59" s="10" t="str">
        <f>IF(VLOOKUP(A59,'ALG Remaining Life_Life'!A$2:M$296,11,FALSE)&gt;3," ","+")</f>
        <v xml:space="preserve"> </v>
      </c>
      <c r="Q59" s="80">
        <f t="shared" si="1"/>
        <v>-17.333518443451634</v>
      </c>
      <c r="R59" s="8" t="str">
        <f t="shared" si="2"/>
        <v xml:space="preserve"> </v>
      </c>
      <c r="S59" s="8"/>
      <c r="T59" s="8">
        <f t="shared" si="3"/>
        <v>1</v>
      </c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ht="14" x14ac:dyDescent="0.3">
      <c r="A60" s="14" t="s">
        <v>68</v>
      </c>
      <c r="B60" s="14"/>
      <c r="C60" s="21"/>
      <c r="D60"/>
      <c r="E60" s="44">
        <f>SUM(E51:E59)</f>
        <v>14421333.059999999</v>
      </c>
      <c r="F60" s="41"/>
      <c r="G60" s="44">
        <f>SUM(G51:G59)</f>
        <v>-6328.8306378400885</v>
      </c>
      <c r="H60" s="41"/>
      <c r="I60" s="44">
        <f>SUM(I51:I59)</f>
        <v>-1475140.9</v>
      </c>
      <c r="J60" s="12"/>
      <c r="K60" s="44">
        <f>SUM(K51:K59)</f>
        <v>1468812.0693621598</v>
      </c>
      <c r="L60" s="19"/>
      <c r="M60" s="71"/>
      <c r="N60" s="10"/>
      <c r="O60" s="47"/>
      <c r="P60" s="10"/>
      <c r="Q60" s="44">
        <f>_xlfn.IFNA(SUM(Q51:Q59),0)</f>
        <v>67082.370112136196</v>
      </c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ht="13.5" x14ac:dyDescent="0.25">
      <c r="A61" s="15"/>
      <c r="B61" s="15"/>
      <c r="C61" s="21"/>
      <c r="D61"/>
      <c r="E61" s="41"/>
      <c r="F61" s="41"/>
      <c r="G61" s="41"/>
      <c r="H61" s="41"/>
      <c r="I61" s="41"/>
      <c r="J61" s="12"/>
      <c r="K61" s="19"/>
      <c r="L61" s="19"/>
      <c r="M61" s="71"/>
      <c r="N61" s="10"/>
      <c r="O61" s="47"/>
      <c r="P61" s="10"/>
      <c r="Q61" s="19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ht="14" x14ac:dyDescent="0.3">
      <c r="A62" s="75" t="s">
        <v>69</v>
      </c>
      <c r="B62" s="32"/>
      <c r="C62" s="21"/>
      <c r="D62" s="21"/>
      <c r="E62" s="44">
        <f>SUM(E60,E48,E32,E26,E17)</f>
        <v>265766419.10000002</v>
      </c>
      <c r="F62" s="44"/>
      <c r="G62" s="44">
        <f>SUM(G60,G48,G32,G26,G17)</f>
        <v>7886724.6726440042</v>
      </c>
      <c r="H62" s="44"/>
      <c r="I62" s="44">
        <f>SUM(I60,I48,I32,I26,I17)</f>
        <v>477176.26000000135</v>
      </c>
      <c r="J62" s="65"/>
      <c r="K62" s="44">
        <f>SUM(K60,K48,K32,K26,K17)</f>
        <v>7409548.4126440017</v>
      </c>
      <c r="L62" s="63"/>
      <c r="M62" s="66"/>
      <c r="N62" s="13"/>
      <c r="O62" s="67"/>
      <c r="P62" s="13"/>
      <c r="Q62" s="44">
        <f>SUM(Q60,Q48,Q32,Q26,Q17)</f>
        <v>336482.59646266798</v>
      </c>
      <c r="T62" s="1"/>
    </row>
    <row r="63" spans="1:38" x14ac:dyDescent="0.25">
      <c r="C63" s="21"/>
      <c r="D63" s="21"/>
      <c r="E63" s="2"/>
      <c r="G63" s="2"/>
      <c r="I63" s="2"/>
      <c r="Q63" s="2"/>
      <c r="T63" s="1"/>
    </row>
    <row r="64" spans="1:38" x14ac:dyDescent="0.25">
      <c r="C64" s="72" t="s">
        <v>94</v>
      </c>
      <c r="D64" s="21"/>
      <c r="E64" s="2"/>
      <c r="G64" s="2"/>
      <c r="I64" s="2"/>
      <c r="Q64" s="2"/>
      <c r="T64" s="1"/>
    </row>
    <row r="65" spans="3:20" x14ac:dyDescent="0.25">
      <c r="C65" s="72" t="s">
        <v>89</v>
      </c>
      <c r="D65" s="21"/>
      <c r="E65" s="2"/>
      <c r="G65" s="2"/>
      <c r="I65" s="2"/>
      <c r="Q65" s="2"/>
      <c r="T65" s="1"/>
    </row>
    <row r="66" spans="3:20" x14ac:dyDescent="0.25">
      <c r="C66" s="21"/>
      <c r="D66" s="21"/>
      <c r="E66" s="2"/>
      <c r="G66" s="2"/>
      <c r="I66" s="2"/>
      <c r="Q66" s="2"/>
      <c r="T66" s="1"/>
    </row>
    <row r="67" spans="3:20" x14ac:dyDescent="0.25">
      <c r="C67" s="21"/>
      <c r="D67" s="21"/>
      <c r="E67" s="2"/>
      <c r="G67" s="2"/>
      <c r="I67" s="2"/>
      <c r="Q67" s="2"/>
      <c r="T67" s="1"/>
    </row>
    <row r="68" spans="3:20" x14ac:dyDescent="0.25">
      <c r="C68" s="21"/>
      <c r="D68" s="21"/>
      <c r="E68" s="2"/>
      <c r="G68" s="2"/>
      <c r="I68" s="2"/>
      <c r="Q68" s="2"/>
      <c r="T68" s="1"/>
    </row>
    <row r="69" spans="3:20" x14ac:dyDescent="0.25">
      <c r="C69" s="21"/>
      <c r="D69" s="21"/>
      <c r="E69" s="2"/>
      <c r="G69" s="2"/>
      <c r="I69" s="2"/>
      <c r="Q69" s="2"/>
      <c r="T69" s="1"/>
    </row>
    <row r="70" spans="3:20" x14ac:dyDescent="0.25">
      <c r="C70" s="21"/>
      <c r="D70" s="21"/>
      <c r="E70" s="2"/>
      <c r="G70" s="2"/>
      <c r="I70" s="2"/>
      <c r="Q70" s="2"/>
      <c r="T70" s="1"/>
    </row>
    <row r="71" spans="3:20" x14ac:dyDescent="0.25">
      <c r="C71" s="21"/>
      <c r="D71" s="21"/>
      <c r="E71" s="2"/>
      <c r="G71" s="2"/>
      <c r="I71" s="2"/>
      <c r="Q71" s="2"/>
      <c r="T71" s="1"/>
    </row>
    <row r="72" spans="3:20" x14ac:dyDescent="0.25">
      <c r="C72" s="21"/>
      <c r="D72" s="21"/>
      <c r="E72" s="2"/>
      <c r="G72" s="2"/>
      <c r="I72" s="2"/>
      <c r="Q72" s="2"/>
      <c r="T72" s="1"/>
    </row>
    <row r="73" spans="3:20" x14ac:dyDescent="0.25">
      <c r="C73" s="21"/>
      <c r="D73" s="21"/>
      <c r="E73" s="1"/>
      <c r="G73" s="2"/>
      <c r="I73" s="2"/>
      <c r="Q73" s="2"/>
      <c r="R73" s="2"/>
      <c r="S73" s="2"/>
      <c r="T73" s="1"/>
    </row>
    <row r="74" spans="3:20" x14ac:dyDescent="0.25">
      <c r="C74" s="21"/>
      <c r="D74" s="21"/>
      <c r="E74" s="1"/>
      <c r="G74" s="2"/>
      <c r="I74" s="2"/>
      <c r="Q74" s="2"/>
      <c r="R74" s="2"/>
      <c r="S74" s="2"/>
      <c r="T74" s="1"/>
    </row>
    <row r="75" spans="3:20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3:20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</sheetData>
  <conditionalFormatting sqref="A20:D24 T20:T25 A25:B62 AM26:XFD28">
    <cfRule type="expression" dxfId="5" priority="114">
      <formula>MOD(ROW(),2)=0</formula>
    </cfRule>
  </conditionalFormatting>
  <conditionalFormatting sqref="A8:XFD19">
    <cfRule type="expression" dxfId="4" priority="91">
      <formula>MOD(ROW(),2)=0</formula>
    </cfRule>
  </conditionalFormatting>
  <conditionalFormatting sqref="C25:D25">
    <cfRule type="expression" dxfId="3" priority="6">
      <formula>MOD(ROW(),2)=0</formula>
    </cfRule>
  </conditionalFormatting>
  <conditionalFormatting sqref="C62:Q62">
    <cfRule type="expression" dxfId="2" priority="177">
      <formula>MOD(ROW(),2)=0</formula>
    </cfRule>
  </conditionalFormatting>
  <conditionalFormatting sqref="C26:AL61">
    <cfRule type="expression" dxfId="1" priority="1">
      <formula>MOD(ROW(),2)=0</formula>
    </cfRule>
  </conditionalFormatting>
  <conditionalFormatting sqref="E20:R25">
    <cfRule type="expression" dxfId="0" priority="5">
      <formula>MOD(ROW(),2)=0</formula>
    </cfRule>
  </conditionalFormatting>
  <printOptions horizontalCentered="1"/>
  <pageMargins left="0.7" right="0.7" top="0.75" bottom="0.75" header="0.3" footer="0.3"/>
  <pageSetup scale="65" orientation="landscape" r:id="rId1"/>
  <headerFooter>
    <oddHeader>&amp;R&amp;"Arial,Bold"Attachment 4
&amp;A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B877-0AC7-4A84-BA59-0A765742492A}">
  <dimension ref="A1:L51"/>
  <sheetViews>
    <sheetView zoomScaleNormal="100" workbookViewId="0">
      <selection activeCell="A2" sqref="A2:XFD51"/>
    </sheetView>
  </sheetViews>
  <sheetFormatPr defaultRowHeight="12.5" x14ac:dyDescent="0.25"/>
  <cols>
    <col min="2" max="2" width="14.1796875" bestFit="1" customWidth="1"/>
  </cols>
  <sheetData>
    <row r="1" spans="1:12" ht="14.5" x14ac:dyDescent="0.35">
      <c r="A1" s="68" t="s">
        <v>95</v>
      </c>
      <c r="B1" s="68" t="s">
        <v>96</v>
      </c>
      <c r="C1" s="68" t="s">
        <v>97</v>
      </c>
      <c r="D1" s="68" t="s">
        <v>98</v>
      </c>
      <c r="E1" s="68" t="s">
        <v>99</v>
      </c>
      <c r="F1" s="68" t="s">
        <v>100</v>
      </c>
      <c r="G1" s="68" t="s">
        <v>101</v>
      </c>
      <c r="H1" s="68" t="s">
        <v>102</v>
      </c>
      <c r="I1" s="68" t="s">
        <v>103</v>
      </c>
      <c r="J1" s="68" t="s">
        <v>104</v>
      </c>
      <c r="K1" s="68" t="s">
        <v>105</v>
      </c>
      <c r="L1" s="68" t="s">
        <v>106</v>
      </c>
    </row>
    <row r="2" spans="1:12" s="68" customFormat="1" ht="14.5" x14ac:dyDescent="0.35">
      <c r="A2" s="68">
        <v>11800</v>
      </c>
      <c r="B2" s="69">
        <v>1033279</v>
      </c>
      <c r="D2" s="68">
        <v>25</v>
      </c>
      <c r="E2" s="68" t="s">
        <v>107</v>
      </c>
      <c r="F2" s="68">
        <v>0</v>
      </c>
      <c r="G2" s="69">
        <v>3650980.92</v>
      </c>
      <c r="H2" s="68">
        <v>675286.55316495302</v>
      </c>
      <c r="I2" s="68">
        <v>146039.23680000001</v>
      </c>
      <c r="J2" s="68">
        <v>0.04</v>
      </c>
    </row>
    <row r="3" spans="1:12" s="68" customFormat="1" ht="14.5" x14ac:dyDescent="0.35">
      <c r="A3" s="68">
        <v>12100</v>
      </c>
      <c r="B3" s="69">
        <v>-208043</v>
      </c>
      <c r="D3" s="68">
        <v>40</v>
      </c>
      <c r="E3" s="68" t="s">
        <v>107</v>
      </c>
      <c r="F3" s="68">
        <v>-0.05</v>
      </c>
      <c r="G3" s="69">
        <v>10000</v>
      </c>
      <c r="H3" s="68">
        <v>2405.9350096012799</v>
      </c>
      <c r="I3" s="68">
        <v>262.5</v>
      </c>
      <c r="J3" s="68">
        <v>2.6249999999999999E-2</v>
      </c>
    </row>
    <row r="4" spans="1:12" s="68" customFormat="1" ht="14.5" x14ac:dyDescent="0.35">
      <c r="A4" s="68">
        <v>13100</v>
      </c>
      <c r="B4" s="69">
        <v>2437167</v>
      </c>
      <c r="D4" s="68">
        <v>28</v>
      </c>
      <c r="E4" s="68" t="s">
        <v>108</v>
      </c>
      <c r="F4" s="68">
        <v>0</v>
      </c>
      <c r="G4" s="69">
        <v>7762964.1900000004</v>
      </c>
      <c r="H4" s="68">
        <v>2656606.2869742899</v>
      </c>
      <c r="I4" s="68">
        <v>277248.72107142903</v>
      </c>
      <c r="J4" s="68">
        <v>3.5714285714285698E-2</v>
      </c>
    </row>
    <row r="5" spans="1:12" s="68" customFormat="1" ht="14.5" x14ac:dyDescent="0.35">
      <c r="A5" s="68">
        <v>33100</v>
      </c>
      <c r="B5" s="69">
        <v>10020829</v>
      </c>
      <c r="D5" s="68">
        <v>100</v>
      </c>
      <c r="E5" s="68" t="s">
        <v>107</v>
      </c>
      <c r="F5" s="68">
        <v>-2.5000000000000001E-2</v>
      </c>
      <c r="G5" s="69">
        <v>24390350.690000001</v>
      </c>
      <c r="H5" s="68">
        <v>7228544.2199875703</v>
      </c>
      <c r="I5" s="68">
        <v>250001.09457250001</v>
      </c>
      <c r="J5" s="68">
        <v>1.025E-2</v>
      </c>
    </row>
    <row r="6" spans="1:12" s="68" customFormat="1" ht="14.5" x14ac:dyDescent="0.35">
      <c r="A6" s="68">
        <v>33200</v>
      </c>
      <c r="B6" s="69">
        <v>10309807</v>
      </c>
      <c r="D6" s="68">
        <v>100</v>
      </c>
      <c r="E6" s="68" t="s">
        <v>107</v>
      </c>
      <c r="F6" s="68">
        <v>-2.5000000000000001E-2</v>
      </c>
      <c r="G6" s="69">
        <v>73115677.239999995</v>
      </c>
      <c r="H6" s="68">
        <v>13505758.1104319</v>
      </c>
      <c r="I6" s="68">
        <v>749435.69171000004</v>
      </c>
      <c r="J6" s="68">
        <v>1.025E-2</v>
      </c>
    </row>
    <row r="7" spans="1:12" s="68" customFormat="1" ht="14.5" x14ac:dyDescent="0.35">
      <c r="A7" s="68">
        <v>33300</v>
      </c>
      <c r="B7" s="69">
        <v>6426993</v>
      </c>
      <c r="D7" s="68">
        <v>50</v>
      </c>
      <c r="E7" s="68" t="s">
        <v>109</v>
      </c>
      <c r="F7" s="68">
        <v>-2.5000000000000001E-2</v>
      </c>
      <c r="G7" s="69">
        <v>39994015.890000001</v>
      </c>
      <c r="H7" s="68">
        <v>12333371.931038</v>
      </c>
      <c r="I7" s="68">
        <v>819877.32574500004</v>
      </c>
      <c r="J7" s="68">
        <v>2.0500000000000001E-2</v>
      </c>
    </row>
    <row r="8" spans="1:12" s="68" customFormat="1" ht="14.5" x14ac:dyDescent="0.35">
      <c r="A8" s="68">
        <v>33400</v>
      </c>
      <c r="B8" s="69">
        <v>11681948</v>
      </c>
      <c r="D8" s="68">
        <v>40</v>
      </c>
      <c r="E8" s="68" t="s">
        <v>110</v>
      </c>
      <c r="F8" s="68">
        <v>-2.5000000000000001E-2</v>
      </c>
      <c r="G8" s="69">
        <v>28084470.469999999</v>
      </c>
      <c r="H8" s="68">
        <v>10042945.989897801</v>
      </c>
      <c r="I8" s="68">
        <v>719664.55579374998</v>
      </c>
      <c r="J8" s="68">
        <v>2.5624999999999998E-2</v>
      </c>
    </row>
    <row r="9" spans="1:12" s="68" customFormat="1" ht="14.5" x14ac:dyDescent="0.35">
      <c r="A9" s="68">
        <v>33500</v>
      </c>
      <c r="B9" s="69">
        <v>3043929</v>
      </c>
      <c r="D9" s="68">
        <v>20</v>
      </c>
      <c r="E9" s="68" t="s">
        <v>111</v>
      </c>
      <c r="F9" s="68">
        <v>-0.04</v>
      </c>
      <c r="G9" s="69">
        <v>5070464.3600000003</v>
      </c>
      <c r="H9" s="68">
        <v>2895549.2248559999</v>
      </c>
      <c r="I9" s="68">
        <v>263664.14672000002</v>
      </c>
      <c r="J9" s="68">
        <v>5.1999999999999998E-2</v>
      </c>
    </row>
    <row r="10" spans="1:12" s="68" customFormat="1" ht="14.5" x14ac:dyDescent="0.35">
      <c r="A10" s="68">
        <v>33600</v>
      </c>
      <c r="B10" s="69">
        <v>3061247</v>
      </c>
      <c r="D10" s="68">
        <v>50</v>
      </c>
      <c r="E10" s="68" t="s">
        <v>112</v>
      </c>
      <c r="F10" s="68">
        <v>-2.5000000000000001E-2</v>
      </c>
      <c r="G10" s="69">
        <v>11896888.220000001</v>
      </c>
      <c r="H10" s="68">
        <v>5723169.31441784</v>
      </c>
      <c r="I10" s="68">
        <v>243886.20851</v>
      </c>
      <c r="J10" s="68">
        <v>2.0500000000000001E-2</v>
      </c>
    </row>
    <row r="11" spans="1:12" s="68" customFormat="1" ht="14.5" x14ac:dyDescent="0.35">
      <c r="A11" s="68">
        <v>34100</v>
      </c>
      <c r="B11" s="69">
        <v>22447018</v>
      </c>
      <c r="D11" s="68">
        <v>32</v>
      </c>
      <c r="E11" s="68" t="s">
        <v>113</v>
      </c>
      <c r="F11" s="68">
        <v>-0.04</v>
      </c>
      <c r="G11" s="69">
        <v>50875274.93</v>
      </c>
      <c r="H11" s="68">
        <v>26740387.641460899</v>
      </c>
      <c r="I11" s="68">
        <v>1653446.4352249999</v>
      </c>
      <c r="J11" s="68">
        <v>3.2500000000000001E-2</v>
      </c>
    </row>
    <row r="12" spans="1:12" s="68" customFormat="1" ht="14.5" x14ac:dyDescent="0.35">
      <c r="A12" s="68">
        <v>34200</v>
      </c>
      <c r="B12" s="69">
        <v>4149310</v>
      </c>
      <c r="D12" s="68">
        <v>30</v>
      </c>
      <c r="E12" s="68" t="s">
        <v>114</v>
      </c>
      <c r="F12" s="68">
        <v>-0.05</v>
      </c>
      <c r="G12" s="69">
        <v>27053675.190000001</v>
      </c>
      <c r="H12" s="68">
        <v>9877075.2303845603</v>
      </c>
      <c r="I12" s="68">
        <v>946878.63165</v>
      </c>
      <c r="J12" s="68">
        <v>3.5000000000000003E-2</v>
      </c>
    </row>
    <row r="13" spans="1:12" s="68" customFormat="1" ht="14.5" x14ac:dyDescent="0.35">
      <c r="A13" s="68">
        <v>34300</v>
      </c>
      <c r="B13" s="69">
        <v>46526530</v>
      </c>
      <c r="D13" s="68">
        <v>23</v>
      </c>
      <c r="E13" s="68" t="s">
        <v>107</v>
      </c>
      <c r="F13" s="68">
        <v>-0.04</v>
      </c>
      <c r="G13" s="69">
        <v>73740929.870000005</v>
      </c>
      <c r="H13" s="68">
        <v>38792953.806529902</v>
      </c>
      <c r="I13" s="68">
        <v>3334372.4810782601</v>
      </c>
      <c r="J13" s="68">
        <v>4.52173913043478E-2</v>
      </c>
    </row>
    <row r="14" spans="1:12" s="68" customFormat="1" ht="14.5" x14ac:dyDescent="0.35">
      <c r="A14" s="68">
        <v>34400</v>
      </c>
      <c r="B14" s="69">
        <v>4274734</v>
      </c>
      <c r="D14" s="68">
        <v>28</v>
      </c>
      <c r="E14" s="68" t="s">
        <v>108</v>
      </c>
      <c r="F14" s="68">
        <v>-2.5000000000000001E-2</v>
      </c>
      <c r="G14" s="69">
        <v>9349085.8300000001</v>
      </c>
      <c r="H14" s="68">
        <v>5098477.2562178699</v>
      </c>
      <c r="I14" s="68">
        <v>342243.32056249998</v>
      </c>
      <c r="J14" s="68">
        <v>3.6607142857142901E-2</v>
      </c>
    </row>
    <row r="15" spans="1:12" s="68" customFormat="1" ht="14.5" x14ac:dyDescent="0.35">
      <c r="A15" s="68">
        <v>34500</v>
      </c>
      <c r="B15" s="69">
        <v>14476139</v>
      </c>
      <c r="D15" s="68">
        <v>24</v>
      </c>
      <c r="E15" s="68" t="s">
        <v>115</v>
      </c>
      <c r="F15" s="68">
        <v>-2.5000000000000001E-2</v>
      </c>
      <c r="G15" s="69">
        <v>33319011.390000001</v>
      </c>
      <c r="H15" s="68">
        <v>14351835.8706371</v>
      </c>
      <c r="I15" s="68">
        <v>1422999.4447812501</v>
      </c>
      <c r="J15" s="68">
        <v>4.27083333333333E-2</v>
      </c>
    </row>
    <row r="16" spans="1:12" s="68" customFormat="1" ht="14.5" x14ac:dyDescent="0.35">
      <c r="A16" s="68">
        <v>34600</v>
      </c>
      <c r="B16" s="69">
        <v>1690696</v>
      </c>
      <c r="D16" s="68">
        <v>20</v>
      </c>
      <c r="E16" s="68" t="s">
        <v>108</v>
      </c>
      <c r="F16" s="68">
        <v>0</v>
      </c>
      <c r="G16" s="69">
        <v>3797130.82</v>
      </c>
      <c r="H16" s="68">
        <v>1647019.900077</v>
      </c>
      <c r="I16" s="68">
        <v>189856.541</v>
      </c>
      <c r="J16" s="68">
        <v>0.05</v>
      </c>
    </row>
    <row r="17" spans="1:10" s="68" customFormat="1" ht="14.5" x14ac:dyDescent="0.35">
      <c r="A17" s="68">
        <v>34800</v>
      </c>
      <c r="B17" s="69">
        <v>354592</v>
      </c>
      <c r="D17" s="68">
        <v>20</v>
      </c>
      <c r="E17" s="68" t="s">
        <v>111</v>
      </c>
      <c r="F17" s="68">
        <v>0</v>
      </c>
      <c r="G17" s="69">
        <v>1598044.61</v>
      </c>
      <c r="H17" s="68">
        <v>315028.33238095802</v>
      </c>
      <c r="I17" s="68">
        <v>79902.230500000005</v>
      </c>
      <c r="J17" s="68">
        <v>0.05</v>
      </c>
    </row>
    <row r="18" spans="1:10" s="68" customFormat="1" ht="14.5" x14ac:dyDescent="0.35">
      <c r="A18" s="68">
        <v>35100</v>
      </c>
      <c r="B18" s="69">
        <v>976762</v>
      </c>
      <c r="D18" s="68">
        <v>65</v>
      </c>
      <c r="E18" s="68" t="s">
        <v>116</v>
      </c>
      <c r="F18" s="68">
        <v>0</v>
      </c>
      <c r="G18" s="69">
        <v>3222736.85</v>
      </c>
      <c r="H18" s="68">
        <v>1474998.2294594201</v>
      </c>
      <c r="I18" s="68">
        <v>49580.566923076898</v>
      </c>
      <c r="J18" s="68">
        <v>1.5384615384615399E-2</v>
      </c>
    </row>
    <row r="19" spans="1:10" s="68" customFormat="1" ht="14.5" x14ac:dyDescent="0.35">
      <c r="A19" s="68">
        <v>35200</v>
      </c>
      <c r="B19" s="69">
        <v>2411194</v>
      </c>
      <c r="D19" s="68">
        <v>40</v>
      </c>
      <c r="E19" s="68" t="s">
        <v>108</v>
      </c>
      <c r="F19" s="68">
        <v>0</v>
      </c>
      <c r="G19" s="69">
        <v>3833485.46</v>
      </c>
      <c r="H19" s="68">
        <v>2310540.9902281198</v>
      </c>
      <c r="I19" s="68">
        <v>95837.136499999993</v>
      </c>
      <c r="J19" s="68">
        <v>2.5000000000000001E-2</v>
      </c>
    </row>
    <row r="20" spans="1:10" s="68" customFormat="1" ht="14.5" x14ac:dyDescent="0.35">
      <c r="A20" s="68">
        <v>35300</v>
      </c>
      <c r="B20" s="69">
        <v>9157772</v>
      </c>
      <c r="D20" s="68">
        <v>29</v>
      </c>
      <c r="E20" s="68" t="s">
        <v>110</v>
      </c>
      <c r="F20" s="68">
        <v>-2.5000000000000001E-2</v>
      </c>
      <c r="G20" s="69">
        <v>18127231.510000002</v>
      </c>
      <c r="H20" s="68">
        <v>9478199.5922310092</v>
      </c>
      <c r="I20" s="68">
        <v>640703.87233620696</v>
      </c>
      <c r="J20" s="68">
        <v>3.5344827586206898E-2</v>
      </c>
    </row>
    <row r="21" spans="1:10" s="68" customFormat="1" ht="14.5" x14ac:dyDescent="0.35">
      <c r="A21" s="68">
        <v>35400</v>
      </c>
      <c r="B21" s="69">
        <v>10669049</v>
      </c>
      <c r="D21" s="68">
        <v>65</v>
      </c>
      <c r="E21" s="68" t="s">
        <v>108</v>
      </c>
      <c r="F21" s="68">
        <v>-2.5000000000000001E-2</v>
      </c>
      <c r="G21" s="69">
        <v>15887111.880000001</v>
      </c>
      <c r="H21" s="68">
        <v>7283806.7184388796</v>
      </c>
      <c r="I21" s="68">
        <v>250527.53349230799</v>
      </c>
      <c r="J21" s="68">
        <v>1.5769230769230799E-2</v>
      </c>
    </row>
    <row r="22" spans="1:10" s="68" customFormat="1" ht="14.5" x14ac:dyDescent="0.35">
      <c r="A22" s="68">
        <v>35500</v>
      </c>
      <c r="B22" s="69">
        <v>994466</v>
      </c>
      <c r="D22" s="68">
        <v>45</v>
      </c>
      <c r="E22" s="68" t="s">
        <v>107</v>
      </c>
      <c r="F22" s="68">
        <v>-2.5000000000000001E-2</v>
      </c>
      <c r="G22" s="69">
        <v>4069523.49</v>
      </c>
      <c r="H22" s="68">
        <v>790427.37681763503</v>
      </c>
      <c r="I22" s="68">
        <v>92694.701716666706</v>
      </c>
      <c r="J22" s="68">
        <v>2.27777777777778E-2</v>
      </c>
    </row>
    <row r="23" spans="1:10" s="68" customFormat="1" ht="14.5" x14ac:dyDescent="0.35">
      <c r="A23" s="68">
        <v>35600</v>
      </c>
      <c r="B23" s="69">
        <v>9347342</v>
      </c>
      <c r="D23" s="68">
        <v>60</v>
      </c>
      <c r="E23" s="68" t="s">
        <v>108</v>
      </c>
      <c r="F23" s="68">
        <v>-2.5000000000000001E-2</v>
      </c>
      <c r="G23" s="69">
        <v>12218670.279999999</v>
      </c>
      <c r="H23" s="68">
        <v>5197037.7831568504</v>
      </c>
      <c r="I23" s="68">
        <v>208735.61728333301</v>
      </c>
      <c r="J23" s="68">
        <v>1.7083333333333301E-2</v>
      </c>
    </row>
    <row r="24" spans="1:10" s="68" customFormat="1" ht="14.5" x14ac:dyDescent="0.35">
      <c r="A24" s="68">
        <v>35700</v>
      </c>
      <c r="B24" s="69">
        <v>9769</v>
      </c>
      <c r="D24" s="68">
        <v>30</v>
      </c>
      <c r="E24" s="68" t="s">
        <v>112</v>
      </c>
      <c r="F24" s="68">
        <v>0</v>
      </c>
      <c r="G24" s="69">
        <v>12434.28</v>
      </c>
      <c r="H24" s="68">
        <v>8773.9575829016503</v>
      </c>
      <c r="I24" s="68">
        <v>414.476</v>
      </c>
      <c r="J24" s="68">
        <v>3.3333333333333298E-2</v>
      </c>
    </row>
    <row r="25" spans="1:10" s="68" customFormat="1" ht="14.5" x14ac:dyDescent="0.35">
      <c r="A25" s="68">
        <v>35800</v>
      </c>
      <c r="B25" s="69">
        <v>9518</v>
      </c>
      <c r="D25" s="68">
        <v>30</v>
      </c>
      <c r="E25" s="68" t="s">
        <v>112</v>
      </c>
      <c r="F25" s="68">
        <v>0</v>
      </c>
      <c r="G25" s="69">
        <v>16343.67</v>
      </c>
      <c r="H25" s="68">
        <v>11532.5267992149</v>
      </c>
      <c r="I25" s="68">
        <v>544.78899999999999</v>
      </c>
      <c r="J25" s="68">
        <v>3.3333333333333298E-2</v>
      </c>
    </row>
    <row r="26" spans="1:10" s="68" customFormat="1" ht="14.5" x14ac:dyDescent="0.35">
      <c r="A26" s="68">
        <v>35900</v>
      </c>
      <c r="B26" s="69">
        <v>726972</v>
      </c>
      <c r="D26" s="68">
        <v>40</v>
      </c>
      <c r="E26" s="68" t="s">
        <v>111</v>
      </c>
      <c r="F26" s="68">
        <v>0</v>
      </c>
      <c r="G26" s="69">
        <v>1009616.66</v>
      </c>
      <c r="H26" s="68">
        <v>511844.56576711702</v>
      </c>
      <c r="I26" s="68">
        <v>25240.416499999999</v>
      </c>
      <c r="J26" s="68">
        <v>2.5000000000000001E-2</v>
      </c>
    </row>
    <row r="27" spans="1:10" s="68" customFormat="1" ht="14.5" x14ac:dyDescent="0.35">
      <c r="A27" s="68">
        <v>36100</v>
      </c>
      <c r="B27" s="69">
        <v>184344</v>
      </c>
      <c r="D27" s="68">
        <v>40</v>
      </c>
      <c r="E27" s="68" t="s">
        <v>111</v>
      </c>
      <c r="F27" s="68">
        <v>0</v>
      </c>
      <c r="G27" s="69">
        <v>1165572.76</v>
      </c>
      <c r="H27" s="68">
        <v>336246.507635883</v>
      </c>
      <c r="I27" s="68">
        <v>29139.319</v>
      </c>
      <c r="J27" s="68">
        <v>2.5000000000000001E-2</v>
      </c>
    </row>
    <row r="28" spans="1:10" s="68" customFormat="1" ht="14.5" x14ac:dyDescent="0.35">
      <c r="A28" s="68">
        <v>36200</v>
      </c>
      <c r="B28" s="69">
        <v>1404879</v>
      </c>
      <c r="D28" s="68">
        <v>25</v>
      </c>
      <c r="E28" s="68" t="s">
        <v>113</v>
      </c>
      <c r="F28" s="68">
        <v>0</v>
      </c>
      <c r="G28" s="69">
        <v>3190953.48</v>
      </c>
      <c r="H28" s="68">
        <v>1465607.01884434</v>
      </c>
      <c r="I28" s="68">
        <v>127638.13920000001</v>
      </c>
      <c r="J28" s="68">
        <v>0.04</v>
      </c>
    </row>
    <row r="29" spans="1:10" s="68" customFormat="1" ht="14.5" x14ac:dyDescent="0.35">
      <c r="A29" s="68">
        <v>36300</v>
      </c>
      <c r="B29" s="69">
        <v>-276328</v>
      </c>
      <c r="D29" s="68">
        <v>15</v>
      </c>
      <c r="E29" s="68" t="s">
        <v>108</v>
      </c>
      <c r="F29" s="68">
        <v>0</v>
      </c>
      <c r="G29" s="69">
        <v>62281.06</v>
      </c>
      <c r="H29" s="68">
        <v>48025.3390964309</v>
      </c>
      <c r="I29" s="68">
        <v>4152.0706666666701</v>
      </c>
      <c r="J29" s="68">
        <v>6.6666666666666693E-2</v>
      </c>
    </row>
    <row r="30" spans="1:10" s="68" customFormat="1" ht="14.5" x14ac:dyDescent="0.35">
      <c r="A30" s="68">
        <v>36400</v>
      </c>
      <c r="B30" s="69">
        <v>11940723</v>
      </c>
      <c r="D30" s="68">
        <v>50</v>
      </c>
      <c r="E30" s="68" t="s">
        <v>110</v>
      </c>
      <c r="F30" s="68">
        <v>-2.5000000000000001E-2</v>
      </c>
      <c r="G30" s="69">
        <v>17837940.620000001</v>
      </c>
      <c r="H30" s="68">
        <v>5737922.3405484902</v>
      </c>
      <c r="I30" s="68">
        <v>365677.78271</v>
      </c>
      <c r="J30" s="68">
        <v>2.0500000000000001E-2</v>
      </c>
    </row>
    <row r="31" spans="1:10" s="68" customFormat="1" ht="14.5" x14ac:dyDescent="0.35">
      <c r="A31" s="68">
        <v>36500</v>
      </c>
      <c r="B31" s="69">
        <v>4466107</v>
      </c>
      <c r="D31" s="68">
        <v>55</v>
      </c>
      <c r="E31" s="68" t="s">
        <v>108</v>
      </c>
      <c r="F31" s="68">
        <v>-2.5000000000000001E-2</v>
      </c>
      <c r="G31" s="69">
        <v>5581956.3700000001</v>
      </c>
      <c r="H31" s="68">
        <v>2267960.9812792698</v>
      </c>
      <c r="I31" s="68">
        <v>104027.36871363599</v>
      </c>
      <c r="J31" s="68">
        <v>1.86363636363636E-2</v>
      </c>
    </row>
    <row r="32" spans="1:10" s="68" customFormat="1" ht="14.5" x14ac:dyDescent="0.35">
      <c r="A32" s="68">
        <v>36600</v>
      </c>
      <c r="B32" s="69">
        <v>32055</v>
      </c>
      <c r="D32" s="68">
        <v>30</v>
      </c>
      <c r="E32" s="68" t="s">
        <v>112</v>
      </c>
      <c r="F32" s="68">
        <v>0</v>
      </c>
      <c r="G32" s="69">
        <v>129167.25</v>
      </c>
      <c r="H32" s="68">
        <v>50694.136688278799</v>
      </c>
      <c r="I32" s="68">
        <v>4305.5749999999998</v>
      </c>
      <c r="J32" s="68">
        <v>3.3333333333333298E-2</v>
      </c>
    </row>
    <row r="33" spans="1:10" s="68" customFormat="1" ht="14.5" x14ac:dyDescent="0.35">
      <c r="A33" s="68">
        <v>36700</v>
      </c>
      <c r="B33" s="69">
        <v>139968</v>
      </c>
      <c r="D33" s="68">
        <v>30</v>
      </c>
      <c r="E33" s="68" t="s">
        <v>112</v>
      </c>
      <c r="F33" s="68">
        <v>0</v>
      </c>
      <c r="G33" s="69">
        <v>963188.14</v>
      </c>
      <c r="H33" s="68">
        <v>260939.61741703501</v>
      </c>
      <c r="I33" s="68">
        <v>32106.271333333301</v>
      </c>
      <c r="J33" s="68">
        <v>3.3333333333333298E-2</v>
      </c>
    </row>
    <row r="34" spans="1:10" s="68" customFormat="1" ht="14.5" x14ac:dyDescent="0.35">
      <c r="A34" s="68">
        <v>36800</v>
      </c>
      <c r="B34" s="69">
        <v>2990649</v>
      </c>
      <c r="D34" s="68">
        <v>50</v>
      </c>
      <c r="E34" s="68" t="s">
        <v>112</v>
      </c>
      <c r="F34" s="68">
        <v>0</v>
      </c>
      <c r="G34" s="69">
        <v>8391798.3200000003</v>
      </c>
      <c r="H34" s="68">
        <v>2513781.5519331</v>
      </c>
      <c r="I34" s="68">
        <v>167835.9664</v>
      </c>
      <c r="J34" s="68">
        <v>0.02</v>
      </c>
    </row>
    <row r="35" spans="1:10" s="68" customFormat="1" ht="14.5" x14ac:dyDescent="0.35">
      <c r="A35" s="68">
        <v>36900</v>
      </c>
      <c r="B35" s="69">
        <v>1534902</v>
      </c>
      <c r="D35" s="68">
        <v>55</v>
      </c>
      <c r="E35" s="68" t="s">
        <v>108</v>
      </c>
      <c r="F35" s="68">
        <v>-2.5000000000000001E-2</v>
      </c>
      <c r="G35" s="69">
        <v>2852586.29</v>
      </c>
      <c r="H35" s="68">
        <v>1032943.16419132</v>
      </c>
      <c r="I35" s="68">
        <v>53161.835404545403</v>
      </c>
      <c r="J35" s="68">
        <v>1.86363636363636E-2</v>
      </c>
    </row>
    <row r="36" spans="1:10" s="68" customFormat="1" ht="14.5" x14ac:dyDescent="0.35">
      <c r="A36" s="68">
        <v>37000</v>
      </c>
      <c r="B36" s="69">
        <v>1160416</v>
      </c>
      <c r="D36" s="68">
        <v>18</v>
      </c>
      <c r="E36" s="68" t="s">
        <v>117</v>
      </c>
      <c r="F36" s="68">
        <v>0</v>
      </c>
      <c r="G36" s="69">
        <v>4971337.6500000004</v>
      </c>
      <c r="H36" s="68">
        <v>1236043.40445278</v>
      </c>
      <c r="I36" s="68">
        <v>276185.42499999999</v>
      </c>
      <c r="J36" s="68">
        <v>5.5555555555555601E-2</v>
      </c>
    </row>
    <row r="37" spans="1:10" s="68" customFormat="1" ht="14.5" x14ac:dyDescent="0.35">
      <c r="A37" s="68">
        <v>37100</v>
      </c>
      <c r="B37" s="69">
        <v>-223</v>
      </c>
      <c r="D37" s="68">
        <v>18</v>
      </c>
      <c r="E37" s="68" t="s">
        <v>117</v>
      </c>
      <c r="F37" s="68">
        <v>0</v>
      </c>
      <c r="G37" s="69">
        <v>10770.52</v>
      </c>
      <c r="H37" s="68">
        <v>6510.1229425174797</v>
      </c>
      <c r="I37" s="68">
        <v>598.36222222222204</v>
      </c>
      <c r="J37" s="68">
        <v>5.5555555555555497E-2</v>
      </c>
    </row>
    <row r="38" spans="1:10" s="68" customFormat="1" ht="14.5" x14ac:dyDescent="0.35">
      <c r="A38" s="68">
        <v>37300</v>
      </c>
      <c r="B38" s="69">
        <v>-94813</v>
      </c>
      <c r="D38" s="68">
        <v>48</v>
      </c>
      <c r="E38" s="68" t="s">
        <v>108</v>
      </c>
      <c r="F38" s="68">
        <v>-2.5000000000000001E-2</v>
      </c>
      <c r="G38" s="69">
        <v>2003942.48</v>
      </c>
      <c r="H38" s="68">
        <v>265592.73148749699</v>
      </c>
      <c r="I38" s="68">
        <v>42792.521708333297</v>
      </c>
      <c r="J38" s="68">
        <v>2.1354166666666698E-2</v>
      </c>
    </row>
    <row r="39" spans="1:10" s="68" customFormat="1" ht="14.5" x14ac:dyDescent="0.35">
      <c r="A39" s="68">
        <v>38200</v>
      </c>
      <c r="B39" s="69">
        <v>3292556</v>
      </c>
      <c r="D39" s="68">
        <v>5</v>
      </c>
      <c r="E39" s="68" t="s">
        <v>116</v>
      </c>
      <c r="F39" s="68">
        <v>0</v>
      </c>
      <c r="G39" s="69">
        <v>5234013.79</v>
      </c>
      <c r="H39" s="68">
        <v>3165505.4810000001</v>
      </c>
      <c r="I39" s="68">
        <v>1046802.758</v>
      </c>
      <c r="J39" s="68">
        <v>0.2</v>
      </c>
    </row>
    <row r="40" spans="1:10" s="68" customFormat="1" ht="14.5" x14ac:dyDescent="0.35">
      <c r="A40" s="68">
        <v>38300</v>
      </c>
      <c r="B40" s="69">
        <v>4134421</v>
      </c>
      <c r="D40" s="68">
        <v>10</v>
      </c>
      <c r="E40" s="68" t="s">
        <v>116</v>
      </c>
      <c r="F40" s="68">
        <v>0</v>
      </c>
      <c r="G40" s="69">
        <v>7048230.1799999997</v>
      </c>
      <c r="H40" s="68">
        <v>2217587.5529999998</v>
      </c>
      <c r="I40" s="68">
        <v>704823.01800000004</v>
      </c>
      <c r="J40" s="68">
        <v>0.1</v>
      </c>
    </row>
    <row r="41" spans="1:10" s="68" customFormat="1" ht="14.5" x14ac:dyDescent="0.35">
      <c r="A41" s="68">
        <v>39001</v>
      </c>
      <c r="B41" s="69">
        <v>536132</v>
      </c>
      <c r="D41" s="68">
        <v>65</v>
      </c>
      <c r="E41" s="68" t="s">
        <v>118</v>
      </c>
      <c r="F41" s="68">
        <v>7.4999999999999997E-2</v>
      </c>
      <c r="G41" s="69">
        <v>5384565.6100000003</v>
      </c>
      <c r="H41" s="68">
        <v>1231023.3744715599</v>
      </c>
      <c r="I41" s="68">
        <v>76626.510603846196</v>
      </c>
      <c r="J41" s="68">
        <v>1.42307692307692E-2</v>
      </c>
    </row>
    <row r="42" spans="1:10" s="68" customFormat="1" ht="14.5" x14ac:dyDescent="0.35">
      <c r="A42" s="68">
        <v>39002</v>
      </c>
      <c r="B42" s="69">
        <v>8793928</v>
      </c>
      <c r="D42" s="68">
        <v>25</v>
      </c>
      <c r="E42" s="68" t="s">
        <v>118</v>
      </c>
      <c r="F42" s="68">
        <v>2.5000000000000001E-2</v>
      </c>
      <c r="G42" s="69">
        <v>16198274.050000001</v>
      </c>
      <c r="H42" s="68">
        <v>5590480.5446109399</v>
      </c>
      <c r="I42" s="68">
        <v>631732.68795000005</v>
      </c>
      <c r="J42" s="68">
        <v>3.9E-2</v>
      </c>
    </row>
    <row r="43" spans="1:10" s="68" customFormat="1" ht="14.5" x14ac:dyDescent="0.35">
      <c r="A43" s="68">
        <v>39100</v>
      </c>
      <c r="B43" s="69">
        <v>871083</v>
      </c>
      <c r="D43" s="68">
        <v>15</v>
      </c>
      <c r="E43" s="68" t="s">
        <v>116</v>
      </c>
      <c r="F43" s="68">
        <v>0.05</v>
      </c>
      <c r="G43" s="69">
        <v>4524714.03</v>
      </c>
      <c r="H43" s="68">
        <v>3514095.2263333299</v>
      </c>
      <c r="I43" s="68">
        <v>286565.2219</v>
      </c>
      <c r="J43" s="68">
        <v>6.3333333333333297E-2</v>
      </c>
    </row>
    <row r="44" spans="1:10" s="68" customFormat="1" ht="14.5" x14ac:dyDescent="0.35">
      <c r="A44" s="68">
        <v>39200</v>
      </c>
      <c r="B44" s="69">
        <v>2213484</v>
      </c>
      <c r="D44" s="68">
        <v>7</v>
      </c>
      <c r="E44" s="68" t="s">
        <v>119</v>
      </c>
      <c r="F44" s="68">
        <v>2.5000000000000001E-2</v>
      </c>
      <c r="G44" s="69">
        <v>3849242.75</v>
      </c>
      <c r="H44" s="68">
        <v>2316940.2796364902</v>
      </c>
      <c r="I44" s="68">
        <v>536144.525892857</v>
      </c>
      <c r="J44" s="68">
        <v>0.13928571428571401</v>
      </c>
    </row>
    <row r="45" spans="1:10" s="68" customFormat="1" ht="14.5" x14ac:dyDescent="0.35">
      <c r="A45" s="68">
        <v>39300</v>
      </c>
      <c r="B45" s="69">
        <v>106657</v>
      </c>
      <c r="D45" s="68">
        <v>15</v>
      </c>
      <c r="E45" s="68" t="s">
        <v>116</v>
      </c>
      <c r="F45" s="68">
        <v>0</v>
      </c>
      <c r="G45" s="69">
        <v>545057.05000000005</v>
      </c>
      <c r="H45" s="68">
        <v>174882.95966666701</v>
      </c>
      <c r="I45" s="68">
        <v>36337.136666666702</v>
      </c>
      <c r="J45" s="68">
        <v>6.6666666666666693E-2</v>
      </c>
    </row>
    <row r="46" spans="1:10" s="68" customFormat="1" ht="14.5" x14ac:dyDescent="0.35">
      <c r="A46" s="68">
        <v>39400</v>
      </c>
      <c r="B46" s="69">
        <v>455177</v>
      </c>
      <c r="D46" s="68">
        <v>15</v>
      </c>
      <c r="E46" s="68" t="s">
        <v>116</v>
      </c>
      <c r="F46" s="68">
        <v>0</v>
      </c>
      <c r="G46" s="69">
        <v>897795.12</v>
      </c>
      <c r="H46" s="68">
        <v>467155.40899999999</v>
      </c>
      <c r="I46" s="68">
        <v>59853.008000000002</v>
      </c>
      <c r="J46" s="68">
        <v>6.6666666666666693E-2</v>
      </c>
    </row>
    <row r="47" spans="1:10" s="68" customFormat="1" ht="14.5" x14ac:dyDescent="0.35">
      <c r="A47" s="68">
        <v>39500</v>
      </c>
      <c r="B47" s="69">
        <v>309960</v>
      </c>
      <c r="D47" s="68">
        <v>25</v>
      </c>
      <c r="E47" s="68" t="s">
        <v>116</v>
      </c>
      <c r="F47" s="68">
        <v>0</v>
      </c>
      <c r="G47" s="69">
        <v>520029.21</v>
      </c>
      <c r="H47" s="68">
        <v>300566.03259999998</v>
      </c>
      <c r="I47" s="68">
        <v>20801.168399999999</v>
      </c>
      <c r="J47" s="68">
        <v>0.04</v>
      </c>
    </row>
    <row r="48" spans="1:10" s="68" customFormat="1" ht="14.5" x14ac:dyDescent="0.35">
      <c r="A48" s="68">
        <v>39600</v>
      </c>
      <c r="B48" s="69">
        <v>2325062</v>
      </c>
      <c r="D48" s="68">
        <v>27</v>
      </c>
      <c r="E48" s="68" t="s">
        <v>120</v>
      </c>
      <c r="F48" s="68">
        <v>7.4999999999999997E-2</v>
      </c>
      <c r="G48" s="69">
        <v>6700473.1500000004</v>
      </c>
      <c r="H48" s="68">
        <v>1854809.5425287399</v>
      </c>
      <c r="I48" s="68">
        <v>229553.246805556</v>
      </c>
      <c r="J48" s="68">
        <v>3.4259259259259302E-2</v>
      </c>
    </row>
    <row r="49" spans="1:10" s="68" customFormat="1" ht="14.5" x14ac:dyDescent="0.35">
      <c r="A49" s="68">
        <v>39700</v>
      </c>
      <c r="B49" s="69">
        <v>3071693</v>
      </c>
      <c r="D49" s="68">
        <v>20</v>
      </c>
      <c r="E49" s="68" t="s">
        <v>107</v>
      </c>
      <c r="F49" s="68">
        <v>0.05</v>
      </c>
      <c r="G49" s="69">
        <v>8257568.1299999999</v>
      </c>
      <c r="H49" s="68">
        <v>3441505.7955564</v>
      </c>
      <c r="I49" s="68">
        <v>392234.48617500003</v>
      </c>
      <c r="J49" s="68">
        <v>4.7500000000000001E-2</v>
      </c>
    </row>
    <row r="50" spans="1:10" s="68" customFormat="1" ht="14.5" x14ac:dyDescent="0.35">
      <c r="A50" s="68">
        <v>39800</v>
      </c>
      <c r="B50" s="69">
        <v>540931</v>
      </c>
      <c r="D50" s="68">
        <v>15</v>
      </c>
      <c r="E50" s="68" t="s">
        <v>116</v>
      </c>
      <c r="F50" s="68">
        <v>0</v>
      </c>
      <c r="G50" s="69">
        <v>643160.35</v>
      </c>
      <c r="H50" s="68">
        <v>543079.73199999996</v>
      </c>
      <c r="I50" s="68">
        <v>42877.356666666703</v>
      </c>
      <c r="J50" s="68">
        <v>6.6666666666666693E-2</v>
      </c>
    </row>
    <row r="51" spans="1:10" s="68" customFormat="1" ht="14.5" x14ac:dyDescent="0.35">
      <c r="A51" s="68">
        <v>39900</v>
      </c>
      <c r="B51" s="69">
        <v>215153</v>
      </c>
      <c r="D51" s="68">
        <v>20</v>
      </c>
      <c r="E51" s="68" t="s">
        <v>116</v>
      </c>
      <c r="F51" s="68">
        <v>0</v>
      </c>
      <c r="G51" s="69">
        <v>626132.79</v>
      </c>
      <c r="H51" s="68">
        <v>258022.58025</v>
      </c>
      <c r="I51" s="68">
        <v>31306.639500000001</v>
      </c>
      <c r="J51" s="68">
        <v>0.05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15915-0845-4FB6-B117-95FD39405995}">
  <dimension ref="A1:L51"/>
  <sheetViews>
    <sheetView workbookViewId="0">
      <selection activeCell="A2" sqref="A2:XFD51"/>
    </sheetView>
  </sheetViews>
  <sheetFormatPr defaultRowHeight="12.5" x14ac:dyDescent="0.25"/>
  <cols>
    <col min="2" max="2" width="14.1796875" bestFit="1" customWidth="1"/>
    <col min="9" max="9" width="17.453125" bestFit="1" customWidth="1"/>
  </cols>
  <sheetData>
    <row r="1" spans="1:12" ht="14.5" x14ac:dyDescent="0.35">
      <c r="A1" s="68" t="s">
        <v>95</v>
      </c>
      <c r="B1" s="68" t="s">
        <v>96</v>
      </c>
      <c r="C1" s="68" t="s">
        <v>97</v>
      </c>
      <c r="D1" s="68" t="s">
        <v>98</v>
      </c>
      <c r="E1" s="68" t="s">
        <v>99</v>
      </c>
      <c r="F1" s="68" t="s">
        <v>100</v>
      </c>
      <c r="G1" s="68" t="s">
        <v>101</v>
      </c>
      <c r="H1" s="68" t="s">
        <v>102</v>
      </c>
      <c r="I1" s="68" t="s">
        <v>103</v>
      </c>
      <c r="J1" s="68" t="s">
        <v>104</v>
      </c>
      <c r="K1" s="68" t="s">
        <v>105</v>
      </c>
      <c r="L1" s="68" t="s">
        <v>106</v>
      </c>
    </row>
    <row r="2" spans="1:12" s="68" customFormat="1" ht="14.5" x14ac:dyDescent="0.35">
      <c r="A2" s="68">
        <v>11800</v>
      </c>
      <c r="B2" s="69">
        <v>1033279</v>
      </c>
      <c r="D2" s="68">
        <v>25</v>
      </c>
      <c r="E2" s="68" t="s">
        <v>107</v>
      </c>
      <c r="F2" s="68">
        <v>0</v>
      </c>
      <c r="G2" s="69">
        <v>3650980.92</v>
      </c>
      <c r="H2" s="68">
        <v>675286.55316495302</v>
      </c>
      <c r="I2" s="68">
        <v>146039.23680000001</v>
      </c>
      <c r="J2" s="68">
        <v>0.04</v>
      </c>
    </row>
    <row r="3" spans="1:12" s="68" customFormat="1" ht="14.5" x14ac:dyDescent="0.35">
      <c r="A3" s="68">
        <v>12100</v>
      </c>
      <c r="B3" s="69">
        <v>-205963</v>
      </c>
      <c r="D3" s="68">
        <v>40</v>
      </c>
      <c r="E3" s="68" t="s">
        <v>107</v>
      </c>
      <c r="F3" s="68">
        <v>0</v>
      </c>
      <c r="G3" s="69">
        <v>10000</v>
      </c>
      <c r="H3" s="68">
        <v>2291.3666758107402</v>
      </c>
      <c r="I3" s="68">
        <v>250</v>
      </c>
      <c r="J3" s="68">
        <v>2.5000000000000001E-2</v>
      </c>
    </row>
    <row r="4" spans="1:12" s="68" customFormat="1" ht="14.5" x14ac:dyDescent="0.35">
      <c r="A4" s="68">
        <v>13100</v>
      </c>
      <c r="B4" s="69">
        <v>2437167</v>
      </c>
      <c r="D4" s="68">
        <v>28</v>
      </c>
      <c r="E4" s="68" t="s">
        <v>108</v>
      </c>
      <c r="F4" s="68">
        <v>0</v>
      </c>
      <c r="G4" s="69">
        <v>7762964.1900000004</v>
      </c>
      <c r="H4" s="68">
        <v>2656606.2869742899</v>
      </c>
      <c r="I4" s="68">
        <v>277248.72107142903</v>
      </c>
      <c r="J4" s="68">
        <v>3.5714285714285698E-2</v>
      </c>
    </row>
    <row r="5" spans="1:12" s="68" customFormat="1" ht="14.5" x14ac:dyDescent="0.35">
      <c r="A5" s="68">
        <v>33100</v>
      </c>
      <c r="B5" s="69">
        <v>7911211</v>
      </c>
      <c r="D5" s="68">
        <v>100</v>
      </c>
      <c r="E5" s="68" t="s">
        <v>107</v>
      </c>
      <c r="F5" s="68">
        <v>0</v>
      </c>
      <c r="G5" s="69">
        <v>24390350.690000001</v>
      </c>
      <c r="H5" s="68">
        <v>7052238.2634025104</v>
      </c>
      <c r="I5" s="68">
        <v>243903.50690000001</v>
      </c>
      <c r="J5" s="68">
        <v>0.01</v>
      </c>
    </row>
    <row r="6" spans="1:12" s="68" customFormat="1" ht="14.5" x14ac:dyDescent="0.35">
      <c r="A6" s="68">
        <v>33200</v>
      </c>
      <c r="B6" s="69">
        <v>9069791</v>
      </c>
      <c r="D6" s="68">
        <v>100</v>
      </c>
      <c r="E6" s="68" t="s">
        <v>107</v>
      </c>
      <c r="F6" s="68">
        <v>0</v>
      </c>
      <c r="G6" s="69">
        <v>73115677.239999995</v>
      </c>
      <c r="H6" s="68">
        <v>13176349.376031101</v>
      </c>
      <c r="I6" s="68">
        <v>731156.77240000002</v>
      </c>
      <c r="J6" s="68">
        <v>0.01</v>
      </c>
    </row>
    <row r="7" spans="1:12" s="68" customFormat="1" ht="14.5" x14ac:dyDescent="0.35">
      <c r="A7" s="68">
        <v>33300</v>
      </c>
      <c r="B7" s="69">
        <v>6377137</v>
      </c>
      <c r="D7" s="68">
        <v>50</v>
      </c>
      <c r="E7" s="68" t="s">
        <v>109</v>
      </c>
      <c r="F7" s="68">
        <v>0</v>
      </c>
      <c r="G7" s="69">
        <v>39994015.890000001</v>
      </c>
      <c r="H7" s="68">
        <v>12032557.981500501</v>
      </c>
      <c r="I7" s="68">
        <v>799880.31779999996</v>
      </c>
      <c r="J7" s="68">
        <v>0.02</v>
      </c>
    </row>
    <row r="8" spans="1:12" s="68" customFormat="1" ht="14.5" x14ac:dyDescent="0.35">
      <c r="A8" s="68">
        <v>33400</v>
      </c>
      <c r="B8" s="69">
        <v>11133118</v>
      </c>
      <c r="D8" s="68">
        <v>40</v>
      </c>
      <c r="E8" s="68" t="s">
        <v>110</v>
      </c>
      <c r="F8" s="68">
        <v>0</v>
      </c>
      <c r="G8" s="69">
        <v>28084470.469999999</v>
      </c>
      <c r="H8" s="68">
        <v>9797996.0877051707</v>
      </c>
      <c r="I8" s="68">
        <v>702111.76174999995</v>
      </c>
      <c r="J8" s="68">
        <v>2.5000000000000001E-2</v>
      </c>
    </row>
    <row r="9" spans="1:12" s="68" customFormat="1" ht="14.5" x14ac:dyDescent="0.35">
      <c r="A9" s="68">
        <v>33500</v>
      </c>
      <c r="B9" s="69">
        <v>2823246</v>
      </c>
      <c r="D9" s="68">
        <v>20</v>
      </c>
      <c r="E9" s="68" t="s">
        <v>111</v>
      </c>
      <c r="F9" s="68">
        <v>0</v>
      </c>
      <c r="G9" s="69">
        <v>5070464.3600000003</v>
      </c>
      <c r="H9" s="68">
        <v>2784181.9469769201</v>
      </c>
      <c r="I9" s="68">
        <v>253523.21799999999</v>
      </c>
      <c r="J9" s="68">
        <v>0.05</v>
      </c>
    </row>
    <row r="10" spans="1:12" s="68" customFormat="1" ht="14.5" x14ac:dyDescent="0.35">
      <c r="A10" s="68">
        <v>33600</v>
      </c>
      <c r="B10" s="69">
        <v>3052378</v>
      </c>
      <c r="D10" s="68">
        <v>50</v>
      </c>
      <c r="E10" s="68" t="s">
        <v>112</v>
      </c>
      <c r="F10" s="68">
        <v>0</v>
      </c>
      <c r="G10" s="69">
        <v>11896888.220000001</v>
      </c>
      <c r="H10" s="68">
        <v>5583579.81894424</v>
      </c>
      <c r="I10" s="68">
        <v>237937.76439999999</v>
      </c>
      <c r="J10" s="68">
        <v>0.02</v>
      </c>
    </row>
    <row r="11" spans="1:12" s="68" customFormat="1" ht="14.5" x14ac:dyDescent="0.35">
      <c r="A11" s="68">
        <v>34100</v>
      </c>
      <c r="B11" s="69">
        <v>22044766</v>
      </c>
      <c r="D11" s="68">
        <v>32</v>
      </c>
      <c r="E11" s="68" t="s">
        <v>113</v>
      </c>
      <c r="F11" s="68">
        <v>0</v>
      </c>
      <c r="G11" s="69">
        <v>50875274.93</v>
      </c>
      <c r="H11" s="68">
        <v>25711911.193712398</v>
      </c>
      <c r="I11" s="68">
        <v>1589852.3415625</v>
      </c>
      <c r="J11" s="68">
        <v>3.125E-2</v>
      </c>
    </row>
    <row r="12" spans="1:12" s="68" customFormat="1" ht="14.5" x14ac:dyDescent="0.35">
      <c r="A12" s="68">
        <v>34200</v>
      </c>
      <c r="B12" s="69">
        <v>7154961</v>
      </c>
      <c r="D12" s="68">
        <v>30</v>
      </c>
      <c r="E12" s="68" t="s">
        <v>114</v>
      </c>
      <c r="F12" s="68">
        <v>0</v>
      </c>
      <c r="G12" s="69">
        <v>27053675.190000001</v>
      </c>
      <c r="H12" s="68">
        <v>9406738.3146519698</v>
      </c>
      <c r="I12" s="68">
        <v>901789.17299999995</v>
      </c>
      <c r="J12" s="68">
        <v>3.3333333333333298E-2</v>
      </c>
    </row>
    <row r="13" spans="1:12" s="68" customFormat="1" ht="14.5" x14ac:dyDescent="0.35">
      <c r="A13" s="68">
        <v>34300</v>
      </c>
      <c r="B13" s="69">
        <v>34719378</v>
      </c>
      <c r="D13" s="68">
        <v>23</v>
      </c>
      <c r="E13" s="68" t="s">
        <v>107</v>
      </c>
      <c r="F13" s="68">
        <v>0</v>
      </c>
      <c r="G13" s="69">
        <v>73740929.870000005</v>
      </c>
      <c r="H13" s="68">
        <v>37300917.121663302</v>
      </c>
      <c r="I13" s="68">
        <v>3206127.3856521701</v>
      </c>
      <c r="J13" s="68">
        <v>4.3478260869565202E-2</v>
      </c>
    </row>
    <row r="14" spans="1:12" s="68" customFormat="1" ht="14.5" x14ac:dyDescent="0.35">
      <c r="A14" s="68">
        <v>34400</v>
      </c>
      <c r="B14" s="69">
        <v>4291578</v>
      </c>
      <c r="D14" s="68">
        <v>28</v>
      </c>
      <c r="E14" s="68" t="s">
        <v>108</v>
      </c>
      <c r="F14" s="68">
        <v>0</v>
      </c>
      <c r="G14" s="69">
        <v>9349085.8300000001</v>
      </c>
      <c r="H14" s="68">
        <v>4974124.1524076797</v>
      </c>
      <c r="I14" s="68">
        <v>333895.92249999999</v>
      </c>
      <c r="J14" s="68">
        <v>3.5714285714285698E-2</v>
      </c>
    </row>
    <row r="15" spans="1:12" s="68" customFormat="1" ht="14.5" x14ac:dyDescent="0.35">
      <c r="A15" s="68">
        <v>34500</v>
      </c>
      <c r="B15" s="69">
        <v>14644395</v>
      </c>
      <c r="D15" s="68">
        <v>24</v>
      </c>
      <c r="E15" s="68" t="s">
        <v>115</v>
      </c>
      <c r="F15" s="68">
        <v>0</v>
      </c>
      <c r="G15" s="69">
        <v>33319011.390000001</v>
      </c>
      <c r="H15" s="68">
        <v>14001791.0933045</v>
      </c>
      <c r="I15" s="68">
        <v>1388292.1412500001</v>
      </c>
      <c r="J15" s="68">
        <v>4.1666666666666699E-2</v>
      </c>
    </row>
    <row r="16" spans="1:12" s="68" customFormat="1" ht="14.5" x14ac:dyDescent="0.35">
      <c r="A16" s="68">
        <v>34600</v>
      </c>
      <c r="B16" s="69">
        <v>1709373</v>
      </c>
      <c r="D16" s="68">
        <v>20</v>
      </c>
      <c r="E16" s="68" t="s">
        <v>108</v>
      </c>
      <c r="F16" s="68">
        <v>0</v>
      </c>
      <c r="G16" s="69">
        <v>3797130.82</v>
      </c>
      <c r="H16" s="68">
        <v>1647019.900077</v>
      </c>
      <c r="I16" s="68">
        <v>189856.541</v>
      </c>
      <c r="J16" s="68">
        <v>0.05</v>
      </c>
    </row>
    <row r="17" spans="1:10" s="68" customFormat="1" ht="14.5" x14ac:dyDescent="0.35">
      <c r="A17" s="68">
        <v>34800</v>
      </c>
      <c r="B17" s="69">
        <v>354592</v>
      </c>
      <c r="D17" s="68">
        <v>20</v>
      </c>
      <c r="E17" s="68" t="s">
        <v>111</v>
      </c>
      <c r="F17" s="68">
        <v>0</v>
      </c>
      <c r="G17" s="69">
        <v>1598044.61</v>
      </c>
      <c r="H17" s="68">
        <v>315028.33238095802</v>
      </c>
      <c r="I17" s="68">
        <v>79902.230500000005</v>
      </c>
      <c r="J17" s="68">
        <v>0.05</v>
      </c>
    </row>
    <row r="18" spans="1:10" s="68" customFormat="1" ht="14.5" x14ac:dyDescent="0.35">
      <c r="A18" s="68">
        <v>35100</v>
      </c>
      <c r="B18" s="69">
        <v>982748</v>
      </c>
      <c r="D18" s="68">
        <v>65</v>
      </c>
      <c r="E18" s="68" t="s">
        <v>116</v>
      </c>
      <c r="F18" s="68">
        <v>0</v>
      </c>
      <c r="G18" s="69">
        <v>3222736.85</v>
      </c>
      <c r="H18" s="68">
        <v>1474998.2294594201</v>
      </c>
      <c r="I18" s="68">
        <v>49580.566923076898</v>
      </c>
      <c r="J18" s="68">
        <v>1.5384615384615399E-2</v>
      </c>
    </row>
    <row r="19" spans="1:10" s="68" customFormat="1" ht="14.5" x14ac:dyDescent="0.35">
      <c r="A19" s="68">
        <v>35200</v>
      </c>
      <c r="B19" s="69">
        <v>2192522</v>
      </c>
      <c r="D19" s="68">
        <v>40</v>
      </c>
      <c r="E19" s="68" t="s">
        <v>108</v>
      </c>
      <c r="F19" s="68">
        <v>0</v>
      </c>
      <c r="G19" s="69">
        <v>3833485.46</v>
      </c>
      <c r="H19" s="68">
        <v>2310540.9902281198</v>
      </c>
      <c r="I19" s="68">
        <v>95837.136499999993</v>
      </c>
      <c r="J19" s="68">
        <v>2.5000000000000001E-2</v>
      </c>
    </row>
    <row r="20" spans="1:10" s="68" customFormat="1" ht="14.5" x14ac:dyDescent="0.35">
      <c r="A20" s="68">
        <v>35300</v>
      </c>
      <c r="B20" s="69">
        <v>9215001</v>
      </c>
      <c r="D20" s="68">
        <v>29</v>
      </c>
      <c r="E20" s="68" t="s">
        <v>110</v>
      </c>
      <c r="F20" s="68">
        <v>0</v>
      </c>
      <c r="G20" s="69">
        <v>18127231.510000002</v>
      </c>
      <c r="H20" s="68">
        <v>9247023.9924205001</v>
      </c>
      <c r="I20" s="68">
        <v>625076.94862069003</v>
      </c>
      <c r="J20" s="68">
        <v>3.4482758620689703E-2</v>
      </c>
    </row>
    <row r="21" spans="1:10" s="68" customFormat="1" ht="14.5" x14ac:dyDescent="0.35">
      <c r="A21" s="68">
        <v>35400</v>
      </c>
      <c r="B21" s="69">
        <v>1656155</v>
      </c>
      <c r="D21" s="68">
        <v>65</v>
      </c>
      <c r="E21" s="68" t="s">
        <v>108</v>
      </c>
      <c r="F21" s="68">
        <v>0</v>
      </c>
      <c r="G21" s="69">
        <v>15887111.880000001</v>
      </c>
      <c r="H21" s="68">
        <v>7106152.8960379297</v>
      </c>
      <c r="I21" s="68">
        <v>244417.10584615401</v>
      </c>
      <c r="J21" s="68">
        <v>1.5384615384615399E-2</v>
      </c>
    </row>
    <row r="22" spans="1:10" s="68" customFormat="1" ht="14.5" x14ac:dyDescent="0.35">
      <c r="A22" s="68">
        <v>35500</v>
      </c>
      <c r="B22" s="69">
        <v>518749</v>
      </c>
      <c r="D22" s="68">
        <v>45</v>
      </c>
      <c r="E22" s="68" t="s">
        <v>107</v>
      </c>
      <c r="F22" s="68">
        <v>0</v>
      </c>
      <c r="G22" s="69">
        <v>4069523.49</v>
      </c>
      <c r="H22" s="68">
        <v>771148.66030988703</v>
      </c>
      <c r="I22" s="68">
        <v>90433.855333333297</v>
      </c>
      <c r="J22" s="68">
        <v>2.2222222222222199E-2</v>
      </c>
    </row>
    <row r="23" spans="1:10" s="68" customFormat="1" ht="14.5" x14ac:dyDescent="0.35">
      <c r="A23" s="68">
        <v>35600</v>
      </c>
      <c r="B23" s="69">
        <v>2976222</v>
      </c>
      <c r="D23" s="68">
        <v>60</v>
      </c>
      <c r="E23" s="68" t="s">
        <v>108</v>
      </c>
      <c r="F23" s="68">
        <v>0</v>
      </c>
      <c r="G23" s="69">
        <v>12218670.279999999</v>
      </c>
      <c r="H23" s="68">
        <v>5070280.7640554598</v>
      </c>
      <c r="I23" s="68">
        <v>203644.504666667</v>
      </c>
      <c r="J23" s="68">
        <v>1.6666666666666701E-2</v>
      </c>
    </row>
    <row r="24" spans="1:10" s="68" customFormat="1" ht="14.5" x14ac:dyDescent="0.35">
      <c r="A24" s="68">
        <v>35700</v>
      </c>
      <c r="B24" s="69">
        <v>10244</v>
      </c>
      <c r="D24" s="68">
        <v>30</v>
      </c>
      <c r="E24" s="68" t="s">
        <v>112</v>
      </c>
      <c r="F24" s="68">
        <v>0</v>
      </c>
      <c r="G24" s="69">
        <v>12434.28</v>
      </c>
      <c r="H24" s="68">
        <v>8773.9575829016503</v>
      </c>
      <c r="I24" s="68">
        <v>414.476</v>
      </c>
      <c r="J24" s="68">
        <v>3.3333333333333298E-2</v>
      </c>
    </row>
    <row r="25" spans="1:10" s="68" customFormat="1" ht="14.5" x14ac:dyDescent="0.35">
      <c r="A25" s="68">
        <v>35800</v>
      </c>
      <c r="B25" s="69">
        <v>12866</v>
      </c>
      <c r="D25" s="68">
        <v>30</v>
      </c>
      <c r="E25" s="68" t="s">
        <v>112</v>
      </c>
      <c r="F25" s="68">
        <v>0</v>
      </c>
      <c r="G25" s="69">
        <v>16343.67</v>
      </c>
      <c r="H25" s="68">
        <v>11532.5267992149</v>
      </c>
      <c r="I25" s="68">
        <v>544.78899999999999</v>
      </c>
      <c r="J25" s="68">
        <v>3.3333333333333298E-2</v>
      </c>
    </row>
    <row r="26" spans="1:10" s="68" customFormat="1" ht="14.5" x14ac:dyDescent="0.35">
      <c r="A26" s="68">
        <v>35900</v>
      </c>
      <c r="B26" s="69">
        <v>737744</v>
      </c>
      <c r="D26" s="68">
        <v>40</v>
      </c>
      <c r="E26" s="68" t="s">
        <v>111</v>
      </c>
      <c r="F26" s="68">
        <v>0</v>
      </c>
      <c r="G26" s="69">
        <v>1009616.66</v>
      </c>
      <c r="H26" s="68">
        <v>511844.56576711702</v>
      </c>
      <c r="I26" s="68">
        <v>25240.416499999999</v>
      </c>
      <c r="J26" s="68">
        <v>2.5000000000000001E-2</v>
      </c>
    </row>
    <row r="27" spans="1:10" s="68" customFormat="1" ht="14.5" x14ac:dyDescent="0.35">
      <c r="A27" s="68">
        <v>36100</v>
      </c>
      <c r="B27" s="69">
        <v>173075</v>
      </c>
      <c r="D27" s="68">
        <v>40</v>
      </c>
      <c r="E27" s="68" t="s">
        <v>111</v>
      </c>
      <c r="F27" s="68">
        <v>0</v>
      </c>
      <c r="G27" s="69">
        <v>1165572.76</v>
      </c>
      <c r="H27" s="68">
        <v>336246.507635883</v>
      </c>
      <c r="I27" s="68">
        <v>29139.319</v>
      </c>
      <c r="J27" s="68">
        <v>2.5000000000000001E-2</v>
      </c>
    </row>
    <row r="28" spans="1:10" s="68" customFormat="1" ht="14.5" x14ac:dyDescent="0.35">
      <c r="A28" s="68">
        <v>36200</v>
      </c>
      <c r="B28" s="69">
        <v>1404879</v>
      </c>
      <c r="D28" s="68">
        <v>25</v>
      </c>
      <c r="E28" s="68" t="s">
        <v>113</v>
      </c>
      <c r="F28" s="68">
        <v>0</v>
      </c>
      <c r="G28" s="69">
        <v>3190953.48</v>
      </c>
      <c r="H28" s="68">
        <v>1465607.01884434</v>
      </c>
      <c r="I28" s="68">
        <v>127638.13920000001</v>
      </c>
      <c r="J28" s="68">
        <v>0.04</v>
      </c>
    </row>
    <row r="29" spans="1:10" s="68" customFormat="1" ht="14.5" x14ac:dyDescent="0.35">
      <c r="A29" s="68">
        <v>36300</v>
      </c>
      <c r="B29" s="69">
        <v>-276328</v>
      </c>
      <c r="D29" s="68">
        <v>15</v>
      </c>
      <c r="E29" s="68" t="s">
        <v>108</v>
      </c>
      <c r="F29" s="68">
        <v>0</v>
      </c>
      <c r="G29" s="69">
        <v>62281.06</v>
      </c>
      <c r="H29" s="68">
        <v>48025.3390964309</v>
      </c>
      <c r="I29" s="68">
        <v>4152.0706666666701</v>
      </c>
      <c r="J29" s="68">
        <v>6.6666666666666693E-2</v>
      </c>
    </row>
    <row r="30" spans="1:10" s="68" customFormat="1" ht="14.5" x14ac:dyDescent="0.35">
      <c r="A30" s="68">
        <v>36400</v>
      </c>
      <c r="B30" s="69">
        <v>6534312</v>
      </c>
      <c r="D30" s="68">
        <v>50</v>
      </c>
      <c r="E30" s="68" t="s">
        <v>110</v>
      </c>
      <c r="F30" s="68">
        <v>0</v>
      </c>
      <c r="G30" s="69">
        <v>17837940.620000001</v>
      </c>
      <c r="H30" s="68">
        <v>5597973.0151692601</v>
      </c>
      <c r="I30" s="68">
        <v>356758.8124</v>
      </c>
      <c r="J30" s="68">
        <v>0.02</v>
      </c>
    </row>
    <row r="31" spans="1:10" s="68" customFormat="1" ht="14.5" x14ac:dyDescent="0.35">
      <c r="A31" s="68">
        <v>36500</v>
      </c>
      <c r="B31" s="69">
        <v>2432820</v>
      </c>
      <c r="D31" s="68">
        <v>55</v>
      </c>
      <c r="E31" s="68" t="s">
        <v>108</v>
      </c>
      <c r="F31" s="68">
        <v>0</v>
      </c>
      <c r="G31" s="69">
        <v>5581956.3700000001</v>
      </c>
      <c r="H31" s="68">
        <v>2212644.8597846502</v>
      </c>
      <c r="I31" s="68">
        <v>101490.11581818201</v>
      </c>
      <c r="J31" s="68">
        <v>1.8181818181818198E-2</v>
      </c>
    </row>
    <row r="32" spans="1:10" s="68" customFormat="1" ht="14.5" x14ac:dyDescent="0.35">
      <c r="A32" s="68">
        <v>36600</v>
      </c>
      <c r="B32" s="69">
        <v>32055</v>
      </c>
      <c r="D32" s="68">
        <v>30</v>
      </c>
      <c r="E32" s="68" t="s">
        <v>112</v>
      </c>
      <c r="F32" s="68">
        <v>0</v>
      </c>
      <c r="G32" s="69">
        <v>129167.25</v>
      </c>
      <c r="H32" s="68">
        <v>50694.136688278799</v>
      </c>
      <c r="I32" s="68">
        <v>4305.5749999999998</v>
      </c>
      <c r="J32" s="68">
        <v>3.3333333333333298E-2</v>
      </c>
    </row>
    <row r="33" spans="1:10" s="68" customFormat="1" ht="14.5" x14ac:dyDescent="0.35">
      <c r="A33" s="68">
        <v>36700</v>
      </c>
      <c r="B33" s="69">
        <v>139968</v>
      </c>
      <c r="D33" s="68">
        <v>30</v>
      </c>
      <c r="E33" s="68" t="s">
        <v>112</v>
      </c>
      <c r="F33" s="68">
        <v>0</v>
      </c>
      <c r="G33" s="69">
        <v>963188.14</v>
      </c>
      <c r="H33" s="68">
        <v>260939.61741703501</v>
      </c>
      <c r="I33" s="68">
        <v>32106.271333333301</v>
      </c>
      <c r="J33" s="68">
        <v>3.3333333333333298E-2</v>
      </c>
    </row>
    <row r="34" spans="1:10" s="68" customFormat="1" ht="14.5" x14ac:dyDescent="0.35">
      <c r="A34" s="68">
        <v>36800</v>
      </c>
      <c r="B34" s="69">
        <v>3134426</v>
      </c>
      <c r="D34" s="68">
        <v>50</v>
      </c>
      <c r="E34" s="68" t="s">
        <v>112</v>
      </c>
      <c r="F34" s="68">
        <v>0</v>
      </c>
      <c r="G34" s="69">
        <v>8391798.3200000003</v>
      </c>
      <c r="H34" s="68">
        <v>2513781.5519331</v>
      </c>
      <c r="I34" s="68">
        <v>167835.9664</v>
      </c>
      <c r="J34" s="68">
        <v>0.02</v>
      </c>
    </row>
    <row r="35" spans="1:10" s="68" customFormat="1" ht="14.5" x14ac:dyDescent="0.35">
      <c r="A35" s="68">
        <v>36900</v>
      </c>
      <c r="B35" s="69">
        <v>1067144</v>
      </c>
      <c r="D35" s="68">
        <v>55</v>
      </c>
      <c r="E35" s="68" t="s">
        <v>108</v>
      </c>
      <c r="F35" s="68">
        <v>0</v>
      </c>
      <c r="G35" s="69">
        <v>2852586.29</v>
      </c>
      <c r="H35" s="68">
        <v>1007749.42847934</v>
      </c>
      <c r="I35" s="68">
        <v>51865.205272727297</v>
      </c>
      <c r="J35" s="68">
        <v>1.8181818181818198E-2</v>
      </c>
    </row>
    <row r="36" spans="1:10" s="68" customFormat="1" ht="14.5" x14ac:dyDescent="0.35">
      <c r="A36" s="68">
        <v>37000</v>
      </c>
      <c r="B36" s="69">
        <v>1160881</v>
      </c>
      <c r="D36" s="68">
        <v>18</v>
      </c>
      <c r="E36" s="68" t="s">
        <v>117</v>
      </c>
      <c r="F36" s="68">
        <v>0</v>
      </c>
      <c r="G36" s="69">
        <v>4971337.6500000004</v>
      </c>
      <c r="H36" s="68">
        <v>1236043.40445278</v>
      </c>
      <c r="I36" s="68">
        <v>276185.42499999999</v>
      </c>
      <c r="J36" s="68">
        <v>5.5555555555555601E-2</v>
      </c>
    </row>
    <row r="37" spans="1:10" s="68" customFormat="1" ht="14.5" x14ac:dyDescent="0.35">
      <c r="A37" s="68">
        <v>37100</v>
      </c>
      <c r="B37" s="69">
        <v>-223</v>
      </c>
      <c r="D37" s="68">
        <v>18</v>
      </c>
      <c r="E37" s="68" t="s">
        <v>117</v>
      </c>
      <c r="F37" s="68">
        <v>0</v>
      </c>
      <c r="G37" s="69">
        <v>10770.52</v>
      </c>
      <c r="H37" s="68">
        <v>6510.1229425174797</v>
      </c>
      <c r="I37" s="68">
        <v>598.36222222222204</v>
      </c>
      <c r="J37" s="68">
        <v>5.5555555555555497E-2</v>
      </c>
    </row>
    <row r="38" spans="1:10" s="68" customFormat="1" ht="14.5" x14ac:dyDescent="0.35">
      <c r="A38" s="68">
        <v>37300</v>
      </c>
      <c r="B38" s="69">
        <v>-120663</v>
      </c>
      <c r="D38" s="68">
        <v>48</v>
      </c>
      <c r="E38" s="68" t="s">
        <v>108</v>
      </c>
      <c r="F38" s="68">
        <v>0</v>
      </c>
      <c r="G38" s="69">
        <v>2003942.48</v>
      </c>
      <c r="H38" s="68">
        <v>259114.85998780199</v>
      </c>
      <c r="I38" s="68">
        <v>41748.801666666703</v>
      </c>
      <c r="J38" s="68">
        <v>2.0833333333333301E-2</v>
      </c>
    </row>
    <row r="39" spans="1:10" s="68" customFormat="1" ht="14.5" x14ac:dyDescent="0.35">
      <c r="A39" s="68">
        <v>38200</v>
      </c>
      <c r="B39" s="69">
        <v>3298210</v>
      </c>
      <c r="D39" s="68">
        <v>5</v>
      </c>
      <c r="E39" s="68" t="s">
        <v>116</v>
      </c>
      <c r="F39" s="68">
        <v>0</v>
      </c>
      <c r="G39" s="69">
        <v>5234013.79</v>
      </c>
      <c r="H39" s="68">
        <v>3165505.4810000001</v>
      </c>
      <c r="I39" s="68">
        <v>1046802.758</v>
      </c>
      <c r="J39" s="68">
        <v>0.2</v>
      </c>
    </row>
    <row r="40" spans="1:10" s="68" customFormat="1" ht="14.5" x14ac:dyDescent="0.35">
      <c r="A40" s="68">
        <v>38300</v>
      </c>
      <c r="B40" s="69">
        <v>4134790</v>
      </c>
      <c r="D40" s="68">
        <v>10</v>
      </c>
      <c r="E40" s="68" t="s">
        <v>116</v>
      </c>
      <c r="F40" s="68">
        <v>0</v>
      </c>
      <c r="G40" s="69">
        <v>7048230.1799999997</v>
      </c>
      <c r="H40" s="68">
        <v>2217587.5529999998</v>
      </c>
      <c r="I40" s="68">
        <v>704823.01800000004</v>
      </c>
      <c r="J40" s="68">
        <v>0.1</v>
      </c>
    </row>
    <row r="41" spans="1:10" s="68" customFormat="1" ht="14.5" x14ac:dyDescent="0.35">
      <c r="A41" s="68">
        <v>39001</v>
      </c>
      <c r="B41" s="69">
        <v>372481</v>
      </c>
      <c r="D41" s="68">
        <v>65</v>
      </c>
      <c r="E41" s="68" t="s">
        <v>118</v>
      </c>
      <c r="F41" s="68">
        <v>0</v>
      </c>
      <c r="G41" s="69">
        <v>5384565.6100000003</v>
      </c>
      <c r="H41" s="68">
        <v>1330836.08050979</v>
      </c>
      <c r="I41" s="68">
        <v>82839.470923076893</v>
      </c>
      <c r="J41" s="68">
        <v>1.5384615384615399E-2</v>
      </c>
    </row>
    <row r="42" spans="1:10" s="68" customFormat="1" ht="14.5" x14ac:dyDescent="0.35">
      <c r="A42" s="68">
        <v>39002</v>
      </c>
      <c r="B42" s="69">
        <v>8707425</v>
      </c>
      <c r="D42" s="68">
        <v>25</v>
      </c>
      <c r="E42" s="68" t="s">
        <v>118</v>
      </c>
      <c r="F42" s="68">
        <v>0</v>
      </c>
      <c r="G42" s="69">
        <v>16198274.050000001</v>
      </c>
      <c r="H42" s="68">
        <v>5733826.1996009601</v>
      </c>
      <c r="I42" s="68">
        <v>647930.96200000006</v>
      </c>
      <c r="J42" s="68">
        <v>0.04</v>
      </c>
    </row>
    <row r="43" spans="1:10" s="68" customFormat="1" ht="14.5" x14ac:dyDescent="0.35">
      <c r="A43" s="68">
        <v>39100</v>
      </c>
      <c r="B43" s="69">
        <v>1180509</v>
      </c>
      <c r="D43" s="68">
        <v>15</v>
      </c>
      <c r="E43" s="68" t="s">
        <v>116</v>
      </c>
      <c r="F43" s="68">
        <v>0</v>
      </c>
      <c r="G43" s="69">
        <v>4524714.03</v>
      </c>
      <c r="H43" s="68">
        <v>3699047.6066666702</v>
      </c>
      <c r="I43" s="68">
        <v>301647.60200000001</v>
      </c>
      <c r="J43" s="68">
        <v>6.6666666666666693E-2</v>
      </c>
    </row>
    <row r="44" spans="1:10" s="68" customFormat="1" ht="14.5" x14ac:dyDescent="0.35">
      <c r="A44" s="68">
        <v>39200</v>
      </c>
      <c r="B44" s="69">
        <v>2811474</v>
      </c>
      <c r="D44" s="68">
        <v>7</v>
      </c>
      <c r="E44" s="68" t="s">
        <v>119</v>
      </c>
      <c r="F44" s="68">
        <v>0</v>
      </c>
      <c r="G44" s="69">
        <v>3849242.75</v>
      </c>
      <c r="H44" s="68">
        <v>2376349.0047553699</v>
      </c>
      <c r="I44" s="68">
        <v>549891.82142857101</v>
      </c>
      <c r="J44" s="68">
        <v>0.14285714285714299</v>
      </c>
    </row>
    <row r="45" spans="1:10" s="68" customFormat="1" ht="14.5" x14ac:dyDescent="0.35">
      <c r="A45" s="68">
        <v>39300</v>
      </c>
      <c r="B45" s="69">
        <v>106657</v>
      </c>
      <c r="D45" s="68">
        <v>15</v>
      </c>
      <c r="E45" s="68" t="s">
        <v>116</v>
      </c>
      <c r="F45" s="68">
        <v>0</v>
      </c>
      <c r="G45" s="69">
        <v>545057.05000000005</v>
      </c>
      <c r="H45" s="68">
        <v>174882.95966666701</v>
      </c>
      <c r="I45" s="68">
        <v>36337.136666666702</v>
      </c>
      <c r="J45" s="68">
        <v>6.6666666666666693E-2</v>
      </c>
    </row>
    <row r="46" spans="1:10" s="68" customFormat="1" ht="14.5" x14ac:dyDescent="0.35">
      <c r="A46" s="68">
        <v>39400</v>
      </c>
      <c r="B46" s="69">
        <v>455177</v>
      </c>
      <c r="D46" s="68">
        <v>15</v>
      </c>
      <c r="E46" s="68" t="s">
        <v>116</v>
      </c>
      <c r="F46" s="68">
        <v>0</v>
      </c>
      <c r="G46" s="69">
        <v>897795.12</v>
      </c>
      <c r="H46" s="68">
        <v>467155.40899999999</v>
      </c>
      <c r="I46" s="68">
        <v>59853.008000000002</v>
      </c>
      <c r="J46" s="68">
        <v>6.6666666666666693E-2</v>
      </c>
    </row>
    <row r="47" spans="1:10" s="68" customFormat="1" ht="14.5" x14ac:dyDescent="0.35">
      <c r="A47" s="68">
        <v>39500</v>
      </c>
      <c r="B47" s="69">
        <v>309960</v>
      </c>
      <c r="D47" s="68">
        <v>25</v>
      </c>
      <c r="E47" s="68" t="s">
        <v>116</v>
      </c>
      <c r="F47" s="68">
        <v>0</v>
      </c>
      <c r="G47" s="69">
        <v>520029.21</v>
      </c>
      <c r="H47" s="68">
        <v>300566.03259999998</v>
      </c>
      <c r="I47" s="68">
        <v>20801.168399999999</v>
      </c>
      <c r="J47" s="68">
        <v>0.04</v>
      </c>
    </row>
    <row r="48" spans="1:10" s="68" customFormat="1" ht="14.5" x14ac:dyDescent="0.35">
      <c r="A48" s="68">
        <v>39600</v>
      </c>
      <c r="B48" s="69">
        <v>2375643</v>
      </c>
      <c r="D48" s="68">
        <v>27</v>
      </c>
      <c r="E48" s="68" t="s">
        <v>120</v>
      </c>
      <c r="F48" s="68">
        <v>0</v>
      </c>
      <c r="G48" s="69">
        <v>6700473.1500000004</v>
      </c>
      <c r="H48" s="68">
        <v>2005199.50543648</v>
      </c>
      <c r="I48" s="68">
        <v>248165.672222222</v>
      </c>
      <c r="J48" s="68">
        <v>3.7037037037037E-2</v>
      </c>
    </row>
    <row r="49" spans="1:10" s="68" customFormat="1" ht="14.5" x14ac:dyDescent="0.35">
      <c r="A49" s="68">
        <v>39700</v>
      </c>
      <c r="B49" s="69">
        <v>3154855</v>
      </c>
      <c r="D49" s="68">
        <v>20</v>
      </c>
      <c r="E49" s="68" t="s">
        <v>107</v>
      </c>
      <c r="F49" s="68">
        <v>0</v>
      </c>
      <c r="G49" s="69">
        <v>8257568.1299999999</v>
      </c>
      <c r="H49" s="68">
        <v>3622637.6795330499</v>
      </c>
      <c r="I49" s="68">
        <v>412878.40649999998</v>
      </c>
      <c r="J49" s="68">
        <v>0.05</v>
      </c>
    </row>
    <row r="50" spans="1:10" s="68" customFormat="1" ht="14.5" x14ac:dyDescent="0.35">
      <c r="A50" s="68">
        <v>39800</v>
      </c>
      <c r="B50" s="69">
        <v>558081</v>
      </c>
      <c r="D50" s="68">
        <v>15</v>
      </c>
      <c r="E50" s="68" t="s">
        <v>116</v>
      </c>
      <c r="F50" s="68">
        <v>0</v>
      </c>
      <c r="G50" s="69">
        <v>643160.35</v>
      </c>
      <c r="H50" s="68">
        <v>543079.73199999996</v>
      </c>
      <c r="I50" s="68">
        <v>42877.356666666703</v>
      </c>
      <c r="J50" s="68">
        <v>6.6666666666666693E-2</v>
      </c>
    </row>
    <row r="51" spans="1:10" s="68" customFormat="1" ht="14.5" x14ac:dyDescent="0.35">
      <c r="A51" s="68">
        <v>39900</v>
      </c>
      <c r="B51" s="69">
        <v>215153</v>
      </c>
      <c r="D51" s="68">
        <v>20</v>
      </c>
      <c r="E51" s="68" t="s">
        <v>116</v>
      </c>
      <c r="F51" s="68">
        <v>0</v>
      </c>
      <c r="G51" s="69">
        <v>626132.79</v>
      </c>
      <c r="H51" s="68">
        <v>258022.58025</v>
      </c>
      <c r="I51" s="68">
        <v>31306.639500000001</v>
      </c>
      <c r="J51" s="68">
        <v>0.05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ECD7-A5EA-43F7-BFF8-635C6B6D23AD}">
  <dimension ref="A1:M51"/>
  <sheetViews>
    <sheetView topLeftCell="A15" workbookViewId="0">
      <selection activeCell="B53" sqref="B53"/>
    </sheetView>
  </sheetViews>
  <sheetFormatPr defaultRowHeight="12.5" x14ac:dyDescent="0.25"/>
  <sheetData>
    <row r="1" spans="1:13" ht="14.5" x14ac:dyDescent="0.35">
      <c r="A1" s="68" t="s">
        <v>95</v>
      </c>
      <c r="B1" s="68" t="s">
        <v>96</v>
      </c>
      <c r="C1" s="68" t="s">
        <v>97</v>
      </c>
      <c r="D1" s="68" t="s">
        <v>98</v>
      </c>
      <c r="E1" s="68" t="s">
        <v>99</v>
      </c>
      <c r="F1" s="68" t="s">
        <v>100</v>
      </c>
      <c r="G1" s="68" t="s">
        <v>101</v>
      </c>
      <c r="H1" s="68" t="s">
        <v>102</v>
      </c>
      <c r="I1" s="68" t="s">
        <v>103</v>
      </c>
      <c r="J1" s="68" t="s">
        <v>104</v>
      </c>
      <c r="K1" s="68" t="s">
        <v>105</v>
      </c>
      <c r="L1" s="68" t="s">
        <v>106</v>
      </c>
      <c r="M1" s="68" t="s">
        <v>121</v>
      </c>
    </row>
    <row r="2" spans="1:13" s="68" customFormat="1" ht="14.5" x14ac:dyDescent="0.35">
      <c r="A2" s="68">
        <v>11800</v>
      </c>
      <c r="B2" s="69">
        <v>1033279</v>
      </c>
      <c r="D2" s="68">
        <v>25</v>
      </c>
      <c r="E2" s="68" t="s">
        <v>107</v>
      </c>
      <c r="F2" s="68">
        <v>0</v>
      </c>
      <c r="G2" s="69">
        <v>3650980.92</v>
      </c>
      <c r="H2" s="68">
        <v>675286.55316495302</v>
      </c>
      <c r="I2" s="68">
        <v>170790.51780408001</v>
      </c>
      <c r="J2" s="68">
        <v>4.6779350959763398E-2</v>
      </c>
      <c r="K2" s="68">
        <v>20.375992315751699</v>
      </c>
      <c r="L2" s="68">
        <v>0.28301407830967201</v>
      </c>
      <c r="M2" s="68">
        <v>4.79</v>
      </c>
    </row>
    <row r="3" spans="1:13" s="68" customFormat="1" ht="14.5" x14ac:dyDescent="0.35">
      <c r="A3" s="68">
        <v>12100</v>
      </c>
      <c r="B3" s="69">
        <v>-208043</v>
      </c>
      <c r="D3" s="68">
        <v>40</v>
      </c>
      <c r="E3" s="68" t="s">
        <v>107</v>
      </c>
      <c r="F3" s="68">
        <v>-0.05</v>
      </c>
      <c r="G3" s="69">
        <v>10000</v>
      </c>
      <c r="H3" s="68">
        <v>2405.9350096012799</v>
      </c>
      <c r="I3" s="68">
        <v>1886.5302475548499</v>
      </c>
      <c r="J3" s="68">
        <v>0.18865302475548501</v>
      </c>
      <c r="K3" s="68">
        <v>30.834533296757002</v>
      </c>
      <c r="L3" s="68">
        <v>-20.804300000000001</v>
      </c>
      <c r="M3" s="68">
        <v>9.5</v>
      </c>
    </row>
    <row r="4" spans="1:13" s="68" customFormat="1" ht="14.5" x14ac:dyDescent="0.35">
      <c r="A4" s="68">
        <v>13100</v>
      </c>
      <c r="B4" s="69">
        <v>2437167</v>
      </c>
      <c r="D4" s="68">
        <v>28</v>
      </c>
      <c r="E4" s="68" t="s">
        <v>108</v>
      </c>
      <c r="F4" s="68">
        <v>0</v>
      </c>
      <c r="G4" s="69">
        <v>7762964.1900000004</v>
      </c>
      <c r="H4" s="68">
        <v>2656606.2869742899</v>
      </c>
      <c r="I4" s="68">
        <v>429289.12387821201</v>
      </c>
      <c r="J4" s="68">
        <v>5.52996398503562E-2</v>
      </c>
      <c r="K4" s="68">
        <v>18.417967387882499</v>
      </c>
      <c r="L4" s="68">
        <v>0.31394798949858299</v>
      </c>
      <c r="M4" s="68">
        <v>9.99</v>
      </c>
    </row>
    <row r="5" spans="1:13" s="68" customFormat="1" ht="14.5" x14ac:dyDescent="0.35">
      <c r="A5" s="68">
        <v>33100</v>
      </c>
      <c r="B5" s="69">
        <v>10020829</v>
      </c>
      <c r="D5" s="68">
        <v>100</v>
      </c>
      <c r="E5" s="68" t="s">
        <v>107</v>
      </c>
      <c r="F5" s="68">
        <v>-2.5000000000000001E-2</v>
      </c>
      <c r="G5" s="69">
        <v>24390350.690000001</v>
      </c>
      <c r="H5" s="68">
        <v>7228544.2199875703</v>
      </c>
      <c r="I5" s="68">
        <v>319754.20024128602</v>
      </c>
      <c r="J5" s="68">
        <v>1.3109864811102699E-2</v>
      </c>
      <c r="K5" s="68">
        <v>71.085949714146906</v>
      </c>
      <c r="L5" s="68">
        <v>0.41085219016996399</v>
      </c>
      <c r="M5" s="68">
        <v>30.7</v>
      </c>
    </row>
    <row r="6" spans="1:13" s="68" customFormat="1" ht="14.5" x14ac:dyDescent="0.35">
      <c r="A6" s="68">
        <v>33200</v>
      </c>
      <c r="B6" s="69">
        <v>10309807</v>
      </c>
      <c r="D6" s="68">
        <v>100</v>
      </c>
      <c r="E6" s="68" t="s">
        <v>107</v>
      </c>
      <c r="F6" s="68">
        <v>-2.5000000000000001E-2</v>
      </c>
      <c r="G6" s="69">
        <v>73115677.239999995</v>
      </c>
      <c r="H6" s="68">
        <v>13505758.1104319</v>
      </c>
      <c r="I6" s="68">
        <v>929256.64302131801</v>
      </c>
      <c r="J6" s="68">
        <v>1.27094034836204E-2</v>
      </c>
      <c r="K6" s="68">
        <v>81.978763141617094</v>
      </c>
      <c r="L6" s="68">
        <v>0.14100679073461</v>
      </c>
      <c r="M6" s="68">
        <v>19.04</v>
      </c>
    </row>
    <row r="7" spans="1:13" s="68" customFormat="1" ht="14.5" x14ac:dyDescent="0.35">
      <c r="A7" s="68">
        <v>33300</v>
      </c>
      <c r="B7" s="69">
        <v>6426993</v>
      </c>
      <c r="D7" s="68">
        <v>50</v>
      </c>
      <c r="E7" s="68" t="s">
        <v>109</v>
      </c>
      <c r="F7" s="68">
        <v>-2.5000000000000001E-2</v>
      </c>
      <c r="G7" s="69">
        <v>39994015.890000001</v>
      </c>
      <c r="H7" s="68">
        <v>12333371.931038</v>
      </c>
      <c r="I7" s="68">
        <v>1249582.5874099699</v>
      </c>
      <c r="J7" s="68">
        <v>3.12442389093118E-2</v>
      </c>
      <c r="K7" s="68">
        <v>34.957052056743997</v>
      </c>
      <c r="L7" s="68">
        <v>0.16069886599227401</v>
      </c>
      <c r="M7" s="68">
        <v>16.59</v>
      </c>
    </row>
    <row r="8" spans="1:13" s="68" customFormat="1" ht="14.5" x14ac:dyDescent="0.35">
      <c r="A8" s="68">
        <v>33400</v>
      </c>
      <c r="B8" s="69">
        <v>11681948</v>
      </c>
      <c r="D8" s="68">
        <v>40</v>
      </c>
      <c r="E8" s="68" t="s">
        <v>110</v>
      </c>
      <c r="F8" s="68">
        <v>-2.5000000000000001E-2</v>
      </c>
      <c r="G8" s="69">
        <v>28084470.469999999</v>
      </c>
      <c r="H8" s="68">
        <v>10042945.989897801</v>
      </c>
      <c r="I8" s="68">
        <v>1162267.0279486401</v>
      </c>
      <c r="J8" s="68">
        <v>4.1384687284390001E-2</v>
      </c>
      <c r="K8" s="68">
        <v>26.044962324397101</v>
      </c>
      <c r="L8" s="68">
        <v>0.415957566744181</v>
      </c>
      <c r="M8" s="68">
        <v>17</v>
      </c>
    </row>
    <row r="9" spans="1:13" s="68" customFormat="1" ht="14.5" x14ac:dyDescent="0.35">
      <c r="A9" s="68">
        <v>33500</v>
      </c>
      <c r="B9" s="69">
        <v>3043929</v>
      </c>
      <c r="D9" s="68">
        <v>20</v>
      </c>
      <c r="E9" s="68" t="s">
        <v>111</v>
      </c>
      <c r="F9" s="68">
        <v>-0.04</v>
      </c>
      <c r="G9" s="69">
        <v>5070464.3600000003</v>
      </c>
      <c r="H9" s="68">
        <v>2895549.2248559999</v>
      </c>
      <c r="I9" s="68">
        <v>558391.35557482403</v>
      </c>
      <c r="J9" s="68">
        <v>0.11012627560897099</v>
      </c>
      <c r="K9" s="68">
        <v>9.0180395746754893</v>
      </c>
      <c r="L9" s="68">
        <v>0.60032548971510802</v>
      </c>
      <c r="M9" s="68">
        <v>15.76</v>
      </c>
    </row>
    <row r="10" spans="1:13" s="68" customFormat="1" ht="14.5" x14ac:dyDescent="0.35">
      <c r="A10" s="68">
        <v>33600</v>
      </c>
      <c r="B10" s="69">
        <v>3061247</v>
      </c>
      <c r="D10" s="68">
        <v>50</v>
      </c>
      <c r="E10" s="68" t="s">
        <v>112</v>
      </c>
      <c r="F10" s="68">
        <v>-2.5000000000000001E-2</v>
      </c>
      <c r="G10" s="69">
        <v>11896888.220000001</v>
      </c>
      <c r="H10" s="68">
        <v>5723169.31441784</v>
      </c>
      <c r="I10" s="68">
        <v>618236.42274637602</v>
      </c>
      <c r="J10" s="68">
        <v>5.1966229430234601E-2</v>
      </c>
      <c r="K10" s="68">
        <v>26.533444226375</v>
      </c>
      <c r="L10" s="68">
        <v>0.25731493340028999</v>
      </c>
      <c r="M10" s="68">
        <v>24.25</v>
      </c>
    </row>
    <row r="11" spans="1:13" s="68" customFormat="1" ht="14.5" x14ac:dyDescent="0.35">
      <c r="A11" s="68">
        <v>34100</v>
      </c>
      <c r="B11" s="69">
        <v>22447018</v>
      </c>
      <c r="D11" s="68">
        <v>32</v>
      </c>
      <c r="E11" s="68" t="s">
        <v>113</v>
      </c>
      <c r="F11" s="68">
        <v>-0.04</v>
      </c>
      <c r="G11" s="69">
        <v>50875274.93</v>
      </c>
      <c r="H11" s="68">
        <v>26740387.641460899</v>
      </c>
      <c r="I11" s="68">
        <v>3468754.18185747</v>
      </c>
      <c r="J11" s="68">
        <v>6.8181531925481903E-2</v>
      </c>
      <c r="K11" s="68">
        <v>15.8274847785909</v>
      </c>
      <c r="L11" s="68">
        <v>0.44121664267928101</v>
      </c>
      <c r="M11" s="68">
        <v>19.600000000000001</v>
      </c>
    </row>
    <row r="12" spans="1:13" s="68" customFormat="1" ht="14.5" x14ac:dyDescent="0.35">
      <c r="A12" s="68">
        <v>34200</v>
      </c>
      <c r="B12" s="69">
        <v>4149310</v>
      </c>
      <c r="D12" s="68">
        <v>30</v>
      </c>
      <c r="E12" s="68" t="s">
        <v>114</v>
      </c>
      <c r="F12" s="68">
        <v>-0.05</v>
      </c>
      <c r="G12" s="69">
        <v>27053675.190000001</v>
      </c>
      <c r="H12" s="68">
        <v>9877075.2303845603</v>
      </c>
      <c r="I12" s="68">
        <v>1859062.8175299701</v>
      </c>
      <c r="J12" s="68">
        <v>6.8717569959483693E-2</v>
      </c>
      <c r="K12" s="68">
        <v>19.568805441122802</v>
      </c>
      <c r="L12" s="68">
        <v>0.15337324673483699</v>
      </c>
      <c r="M12" s="68">
        <v>11.74</v>
      </c>
    </row>
    <row r="13" spans="1:13" s="68" customFormat="1" ht="14.5" x14ac:dyDescent="0.35">
      <c r="A13" s="68">
        <v>34300</v>
      </c>
      <c r="B13" s="69">
        <v>46526530</v>
      </c>
      <c r="D13" s="68">
        <v>23</v>
      </c>
      <c r="E13" s="68" t="s">
        <v>107</v>
      </c>
      <c r="F13" s="68">
        <v>-0.04</v>
      </c>
      <c r="G13" s="69">
        <v>73740929.870000005</v>
      </c>
      <c r="H13" s="68">
        <v>38792953.806529798</v>
      </c>
      <c r="I13" s="68">
        <v>7944385.1822690396</v>
      </c>
      <c r="J13" s="68">
        <v>0.107733726660003</v>
      </c>
      <c r="K13" s="68">
        <v>11.365740772313099</v>
      </c>
      <c r="L13" s="68">
        <v>0.63094580014142698</v>
      </c>
      <c r="M13" s="68">
        <v>15.15</v>
      </c>
    </row>
    <row r="14" spans="1:13" s="68" customFormat="1" ht="14.5" x14ac:dyDescent="0.35">
      <c r="A14" s="68">
        <v>34400</v>
      </c>
      <c r="B14" s="69">
        <v>4274734</v>
      </c>
      <c r="D14" s="68">
        <v>28</v>
      </c>
      <c r="E14" s="68" t="s">
        <v>108</v>
      </c>
      <c r="F14" s="68">
        <v>-2.5000000000000001E-2</v>
      </c>
      <c r="G14" s="69">
        <v>9349085.8300000001</v>
      </c>
      <c r="H14" s="68">
        <v>5098477.2562178699</v>
      </c>
      <c r="I14" s="68">
        <v>780852.93779295101</v>
      </c>
      <c r="J14" s="68">
        <v>8.3521849300740802E-2</v>
      </c>
      <c r="K14" s="68">
        <v>13.102770602394299</v>
      </c>
      <c r="L14" s="68">
        <v>0.45723550705705701</v>
      </c>
      <c r="M14" s="68">
        <v>16.329999999999998</v>
      </c>
    </row>
    <row r="15" spans="1:13" s="68" customFormat="1" ht="14.5" x14ac:dyDescent="0.35">
      <c r="A15" s="68">
        <v>34500</v>
      </c>
      <c r="B15" s="69">
        <v>14476139</v>
      </c>
      <c r="D15" s="68">
        <v>24</v>
      </c>
      <c r="E15" s="68" t="s">
        <v>115</v>
      </c>
      <c r="F15" s="68">
        <v>-2.5000000000000001E-2</v>
      </c>
      <c r="G15" s="69">
        <v>33319011.390000001</v>
      </c>
      <c r="H15" s="68">
        <v>14351835.8706371</v>
      </c>
      <c r="I15" s="68">
        <v>2494840.4496241799</v>
      </c>
      <c r="J15" s="68">
        <v>7.4877385178749895E-2</v>
      </c>
      <c r="K15" s="68">
        <v>13.9143770412058</v>
      </c>
      <c r="L15" s="68">
        <v>0.43447084400423402</v>
      </c>
      <c r="M15" s="68">
        <v>13.41</v>
      </c>
    </row>
    <row r="16" spans="1:13" s="68" customFormat="1" ht="14.5" x14ac:dyDescent="0.35">
      <c r="A16" s="68">
        <v>34600</v>
      </c>
      <c r="B16" s="69">
        <v>1690696</v>
      </c>
      <c r="D16" s="68">
        <v>20</v>
      </c>
      <c r="E16" s="68" t="s">
        <v>108</v>
      </c>
      <c r="F16" s="68">
        <v>0</v>
      </c>
      <c r="G16" s="69">
        <v>3797130.82</v>
      </c>
      <c r="H16" s="68">
        <v>1647019.900077</v>
      </c>
      <c r="I16" s="68">
        <v>695909.76663071197</v>
      </c>
      <c r="J16" s="68">
        <v>0.18327252855373399</v>
      </c>
      <c r="K16" s="68">
        <v>11.3249241169047</v>
      </c>
      <c r="L16" s="68">
        <v>0.44525618951416601</v>
      </c>
      <c r="M16" s="68">
        <v>11.48</v>
      </c>
    </row>
    <row r="17" spans="1:13" s="68" customFormat="1" ht="14.5" x14ac:dyDescent="0.35">
      <c r="A17" s="68">
        <v>34800</v>
      </c>
      <c r="B17" s="69">
        <v>354592</v>
      </c>
      <c r="D17" s="68">
        <v>20</v>
      </c>
      <c r="E17" s="68" t="s">
        <v>111</v>
      </c>
      <c r="F17" s="68">
        <v>0</v>
      </c>
      <c r="G17" s="69">
        <v>1598044.61</v>
      </c>
      <c r="H17" s="68">
        <v>315028.33238095802</v>
      </c>
      <c r="I17" s="68">
        <v>95167.929342584393</v>
      </c>
      <c r="J17" s="68">
        <v>5.9552736354828301E-2</v>
      </c>
      <c r="K17" s="68">
        <v>16.057327431166499</v>
      </c>
      <c r="L17" s="68">
        <v>0.22189117736832101</v>
      </c>
      <c r="M17" s="68">
        <v>4.5</v>
      </c>
    </row>
    <row r="18" spans="1:13" s="68" customFormat="1" ht="14.5" x14ac:dyDescent="0.35">
      <c r="A18" s="68">
        <v>35100</v>
      </c>
      <c r="B18" s="69">
        <v>976762</v>
      </c>
      <c r="D18" s="68">
        <v>65</v>
      </c>
      <c r="E18" s="68" t="s">
        <v>116</v>
      </c>
      <c r="F18" s="68">
        <v>0</v>
      </c>
      <c r="G18" s="69">
        <v>3222736.85</v>
      </c>
      <c r="H18" s="68">
        <v>1474998.2294594201</v>
      </c>
      <c r="I18" s="68">
        <v>106479.32376686</v>
      </c>
      <c r="J18" s="68">
        <v>3.30400304842947E-2</v>
      </c>
      <c r="K18" s="68">
        <v>35.250476729161903</v>
      </c>
      <c r="L18" s="68">
        <v>0.30308462820971599</v>
      </c>
      <c r="M18" s="68">
        <v>29.98</v>
      </c>
    </row>
    <row r="19" spans="1:13" s="68" customFormat="1" ht="14.5" x14ac:dyDescent="0.35">
      <c r="A19" s="68">
        <v>35200</v>
      </c>
      <c r="B19" s="69">
        <v>2411194</v>
      </c>
      <c r="D19" s="68">
        <v>40</v>
      </c>
      <c r="E19" s="68" t="s">
        <v>108</v>
      </c>
      <c r="F19" s="68">
        <v>0</v>
      </c>
      <c r="G19" s="69">
        <v>3833485.46</v>
      </c>
      <c r="H19" s="68">
        <v>2310540.9902281198</v>
      </c>
      <c r="I19" s="68">
        <v>159333.16837218599</v>
      </c>
      <c r="J19" s="68">
        <v>4.1563524900440497E-2</v>
      </c>
      <c r="K19" s="68">
        <v>15.8909638308306</v>
      </c>
      <c r="L19" s="68">
        <v>0.62898216914066496</v>
      </c>
      <c r="M19" s="68">
        <v>25.68</v>
      </c>
    </row>
    <row r="20" spans="1:13" s="68" customFormat="1" ht="14.5" x14ac:dyDescent="0.35">
      <c r="A20" s="68">
        <v>35300</v>
      </c>
      <c r="B20" s="69">
        <v>9157772</v>
      </c>
      <c r="D20" s="68">
        <v>29</v>
      </c>
      <c r="E20" s="68" t="s">
        <v>110</v>
      </c>
      <c r="F20" s="68">
        <v>-2.5000000000000001E-2</v>
      </c>
      <c r="G20" s="69">
        <v>18127231.510000002</v>
      </c>
      <c r="H20" s="68">
        <v>9478199.5922310092</v>
      </c>
      <c r="I20" s="68">
        <v>1705306.2067736399</v>
      </c>
      <c r="J20" s="68">
        <v>9.4074277466633299E-2</v>
      </c>
      <c r="K20" s="68">
        <v>14.206582944987501</v>
      </c>
      <c r="L20" s="68">
        <v>0.50519418781340397</v>
      </c>
      <c r="M20" s="68">
        <v>19.89</v>
      </c>
    </row>
    <row r="21" spans="1:13" s="68" customFormat="1" ht="14.5" x14ac:dyDescent="0.35">
      <c r="A21" s="68">
        <v>35400</v>
      </c>
      <c r="B21" s="69">
        <v>10669049</v>
      </c>
      <c r="D21" s="68">
        <v>65</v>
      </c>
      <c r="E21" s="68" t="s">
        <v>108</v>
      </c>
      <c r="F21" s="68">
        <v>-2.5000000000000001E-2</v>
      </c>
      <c r="G21" s="69">
        <v>15887111.880000001</v>
      </c>
      <c r="H21" s="68">
        <v>7283806.7184388796</v>
      </c>
      <c r="I21" s="68">
        <v>331942.17663875798</v>
      </c>
      <c r="J21" s="68">
        <v>2.0893802419597301E-2</v>
      </c>
      <c r="K21" s="68">
        <v>35.926122901926398</v>
      </c>
      <c r="L21" s="68">
        <v>0.67155371477122106</v>
      </c>
      <c r="M21" s="68">
        <v>29.97</v>
      </c>
    </row>
    <row r="22" spans="1:13" s="68" customFormat="1" ht="14.5" x14ac:dyDescent="0.35">
      <c r="A22" s="68">
        <v>35500</v>
      </c>
      <c r="B22" s="69">
        <v>994466</v>
      </c>
      <c r="D22" s="68">
        <v>45</v>
      </c>
      <c r="E22" s="68" t="s">
        <v>107</v>
      </c>
      <c r="F22" s="68">
        <v>-2.5000000000000001E-2</v>
      </c>
      <c r="G22" s="69">
        <v>4069523.49</v>
      </c>
      <c r="H22" s="68">
        <v>790427.37681763503</v>
      </c>
      <c r="I22" s="68">
        <v>115399.3465569</v>
      </c>
      <c r="J22" s="68">
        <v>2.8356967797450901E-2</v>
      </c>
      <c r="K22" s="68">
        <v>36.472787956816802</v>
      </c>
      <c r="L22" s="68">
        <v>0.24436915094450001</v>
      </c>
      <c r="M22" s="68">
        <v>9.11</v>
      </c>
    </row>
    <row r="23" spans="1:13" s="68" customFormat="1" ht="14.5" x14ac:dyDescent="0.35">
      <c r="A23" s="68">
        <v>35600</v>
      </c>
      <c r="B23" s="69">
        <v>9347342</v>
      </c>
      <c r="D23" s="68">
        <v>60</v>
      </c>
      <c r="E23" s="68" t="s">
        <v>108</v>
      </c>
      <c r="F23" s="68">
        <v>-2.5000000000000001E-2</v>
      </c>
      <c r="G23" s="69">
        <v>12218670.279999999</v>
      </c>
      <c r="H23" s="68">
        <v>5197037.7831568504</v>
      </c>
      <c r="I23" s="68">
        <v>257591.92780475199</v>
      </c>
      <c r="J23" s="68">
        <v>2.1081829847425199E-2</v>
      </c>
      <c r="K23" s="68">
        <v>35.102295186630798</v>
      </c>
      <c r="L23" s="68">
        <v>0.76500484797434098</v>
      </c>
      <c r="M23" s="68">
        <v>25.76</v>
      </c>
    </row>
    <row r="24" spans="1:13" s="68" customFormat="1" ht="14.5" x14ac:dyDescent="0.35">
      <c r="A24" s="68">
        <v>35700</v>
      </c>
      <c r="B24" s="69">
        <v>9769</v>
      </c>
      <c r="D24" s="68">
        <v>30</v>
      </c>
      <c r="E24" s="68" t="s">
        <v>112</v>
      </c>
      <c r="F24" s="68">
        <v>0</v>
      </c>
      <c r="G24" s="69">
        <v>12434.28</v>
      </c>
      <c r="H24" s="68">
        <v>8773.9575829016503</v>
      </c>
      <c r="I24" s="68">
        <v>627.43586647489803</v>
      </c>
      <c r="J24" s="68">
        <v>5.0460168700954003E-2</v>
      </c>
      <c r="K24" s="68">
        <v>8.8312047430933394</v>
      </c>
      <c r="L24" s="68">
        <v>0.78565063678797598</v>
      </c>
      <c r="M24" s="68">
        <v>21.5</v>
      </c>
    </row>
    <row r="25" spans="1:13" s="68" customFormat="1" ht="14.5" x14ac:dyDescent="0.35">
      <c r="A25" s="68">
        <v>35800</v>
      </c>
      <c r="B25" s="69">
        <v>9518</v>
      </c>
      <c r="D25" s="68">
        <v>30</v>
      </c>
      <c r="E25" s="68" t="s">
        <v>112</v>
      </c>
      <c r="F25" s="68">
        <v>0</v>
      </c>
      <c r="G25" s="69">
        <v>16343.67</v>
      </c>
      <c r="H25" s="68">
        <v>11532.5267992149</v>
      </c>
      <c r="I25" s="68">
        <v>1090.1702746195999</v>
      </c>
      <c r="J25" s="68">
        <v>6.6702905444101804E-2</v>
      </c>
      <c r="K25" s="68">
        <v>8.8312047430933394</v>
      </c>
      <c r="L25" s="68">
        <v>0.58236613930653303</v>
      </c>
      <c r="M25" s="68">
        <v>21.5</v>
      </c>
    </row>
    <row r="26" spans="1:13" s="68" customFormat="1" ht="14.5" x14ac:dyDescent="0.35">
      <c r="A26" s="68">
        <v>35900</v>
      </c>
      <c r="B26" s="69">
        <v>726972</v>
      </c>
      <c r="D26" s="68">
        <v>40</v>
      </c>
      <c r="E26" s="68" t="s">
        <v>111</v>
      </c>
      <c r="F26" s="68">
        <v>0</v>
      </c>
      <c r="G26" s="69">
        <v>1009616.66</v>
      </c>
      <c r="H26" s="68">
        <v>511844.56576711702</v>
      </c>
      <c r="I26" s="68">
        <v>32694.542233442498</v>
      </c>
      <c r="J26" s="68">
        <v>3.2383124733146203E-2</v>
      </c>
      <c r="K26" s="68">
        <v>19.721231392234898</v>
      </c>
      <c r="L26" s="68">
        <v>0.72004754755136502</v>
      </c>
      <c r="M26" s="68">
        <v>25.24</v>
      </c>
    </row>
    <row r="27" spans="1:13" s="68" customFormat="1" ht="14.5" x14ac:dyDescent="0.35">
      <c r="A27" s="68">
        <v>36100</v>
      </c>
      <c r="B27" s="69">
        <v>184344</v>
      </c>
      <c r="D27" s="68">
        <v>40</v>
      </c>
      <c r="E27" s="68" t="s">
        <v>111</v>
      </c>
      <c r="F27" s="68">
        <v>0</v>
      </c>
      <c r="G27" s="69">
        <v>1165572.76</v>
      </c>
      <c r="H27" s="68">
        <v>336246.507635883</v>
      </c>
      <c r="I27" s="68">
        <v>40167.119755603999</v>
      </c>
      <c r="J27" s="68">
        <v>3.4461271860543499E-2</v>
      </c>
      <c r="K27" s="68">
        <v>28.460728693217501</v>
      </c>
      <c r="L27" s="68">
        <v>0.15815743669232599</v>
      </c>
      <c r="M27" s="68">
        <v>13.64</v>
      </c>
    </row>
    <row r="28" spans="1:13" s="68" customFormat="1" ht="14.5" x14ac:dyDescent="0.35">
      <c r="A28" s="68">
        <v>36200</v>
      </c>
      <c r="B28" s="69">
        <v>1404879</v>
      </c>
      <c r="D28" s="68">
        <v>25</v>
      </c>
      <c r="E28" s="68" t="s">
        <v>113</v>
      </c>
      <c r="F28" s="68">
        <v>0</v>
      </c>
      <c r="G28" s="69">
        <v>3190953.48</v>
      </c>
      <c r="H28" s="68">
        <v>1465607.01884434</v>
      </c>
      <c r="I28" s="68">
        <v>397873.06076209602</v>
      </c>
      <c r="J28" s="68">
        <v>0.124687828655558</v>
      </c>
      <c r="K28" s="68">
        <v>13.5174836609939</v>
      </c>
      <c r="L28" s="68">
        <v>0.44026934544968699</v>
      </c>
      <c r="M28" s="68">
        <v>15.44</v>
      </c>
    </row>
    <row r="29" spans="1:13" s="68" customFormat="1" ht="14.5" x14ac:dyDescent="0.35">
      <c r="A29" s="68">
        <v>36300</v>
      </c>
      <c r="B29" s="69">
        <v>-276328</v>
      </c>
      <c r="D29" s="68">
        <v>15</v>
      </c>
      <c r="E29" s="68" t="s">
        <v>108</v>
      </c>
      <c r="F29" s="68">
        <v>0</v>
      </c>
      <c r="G29" s="69">
        <v>62281.06</v>
      </c>
      <c r="H29" s="68">
        <v>48025.3390964309</v>
      </c>
      <c r="I29" s="68">
        <v>81083.816166796096</v>
      </c>
      <c r="J29" s="68">
        <v>1.30190167230288</v>
      </c>
      <c r="K29" s="68">
        <v>3.4334003556384101</v>
      </c>
      <c r="L29" s="68">
        <v>-4.4367902537304298</v>
      </c>
      <c r="M29" s="68">
        <v>12.87</v>
      </c>
    </row>
    <row r="30" spans="1:13" s="68" customFormat="1" ht="14.5" x14ac:dyDescent="0.35">
      <c r="A30" s="68">
        <v>36400</v>
      </c>
      <c r="B30" s="69">
        <v>11940723</v>
      </c>
      <c r="D30" s="68">
        <v>50</v>
      </c>
      <c r="E30" s="68" t="s">
        <v>110</v>
      </c>
      <c r="F30" s="68">
        <v>-2.5000000000000001E-2</v>
      </c>
      <c r="G30" s="69">
        <v>17837940.620000001</v>
      </c>
      <c r="H30" s="68">
        <v>5737922.3405485004</v>
      </c>
      <c r="I30" s="68">
        <v>457119.76530514302</v>
      </c>
      <c r="J30" s="68">
        <v>2.5626263425981899E-2</v>
      </c>
      <c r="K30" s="68">
        <v>34.3088024160906</v>
      </c>
      <c r="L30" s="68">
        <v>0.66940031107694098</v>
      </c>
      <c r="M30" s="68">
        <v>18.39</v>
      </c>
    </row>
    <row r="31" spans="1:13" s="68" customFormat="1" ht="14.5" x14ac:dyDescent="0.35">
      <c r="A31" s="68">
        <v>36500</v>
      </c>
      <c r="B31" s="69">
        <v>4466107</v>
      </c>
      <c r="D31" s="68">
        <v>55</v>
      </c>
      <c r="E31" s="68" t="s">
        <v>108</v>
      </c>
      <c r="F31" s="68">
        <v>-2.5000000000000001E-2</v>
      </c>
      <c r="G31" s="69">
        <v>5581956.3700000001</v>
      </c>
      <c r="H31" s="68">
        <v>2267960.9812792698</v>
      </c>
      <c r="I31" s="68">
        <v>133954.91370027699</v>
      </c>
      <c r="J31" s="68">
        <v>2.3997843197093499E-2</v>
      </c>
      <c r="K31" s="68">
        <v>33.198420191493597</v>
      </c>
      <c r="L31" s="68">
        <v>0.80009708137507396</v>
      </c>
      <c r="M31" s="68">
        <v>23.31</v>
      </c>
    </row>
    <row r="32" spans="1:13" s="68" customFormat="1" ht="14.5" x14ac:dyDescent="0.35">
      <c r="A32" s="68">
        <v>36600</v>
      </c>
      <c r="B32" s="69">
        <v>32055</v>
      </c>
      <c r="D32" s="68">
        <v>30</v>
      </c>
      <c r="E32" s="68" t="s">
        <v>112</v>
      </c>
      <c r="F32" s="68">
        <v>0</v>
      </c>
      <c r="G32" s="69">
        <v>129167.25</v>
      </c>
      <c r="H32" s="68">
        <v>50694.136688278799</v>
      </c>
      <c r="I32" s="68">
        <v>6945.00171251954</v>
      </c>
      <c r="J32" s="68">
        <v>5.3767512372675998E-2</v>
      </c>
      <c r="K32" s="68">
        <v>18.2259311036787</v>
      </c>
      <c r="L32" s="68">
        <v>0.24816662118300101</v>
      </c>
      <c r="M32" s="68">
        <v>11.81</v>
      </c>
    </row>
    <row r="33" spans="1:13" s="68" customFormat="1" ht="14.5" x14ac:dyDescent="0.35">
      <c r="A33" s="68">
        <v>36700</v>
      </c>
      <c r="B33" s="69">
        <v>139968</v>
      </c>
      <c r="D33" s="68">
        <v>30</v>
      </c>
      <c r="E33" s="68" t="s">
        <v>112</v>
      </c>
      <c r="F33" s="68">
        <v>0</v>
      </c>
      <c r="G33" s="69">
        <v>963188.14</v>
      </c>
      <c r="H33" s="68">
        <v>260939.61741703501</v>
      </c>
      <c r="I33" s="68">
        <v>77018.849937805295</v>
      </c>
      <c r="J33" s="68">
        <v>7.9962415170316797E-2</v>
      </c>
      <c r="K33" s="68">
        <v>21.8726277895084</v>
      </c>
      <c r="L33" s="68">
        <v>0.145317403928998</v>
      </c>
      <c r="M33" s="68">
        <v>8.58</v>
      </c>
    </row>
    <row r="34" spans="1:13" s="68" customFormat="1" ht="14.5" x14ac:dyDescent="0.35">
      <c r="A34" s="68">
        <v>36800</v>
      </c>
      <c r="B34" s="69">
        <v>2990649</v>
      </c>
      <c r="D34" s="68">
        <v>50</v>
      </c>
      <c r="E34" s="68" t="s">
        <v>112</v>
      </c>
      <c r="F34" s="68">
        <v>0</v>
      </c>
      <c r="G34" s="69">
        <v>8391798.3200000003</v>
      </c>
      <c r="H34" s="68">
        <v>2513781.5519331</v>
      </c>
      <c r="I34" s="68">
        <v>298233.79565740499</v>
      </c>
      <c r="J34" s="68">
        <v>3.5538722963185498E-2</v>
      </c>
      <c r="K34" s="68">
        <v>35.022390576629697</v>
      </c>
      <c r="L34" s="68">
        <v>0.35637760655811401</v>
      </c>
      <c r="M34" s="68">
        <v>15.42</v>
      </c>
    </row>
    <row r="35" spans="1:13" s="68" customFormat="1" ht="14.5" x14ac:dyDescent="0.35">
      <c r="A35" s="68">
        <v>36900</v>
      </c>
      <c r="B35" s="69">
        <v>1534902</v>
      </c>
      <c r="D35" s="68">
        <v>55</v>
      </c>
      <c r="E35" s="68" t="s">
        <v>108</v>
      </c>
      <c r="F35" s="68">
        <v>-2.5000000000000001E-2</v>
      </c>
      <c r="G35" s="69">
        <v>2852586.29</v>
      </c>
      <c r="H35" s="68">
        <v>1032943.16419132</v>
      </c>
      <c r="I35" s="68">
        <v>78677.533072905499</v>
      </c>
      <c r="J35" s="68">
        <v>2.75811229089605E-2</v>
      </c>
      <c r="K35" s="68">
        <v>35.569836305858601</v>
      </c>
      <c r="L35" s="68">
        <v>0.53807381931994103</v>
      </c>
      <c r="M35" s="68">
        <v>20.5</v>
      </c>
    </row>
    <row r="36" spans="1:13" s="68" customFormat="1" ht="14.5" x14ac:dyDescent="0.35">
      <c r="A36" s="68">
        <v>37000</v>
      </c>
      <c r="B36" s="69">
        <v>1160416</v>
      </c>
      <c r="D36" s="68">
        <v>18</v>
      </c>
      <c r="E36" s="68" t="s">
        <v>117</v>
      </c>
      <c r="F36" s="68">
        <v>0</v>
      </c>
      <c r="G36" s="69">
        <v>4971337.6500000004</v>
      </c>
      <c r="H36" s="68">
        <v>1236043.40445278</v>
      </c>
      <c r="I36" s="68">
        <v>396488.35630025301</v>
      </c>
      <c r="J36" s="68">
        <v>7.97548636231242E-2</v>
      </c>
      <c r="K36" s="68">
        <v>13.524588582280201</v>
      </c>
      <c r="L36" s="68">
        <v>0.23342128048775801</v>
      </c>
      <c r="M36" s="68">
        <v>7.45</v>
      </c>
    </row>
    <row r="37" spans="1:13" s="68" customFormat="1" ht="14.5" x14ac:dyDescent="0.35">
      <c r="A37" s="68">
        <v>37100</v>
      </c>
      <c r="B37" s="69">
        <v>-223</v>
      </c>
      <c r="D37" s="68">
        <v>18</v>
      </c>
      <c r="E37" s="68" t="s">
        <v>117</v>
      </c>
      <c r="F37" s="68">
        <v>0</v>
      </c>
      <c r="G37" s="69">
        <v>10770.52</v>
      </c>
      <c r="H37" s="68">
        <v>6510.1229425174797</v>
      </c>
      <c r="I37" s="68">
        <v>1538.69536958049</v>
      </c>
      <c r="J37" s="68">
        <v>0.142861753154025</v>
      </c>
      <c r="K37" s="68">
        <v>7.1200969901811</v>
      </c>
      <c r="L37" s="68">
        <v>-2.0704664213055599E-2</v>
      </c>
      <c r="M37" s="68">
        <v>22.48</v>
      </c>
    </row>
    <row r="38" spans="1:13" s="68" customFormat="1" ht="14.5" x14ac:dyDescent="0.35">
      <c r="A38" s="68">
        <v>37300</v>
      </c>
      <c r="B38" s="69">
        <v>-94813</v>
      </c>
      <c r="D38" s="68">
        <v>48</v>
      </c>
      <c r="E38" s="68" t="s">
        <v>108</v>
      </c>
      <c r="F38" s="68">
        <v>-2.5000000000000001E-2</v>
      </c>
      <c r="G38" s="69">
        <v>2003942.48</v>
      </c>
      <c r="H38" s="68">
        <v>265592.73148749699</v>
      </c>
      <c r="I38" s="68">
        <v>51623.093278227498</v>
      </c>
      <c r="J38" s="68">
        <v>2.576076598677E-2</v>
      </c>
      <c r="K38" s="68">
        <v>41.793477904907498</v>
      </c>
      <c r="L38" s="68">
        <v>-4.7313234260097099E-2</v>
      </c>
      <c r="M38" s="68">
        <v>6.29</v>
      </c>
    </row>
    <row r="39" spans="1:13" s="68" customFormat="1" ht="14.5" x14ac:dyDescent="0.35">
      <c r="A39" s="68">
        <v>38200</v>
      </c>
      <c r="B39" s="69">
        <v>3292556</v>
      </c>
      <c r="D39" s="68">
        <v>5</v>
      </c>
      <c r="E39" s="68" t="s">
        <v>116</v>
      </c>
      <c r="F39" s="68">
        <v>0</v>
      </c>
      <c r="G39" s="69">
        <v>5234013.79</v>
      </c>
      <c r="H39" s="68">
        <v>3165505.4810000001</v>
      </c>
      <c r="I39" s="68">
        <v>2036344.35985524</v>
      </c>
      <c r="J39" s="68">
        <v>0.38905980029052201</v>
      </c>
      <c r="K39" s="68">
        <v>1.97602489408038</v>
      </c>
      <c r="L39" s="68">
        <v>0.62906903422583405</v>
      </c>
      <c r="M39" s="68">
        <v>3.38</v>
      </c>
    </row>
    <row r="40" spans="1:13" s="68" customFormat="1" ht="14.5" x14ac:dyDescent="0.35">
      <c r="A40" s="68">
        <v>38300</v>
      </c>
      <c r="B40" s="69">
        <v>4134421</v>
      </c>
      <c r="D40" s="68">
        <v>10</v>
      </c>
      <c r="E40" s="68" t="s">
        <v>116</v>
      </c>
      <c r="F40" s="68">
        <v>0</v>
      </c>
      <c r="G40" s="69">
        <v>7048230.1799999997</v>
      </c>
      <c r="H40" s="68">
        <v>2217587.5529999998</v>
      </c>
      <c r="I40" s="68">
        <v>1444447.6968793699</v>
      </c>
      <c r="J40" s="68">
        <v>0.20493764533657299</v>
      </c>
      <c r="K40" s="68">
        <v>6.8536958975990796</v>
      </c>
      <c r="L40" s="68">
        <v>0.58658995157845395</v>
      </c>
      <c r="M40" s="68">
        <v>3.15</v>
      </c>
    </row>
    <row r="41" spans="1:13" s="68" customFormat="1" ht="14.5" x14ac:dyDescent="0.35">
      <c r="A41" s="68">
        <v>39001</v>
      </c>
      <c r="B41" s="69">
        <v>536132</v>
      </c>
      <c r="D41" s="68">
        <v>65</v>
      </c>
      <c r="E41" s="68" t="s">
        <v>118</v>
      </c>
      <c r="F41" s="68">
        <v>7.4999999999999997E-2</v>
      </c>
      <c r="G41" s="69">
        <v>5384565.6100000003</v>
      </c>
      <c r="H41" s="68">
        <v>1231023.3744715599</v>
      </c>
      <c r="I41" s="68">
        <v>101807.92292772001</v>
      </c>
      <c r="J41" s="68">
        <v>1.8907360463515599E-2</v>
      </c>
      <c r="K41" s="68">
        <v>48.934758809051601</v>
      </c>
      <c r="L41" s="68">
        <v>9.9568291823636995E-2</v>
      </c>
      <c r="M41" s="68">
        <v>20.7</v>
      </c>
    </row>
    <row r="42" spans="1:13" s="68" customFormat="1" ht="14.5" x14ac:dyDescent="0.35">
      <c r="A42" s="68">
        <v>39002</v>
      </c>
      <c r="B42" s="69">
        <v>8793928</v>
      </c>
      <c r="D42" s="68">
        <v>25</v>
      </c>
      <c r="E42" s="68" t="s">
        <v>118</v>
      </c>
      <c r="F42" s="68">
        <v>2.5000000000000001E-2</v>
      </c>
      <c r="G42" s="69">
        <v>16198274.050000001</v>
      </c>
      <c r="H42" s="68">
        <v>5590480.5446109297</v>
      </c>
      <c r="I42" s="68">
        <v>1067865.22520878</v>
      </c>
      <c r="J42" s="68">
        <v>6.5924630112600302E-2</v>
      </c>
      <c r="K42" s="68">
        <v>16.150559957959</v>
      </c>
      <c r="L42" s="68">
        <v>0.54289290160515602</v>
      </c>
      <c r="M42" s="68">
        <v>12.83</v>
      </c>
    </row>
    <row r="43" spans="1:13" s="68" customFormat="1" ht="14.5" x14ac:dyDescent="0.35">
      <c r="A43" s="68">
        <v>39100</v>
      </c>
      <c r="B43" s="69">
        <v>871083</v>
      </c>
      <c r="D43" s="68">
        <v>15</v>
      </c>
      <c r="E43" s="68" t="s">
        <v>116</v>
      </c>
      <c r="F43" s="68">
        <v>0.05</v>
      </c>
      <c r="G43" s="69">
        <v>4524714.03</v>
      </c>
      <c r="H43" s="68">
        <v>3514095.2263333299</v>
      </c>
      <c r="I43" s="68">
        <v>1881561.91640204</v>
      </c>
      <c r="J43" s="68">
        <v>0.415841068391683</v>
      </c>
      <c r="K43" s="68">
        <v>2.7371887522359102</v>
      </c>
      <c r="L43" s="68">
        <v>0.19251669701654101</v>
      </c>
      <c r="M43" s="68">
        <v>13.77</v>
      </c>
    </row>
    <row r="44" spans="1:13" s="68" customFormat="1" ht="14.5" x14ac:dyDescent="0.35">
      <c r="A44" s="68">
        <v>39200</v>
      </c>
      <c r="B44" s="69">
        <v>2213484</v>
      </c>
      <c r="D44" s="68">
        <v>7</v>
      </c>
      <c r="E44" s="68" t="s">
        <v>119</v>
      </c>
      <c r="F44" s="68">
        <v>2.5000000000000001E-2</v>
      </c>
      <c r="G44" s="69">
        <v>3849242.75</v>
      </c>
      <c r="H44" s="68">
        <v>2316940.2796364902</v>
      </c>
      <c r="I44" s="68">
        <v>1076333.0458501701</v>
      </c>
      <c r="J44" s="68">
        <v>0.279622023279818</v>
      </c>
      <c r="K44" s="68">
        <v>2.67851546040125</v>
      </c>
      <c r="L44" s="68">
        <v>0.57504401352707601</v>
      </c>
      <c r="M44" s="68">
        <v>8.33</v>
      </c>
    </row>
    <row r="45" spans="1:13" s="68" customFormat="1" ht="14.5" x14ac:dyDescent="0.35">
      <c r="A45" s="68">
        <v>39300</v>
      </c>
      <c r="B45" s="69">
        <v>106657</v>
      </c>
      <c r="D45" s="68">
        <v>15</v>
      </c>
      <c r="E45" s="68" t="s">
        <v>116</v>
      </c>
      <c r="F45" s="68">
        <v>0</v>
      </c>
      <c r="G45" s="69">
        <v>545057.05000000005</v>
      </c>
      <c r="H45" s="68">
        <v>174882.95966666701</v>
      </c>
      <c r="I45" s="68">
        <v>91522.743723348802</v>
      </c>
      <c r="J45" s="68">
        <v>0.167914062800121</v>
      </c>
      <c r="K45" s="68">
        <v>10.1872113295296</v>
      </c>
      <c r="L45" s="68">
        <v>0.19568043381880801</v>
      </c>
      <c r="M45" s="68">
        <v>5.17</v>
      </c>
    </row>
    <row r="46" spans="1:13" s="68" customFormat="1" ht="14.5" x14ac:dyDescent="0.35">
      <c r="A46" s="68">
        <v>39400</v>
      </c>
      <c r="B46" s="69">
        <v>455177</v>
      </c>
      <c r="D46" s="68">
        <v>15</v>
      </c>
      <c r="E46" s="68" t="s">
        <v>116</v>
      </c>
      <c r="F46" s="68">
        <v>0</v>
      </c>
      <c r="G46" s="69">
        <v>897795.12</v>
      </c>
      <c r="H46" s="68">
        <v>467155.40899999999</v>
      </c>
      <c r="I46" s="68">
        <v>231667.737467648</v>
      </c>
      <c r="J46" s="68">
        <v>0.25804076264933101</v>
      </c>
      <c r="K46" s="68">
        <v>7.1949551975733597</v>
      </c>
      <c r="L46" s="68">
        <v>0.50699429063503898</v>
      </c>
      <c r="M46" s="68">
        <v>8.81</v>
      </c>
    </row>
    <row r="47" spans="1:13" s="68" customFormat="1" ht="14.5" x14ac:dyDescent="0.35">
      <c r="A47" s="68">
        <v>39500</v>
      </c>
      <c r="B47" s="69">
        <v>309960</v>
      </c>
      <c r="D47" s="68">
        <v>25</v>
      </c>
      <c r="E47" s="68" t="s">
        <v>116</v>
      </c>
      <c r="F47" s="68">
        <v>0</v>
      </c>
      <c r="G47" s="69">
        <v>520029.21</v>
      </c>
      <c r="H47" s="68">
        <v>300566.03259999998</v>
      </c>
      <c r="I47" s="68">
        <v>122152.31984070499</v>
      </c>
      <c r="J47" s="68">
        <v>0.234895112604742</v>
      </c>
      <c r="K47" s="68">
        <v>10.5505216428131</v>
      </c>
      <c r="L47" s="68">
        <v>0.59604344148283495</v>
      </c>
      <c r="M47" s="68">
        <v>17.73</v>
      </c>
    </row>
    <row r="48" spans="1:13" s="68" customFormat="1" ht="14.5" x14ac:dyDescent="0.35">
      <c r="A48" s="68">
        <v>39600</v>
      </c>
      <c r="B48" s="69">
        <v>2325062</v>
      </c>
      <c r="D48" s="68">
        <v>27</v>
      </c>
      <c r="E48" s="68" t="s">
        <v>120</v>
      </c>
      <c r="F48" s="68">
        <v>7.4999999999999997E-2</v>
      </c>
      <c r="G48" s="69">
        <v>6700473.1500000004</v>
      </c>
      <c r="H48" s="68">
        <v>1854809.5425287399</v>
      </c>
      <c r="I48" s="68">
        <v>330535.36507804901</v>
      </c>
      <c r="J48" s="68">
        <v>4.9330152912865403E-2</v>
      </c>
      <c r="K48" s="68">
        <v>18.919915887315401</v>
      </c>
      <c r="L48" s="68">
        <v>0.34699967419465</v>
      </c>
      <c r="M48" s="68">
        <v>9.58</v>
      </c>
    </row>
    <row r="49" spans="1:13" s="68" customFormat="1" ht="14.5" x14ac:dyDescent="0.35">
      <c r="A49" s="68">
        <v>39700</v>
      </c>
      <c r="B49" s="69">
        <v>3071693</v>
      </c>
      <c r="D49" s="68">
        <v>20</v>
      </c>
      <c r="E49" s="68" t="s">
        <v>107</v>
      </c>
      <c r="F49" s="68">
        <v>0.05</v>
      </c>
      <c r="G49" s="69">
        <v>8257568.1299999999</v>
      </c>
      <c r="H49" s="68">
        <v>3441505.7955564</v>
      </c>
      <c r="I49" s="68">
        <v>722698.87997190095</v>
      </c>
      <c r="J49" s="68">
        <v>8.7519578233489007E-2</v>
      </c>
      <c r="K49" s="68">
        <v>11.2258969650595</v>
      </c>
      <c r="L49" s="68">
        <v>0.37198518397207597</v>
      </c>
      <c r="M49" s="68">
        <v>10.050000000000001</v>
      </c>
    </row>
    <row r="50" spans="1:13" s="68" customFormat="1" ht="14.5" x14ac:dyDescent="0.35">
      <c r="A50" s="68">
        <v>39800</v>
      </c>
      <c r="B50" s="69">
        <v>540931</v>
      </c>
      <c r="D50" s="68">
        <v>15</v>
      </c>
      <c r="E50" s="68" t="s">
        <v>116</v>
      </c>
      <c r="F50" s="68">
        <v>0</v>
      </c>
      <c r="G50" s="69">
        <v>643160.35</v>
      </c>
      <c r="H50" s="68">
        <v>543079.73199999996</v>
      </c>
      <c r="I50" s="68">
        <v>89707.307020822598</v>
      </c>
      <c r="J50" s="68">
        <v>0.13947891380558899</v>
      </c>
      <c r="K50" s="68">
        <v>2.3341135223898699</v>
      </c>
      <c r="L50" s="68">
        <v>0.84105153559295098</v>
      </c>
      <c r="M50" s="68">
        <v>16.649999999999999</v>
      </c>
    </row>
    <row r="51" spans="1:13" s="68" customFormat="1" ht="14.5" x14ac:dyDescent="0.35">
      <c r="A51" s="68">
        <v>39900</v>
      </c>
      <c r="B51" s="69">
        <v>215153</v>
      </c>
      <c r="D51" s="68">
        <v>20</v>
      </c>
      <c r="E51" s="68" t="s">
        <v>116</v>
      </c>
      <c r="F51" s="68">
        <v>0</v>
      </c>
      <c r="G51" s="69">
        <v>626132.79</v>
      </c>
      <c r="H51" s="68">
        <v>258022.58025</v>
      </c>
      <c r="I51" s="68">
        <v>61754.570164015</v>
      </c>
      <c r="J51" s="68">
        <v>9.86285515633432E-2</v>
      </c>
      <c r="K51" s="68">
        <v>11.7582153699377</v>
      </c>
      <c r="L51" s="68">
        <v>0.343621997499923</v>
      </c>
      <c r="M51" s="68">
        <v>8.24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Table 1 Total</vt:lpstr>
      <vt:lpstr>Table 1A Life</vt:lpstr>
      <vt:lpstr>Table 1B Net Salvage</vt:lpstr>
      <vt:lpstr>Table 2 Total</vt:lpstr>
      <vt:lpstr>Table 2A Life</vt:lpstr>
      <vt:lpstr>Table 2B Net Salvage</vt:lpstr>
      <vt:lpstr>TOTAL ALG WHOLE LIFE</vt:lpstr>
      <vt:lpstr>LIFE ONLY ALG WL</vt:lpstr>
      <vt:lpstr>ALG RL</vt:lpstr>
      <vt:lpstr>ELG Whole Life_Total</vt:lpstr>
      <vt:lpstr>ELG Whole Life_Life</vt:lpstr>
      <vt:lpstr>ALG Remaining Life_Life</vt:lpstr>
      <vt:lpstr>Export_ALG_Remaining_Life</vt:lpstr>
      <vt:lpstr>Export_ELG_Whole_Life</vt:lpstr>
      <vt:lpstr>'Table 1 Total'!Print_Area</vt:lpstr>
      <vt:lpstr>'Table 1A Life'!Print_Area</vt:lpstr>
      <vt:lpstr>'Table 1B Net Salvage'!Print_Area</vt:lpstr>
      <vt:lpstr>'Table 2 Total'!Print_Area</vt:lpstr>
      <vt:lpstr>'Table 2A Life'!Print_Area</vt:lpstr>
      <vt:lpstr>'Table 2B Net Salvage'!Print_Area</vt:lpstr>
      <vt:lpstr>'Table 1 Total'!Print_Titles</vt:lpstr>
      <vt:lpstr>'Table 1A Life'!Print_Titles</vt:lpstr>
      <vt:lpstr>'Table 1B Net Salvage'!Print_Titles</vt:lpstr>
      <vt:lpstr>'Table 2 Total'!Print_Titles</vt:lpstr>
      <vt:lpstr>'Table 2A Life'!Print_Titles</vt:lpstr>
      <vt:lpstr>'Table 2B Net Salvage'!Print_Titles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2024-06-29T01:30:06Z</dcterms:created>
  <dcterms:modified xsi:type="dcterms:W3CDTF">2024-06-29T01:38:50Z</dcterms:modified>
  <cp:category/>
  <cp:contentStatus/>
</cp:coreProperties>
</file>