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435"/>
  </bookViews>
  <sheets>
    <sheet name="Table 3.4-1" sheetId="8" r:id="rId1"/>
    <sheet name="Table 3.4-2" sheetId="9" r:id="rId2"/>
    <sheet name="Table 3.4-3" sheetId="10" r:id="rId3"/>
    <sheet name="Table 3.4-4" sheetId="1" r:id="rId4"/>
    <sheet name="Table 3.4-5" sheetId="5" r:id="rId5"/>
    <sheet name="Table 3.4-6A -420 GWh $8 M" sheetId="2" r:id="rId6"/>
    <sheet name="Table 3.4-6B-420 GWh- $16 M" sheetId="3" r:id="rId7"/>
    <sheet name="Table 3.4-7A -450 GWh $8 M " sheetId="6" r:id="rId8"/>
    <sheet name="Table 3.4-7B -450 GWh $16 M" sheetId="7" r:id="rId9"/>
  </sheets>
  <definedNames>
    <definedName name="LOSSES" localSheetId="3">#REF!</definedName>
    <definedName name="LOSSES" localSheetId="4">#REF!</definedName>
    <definedName name="LOSSES" localSheetId="5">#REF!</definedName>
    <definedName name="LOSSES" localSheetId="6">#REF!</definedName>
    <definedName name="LOSSES" localSheetId="7">#REF!</definedName>
    <definedName name="LOSSES" localSheetId="8">#REF!</definedName>
    <definedName name="LOSSES">#REF!</definedName>
    <definedName name="_xlnm.Print_Area" localSheetId="0">'Table 3.4-1'!$A$1:$P$59</definedName>
    <definedName name="_xlnm.Print_Area" localSheetId="1">'Table 3.4-2'!$A$2:$J$45</definedName>
    <definedName name="_xlnm.Print_Area" localSheetId="2">'Table 3.4-3'!$A$2:$G$197</definedName>
    <definedName name="_xlnm.Print_Area" localSheetId="3">'Table 3.4-4'!$A$1:$L$49</definedName>
    <definedName name="_xlnm.Print_Area" localSheetId="4">'Table 3.4-5'!$A$1:$I$33</definedName>
    <definedName name="_xlnm.Print_Area" localSheetId="5">'Table 3.4-6A -420 GWh $8 M'!$A$1:$O$48</definedName>
    <definedName name="_xlnm.Print_Area" localSheetId="6">'Table 3.4-6B-420 GWh- $16 M'!$A$1:$O$48</definedName>
    <definedName name="_xlnm.Print_Area" localSheetId="7">'Table 3.4-7A -450 GWh $8 M '!$A$1:$O$48</definedName>
    <definedName name="_xlnm.Print_Area" localSheetId="8">'Table 3.4-7B -450 GWh $16 M'!$A$1:$O$48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4" i="10" l="1"/>
  <c r="E147" i="10"/>
  <c r="E110" i="10"/>
  <c r="E73" i="10"/>
  <c r="E36" i="10"/>
  <c r="E189" i="10"/>
  <c r="E179" i="10"/>
  <c r="E172" i="10"/>
  <c r="I14" i="9" s="1"/>
  <c r="E171" i="10"/>
  <c r="E170" i="10"/>
  <c r="E167" i="10"/>
  <c r="E152" i="10"/>
  <c r="E142" i="10"/>
  <c r="E135" i="10"/>
  <c r="E134" i="10"/>
  <c r="E133" i="10"/>
  <c r="E139" i="10" s="1"/>
  <c r="E144" i="10" s="1"/>
  <c r="E148" i="10" s="1"/>
  <c r="E150" i="10" s="1"/>
  <c r="H18" i="9" s="1"/>
  <c r="E130" i="10"/>
  <c r="E115" i="10"/>
  <c r="E105" i="10"/>
  <c r="E102" i="10"/>
  <c r="E107" i="10" s="1"/>
  <c r="E98" i="10"/>
  <c r="E97" i="10"/>
  <c r="E96" i="10"/>
  <c r="E93" i="10"/>
  <c r="G10" i="9" s="1"/>
  <c r="E68" i="10"/>
  <c r="E61" i="10"/>
  <c r="E54" i="10"/>
  <c r="E27" i="10"/>
  <c r="E24" i="10"/>
  <c r="E22" i="10"/>
  <c r="E19" i="10"/>
  <c r="E23" i="10" s="1"/>
  <c r="E13" i="9" s="1"/>
  <c r="I15" i="9"/>
  <c r="H15" i="9"/>
  <c r="G15" i="9"/>
  <c r="F15" i="9"/>
  <c r="E15" i="9"/>
  <c r="H14" i="9"/>
  <c r="G14" i="9"/>
  <c r="H13" i="9"/>
  <c r="H16" i="9" s="1"/>
  <c r="G13" i="9"/>
  <c r="I11" i="9"/>
  <c r="H11" i="9"/>
  <c r="G11" i="9"/>
  <c r="E11" i="9"/>
  <c r="I10" i="9"/>
  <c r="H10" i="9"/>
  <c r="E111" i="10" l="1"/>
  <c r="E113" i="10" s="1"/>
  <c r="G18" i="9" s="1"/>
  <c r="G20" i="9" s="1"/>
  <c r="E78" i="10"/>
  <c r="E60" i="10"/>
  <c r="F13" i="9" s="1"/>
  <c r="F16" i="9" s="1"/>
  <c r="E117" i="10"/>
  <c r="F14" i="9"/>
  <c r="E28" i="10"/>
  <c r="E33" i="10" s="1"/>
  <c r="E37" i="10" s="1"/>
  <c r="E39" i="10" s="1"/>
  <c r="E18" i="9" s="1"/>
  <c r="E154" i="10"/>
  <c r="E41" i="10"/>
  <c r="E43" i="10" s="1"/>
  <c r="E14" i="9"/>
  <c r="E59" i="10"/>
  <c r="E65" i="10" s="1"/>
  <c r="E70" i="10" s="1"/>
  <c r="E74" i="10" s="1"/>
  <c r="E76" i="10" s="1"/>
  <c r="F18" i="9" s="1"/>
  <c r="F11" i="9"/>
  <c r="E176" i="10"/>
  <c r="E181" i="10" s="1"/>
  <c r="E185" i="10" s="1"/>
  <c r="E187" i="10" s="1"/>
  <c r="I18" i="9" s="1"/>
  <c r="I20" i="9" s="1"/>
  <c r="I13" i="9"/>
  <c r="I16" i="9" s="1"/>
  <c r="E10" i="9"/>
  <c r="G16" i="9"/>
  <c r="H20" i="9"/>
  <c r="E56" i="10"/>
  <c r="F10" i="9" s="1"/>
  <c r="E44" i="10" l="1"/>
  <c r="E45" i="10"/>
  <c r="E118" i="10"/>
  <c r="E155" i="10"/>
  <c r="E156" i="10"/>
  <c r="E191" i="10"/>
  <c r="E80" i="10"/>
  <c r="E20" i="9"/>
  <c r="F20" i="9"/>
  <c r="E16" i="9"/>
  <c r="E81" i="10" l="1"/>
  <c r="E82" i="10"/>
  <c r="E192" i="10"/>
  <c r="E119" i="10"/>
  <c r="E158" i="10"/>
  <c r="H22" i="9" s="1"/>
  <c r="H26" i="9" s="1"/>
  <c r="E47" i="10"/>
  <c r="E22" i="9" s="1"/>
  <c r="E25" i="9" s="1"/>
  <c r="E29" i="9" s="1"/>
  <c r="E84" i="10" l="1"/>
  <c r="F22" i="9" s="1"/>
  <c r="F25" i="9" s="1"/>
  <c r="E30" i="9"/>
  <c r="E31" i="9" s="1"/>
  <c r="E32" i="9" s="1"/>
  <c r="E193" i="10"/>
  <c r="E195" i="10" s="1"/>
  <c r="I22" i="9" s="1"/>
  <c r="I26" i="9" s="1"/>
  <c r="E121" i="10"/>
  <c r="G22" i="9" s="1"/>
  <c r="G25" i="9" s="1"/>
  <c r="E33" i="9" l="1"/>
  <c r="F7" i="9" s="1"/>
  <c r="F29" i="9" s="1"/>
  <c r="F30" i="9" l="1"/>
  <c r="F31" i="9" s="1"/>
  <c r="F32" i="9" s="1"/>
  <c r="F33" i="9" l="1"/>
  <c r="G7" i="9" s="1"/>
  <c r="G29" i="9" s="1"/>
  <c r="G30" i="9" l="1"/>
  <c r="G31" i="9" s="1"/>
  <c r="G32" i="9" s="1"/>
  <c r="G33" i="9" l="1"/>
  <c r="H7" i="9" s="1"/>
  <c r="H29" i="9" s="1"/>
  <c r="H30" i="9" l="1"/>
  <c r="H31" i="9" s="1"/>
  <c r="H32" i="9" s="1"/>
  <c r="H33" i="9" l="1"/>
  <c r="I7" i="9" s="1"/>
  <c r="I29" i="9" s="1"/>
  <c r="I30" i="9" l="1"/>
  <c r="I31" i="9" s="1"/>
  <c r="I32" i="9" s="1"/>
  <c r="I33" i="9" l="1"/>
  <c r="K31" i="8" l="1"/>
  <c r="K30" i="8"/>
  <c r="K29" i="8"/>
  <c r="K28" i="8"/>
  <c r="K27" i="8"/>
  <c r="K26" i="8"/>
  <c r="K25" i="8"/>
  <c r="K24" i="8"/>
  <c r="K23" i="8"/>
  <c r="K22" i="8"/>
  <c r="K21" i="8"/>
  <c r="K20" i="8"/>
  <c r="K19" i="8"/>
  <c r="K18" i="8"/>
  <c r="K17" i="8"/>
  <c r="K16" i="8"/>
  <c r="K15" i="8"/>
  <c r="K14" i="8"/>
  <c r="K13" i="8"/>
  <c r="K12" i="8"/>
  <c r="K11" i="8"/>
  <c r="K10" i="8"/>
  <c r="K9" i="8"/>
  <c r="C9" i="8"/>
  <c r="C10" i="8" s="1"/>
  <c r="C11" i="8" s="1"/>
  <c r="C12" i="8" s="1"/>
  <c r="C13" i="8" s="1"/>
  <c r="C14" i="8" s="1"/>
  <c r="C15" i="8" s="1"/>
  <c r="C16" i="8" s="1"/>
  <c r="C17" i="8" s="1"/>
  <c r="C18" i="8" s="1"/>
  <c r="C19" i="8" s="1"/>
  <c r="C20" i="8" s="1"/>
  <c r="C21" i="8" s="1"/>
  <c r="C22" i="8" s="1"/>
  <c r="C23" i="8" s="1"/>
  <c r="C24" i="8" s="1"/>
  <c r="C25" i="8" s="1"/>
  <c r="C26" i="8" s="1"/>
  <c r="C27" i="8" s="1"/>
  <c r="C28" i="8" s="1"/>
  <c r="C29" i="8" s="1"/>
  <c r="C30" i="8" s="1"/>
  <c r="C31" i="8" s="1"/>
  <c r="I17" i="8"/>
  <c r="I31" i="8"/>
  <c r="I8" i="8" l="1"/>
  <c r="I13" i="8"/>
  <c r="I19" i="8"/>
  <c r="I10" i="8"/>
  <c r="I26" i="8"/>
  <c r="I28" i="8"/>
  <c r="I30" i="8"/>
  <c r="I12" i="8"/>
  <c r="I14" i="8"/>
  <c r="I16" i="8"/>
  <c r="I18" i="8"/>
  <c r="L18" i="8" s="1"/>
  <c r="N18" i="8" s="1"/>
  <c r="I21" i="8"/>
  <c r="I23" i="8"/>
  <c r="I25" i="8"/>
  <c r="I15" i="8"/>
  <c r="I9" i="8"/>
  <c r="I11" i="8"/>
  <c r="I20" i="8"/>
  <c r="I22" i="8"/>
  <c r="I24" i="8"/>
  <c r="I27" i="8"/>
  <c r="L27" i="8" s="1"/>
  <c r="N27" i="8" s="1"/>
  <c r="I29" i="8"/>
  <c r="L29" i="8" s="1"/>
  <c r="N29" i="8" s="1"/>
  <c r="L11" i="8" l="1"/>
  <c r="N11" i="8" s="1"/>
  <c r="L20" i="8"/>
  <c r="N20" i="8" s="1"/>
  <c r="L21" i="8"/>
  <c r="N21" i="8" s="1"/>
  <c r="L23" i="8"/>
  <c r="N23" i="8" s="1"/>
  <c r="L14" i="8"/>
  <c r="N14" i="8" s="1"/>
  <c r="L26" i="8"/>
  <c r="N26" i="8" s="1"/>
  <c r="L24" i="8"/>
  <c r="N24" i="8" s="1"/>
  <c r="L12" i="8"/>
  <c r="N12" i="8" s="1"/>
  <c r="L10" i="8"/>
  <c r="N10" i="8" s="1"/>
  <c r="L22" i="8"/>
  <c r="N22" i="8" s="1"/>
  <c r="L15" i="8"/>
  <c r="N15" i="8" s="1"/>
  <c r="L30" i="8"/>
  <c r="N30" i="8" s="1"/>
  <c r="L19" i="8"/>
  <c r="N19" i="8" s="1"/>
  <c r="L9" i="8"/>
  <c r="N9" i="8" s="1"/>
  <c r="L25" i="8"/>
  <c r="N25" i="8" s="1"/>
  <c r="L16" i="8"/>
  <c r="N16" i="8" s="1"/>
  <c r="L28" i="8"/>
  <c r="N28" i="8" s="1"/>
  <c r="L13" i="8"/>
  <c r="N13" i="8" s="1"/>
  <c r="L31" i="8"/>
  <c r="N31" i="8" s="1"/>
  <c r="L17" i="8"/>
  <c r="N17" i="8" s="1"/>
  <c r="K6" i="7" l="1"/>
  <c r="K6" i="6"/>
  <c r="K6" i="3"/>
  <c r="K6" i="2"/>
  <c r="L46" i="1"/>
  <c r="K46" i="1"/>
  <c r="J46" i="1"/>
  <c r="F46" i="1"/>
  <c r="E46" i="1"/>
  <c r="D46" i="1"/>
  <c r="L44" i="1"/>
  <c r="K44" i="1"/>
  <c r="J44" i="1"/>
  <c r="F44" i="1"/>
  <c r="E44" i="1"/>
  <c r="D44" i="1"/>
  <c r="B9" i="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H8" i="1"/>
  <c r="H9" i="1" s="1"/>
  <c r="H10" i="1" s="1"/>
  <c r="H11" i="1" s="1"/>
  <c r="B8" i="1"/>
  <c r="D47" i="7" l="1"/>
  <c r="E5" i="7" s="1"/>
  <c r="K44" i="7" s="1"/>
  <c r="D47" i="3"/>
  <c r="E5" i="3" s="1"/>
  <c r="K38" i="3" s="1"/>
  <c r="D47" i="6"/>
  <c r="E5" i="6" s="1"/>
  <c r="K15" i="3"/>
  <c r="E12" i="3"/>
  <c r="K27" i="3"/>
  <c r="E37" i="3"/>
  <c r="K23" i="3"/>
  <c r="K34" i="3"/>
  <c r="N34" i="3" s="1"/>
  <c r="K30" i="3"/>
  <c r="K45" i="3"/>
  <c r="E23" i="3"/>
  <c r="E19" i="3"/>
  <c r="E42" i="3"/>
  <c r="K31" i="3"/>
  <c r="N31" i="3" s="1"/>
  <c r="K11" i="3"/>
  <c r="D47" i="2"/>
  <c r="E5" i="2" s="1"/>
  <c r="H12" i="1"/>
  <c r="K39" i="7" l="1"/>
  <c r="E40" i="7"/>
  <c r="E13" i="7"/>
  <c r="E25" i="7"/>
  <c r="E37" i="7"/>
  <c r="K37" i="7"/>
  <c r="K20" i="7"/>
  <c r="K17" i="7"/>
  <c r="K41" i="7"/>
  <c r="K36" i="7"/>
  <c r="E26" i="7"/>
  <c r="E17" i="7"/>
  <c r="E22" i="7"/>
  <c r="E27" i="7"/>
  <c r="E45" i="7"/>
  <c r="E24" i="7"/>
  <c r="E14" i="7"/>
  <c r="K13" i="7"/>
  <c r="E33" i="7"/>
  <c r="E30" i="3"/>
  <c r="H30" i="3" s="1"/>
  <c r="E36" i="3"/>
  <c r="K19" i="3"/>
  <c r="E41" i="3"/>
  <c r="K42" i="3"/>
  <c r="E16" i="3"/>
  <c r="E27" i="3"/>
  <c r="E40" i="3"/>
  <c r="K18" i="3"/>
  <c r="K22" i="3"/>
  <c r="E28" i="3"/>
  <c r="K43" i="3"/>
  <c r="E29" i="3"/>
  <c r="E33" i="3"/>
  <c r="H33" i="3" s="1"/>
  <c r="E18" i="3"/>
  <c r="E22" i="3"/>
  <c r="E26" i="3"/>
  <c r="K26" i="3"/>
  <c r="K40" i="3"/>
  <c r="E11" i="3"/>
  <c r="I11" i="3" s="1"/>
  <c r="I12" i="3" s="1"/>
  <c r="I13" i="3" s="1"/>
  <c r="I14" i="3" s="1"/>
  <c r="E15" i="3"/>
  <c r="E39" i="3"/>
  <c r="K29" i="3"/>
  <c r="K35" i="3"/>
  <c r="N35" i="3" s="1"/>
  <c r="E34" i="3"/>
  <c r="H34" i="3" s="1"/>
  <c r="E44" i="3"/>
  <c r="K20" i="3"/>
  <c r="K24" i="3"/>
  <c r="K39" i="3"/>
  <c r="K13" i="3"/>
  <c r="E31" i="3"/>
  <c r="H31" i="3" s="1"/>
  <c r="E35" i="3"/>
  <c r="H35" i="3" s="1"/>
  <c r="E20" i="3"/>
  <c r="E24" i="3"/>
  <c r="E17" i="3"/>
  <c r="K28" i="3"/>
  <c r="K44" i="3"/>
  <c r="E13" i="3"/>
  <c r="K37" i="3"/>
  <c r="E43" i="3"/>
  <c r="K29" i="7"/>
  <c r="K22" i="7"/>
  <c r="K33" i="7"/>
  <c r="N33" i="7" s="1"/>
  <c r="K28" i="7"/>
  <c r="K14" i="7"/>
  <c r="K12" i="7"/>
  <c r="E32" i="3"/>
  <c r="H32" i="3" s="1"/>
  <c r="K33" i="3"/>
  <c r="N33" i="3" s="1"/>
  <c r="E38" i="3"/>
  <c r="K12" i="3"/>
  <c r="E21" i="3"/>
  <c r="E25" i="3"/>
  <c r="K41" i="3"/>
  <c r="K16" i="3"/>
  <c r="K32" i="3"/>
  <c r="N32" i="3" s="1"/>
  <c r="K14" i="3"/>
  <c r="K21" i="3"/>
  <c r="K25" i="3"/>
  <c r="K17" i="3"/>
  <c r="K36" i="3"/>
  <c r="E45" i="3"/>
  <c r="E14" i="3"/>
  <c r="E38" i="7"/>
  <c r="E28" i="7"/>
  <c r="K16" i="7"/>
  <c r="E21" i="7"/>
  <c r="K15" i="7"/>
  <c r="K31" i="7"/>
  <c r="N31" i="7" s="1"/>
  <c r="K21" i="7"/>
  <c r="E29" i="7"/>
  <c r="E18" i="7"/>
  <c r="K30" i="7"/>
  <c r="N30" i="7" s="1"/>
  <c r="K42" i="7"/>
  <c r="E16" i="7"/>
  <c r="E30" i="7"/>
  <c r="H30" i="7" s="1"/>
  <c r="E34" i="7"/>
  <c r="K38" i="7"/>
  <c r="K25" i="7"/>
  <c r="K40" i="7"/>
  <c r="K45" i="7"/>
  <c r="E43" i="7"/>
  <c r="K19" i="7"/>
  <c r="K32" i="7"/>
  <c r="N32" i="7" s="1"/>
  <c r="E44" i="7"/>
  <c r="K18" i="7"/>
  <c r="E31" i="7"/>
  <c r="H31" i="7" s="1"/>
  <c r="E35" i="7"/>
  <c r="E42" i="7"/>
  <c r="K26" i="7"/>
  <c r="E41" i="7"/>
  <c r="K35" i="7"/>
  <c r="E39" i="7"/>
  <c r="E23" i="7"/>
  <c r="E19" i="7"/>
  <c r="K43" i="7"/>
  <c r="E15" i="7"/>
  <c r="K24" i="7"/>
  <c r="E12" i="7"/>
  <c r="K23" i="7"/>
  <c r="K34" i="7"/>
  <c r="N34" i="7" s="1"/>
  <c r="E11" i="7"/>
  <c r="E20" i="7"/>
  <c r="E32" i="7"/>
  <c r="E36" i="7"/>
  <c r="K11" i="7"/>
  <c r="O11" i="7" s="1"/>
  <c r="O12" i="7" s="1"/>
  <c r="O13" i="7" s="1"/>
  <c r="O14" i="7" s="1"/>
  <c r="O15" i="7" s="1"/>
  <c r="O16" i="7" s="1"/>
  <c r="O17" i="7" s="1"/>
  <c r="O18" i="7" s="1"/>
  <c r="O19" i="7" s="1"/>
  <c r="O20" i="7" s="1"/>
  <c r="O21" i="7" s="1"/>
  <c r="K27" i="7"/>
  <c r="E42" i="6"/>
  <c r="K41" i="6"/>
  <c r="E38" i="6"/>
  <c r="E37" i="6"/>
  <c r="E35" i="6"/>
  <c r="E44" i="6"/>
  <c r="E39" i="6"/>
  <c r="K34" i="6"/>
  <c r="N34" i="6" s="1"/>
  <c r="E34" i="6"/>
  <c r="K32" i="6"/>
  <c r="N32" i="6" s="1"/>
  <c r="E32" i="6"/>
  <c r="K30" i="6"/>
  <c r="N30" i="6" s="1"/>
  <c r="E30" i="6"/>
  <c r="H30" i="6" s="1"/>
  <c r="K26" i="6"/>
  <c r="E26" i="6"/>
  <c r="K45" i="6"/>
  <c r="K44" i="6"/>
  <c r="E41" i="6"/>
  <c r="K39" i="6"/>
  <c r="K38" i="6"/>
  <c r="K37" i="6"/>
  <c r="K33" i="6"/>
  <c r="N33" i="6" s="1"/>
  <c r="K31" i="6"/>
  <c r="N31" i="6" s="1"/>
  <c r="E29" i="6"/>
  <c r="E28" i="6"/>
  <c r="E27" i="6"/>
  <c r="K25" i="6"/>
  <c r="K20" i="6"/>
  <c r="K19" i="6"/>
  <c r="K18" i="6"/>
  <c r="K17" i="6"/>
  <c r="K16" i="6"/>
  <c r="K15" i="6"/>
  <c r="K14" i="6"/>
  <c r="K11" i="6"/>
  <c r="K43" i="6"/>
  <c r="K42" i="6"/>
  <c r="E40" i="6"/>
  <c r="E36" i="6"/>
  <c r="K29" i="6"/>
  <c r="K28" i="6"/>
  <c r="K27" i="6"/>
  <c r="K24" i="6"/>
  <c r="E24" i="6"/>
  <c r="K22" i="6"/>
  <c r="E22" i="6"/>
  <c r="K13" i="6"/>
  <c r="E13" i="6"/>
  <c r="E43" i="6"/>
  <c r="K36" i="6"/>
  <c r="E25" i="6"/>
  <c r="E23" i="6"/>
  <c r="E21" i="6"/>
  <c r="E19" i="6"/>
  <c r="E17" i="6"/>
  <c r="E15" i="6"/>
  <c r="K12" i="6"/>
  <c r="E11" i="6"/>
  <c r="K40" i="6"/>
  <c r="K23" i="6"/>
  <c r="K21" i="6"/>
  <c r="E20" i="6"/>
  <c r="E18" i="6"/>
  <c r="E16" i="6"/>
  <c r="E14" i="6"/>
  <c r="E12" i="6"/>
  <c r="E45" i="6"/>
  <c r="K35" i="6"/>
  <c r="E33" i="6"/>
  <c r="E31" i="6"/>
  <c r="H31" i="6" s="1"/>
  <c r="I11" i="7"/>
  <c r="F11" i="7"/>
  <c r="F12" i="7" s="1"/>
  <c r="F13" i="7" s="1"/>
  <c r="E43" i="2"/>
  <c r="K42" i="2"/>
  <c r="E41" i="2"/>
  <c r="K40" i="2"/>
  <c r="K36" i="2"/>
  <c r="E44" i="2"/>
  <c r="E42" i="2"/>
  <c r="E39" i="2"/>
  <c r="K29" i="2"/>
  <c r="E29" i="2"/>
  <c r="K25" i="2"/>
  <c r="E25" i="2"/>
  <c r="K23" i="2"/>
  <c r="E23" i="2"/>
  <c r="K21" i="2"/>
  <c r="E21" i="2"/>
  <c r="K19" i="2"/>
  <c r="E19" i="2"/>
  <c r="K17" i="2"/>
  <c r="E17" i="2"/>
  <c r="K15" i="2"/>
  <c r="E15" i="2"/>
  <c r="K45" i="2"/>
  <c r="E38" i="2"/>
  <c r="K37" i="2"/>
  <c r="K34" i="2"/>
  <c r="N34" i="2" s="1"/>
  <c r="E34" i="2"/>
  <c r="K32" i="2"/>
  <c r="N32" i="2" s="1"/>
  <c r="E32" i="2"/>
  <c r="K30" i="2"/>
  <c r="N30" i="2" s="1"/>
  <c r="E30" i="2"/>
  <c r="H30" i="2" s="1"/>
  <c r="K28" i="2"/>
  <c r="E28" i="2"/>
  <c r="K44" i="2"/>
  <c r="E40" i="2"/>
  <c r="K39" i="2"/>
  <c r="K27" i="2"/>
  <c r="E27" i="2"/>
  <c r="E26" i="2"/>
  <c r="K24" i="2"/>
  <c r="E24" i="2"/>
  <c r="K22" i="2"/>
  <c r="E22" i="2"/>
  <c r="K20" i="2"/>
  <c r="E20" i="2"/>
  <c r="K18" i="2"/>
  <c r="E18" i="2"/>
  <c r="K38" i="2"/>
  <c r="E35" i="2"/>
  <c r="E33" i="2"/>
  <c r="E31" i="2"/>
  <c r="H31" i="2" s="1"/>
  <c r="E16" i="2"/>
  <c r="K12" i="2"/>
  <c r="K11" i="2"/>
  <c r="K31" i="2"/>
  <c r="N31" i="2" s="1"/>
  <c r="K14" i="2"/>
  <c r="K13" i="2"/>
  <c r="E37" i="2"/>
  <c r="K35" i="2"/>
  <c r="N35" i="2" s="1"/>
  <c r="E11" i="2"/>
  <c r="E45" i="2"/>
  <c r="K43" i="2"/>
  <c r="K41" i="2"/>
  <c r="K26" i="2"/>
  <c r="K16" i="2"/>
  <c r="E14" i="2"/>
  <c r="E36" i="2"/>
  <c r="K33" i="2"/>
  <c r="N33" i="2" s="1"/>
  <c r="E13" i="2"/>
  <c r="E12" i="2"/>
  <c r="F11" i="3"/>
  <c r="F12" i="3" s="1"/>
  <c r="F13" i="3" s="1"/>
  <c r="F14" i="3" s="1"/>
  <c r="F15" i="3" s="1"/>
  <c r="L11" i="3"/>
  <c r="O11" i="3"/>
  <c r="O12" i="3" s="1"/>
  <c r="O13" i="3" s="1"/>
  <c r="H13" i="1"/>
  <c r="I12" i="7" l="1"/>
  <c r="L11" i="7"/>
  <c r="L12" i="7" s="1"/>
  <c r="L13" i="7" s="1"/>
  <c r="L14" i="7" s="1"/>
  <c r="O14" i="3"/>
  <c r="O15" i="3" s="1"/>
  <c r="O16" i="3" s="1"/>
  <c r="L12" i="3"/>
  <c r="L13" i="3" s="1"/>
  <c r="L14" i="3" s="1"/>
  <c r="L15" i="3" s="1"/>
  <c r="L16" i="3" s="1"/>
  <c r="L17" i="3"/>
  <c r="L18" i="3" s="1"/>
  <c r="L15" i="7"/>
  <c r="L16" i="7" s="1"/>
  <c r="L17" i="7" s="1"/>
  <c r="L18" i="7" s="1"/>
  <c r="L19" i="7" s="1"/>
  <c r="L20" i="7" s="1"/>
  <c r="L21" i="7" s="1"/>
  <c r="L22" i="7" s="1"/>
  <c r="L23" i="7" s="1"/>
  <c r="O17" i="3"/>
  <c r="O11" i="6"/>
  <c r="L11" i="6"/>
  <c r="L12" i="6" s="1"/>
  <c r="H13" i="7"/>
  <c r="F14" i="7"/>
  <c r="F15" i="7" s="1"/>
  <c r="F16" i="7" s="1"/>
  <c r="F17" i="7" s="1"/>
  <c r="F18" i="7" s="1"/>
  <c r="F19" i="7" s="1"/>
  <c r="F20" i="7" s="1"/>
  <c r="F21" i="7" s="1"/>
  <c r="N22" i="7"/>
  <c r="I11" i="6"/>
  <c r="F11" i="6"/>
  <c r="F12" i="6" s="1"/>
  <c r="I11" i="2"/>
  <c r="I12" i="2" s="1"/>
  <c r="F11" i="2"/>
  <c r="F12" i="2" s="1"/>
  <c r="F13" i="2" s="1"/>
  <c r="L19" i="3"/>
  <c r="N18" i="3"/>
  <c r="O11" i="2"/>
  <c r="O12" i="2" s="1"/>
  <c r="O13" i="2" s="1"/>
  <c r="L11" i="2"/>
  <c r="L12" i="2" s="1"/>
  <c r="L13" i="2" s="1"/>
  <c r="L14" i="2" s="1"/>
  <c r="F16" i="3"/>
  <c r="H15" i="3"/>
  <c r="H14" i="1"/>
  <c r="O18" i="3" l="1"/>
  <c r="L24" i="7"/>
  <c r="N23" i="7"/>
  <c r="L13" i="6"/>
  <c r="N12" i="6"/>
  <c r="F13" i="6"/>
  <c r="H12" i="6"/>
  <c r="I12" i="6" s="1"/>
  <c r="F22" i="7"/>
  <c r="H21" i="7"/>
  <c r="I13" i="7"/>
  <c r="I14" i="7" s="1"/>
  <c r="I15" i="7" s="1"/>
  <c r="I16" i="7" s="1"/>
  <c r="I17" i="7" s="1"/>
  <c r="I18" i="7" s="1"/>
  <c r="I19" i="7" s="1"/>
  <c r="I20" i="7" s="1"/>
  <c r="O22" i="7"/>
  <c r="N14" i="2"/>
  <c r="O14" i="2" s="1"/>
  <c r="L15" i="2"/>
  <c r="F17" i="3"/>
  <c r="H16" i="3"/>
  <c r="F14" i="2"/>
  <c r="H13" i="2"/>
  <c r="L20" i="3"/>
  <c r="N19" i="3"/>
  <c r="I15" i="3"/>
  <c r="I16" i="3" s="1"/>
  <c r="H15" i="1"/>
  <c r="O23" i="7" l="1"/>
  <c r="H22" i="7"/>
  <c r="F23" i="7"/>
  <c r="L14" i="6"/>
  <c r="L15" i="6" s="1"/>
  <c r="L16" i="6" s="1"/>
  <c r="L17" i="6" s="1"/>
  <c r="L18" i="6" s="1"/>
  <c r="L19" i="6" s="1"/>
  <c r="L20" i="6" s="1"/>
  <c r="L21" i="6" s="1"/>
  <c r="N13" i="6"/>
  <c r="I21" i="7"/>
  <c r="I22" i="7" s="1"/>
  <c r="O12" i="6"/>
  <c r="O13" i="6" s="1"/>
  <c r="O14" i="6" s="1"/>
  <c r="O15" i="6" s="1"/>
  <c r="O16" i="6" s="1"/>
  <c r="O17" i="6" s="1"/>
  <c r="O18" i="6" s="1"/>
  <c r="O19" i="6" s="1"/>
  <c r="O20" i="6" s="1"/>
  <c r="H13" i="6"/>
  <c r="I13" i="6" s="1"/>
  <c r="I14" i="6" s="1"/>
  <c r="I15" i="6" s="1"/>
  <c r="I16" i="6" s="1"/>
  <c r="I17" i="6" s="1"/>
  <c r="I18" i="6" s="1"/>
  <c r="I19" i="6" s="1"/>
  <c r="I20" i="6" s="1"/>
  <c r="F14" i="6"/>
  <c r="F15" i="6" s="1"/>
  <c r="F16" i="6" s="1"/>
  <c r="F17" i="6" s="1"/>
  <c r="F18" i="6" s="1"/>
  <c r="F19" i="6" s="1"/>
  <c r="F20" i="6" s="1"/>
  <c r="F21" i="6" s="1"/>
  <c r="N24" i="7"/>
  <c r="L25" i="7"/>
  <c r="L26" i="7" s="1"/>
  <c r="L27" i="7" s="1"/>
  <c r="L28" i="7" s="1"/>
  <c r="L29" i="7" s="1"/>
  <c r="L30" i="7" s="1"/>
  <c r="L31" i="7" s="1"/>
  <c r="L32" i="7" s="1"/>
  <c r="L33" i="7" s="1"/>
  <c r="L34" i="7" s="1"/>
  <c r="L35" i="7" s="1"/>
  <c r="L36" i="7" s="1"/>
  <c r="L37" i="7" s="1"/>
  <c r="L38" i="7" s="1"/>
  <c r="L39" i="7" s="1"/>
  <c r="L40" i="7" s="1"/>
  <c r="L41" i="7" s="1"/>
  <c r="L42" i="7" s="1"/>
  <c r="L43" i="7" s="1"/>
  <c r="L44" i="7" s="1"/>
  <c r="L45" i="7" s="1"/>
  <c r="I17" i="3"/>
  <c r="H14" i="2"/>
  <c r="F15" i="2"/>
  <c r="O19" i="3"/>
  <c r="L16" i="2"/>
  <c r="N15" i="2"/>
  <c r="L21" i="3"/>
  <c r="N20" i="3"/>
  <c r="F18" i="3"/>
  <c r="H17" i="3"/>
  <c r="I13" i="2"/>
  <c r="H16" i="1"/>
  <c r="O24" i="7" l="1"/>
  <c r="O25" i="7" s="1"/>
  <c r="O26" i="7" s="1"/>
  <c r="O27" i="7" s="1"/>
  <c r="O28" i="7" s="1"/>
  <c r="N29" i="7" s="1"/>
  <c r="I14" i="2"/>
  <c r="O20" i="3"/>
  <c r="F22" i="6"/>
  <c r="H21" i="6"/>
  <c r="L22" i="6"/>
  <c r="N21" i="6"/>
  <c r="O21" i="6" s="1"/>
  <c r="F24" i="7"/>
  <c r="H23" i="7"/>
  <c r="L22" i="3"/>
  <c r="N21" i="3"/>
  <c r="O15" i="2"/>
  <c r="F19" i="3"/>
  <c r="H18" i="3"/>
  <c r="N16" i="2"/>
  <c r="L17" i="2"/>
  <c r="F16" i="2"/>
  <c r="H15" i="2"/>
  <c r="H17" i="1"/>
  <c r="N55" i="7" l="1"/>
  <c r="I14" i="5" s="1"/>
  <c r="O21" i="3"/>
  <c r="N52" i="7"/>
  <c r="I11" i="5" s="1"/>
  <c r="N64" i="7"/>
  <c r="N60" i="7" s="1"/>
  <c r="I19" i="5" s="1"/>
  <c r="O29" i="7"/>
  <c r="O30" i="7" s="1"/>
  <c r="O31" i="7" s="1"/>
  <c r="O32" i="7" s="1"/>
  <c r="O33" i="7" s="1"/>
  <c r="O34" i="7" s="1"/>
  <c r="O35" i="7" s="1"/>
  <c r="O36" i="7" s="1"/>
  <c r="O37" i="7" s="1"/>
  <c r="O38" i="7" s="1"/>
  <c r="O39" i="7" s="1"/>
  <c r="O40" i="7" s="1"/>
  <c r="O41" i="7" s="1"/>
  <c r="O42" i="7" s="1"/>
  <c r="O43" i="7" s="1"/>
  <c r="O44" i="7" s="1"/>
  <c r="O45" i="7" s="1"/>
  <c r="H22" i="6"/>
  <c r="F23" i="6"/>
  <c r="N48" i="7"/>
  <c r="N61" i="7" s="1"/>
  <c r="I20" i="5" s="1"/>
  <c r="N59" i="7"/>
  <c r="I18" i="5" s="1"/>
  <c r="F25" i="7"/>
  <c r="F26" i="7" s="1"/>
  <c r="F27" i="7" s="1"/>
  <c r="F28" i="7" s="1"/>
  <c r="F29" i="7" s="1"/>
  <c r="F30" i="7" s="1"/>
  <c r="F31" i="7" s="1"/>
  <c r="F32" i="7" s="1"/>
  <c r="F33" i="7" s="1"/>
  <c r="F34" i="7" s="1"/>
  <c r="F35" i="7" s="1"/>
  <c r="F36" i="7" s="1"/>
  <c r="F37" i="7" s="1"/>
  <c r="F38" i="7" s="1"/>
  <c r="F39" i="7" s="1"/>
  <c r="F40" i="7" s="1"/>
  <c r="F41" i="7" s="1"/>
  <c r="F42" i="7" s="1"/>
  <c r="F43" i="7" s="1"/>
  <c r="F44" i="7" s="1"/>
  <c r="F45" i="7" s="1"/>
  <c r="H24" i="7"/>
  <c r="N58" i="7"/>
  <c r="N53" i="7"/>
  <c r="I12" i="5" s="1"/>
  <c r="I23" i="7"/>
  <c r="N22" i="6"/>
  <c r="L23" i="6"/>
  <c r="I21" i="6"/>
  <c r="I22" i="6" s="1"/>
  <c r="L23" i="3"/>
  <c r="N22" i="3"/>
  <c r="O16" i="2"/>
  <c r="I15" i="2"/>
  <c r="H16" i="2"/>
  <c r="F17" i="2"/>
  <c r="F20" i="3"/>
  <c r="H19" i="3"/>
  <c r="I18" i="3"/>
  <c r="L18" i="2"/>
  <c r="N17" i="2"/>
  <c r="H18" i="1"/>
  <c r="N54" i="7" l="1"/>
  <c r="I13" i="5" s="1"/>
  <c r="I17" i="5"/>
  <c r="I19" i="3"/>
  <c r="F24" i="6"/>
  <c r="H23" i="6"/>
  <c r="I23" i="6" s="1"/>
  <c r="I24" i="7"/>
  <c r="I25" i="7" s="1"/>
  <c r="I26" i="7" s="1"/>
  <c r="I27" i="7" s="1"/>
  <c r="L24" i="6"/>
  <c r="N23" i="6"/>
  <c r="O22" i="6"/>
  <c r="F18" i="2"/>
  <c r="H17" i="2"/>
  <c r="L24" i="3"/>
  <c r="N23" i="3"/>
  <c r="O17" i="2"/>
  <c r="N18" i="2"/>
  <c r="L19" i="2"/>
  <c r="F21" i="3"/>
  <c r="H20" i="3"/>
  <c r="I16" i="2"/>
  <c r="I17" i="2" s="1"/>
  <c r="O22" i="3"/>
  <c r="H19" i="1"/>
  <c r="O23" i="3" l="1"/>
  <c r="O23" i="6"/>
  <c r="O24" i="6" s="1"/>
  <c r="O25" i="6" s="1"/>
  <c r="O26" i="6" s="1"/>
  <c r="O18" i="2"/>
  <c r="H28" i="7"/>
  <c r="N24" i="6"/>
  <c r="L25" i="6"/>
  <c r="L26" i="6" s="1"/>
  <c r="L27" i="6" s="1"/>
  <c r="L28" i="6" s="1"/>
  <c r="L29" i="6" s="1"/>
  <c r="L30" i="6" s="1"/>
  <c r="L31" i="6" s="1"/>
  <c r="L32" i="6" s="1"/>
  <c r="L33" i="6" s="1"/>
  <c r="L34" i="6" s="1"/>
  <c r="L35" i="6" s="1"/>
  <c r="L36" i="6" s="1"/>
  <c r="L37" i="6" s="1"/>
  <c r="L38" i="6" s="1"/>
  <c r="L39" i="6" s="1"/>
  <c r="L40" i="6" s="1"/>
  <c r="L41" i="6" s="1"/>
  <c r="L42" i="6" s="1"/>
  <c r="L43" i="6" s="1"/>
  <c r="L44" i="6" s="1"/>
  <c r="L45" i="6" s="1"/>
  <c r="H24" i="6"/>
  <c r="I24" i="6" s="1"/>
  <c r="I25" i="6" s="1"/>
  <c r="F25" i="6"/>
  <c r="F26" i="6" s="1"/>
  <c r="F27" i="6" s="1"/>
  <c r="F28" i="6" s="1"/>
  <c r="F29" i="6" s="1"/>
  <c r="F30" i="6" s="1"/>
  <c r="F31" i="6" s="1"/>
  <c r="F32" i="6" s="1"/>
  <c r="F33" i="6" s="1"/>
  <c r="F34" i="6" s="1"/>
  <c r="F35" i="6" s="1"/>
  <c r="F36" i="6" s="1"/>
  <c r="F37" i="6" s="1"/>
  <c r="F38" i="6" s="1"/>
  <c r="F39" i="6" s="1"/>
  <c r="F40" i="6" s="1"/>
  <c r="F41" i="6" s="1"/>
  <c r="F42" i="6" s="1"/>
  <c r="F43" i="6" s="1"/>
  <c r="F22" i="3"/>
  <c r="H21" i="3"/>
  <c r="L20" i="2"/>
  <c r="N19" i="2"/>
  <c r="L25" i="3"/>
  <c r="N24" i="3"/>
  <c r="H18" i="2"/>
  <c r="F19" i="2"/>
  <c r="I20" i="3"/>
  <c r="H20" i="1"/>
  <c r="O19" i="2" l="1"/>
  <c r="N27" i="6"/>
  <c r="O27" i="6" s="1"/>
  <c r="H26" i="6"/>
  <c r="F44" i="6"/>
  <c r="I28" i="7"/>
  <c r="I21" i="3"/>
  <c r="F23" i="3"/>
  <c r="H22" i="3"/>
  <c r="F20" i="2"/>
  <c r="H19" i="2"/>
  <c r="L26" i="3"/>
  <c r="L27" i="3" s="1"/>
  <c r="L28" i="3" s="1"/>
  <c r="L29" i="3" s="1"/>
  <c r="L30" i="3" s="1"/>
  <c r="L31" i="3" s="1"/>
  <c r="L32" i="3" s="1"/>
  <c r="L33" i="3" s="1"/>
  <c r="L34" i="3" s="1"/>
  <c r="L35" i="3" s="1"/>
  <c r="L36" i="3" s="1"/>
  <c r="L37" i="3" s="1"/>
  <c r="L38" i="3" s="1"/>
  <c r="L39" i="3" s="1"/>
  <c r="L40" i="3" s="1"/>
  <c r="L41" i="3" s="1"/>
  <c r="L42" i="3" s="1"/>
  <c r="L43" i="3" s="1"/>
  <c r="L44" i="3" s="1"/>
  <c r="L45" i="3" s="1"/>
  <c r="N25" i="3"/>
  <c r="N20" i="2"/>
  <c r="O20" i="2" s="1"/>
  <c r="L21" i="2"/>
  <c r="O24" i="3"/>
  <c r="I18" i="2"/>
  <c r="H21" i="1"/>
  <c r="O25" i="3" l="1"/>
  <c r="O26" i="3" s="1"/>
  <c r="O27" i="3" s="1"/>
  <c r="O28" i="3" s="1"/>
  <c r="O29" i="3" s="1"/>
  <c r="I22" i="3"/>
  <c r="I19" i="2"/>
  <c r="H29" i="7"/>
  <c r="N28" i="6"/>
  <c r="O28" i="6" s="1"/>
  <c r="I26" i="6"/>
  <c r="F45" i="6"/>
  <c r="F24" i="3"/>
  <c r="H23" i="3"/>
  <c r="I23" i="3" s="1"/>
  <c r="H20" i="2"/>
  <c r="F21" i="2"/>
  <c r="L22" i="2"/>
  <c r="N21" i="2"/>
  <c r="O21" i="2" s="1"/>
  <c r="H22" i="1"/>
  <c r="I20" i="2" l="1"/>
  <c r="N29" i="6"/>
  <c r="I27" i="6"/>
  <c r="H27" i="6"/>
  <c r="I29" i="7"/>
  <c r="I30" i="7" s="1"/>
  <c r="I31" i="7" s="1"/>
  <c r="N30" i="3"/>
  <c r="O30" i="3" s="1"/>
  <c r="O31" i="3" s="1"/>
  <c r="O32" i="3" s="1"/>
  <c r="O33" i="3" s="1"/>
  <c r="O34" i="3" s="1"/>
  <c r="O35" i="3" s="1"/>
  <c r="O36" i="3" s="1"/>
  <c r="O37" i="3" s="1"/>
  <c r="O38" i="3" s="1"/>
  <c r="O39" i="3" s="1"/>
  <c r="O40" i="3" s="1"/>
  <c r="O41" i="3" s="1"/>
  <c r="O42" i="3" s="1"/>
  <c r="O43" i="3" s="1"/>
  <c r="O44" i="3" s="1"/>
  <c r="O45" i="3" s="1"/>
  <c r="F22" i="2"/>
  <c r="H21" i="2"/>
  <c r="F25" i="3"/>
  <c r="H24" i="3"/>
  <c r="I24" i="3" s="1"/>
  <c r="N22" i="2"/>
  <c r="O22" i="2" s="1"/>
  <c r="L23" i="2"/>
  <c r="H23" i="1"/>
  <c r="I21" i="2" l="1"/>
  <c r="H28" i="6"/>
  <c r="I28" i="6" s="1"/>
  <c r="N45" i="6"/>
  <c r="H32" i="7"/>
  <c r="O29" i="6"/>
  <c r="O30" i="6" s="1"/>
  <c r="O31" i="6" s="1"/>
  <c r="O32" i="6" s="1"/>
  <c r="O33" i="6" s="1"/>
  <c r="O34" i="6" s="1"/>
  <c r="O35" i="6" s="1"/>
  <c r="O36" i="6" s="1"/>
  <c r="O37" i="6" s="1"/>
  <c r="O38" i="6" s="1"/>
  <c r="O39" i="6" s="1"/>
  <c r="O40" i="6" s="1"/>
  <c r="O41" i="6" s="1"/>
  <c r="O42" i="6" s="1"/>
  <c r="O43" i="6" s="1"/>
  <c r="O44" i="6" s="1"/>
  <c r="O45" i="6" s="1"/>
  <c r="L24" i="2"/>
  <c r="N23" i="2"/>
  <c r="O23" i="2" s="1"/>
  <c r="F26" i="3"/>
  <c r="F27" i="3" s="1"/>
  <c r="F28" i="3" s="1"/>
  <c r="F29" i="3" s="1"/>
  <c r="F30" i="3" s="1"/>
  <c r="F31" i="3" s="1"/>
  <c r="F32" i="3" s="1"/>
  <c r="F33" i="3" s="1"/>
  <c r="F34" i="3" s="1"/>
  <c r="F35" i="3" s="1"/>
  <c r="F36" i="3" s="1"/>
  <c r="F37" i="3" s="1"/>
  <c r="F38" i="3" s="1"/>
  <c r="F39" i="3" s="1"/>
  <c r="F40" i="3" s="1"/>
  <c r="F41" i="3" s="1"/>
  <c r="F42" i="3" s="1"/>
  <c r="F43" i="3" s="1"/>
  <c r="F44" i="3" s="1"/>
  <c r="F45" i="3" s="1"/>
  <c r="H25" i="3"/>
  <c r="I25" i="3" s="1"/>
  <c r="I26" i="3" s="1"/>
  <c r="I27" i="3" s="1"/>
  <c r="I28" i="3" s="1"/>
  <c r="H22" i="2"/>
  <c r="I22" i="2" s="1"/>
  <c r="F23" i="2"/>
  <c r="N59" i="3"/>
  <c r="N53" i="3"/>
  <c r="N55" i="3"/>
  <c r="N64" i="3"/>
  <c r="N52" i="3"/>
  <c r="N48" i="3"/>
  <c r="N61" i="3" s="1"/>
  <c r="N58" i="3"/>
  <c r="H24" i="1"/>
  <c r="N60" i="3" l="1"/>
  <c r="F19" i="5" s="1"/>
  <c r="N64" i="6"/>
  <c r="N59" i="6"/>
  <c r="H18" i="5" s="1"/>
  <c r="N55" i="6"/>
  <c r="H14" i="5" s="1"/>
  <c r="N52" i="6"/>
  <c r="H11" i="5" s="1"/>
  <c r="N53" i="6"/>
  <c r="H12" i="5" s="1"/>
  <c r="N58" i="6"/>
  <c r="N48" i="6"/>
  <c r="N61" i="6" s="1"/>
  <c r="H20" i="5" s="1"/>
  <c r="H29" i="6"/>
  <c r="I32" i="7"/>
  <c r="N54" i="3"/>
  <c r="F17" i="5"/>
  <c r="N24" i="2"/>
  <c r="O24" i="2" s="1"/>
  <c r="L25" i="2"/>
  <c r="F20" i="5"/>
  <c r="F12" i="5"/>
  <c r="F24" i="2"/>
  <c r="H23" i="2"/>
  <c r="I23" i="2" s="1"/>
  <c r="F14" i="5"/>
  <c r="H29" i="3"/>
  <c r="I29" i="3" s="1"/>
  <c r="I30" i="3" s="1"/>
  <c r="I31" i="3" s="1"/>
  <c r="I32" i="3" s="1"/>
  <c r="I33" i="3" s="1"/>
  <c r="I34" i="3" s="1"/>
  <c r="I35" i="3" s="1"/>
  <c r="I36" i="3" s="1"/>
  <c r="I37" i="3" s="1"/>
  <c r="I38" i="3" s="1"/>
  <c r="I39" i="3" s="1"/>
  <c r="I40" i="3" s="1"/>
  <c r="I41" i="3" s="1"/>
  <c r="I42" i="3" s="1"/>
  <c r="I43" i="3" s="1"/>
  <c r="I44" i="3" s="1"/>
  <c r="I45" i="3" s="1"/>
  <c r="F11" i="5"/>
  <c r="F18" i="5"/>
  <c r="H25" i="1"/>
  <c r="N54" i="6" l="1"/>
  <c r="H13" i="5" s="1"/>
  <c r="H17" i="5"/>
  <c r="N60" i="6"/>
  <c r="H19" i="5" s="1"/>
  <c r="I29" i="6"/>
  <c r="I30" i="6" s="1"/>
  <c r="I31" i="6" s="1"/>
  <c r="H33" i="7"/>
  <c r="I33" i="7" s="1"/>
  <c r="H24" i="2"/>
  <c r="F25" i="2"/>
  <c r="H64" i="3"/>
  <c r="H58" i="3"/>
  <c r="H52" i="3"/>
  <c r="H53" i="3"/>
  <c r="H55" i="3"/>
  <c r="H48" i="3"/>
  <c r="H61" i="3" s="1"/>
  <c r="H59" i="3"/>
  <c r="L26" i="2"/>
  <c r="L27" i="2" s="1"/>
  <c r="L28" i="2" s="1"/>
  <c r="L29" i="2" s="1"/>
  <c r="L30" i="2" s="1"/>
  <c r="L31" i="2" s="1"/>
  <c r="L32" i="2" s="1"/>
  <c r="L33" i="2" s="1"/>
  <c r="L34" i="2" s="1"/>
  <c r="L35" i="2" s="1"/>
  <c r="L36" i="2" s="1"/>
  <c r="L37" i="2" s="1"/>
  <c r="L38" i="2" s="1"/>
  <c r="L39" i="2" s="1"/>
  <c r="L40" i="2" s="1"/>
  <c r="L41" i="2" s="1"/>
  <c r="L42" i="2" s="1"/>
  <c r="L43" i="2" s="1"/>
  <c r="L44" i="2" s="1"/>
  <c r="L45" i="2" s="1"/>
  <c r="N25" i="2"/>
  <c r="O25" i="2" s="1"/>
  <c r="O26" i="2" s="1"/>
  <c r="O27" i="2" s="1"/>
  <c r="O28" i="2" s="1"/>
  <c r="F13" i="5"/>
  <c r="I24" i="2"/>
  <c r="H26" i="1"/>
  <c r="H34" i="7" l="1"/>
  <c r="H45" i="7" s="1"/>
  <c r="H32" i="6"/>
  <c r="N29" i="2"/>
  <c r="F25" i="5"/>
  <c r="F31" i="5"/>
  <c r="F24" i="5"/>
  <c r="F26" i="2"/>
  <c r="F27" i="2" s="1"/>
  <c r="F28" i="2" s="1"/>
  <c r="F29" i="2" s="1"/>
  <c r="F30" i="2" s="1"/>
  <c r="F31" i="2" s="1"/>
  <c r="F32" i="2" s="1"/>
  <c r="F33" i="2" s="1"/>
  <c r="F34" i="2" s="1"/>
  <c r="F35" i="2" s="1"/>
  <c r="F36" i="2" s="1"/>
  <c r="F37" i="2" s="1"/>
  <c r="F38" i="2" s="1"/>
  <c r="F39" i="2" s="1"/>
  <c r="F40" i="2" s="1"/>
  <c r="F41" i="2" s="1"/>
  <c r="F42" i="2" s="1"/>
  <c r="F43" i="2" s="1"/>
  <c r="F44" i="2" s="1"/>
  <c r="H25" i="2"/>
  <c r="I25" i="2" s="1"/>
  <c r="I26" i="2" s="1"/>
  <c r="F33" i="5"/>
  <c r="H54" i="3"/>
  <c r="F30" i="5"/>
  <c r="F27" i="5"/>
  <c r="H60" i="3"/>
  <c r="H27" i="1"/>
  <c r="I34" i="7" l="1"/>
  <c r="I35" i="7" s="1"/>
  <c r="I36" i="7" s="1"/>
  <c r="I37" i="7" s="1"/>
  <c r="I38" i="7" s="1"/>
  <c r="I39" i="7" s="1"/>
  <c r="I40" i="7" s="1"/>
  <c r="I41" i="7" s="1"/>
  <c r="I42" i="7" s="1"/>
  <c r="I43" i="7" s="1"/>
  <c r="I44" i="7" s="1"/>
  <c r="I45" i="7" s="1"/>
  <c r="I32" i="6"/>
  <c r="H53" i="7"/>
  <c r="I25" i="5" s="1"/>
  <c r="H59" i="7"/>
  <c r="I31" i="5" s="1"/>
  <c r="H58" i="7"/>
  <c r="H64" i="7"/>
  <c r="H52" i="7"/>
  <c r="I24" i="5" s="1"/>
  <c r="H48" i="7"/>
  <c r="H61" i="7" s="1"/>
  <c r="I33" i="5" s="1"/>
  <c r="H55" i="7"/>
  <c r="I27" i="5" s="1"/>
  <c r="H27" i="2"/>
  <c r="F32" i="5"/>
  <c r="F26" i="5"/>
  <c r="F45" i="2"/>
  <c r="N64" i="2"/>
  <c r="N52" i="2"/>
  <c r="N58" i="2"/>
  <c r="N53" i="2"/>
  <c r="N48" i="2"/>
  <c r="N61" i="2" s="1"/>
  <c r="N55" i="2"/>
  <c r="N59" i="2"/>
  <c r="O29" i="2"/>
  <c r="O30" i="2" s="1"/>
  <c r="O31" i="2" s="1"/>
  <c r="O32" i="2" s="1"/>
  <c r="O33" i="2" s="1"/>
  <c r="O34" i="2" s="1"/>
  <c r="O35" i="2" s="1"/>
  <c r="O36" i="2" s="1"/>
  <c r="O37" i="2" s="1"/>
  <c r="O38" i="2" s="1"/>
  <c r="O39" i="2" s="1"/>
  <c r="O40" i="2" s="1"/>
  <c r="O41" i="2" s="1"/>
  <c r="O42" i="2" s="1"/>
  <c r="O43" i="2" s="1"/>
  <c r="O44" i="2" s="1"/>
  <c r="O45" i="2" s="1"/>
  <c r="H28" i="1"/>
  <c r="H54" i="7" l="1"/>
  <c r="I26" i="5" s="1"/>
  <c r="I30" i="5"/>
  <c r="H60" i="7"/>
  <c r="I32" i="5" s="1"/>
  <c r="N60" i="2"/>
  <c r="E19" i="5" s="1"/>
  <c r="H33" i="6"/>
  <c r="I33" i="6" s="1"/>
  <c r="E20" i="5"/>
  <c r="I27" i="2"/>
  <c r="E12" i="5"/>
  <c r="E18" i="5"/>
  <c r="E17" i="5"/>
  <c r="N54" i="2"/>
  <c r="E14" i="5"/>
  <c r="E11" i="5"/>
  <c r="H29" i="1"/>
  <c r="H34" i="6" l="1"/>
  <c r="H43" i="6" s="1"/>
  <c r="H44" i="6" s="1"/>
  <c r="H45" i="6" s="1"/>
  <c r="H28" i="2"/>
  <c r="I28" i="2" s="1"/>
  <c r="E13" i="5"/>
  <c r="H30" i="1"/>
  <c r="H53" i="6" l="1"/>
  <c r="H25" i="5" s="1"/>
  <c r="H52" i="6"/>
  <c r="H24" i="5" s="1"/>
  <c r="H55" i="6"/>
  <c r="H27" i="5" s="1"/>
  <c r="H48" i="6"/>
  <c r="H61" i="6" s="1"/>
  <c r="H33" i="5" s="1"/>
  <c r="H58" i="6"/>
  <c r="H59" i="6"/>
  <c r="H31" i="5" s="1"/>
  <c r="H64" i="6"/>
  <c r="H60" i="6" s="1"/>
  <c r="H32" i="5" s="1"/>
  <c r="I34" i="6"/>
  <c r="I35" i="6" s="1"/>
  <c r="I36" i="6" s="1"/>
  <c r="I37" i="6" s="1"/>
  <c r="I38" i="6" s="1"/>
  <c r="I39" i="6" s="1"/>
  <c r="I40" i="6" s="1"/>
  <c r="I41" i="6" s="1"/>
  <c r="I42" i="6" s="1"/>
  <c r="I43" i="6" s="1"/>
  <c r="I44" i="6" s="1"/>
  <c r="I45" i="6" s="1"/>
  <c r="H29" i="2"/>
  <c r="H31" i="1"/>
  <c r="H54" i="6" l="1"/>
  <c r="H26" i="5" s="1"/>
  <c r="H30" i="5"/>
  <c r="I29" i="2"/>
  <c r="I30" i="2" s="1"/>
  <c r="I31" i="2" s="1"/>
  <c r="H32" i="1"/>
  <c r="H32" i="2" l="1"/>
  <c r="H33" i="1"/>
  <c r="I32" i="2" l="1"/>
  <c r="H34" i="1"/>
  <c r="H33" i="2" l="1"/>
  <c r="H35" i="1"/>
  <c r="I33" i="2" l="1"/>
  <c r="H36" i="1"/>
  <c r="H34" i="2" l="1"/>
  <c r="I34" i="2" s="1"/>
  <c r="H37" i="1"/>
  <c r="H35" i="2" l="1"/>
  <c r="H38" i="1"/>
  <c r="H44" i="2" l="1"/>
  <c r="H45" i="2" s="1"/>
  <c r="I35" i="2"/>
  <c r="I36" i="2" s="1"/>
  <c r="I37" i="2" s="1"/>
  <c r="I38" i="2" s="1"/>
  <c r="I39" i="2" s="1"/>
  <c r="I40" i="2" s="1"/>
  <c r="I41" i="2" s="1"/>
  <c r="I42" i="2" s="1"/>
  <c r="I43" i="2" s="1"/>
  <c r="I44" i="2" s="1"/>
  <c r="H39" i="1"/>
  <c r="I45" i="2" l="1"/>
  <c r="H55" i="2"/>
  <c r="H58" i="2"/>
  <c r="H53" i="2"/>
  <c r="H64" i="2"/>
  <c r="H52" i="2"/>
  <c r="H48" i="2"/>
  <c r="H61" i="2" s="1"/>
  <c r="H59" i="2"/>
  <c r="H40" i="1"/>
  <c r="E27" i="5" l="1"/>
  <c r="E31" i="5"/>
  <c r="E25" i="5"/>
  <c r="E33" i="5"/>
  <c r="H54" i="2"/>
  <c r="E30" i="5"/>
  <c r="E24" i="5"/>
  <c r="H60" i="2"/>
  <c r="H41" i="1"/>
  <c r="E32" i="5" l="1"/>
  <c r="E26" i="5"/>
  <c r="I41"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alcChain>
</file>

<file path=xl/sharedStrings.xml><?xml version="1.0" encoding="utf-8"?>
<sst xmlns="http://schemas.openxmlformats.org/spreadsheetml/2006/main" count="734" uniqueCount="233">
  <si>
    <t>Average Thermal Generation by water year (GW.h)</t>
  </si>
  <si>
    <t>Distribution of Annual Water Year Levels</t>
  </si>
  <si>
    <t>Water Year</t>
  </si>
  <si>
    <t>Load at 420 GW.h [approx. 2018 GRA load level]</t>
  </si>
  <si>
    <t>Load at 380 GW.h [approx. 2018 GRA load level no mines]</t>
  </si>
  <si>
    <t>Load at 450 GW.h [approx. 2018 GRA load level plus 30 GW.h new mine load]</t>
  </si>
  <si>
    <t>% of Years not less than</t>
  </si>
  <si>
    <t>LTA (Average)</t>
  </si>
  <si>
    <t>Median</t>
  </si>
  <si>
    <t>Impact of DCF at Cap - 2018 Example - Load at 420 GWH</t>
  </si>
  <si>
    <t>Cap assumed at</t>
  </si>
  <si>
    <t>million</t>
  </si>
  <si>
    <t>LTA</t>
  </si>
  <si>
    <t>GW.h</t>
  </si>
  <si>
    <t>LNG cost</t>
  </si>
  <si>
    <t>$/kWh</t>
  </si>
  <si>
    <t xml:space="preserve">Blend cost </t>
  </si>
  <si>
    <t>LNG (balance diesel)</t>
  </si>
  <si>
    <t>Diesel cost</t>
  </si>
  <si>
    <t>DCF at 100% Diesel</t>
  </si>
  <si>
    <t>DCF at 90% LNG, 10% Diesel</t>
  </si>
  <si>
    <t>DCF start in 1981  -No Cap ($ Million)</t>
  </si>
  <si>
    <t>DCF  - With Cap   ($ million)</t>
  </si>
  <si>
    <t>Thermal GW.h</t>
  </si>
  <si>
    <t xml:space="preserve">Annual </t>
  </si>
  <si>
    <t>Total</t>
  </si>
  <si>
    <t>Charge or (Rebate)</t>
  </si>
  <si>
    <t>Net</t>
  </si>
  <si>
    <t xml:space="preserve">Number of water years </t>
  </si>
  <si>
    <t>No rate rider impact</t>
  </si>
  <si>
    <t>Rider rebates</t>
  </si>
  <si>
    <t>Max rebate</t>
  </si>
  <si>
    <t>Rider charges</t>
  </si>
  <si>
    <t>Rider Impact ($M)</t>
  </si>
  <si>
    <t>Max Rebate</t>
  </si>
  <si>
    <t>Peak Charge</t>
  </si>
  <si>
    <t>Average charge year</t>
  </si>
  <si>
    <t>Net impact 35 yrs</t>
  </si>
  <si>
    <t>Total charges</t>
  </si>
  <si>
    <t xml:space="preserve">420 GW.h/year load (13.9 GW.h/yr  LTA thermal) </t>
  </si>
  <si>
    <t>450 GW.h/yr load (28.6 GW.h/yr LTA thermal)</t>
  </si>
  <si>
    <t>"+/-" DCF Cap ($million)</t>
  </si>
  <si>
    <t>DCF at 90% LNG and 10% Diesel</t>
  </si>
  <si>
    <t xml:space="preserve">Number of water years (out of 35) with </t>
  </si>
  <si>
    <t>Rider Impact ($M/yr)</t>
  </si>
  <si>
    <t>Net impact after 35 yrs</t>
  </si>
  <si>
    <t>Table 3.4-6A</t>
  </si>
  <si>
    <t>Table 3.4-6B</t>
  </si>
  <si>
    <t>Table 3.4-7A</t>
  </si>
  <si>
    <t>Table 3.4-7B</t>
  </si>
  <si>
    <t>Impact of DCF at Cap - 2018 Example - Load at 450 GWH</t>
  </si>
  <si>
    <t>Increase in</t>
  </si>
  <si>
    <t>Line Number</t>
  </si>
  <si>
    <t>YEC Grid Load Net of Wind (GWh)</t>
  </si>
  <si>
    <t>YEC Hydro  Generation (GWh)</t>
  </si>
  <si>
    <t>YEC Thermal Generation (GWh)</t>
  </si>
  <si>
    <t>Load (GWh)</t>
  </si>
  <si>
    <t>Thermal Generation (GWh)</t>
  </si>
  <si>
    <t>Thermal as % of Increased Load</t>
  </si>
  <si>
    <t>Column A</t>
  </si>
  <si>
    <t>Column B</t>
  </si>
  <si>
    <t>Column C</t>
  </si>
  <si>
    <t>Column D</t>
  </si>
  <si>
    <t>Column E</t>
  </si>
  <si>
    <t>Column F = E/D</t>
  </si>
  <si>
    <t>Notes:</t>
  </si>
  <si>
    <t>1. "YEC Grid Load" is annual YEC generation load on the Integrated Grid, excluding actual less expected Fish Lake hydro generation.</t>
  </si>
  <si>
    <t>2. The thermal generation and increase for the added load are based on a polynomial equation derived from “YECSIM” - the simulation model developed for the Integrated Grid by KGS Group.</t>
  </si>
  <si>
    <t>3. The model calculates expected hydro plant generation for each load scenario. It incorporates, on a weekly time step, 35 "water years" on record (1981-2015) and 20 "load years" (each examines a different hypothetical scenario to evaluate generation under different sequences of the recorded water years), of which 13 load years (load years 7-19) are used for the final averaging (this removes results distorted by starting or ending year volumes). "Hydro Generation" is long-term average hydro generation as estimated by YECSIM.</t>
  </si>
  <si>
    <t>4. The simulation model results used for this table assume the current operation rule in effect at Aishihik Lake (i.e., 10-year rolling average spring elevation no lower than 913.7 m), current Mayo Lake operation rule (no additional storage, impact of sedimentation at the outlet of Mayo Lake) and restricted Mayo GS winter flows.</t>
  </si>
  <si>
    <t xml:space="preserve">5. The simulation model results are based on the 2018 forecast load distributions, and requires modifications when new mines or industrial loads are connected [or disconncted from] to the grid. </t>
  </si>
  <si>
    <t>6. This table assumes max load at 485 GW.h and minimum load at 370 GW.h. If the load exceeds these limits then the table needs to be updated.</t>
  </si>
  <si>
    <t>7. Numbers are subject to rounding.</t>
  </si>
  <si>
    <t>Example</t>
  </si>
  <si>
    <t>Expected YEC Thermal Generation for the YEC generation at 417 GW.h (net of expected (GRA) Wind)</t>
  </si>
  <si>
    <t>Step 1.</t>
  </si>
  <si>
    <t>Find the closest load from Column A that is less than 417 GW.h = 415 GW.h (Line 10).</t>
  </si>
  <si>
    <t>Step 2.</t>
  </si>
  <si>
    <t>Find the thermal generation from Column C = 12.123 GW.h (Line 10).</t>
  </si>
  <si>
    <t>Step 3.</t>
  </si>
  <si>
    <t>Find the difference between the given load (417 GW.h) and load from Step 1 (415 GW.h) = 2 GW.h</t>
  </si>
  <si>
    <t>Step 4.</t>
  </si>
  <si>
    <t>Apply the percentage from Column F (Line 11, 42%) to the difference from Step 3 (2 GW.h)  = 0.840 GW.h</t>
  </si>
  <si>
    <t>Step 5.</t>
  </si>
  <si>
    <t>Add numbers from Step 2 (12.123 GW.h) and Step 4 (0.840 GW.h) = 12.963 GW.h</t>
  </si>
  <si>
    <t>The expected thermal generation at 417 GW.h load is 12.963 GW.h.</t>
  </si>
  <si>
    <t>The load assumed the maximum load at 485 GW.h and the minimum load at 370 GW.h.</t>
  </si>
  <si>
    <t>Table 3.4-1: Expected YEC Thermal Generation with LTA YEC Hydro Generation</t>
  </si>
  <si>
    <t>Line</t>
  </si>
  <si>
    <t>Activity</t>
  </si>
  <si>
    <t>Year 1</t>
  </si>
  <si>
    <t>Year 2</t>
  </si>
  <si>
    <t>Year 3</t>
  </si>
  <si>
    <t>Year 4</t>
  </si>
  <si>
    <t>Year 5</t>
  </si>
  <si>
    <t>A</t>
  </si>
  <si>
    <r>
      <t>DCF Opening Balance</t>
    </r>
    <r>
      <rPr>
        <b/>
        <vertAlign val="superscript"/>
        <sz val="11"/>
        <color theme="1"/>
        <rFont val="Arial"/>
        <family val="2"/>
      </rPr>
      <t>1</t>
    </r>
    <r>
      <rPr>
        <b/>
        <sz val="11"/>
        <color theme="1"/>
        <rFont val="Arial"/>
        <family val="2"/>
      </rPr>
      <t xml:space="preserve">  ($000s)</t>
    </r>
  </si>
  <si>
    <t>B</t>
  </si>
  <si>
    <r>
      <t>Yukon Grid Generation</t>
    </r>
    <r>
      <rPr>
        <b/>
        <vertAlign val="superscript"/>
        <sz val="11"/>
        <color theme="1"/>
        <rFont val="Arial"/>
        <family val="2"/>
      </rPr>
      <t>2</t>
    </r>
  </si>
  <si>
    <t>C</t>
  </si>
  <si>
    <r>
      <t>AEY Fish Lake</t>
    </r>
    <r>
      <rPr>
        <b/>
        <vertAlign val="superscript"/>
        <sz val="11"/>
        <color theme="1"/>
        <rFont val="Arial"/>
        <family val="2"/>
      </rPr>
      <t>2</t>
    </r>
  </si>
  <si>
    <r>
      <t>YEC Grid Generation</t>
    </r>
    <r>
      <rPr>
        <b/>
        <vertAlign val="superscript"/>
        <sz val="11"/>
        <color theme="1"/>
        <rFont val="Arial"/>
        <family val="2"/>
      </rPr>
      <t>2</t>
    </r>
  </si>
  <si>
    <t>D</t>
  </si>
  <si>
    <t>Assumed actual YEC Hydro (MW.h)</t>
  </si>
  <si>
    <t>E</t>
  </si>
  <si>
    <t>Assumed actual YEC Thermal [net of capital, insurance, maintenace] (MW.h)</t>
  </si>
  <si>
    <t>F</t>
  </si>
  <si>
    <t>Assumed actual actual Wind (MW.h)</t>
  </si>
  <si>
    <t>G=D+E+F</t>
  </si>
  <si>
    <t>Total YEC Generation (MW.h)</t>
  </si>
  <si>
    <t>H</t>
  </si>
  <si>
    <r>
      <t>Expected YEC Thermal Generation in Rates</t>
    </r>
    <r>
      <rPr>
        <vertAlign val="superscript"/>
        <sz val="11"/>
        <rFont val="Arial"/>
        <family val="2"/>
      </rPr>
      <t>3</t>
    </r>
    <r>
      <rPr>
        <sz val="11"/>
        <rFont val="Arial"/>
        <family val="2"/>
      </rPr>
      <t xml:space="preserve"> (MW.h)</t>
    </r>
  </si>
  <si>
    <t>I=E-H</t>
  </si>
  <si>
    <t>YEC Thermal Generation to be Included in DCF (MW.h)</t>
  </si>
  <si>
    <t>J=I*Fuel cost</t>
  </si>
  <si>
    <r>
      <t>Incremental Thermal Generation Cost to Charge</t>
    </r>
    <r>
      <rPr>
        <vertAlign val="superscript"/>
        <sz val="11"/>
        <rFont val="Arial"/>
        <family val="2"/>
      </rPr>
      <t>4</t>
    </r>
    <r>
      <rPr>
        <sz val="11"/>
        <rFont val="Arial"/>
        <family val="2"/>
      </rPr>
      <t xml:space="preserve"> (Refund) DCF ($000s)</t>
    </r>
  </si>
  <si>
    <t>K=J</t>
  </si>
  <si>
    <t>Total DCF operation for YEC</t>
  </si>
  <si>
    <t>YEC pays to DCF Fund</t>
  </si>
  <si>
    <t>YEC withdraws from DCF Fund</t>
  </si>
  <si>
    <t>L=A+K</t>
  </si>
  <si>
    <t>DCF Ending Balance  ($000s)</t>
  </si>
  <si>
    <t>M</t>
  </si>
  <si>
    <r>
      <t>Interest on DCF Balance</t>
    </r>
    <r>
      <rPr>
        <b/>
        <vertAlign val="superscript"/>
        <sz val="11"/>
        <color theme="1"/>
        <rFont val="Arial"/>
        <family val="2"/>
      </rPr>
      <t>5</t>
    </r>
    <r>
      <rPr>
        <b/>
        <sz val="11"/>
        <color theme="1"/>
        <rFont val="Arial"/>
        <family val="2"/>
      </rPr>
      <t xml:space="preserve">  ($000s)</t>
    </r>
  </si>
  <si>
    <t>N=L+M</t>
  </si>
  <si>
    <r>
      <t>DCF Ending Balance</t>
    </r>
    <r>
      <rPr>
        <b/>
        <vertAlign val="superscript"/>
        <sz val="11"/>
        <color theme="1"/>
        <rFont val="Arial"/>
        <family val="2"/>
      </rPr>
      <t>6</t>
    </r>
    <r>
      <rPr>
        <b/>
        <sz val="11"/>
        <color theme="1"/>
        <rFont val="Arial"/>
        <family val="2"/>
      </rPr>
      <t xml:space="preserve"> after Interest charge ($000s)</t>
    </r>
  </si>
  <si>
    <t>O</t>
  </si>
  <si>
    <r>
      <t>Required Collections/(Refund)</t>
    </r>
    <r>
      <rPr>
        <b/>
        <vertAlign val="superscript"/>
        <sz val="11"/>
        <color theme="1"/>
        <rFont val="Arial"/>
        <family val="2"/>
      </rPr>
      <t>7</t>
    </r>
    <r>
      <rPr>
        <b/>
        <sz val="11"/>
        <color theme="1"/>
        <rFont val="Arial"/>
        <family val="2"/>
      </rPr>
      <t xml:space="preserve"> ($000s)</t>
    </r>
  </si>
  <si>
    <t>P=N-O</t>
  </si>
  <si>
    <r>
      <t>DCF Ending Balance</t>
    </r>
    <r>
      <rPr>
        <b/>
        <vertAlign val="superscript"/>
        <sz val="11"/>
        <color theme="1"/>
        <rFont val="Arial"/>
        <family val="2"/>
      </rPr>
      <t>8</t>
    </r>
    <r>
      <rPr>
        <b/>
        <sz val="11"/>
        <color theme="1"/>
        <rFont val="Arial"/>
        <family val="2"/>
      </rPr>
      <t xml:space="preserve"> after Required Collections/(Refund) ($000s)</t>
    </r>
  </si>
  <si>
    <t>1. DCF opening balance for Year 1 is 2016 preliminary actual ending balance of DCF account.</t>
  </si>
  <si>
    <t xml:space="preserve">2. Assumed actual generation. Please see detailed calculations in Table 3.4-3. </t>
  </si>
  <si>
    <t xml:space="preserve">3. Expected YEC thermal generation is calculated based on Updated Table 3.4-1 in Appendix 3.4. Please see detailed calculations in Table 3.4-3. </t>
  </si>
  <si>
    <t>4. LNG generation cost assumed at 14.668 cents per kW.h and diesel generation cost assumed at 26.333 cents/kW.h (based on 2017/18 GRA average fuel costs).</t>
  </si>
  <si>
    <t>5. Per the March 11, 1996 letter recording the settlements [provided as Exhibit B-16 in the 2008/2009 GRA] the DCF fund is to attract interest based upon the short/intermediate term bond rates in which the Companies may invest the fund and any negative balances would only attract interest at the lowest short-term borrowing rate available to the Companies through a line of credit. For this example used 1.25% based on Government of Canada Bond Yields for 3-year and 5-year issues.</t>
  </si>
  <si>
    <t>6. Positive balances represent amounts to the benefit of ratepayers; negative balances are amounts owing to YEC.</t>
  </si>
  <si>
    <t>7. YUB in its Order 2015-01 approved the current DCF balance cap at +/- $8 million. In any year when the balance in the DCF falls outside of the approved DCF cap range at fiscal year end, YEC shall apply to the Board for approval of a rate rider to dispense with the balance that is outside of that range within 60 days of the fiscal year end.</t>
  </si>
  <si>
    <t>8. Notional ending balance for illustration purposes only. Any excess amount of approved +/- DCF cap balance range at fiscal year end would be dispensed within the next 12 months [April through March of following year], unless YUB approves a different period for a charge to mitigate adverse rate impacts.</t>
  </si>
  <si>
    <t>Line No</t>
  </si>
  <si>
    <t>Notes</t>
  </si>
  <si>
    <t>L1a</t>
  </si>
  <si>
    <t>Diesel Fuel Cost per kW.h</t>
  </si>
  <si>
    <t>cents/kW.h</t>
  </si>
  <si>
    <t>GRA Application Average Fuel cost (2017/18 GRA Application)</t>
  </si>
  <si>
    <t>L1b</t>
  </si>
  <si>
    <t>LNG Fuel Cost per kW.h</t>
  </si>
  <si>
    <t>Calculation of Thermal Cost to Charge (Refund) DCF</t>
  </si>
  <si>
    <t>Year 1 - Actual Wind and Fish Lake at Forecast; Actual Thermal Generation Below Expected</t>
  </si>
  <si>
    <t>Assumptions</t>
  </si>
  <si>
    <t>L2</t>
  </si>
  <si>
    <t>YEC Grid load</t>
  </si>
  <si>
    <t>MW.h</t>
  </si>
  <si>
    <t>assumed actual</t>
  </si>
  <si>
    <t>L3</t>
  </si>
  <si>
    <t>Fish Lake</t>
  </si>
  <si>
    <t>L4=L2+L3</t>
  </si>
  <si>
    <t>Total Grid load</t>
  </si>
  <si>
    <t>Assumed Actual Generation Sources</t>
  </si>
  <si>
    <t>L5</t>
  </si>
  <si>
    <t>YECL Fish Lake</t>
  </si>
  <si>
    <t>L6</t>
  </si>
  <si>
    <t>YEC Hydro</t>
  </si>
  <si>
    <t>L7</t>
  </si>
  <si>
    <t>YEC Thermal (net of capital, insurance and maintenance)</t>
  </si>
  <si>
    <t>L7a</t>
  </si>
  <si>
    <t>YEC Diesel (net of capital, insurance and maintenance)</t>
  </si>
  <si>
    <t>L7b</t>
  </si>
  <si>
    <t>YEC LNG (net of capital, insurance and maintenance)</t>
  </si>
  <si>
    <t>L8</t>
  </si>
  <si>
    <t>YEC Wind</t>
  </si>
  <si>
    <t>L9</t>
  </si>
  <si>
    <t>Expected Generation Sources</t>
  </si>
  <si>
    <t>L10</t>
  </si>
  <si>
    <t>YECL Fish Lake (expected)</t>
  </si>
  <si>
    <t xml:space="preserve">YECL Fish Lake long term average hydro generation based on YUB Order 2014-06. </t>
  </si>
  <si>
    <t>L11</t>
  </si>
  <si>
    <t>YEC Wind (expected)</t>
  </si>
  <si>
    <t>YEC 2017/18 GRA</t>
  </si>
  <si>
    <t>L12=L9-L10-L11</t>
  </si>
  <si>
    <t>YEC Grid load net of expected Fish Lake and Wind</t>
  </si>
  <si>
    <t>L13</t>
  </si>
  <si>
    <t>Expected Base Thermal Generation at 410 GW.h</t>
  </si>
  <si>
    <t>Derived from updated Table 3.4-1, Appendix 3.4</t>
  </si>
  <si>
    <t>L14=(L12-400 GW.h)x31%</t>
  </si>
  <si>
    <t>Expected Incremental Thermal Generation at 4,420 MW.h above 410 GW.h</t>
  </si>
  <si>
    <t>38% of Grid Load between 415 GW.h and 420 GW.h is thermal - Derived from updated Table 3.4-1, Appendix 3.4</t>
  </si>
  <si>
    <t>L15=L13+L14</t>
  </si>
  <si>
    <t>Total Expected YEC Thermal Generation</t>
  </si>
  <si>
    <t>L16=L15</t>
  </si>
  <si>
    <t>Expected YEC Thermal Generation in Rates</t>
  </si>
  <si>
    <t>100% of long-term average</t>
  </si>
  <si>
    <t>L17=L7</t>
  </si>
  <si>
    <t>Actual YEC Net Thermal Generation</t>
  </si>
  <si>
    <t>assumed net actual</t>
  </si>
  <si>
    <t>L18=L17-L16</t>
  </si>
  <si>
    <t>YEC Thermal Generation to be included in DCF</t>
  </si>
  <si>
    <t>L18a [see Notes]</t>
  </si>
  <si>
    <t>YEC Diesel Generation to be included in DCF</t>
  </si>
  <si>
    <t>IF L18&lt;0, Maximize (0.1xL16-L7a and 0) - -    Otherwise,  IF L18&gt;0, Minimize (0.1xL16-L7a and 0) - -result shown as negative</t>
  </si>
  <si>
    <t>L18b=L18-L18a</t>
  </si>
  <si>
    <t>YEC LNG Generation to be included in DCF</t>
  </si>
  <si>
    <t>L19=L1axL18a+L1bxL18b</t>
  </si>
  <si>
    <t>Incremental YEC Thermal Generation Cost to Charge (Refund) DCF ($000s)</t>
  </si>
  <si>
    <t>Year 2  - Actual Wind and Fish Lake at Forecast; Actual Thermal Generation Below Expected</t>
  </si>
  <si>
    <t>Expected Base Thermal Generation at 420 GW.h</t>
  </si>
  <si>
    <t>L14=(L12-415 GW.h)x42%</t>
  </si>
  <si>
    <t>Expected Incremental Thermal Generation at 4,420 MW.h above 420 GW.h</t>
  </si>
  <si>
    <t>45% of Grid Load between 420 GW.h and 425 GW.h is thermal</t>
  </si>
  <si>
    <t>Year 3  - Actual Wind and Fish Lake Higher than Forecast; Actual Thermal Generation Below Expected</t>
  </si>
  <si>
    <t>Expected Base Thermal Generation at 435 GW.h</t>
  </si>
  <si>
    <t>L14=(L12-435 GW.h)x55%</t>
  </si>
  <si>
    <t>Expected Incremental Thermal Generation at 1,190 MW.h above 435 GW.h</t>
  </si>
  <si>
    <t>55% of Load between 435 GW.h and 440 GW.h is thermal</t>
  </si>
  <si>
    <t>Year 4  - Actual Wind and Fish Lake below Forecast; Actual Thermal Generation Above Expected</t>
  </si>
  <si>
    <t>Expected Base Thermal Generation at 445 GW.h</t>
  </si>
  <si>
    <t>L14=(L12-445 GW.h)x61%</t>
  </si>
  <si>
    <t>Expected Incremental Thermal Generation at 1,290 MW.h above 445 GW.h</t>
  </si>
  <si>
    <t>61% of Load between 445 GW.h and 450 GW.h is thermal</t>
  </si>
  <si>
    <t>Year 5  - Actual Wind and Fish Lake at Forecast; Actual Thermal Generation Above Expected</t>
  </si>
  <si>
    <t>Expected Base Thermal Generation at 460 GW.h</t>
  </si>
  <si>
    <t>L14=(L12-460 GW.h)x68%</t>
  </si>
  <si>
    <t>Expected Incremental Thermal Generation at 420 MW.h above 460 GW.h</t>
  </si>
  <si>
    <t>68% of Load between 460 GW.h and 465 GW.h is thermal</t>
  </si>
  <si>
    <t>Table 3.4-2: DCF Operation Example for 5 Forecast Years</t>
  </si>
  <si>
    <t>Assumed DCF cap (+/- $8 million)</t>
  </si>
  <si>
    <t>Table 3.4-3: DCF Formulaic Approach Operation Examples for 5 Load Forecast Cases</t>
  </si>
  <si>
    <t>Table 3.4-4: Average Annual Thermal Generation (Averaged Load Years for 35 Water Years)</t>
  </si>
  <si>
    <t>Table 3.4-5: Summary - DCF Cap Option Impacts - 420 &amp; 450 GW.h/yr. 
Loads with Minto Mine</t>
  </si>
  <si>
    <t>Table 3.4-6A: +/- $8 Million DCF Cap with 420 GW.h Load</t>
  </si>
  <si>
    <t>Table 3.4-6B: +/- $16 Million DCF Cap with 420 GW.h Load</t>
  </si>
  <si>
    <t>Table 3.4-7A: +/- $8 Million DCF Cap with 450 GW.h Load</t>
  </si>
  <si>
    <t>Table 3.4-7B: +/- $16 Million DCF Cap with 450 GW.h Load</t>
  </si>
  <si>
    <t>Average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</si>
</sst>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8" formatCode="&quot;$&quot;#,##0.00;[Red]\-&quot;$&quot;#,##0.00"/>
    <numFmt numFmtId="44" formatCode="_-&quot;$&quot;* #,##0.00_-;\-&quot;$&quot;* #,##0.00_-;_-&quot;$&quot;* &quot;-&quot;??_-;_-@_-"/>
    <numFmt numFmtId="43" formatCode="_-* #,##0.00_-;\-* #,##0.00_-;_-* &quot;-&quot;??_-;_-@_-"/>
    <numFmt numFmtId="164" formatCode="_-* #,##0.0_-;\-* #,##0.0_-;_-* &quot;-&quot;??_-;_-@_-"/>
    <numFmt numFmtId="165" formatCode="0.0000"/>
    <numFmt numFmtId="167" formatCode="_-* #,##0.000_-;\-* #,##0.000_-;_-* &quot;-&quot;??_-;_-@_-"/>
    <numFmt numFmtId="168" formatCode="_-* #,##0_-;\-* #,##0_-;_-* &quot;-&quot;??_-;_-@_-"/>
    <numFmt numFmtId="170" formatCode="&quot;$&quot;#,##0_);[Red]\(&quot;$&quot;#,##0\)"/>
    <numFmt numFmtId="171" formatCode="&quot;$&quot;#,##0_);\(&quot;$&quot;#,##0\)"/>
    <numFmt numFmtId="172" formatCode="_-&quot;$&quot;* #,##0_-;\(&quot;$&quot;#,##0\)_-;_-&quot;$&quot;* &quot;-&quot;??_-;_-@_-"/>
    <numFmt numFmtId="173" formatCode="_-&quot;$&quot;* #,##0.000000_-;\-&quot;$&quot;* #,##0.000000_-;_-&quot;$&quot;* &quot;-&quot;??_-;_-@_-"/>
    <numFmt numFmtId="174" formatCode="0.000"/>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Tahoma"/>
      <family val="2"/>
    </font>
    <font>
      <sz val="10"/>
      <color theme="1"/>
      <name val="Tahoma"/>
      <family val="2"/>
    </font>
    <font>
      <b/>
      <sz val="12"/>
      <color theme="1"/>
      <name val="Calibri"/>
      <family val="2"/>
      <scheme val="minor"/>
    </font>
    <font>
      <sz val="10"/>
      <name val="Tahoma"/>
      <family val="2"/>
    </font>
    <font>
      <sz val="11"/>
      <color theme="1"/>
      <name val="Arial"/>
      <family val="2"/>
    </font>
    <font>
      <b/>
      <sz val="11"/>
      <color theme="1"/>
      <name val="Arial"/>
      <family val="2"/>
    </font>
    <font>
      <sz val="11"/>
      <name val="Arial"/>
      <family val="2"/>
    </font>
    <font>
      <b/>
      <vertAlign val="superscript"/>
      <sz val="11"/>
      <color theme="1"/>
      <name val="Arial"/>
      <family val="2"/>
    </font>
    <font>
      <b/>
      <sz val="11"/>
      <name val="Arial"/>
      <family val="2"/>
    </font>
    <font>
      <vertAlign val="superscript"/>
      <sz val="11"/>
      <name val="Arial"/>
      <family val="2"/>
    </font>
    <font>
      <b/>
      <u/>
      <sz val="11"/>
      <color theme="1"/>
      <name val="Arial"/>
      <family val="2"/>
    </font>
    <font>
      <sz val="10"/>
      <name val="Arial"/>
      <family val="2"/>
    </font>
    <font>
      <b/>
      <u/>
      <sz val="11"/>
      <name val="Arial"/>
      <family val="2"/>
    </font>
    <font>
      <b/>
      <sz val="10"/>
      <name val="Arial"/>
      <family val="2"/>
    </font>
    <font>
      <i/>
      <sz val="10"/>
      <name val="Arial"/>
      <family val="2"/>
    </font>
    <font>
      <i/>
      <sz val="11"/>
      <name val="Arial"/>
      <family val="2"/>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auto="1"/>
      </top>
      <bottom/>
      <diagonal/>
    </border>
    <border>
      <left style="medium">
        <color auto="1"/>
      </left>
      <right style="medium">
        <color auto="1"/>
      </right>
      <top style="medium">
        <color auto="1"/>
      </top>
      <bottom style="medium">
        <color auto="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cellStyleXfs>
  <cellXfs count="138">
    <xf numFmtId="0" fontId="0" fillId="0" borderId="0" xfId="0"/>
    <xf numFmtId="0" fontId="3" fillId="0" borderId="0" xfId="0" applyFont="1" applyAlignment="1"/>
    <xf numFmtId="0" fontId="3" fillId="0" borderId="0" xfId="0" applyFont="1" applyAlignment="1">
      <alignment horizontal="centerContinuous"/>
    </xf>
    <xf numFmtId="0" fontId="4" fillId="0" borderId="0" xfId="0" applyFont="1"/>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164" fontId="4" fillId="0" borderId="0" xfId="1" applyNumberFormat="1" applyFont="1"/>
    <xf numFmtId="9" fontId="4" fillId="0" borderId="0" xfId="2" applyFont="1"/>
    <xf numFmtId="43" fontId="4" fillId="0" borderId="0" xfId="0" applyNumberFormat="1" applyFont="1"/>
    <xf numFmtId="164" fontId="4" fillId="0" borderId="0" xfId="0" applyNumberFormat="1" applyFont="1"/>
    <xf numFmtId="14" fontId="4" fillId="0" borderId="0" xfId="0" applyNumberFormat="1" applyFont="1"/>
    <xf numFmtId="10" fontId="4" fillId="0" borderId="0" xfId="2" applyNumberFormat="1" applyFont="1"/>
    <xf numFmtId="0" fontId="3" fillId="0" borderId="0" xfId="0" applyFont="1"/>
    <xf numFmtId="0" fontId="4" fillId="0" borderId="0" xfId="0" applyFont="1" applyAlignment="1">
      <alignment horizontal="right"/>
    </xf>
    <xf numFmtId="164" fontId="3" fillId="0" borderId="0" xfId="0" applyNumberFormat="1" applyFont="1"/>
    <xf numFmtId="0" fontId="2" fillId="0" borderId="0" xfId="0" applyFont="1"/>
    <xf numFmtId="8" fontId="2" fillId="0" borderId="0" xfId="0" applyNumberFormat="1" applyFont="1"/>
    <xf numFmtId="8" fontId="0" fillId="0" borderId="0" xfId="0" applyNumberFormat="1"/>
    <xf numFmtId="43" fontId="0" fillId="0" borderId="0" xfId="0" applyNumberFormat="1"/>
    <xf numFmtId="165" fontId="0" fillId="0" borderId="0" xfId="0" applyNumberFormat="1"/>
    <xf numFmtId="0" fontId="0" fillId="0" borderId="0" xfId="0" applyAlignment="1">
      <alignment horizontal="right"/>
    </xf>
    <xf numFmtId="9" fontId="0" fillId="0" borderId="0" xfId="2" applyFont="1"/>
    <xf numFmtId="0" fontId="2" fillId="0" borderId="0" xfId="0" applyFont="1" applyAlignment="1">
      <alignment wrapText="1"/>
    </xf>
    <xf numFmtId="0" fontId="2" fillId="0" borderId="0" xfId="0" applyFont="1" applyAlignment="1"/>
    <xf numFmtId="2" fontId="0" fillId="0" borderId="0" xfId="0" applyNumberFormat="1"/>
    <xf numFmtId="2" fontId="0" fillId="2" borderId="0" xfId="0" applyNumberFormat="1" applyFill="1"/>
    <xf numFmtId="43" fontId="4" fillId="0" borderId="0" xfId="1" applyNumberFormat="1" applyFont="1"/>
    <xf numFmtId="43" fontId="0" fillId="0" borderId="0" xfId="1" applyFont="1"/>
    <xf numFmtId="0" fontId="2" fillId="0" borderId="6" xfId="0" applyFont="1" applyBorder="1" applyAlignment="1">
      <alignment horizontal="center"/>
    </xf>
    <xf numFmtId="0" fontId="5" fillId="0" borderId="0" xfId="0" applyFont="1"/>
    <xf numFmtId="2" fontId="0" fillId="0" borderId="0" xfId="1" applyNumberFormat="1" applyFont="1"/>
    <xf numFmtId="2" fontId="0" fillId="0" borderId="0" xfId="0" applyNumberFormat="1" applyFill="1"/>
    <xf numFmtId="0" fontId="3" fillId="0" borderId="0" xfId="0" applyFont="1" applyAlignment="1">
      <alignment horizontal="center" vertical="center" wrapText="1"/>
    </xf>
    <xf numFmtId="0" fontId="2" fillId="0" borderId="0" xfId="0" applyFont="1" applyAlignment="1">
      <alignment horizontal="center" wrapText="1"/>
    </xf>
    <xf numFmtId="0" fontId="2" fillId="0" borderId="5" xfId="0" applyFont="1" applyBorder="1" applyAlignment="1">
      <alignment horizont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4" fillId="0" borderId="0" xfId="0" applyFont="1" applyAlignment="1">
      <alignment horizontal="centerContinuous"/>
    </xf>
    <xf numFmtId="0" fontId="0" fillId="0" borderId="0" xfId="0" applyFont="1" applyFill="1" applyBorder="1"/>
    <xf numFmtId="0" fontId="3" fillId="0" borderId="0" xfId="0" applyFont="1" applyBorder="1" applyAlignment="1">
      <alignment horizontal="center" vertical="center" wrapText="1"/>
    </xf>
    <xf numFmtId="0" fontId="3" fillId="0" borderId="0" xfId="0" applyFont="1" applyBorder="1" applyAlignment="1">
      <alignment wrapText="1"/>
    </xf>
    <xf numFmtId="0" fontId="4" fillId="0" borderId="0" xfId="0" applyFont="1" applyAlignment="1">
      <alignment horizontal="center"/>
    </xf>
    <xf numFmtId="164" fontId="4" fillId="0" borderId="0" xfId="1" applyNumberFormat="1" applyFont="1" applyAlignment="1">
      <alignment horizontal="center"/>
    </xf>
    <xf numFmtId="167" fontId="3" fillId="0" borderId="0" xfId="0" applyNumberFormat="1" applyFont="1" applyBorder="1" applyAlignment="1">
      <alignment horizontal="center" vertical="center" wrapText="1"/>
    </xf>
    <xf numFmtId="167" fontId="4" fillId="0" borderId="0" xfId="1" applyNumberFormat="1" applyFont="1" applyAlignment="1">
      <alignment horizontal="center"/>
    </xf>
    <xf numFmtId="167" fontId="4" fillId="0" borderId="0" xfId="0" applyNumberFormat="1" applyFont="1"/>
    <xf numFmtId="167" fontId="4" fillId="0" borderId="0" xfId="1" applyNumberFormat="1" applyFont="1"/>
    <xf numFmtId="9" fontId="4" fillId="0" borderId="0" xfId="0" applyNumberFormat="1" applyFont="1"/>
    <xf numFmtId="168" fontId="4" fillId="0" borderId="0" xfId="1" applyNumberFormat="1" applyFont="1" applyAlignment="1">
      <alignment horizontal="center"/>
    </xf>
    <xf numFmtId="168" fontId="4" fillId="0" borderId="0" xfId="1" applyNumberFormat="1" applyFont="1"/>
    <xf numFmtId="0" fontId="4" fillId="0" borderId="0" xfId="0" applyFont="1" applyAlignment="1">
      <alignment horizontal="left"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4" fillId="0" borderId="0" xfId="0" applyFont="1" applyAlignment="1">
      <alignment horizontal="left"/>
    </xf>
    <xf numFmtId="0" fontId="4" fillId="0" borderId="0" xfId="0" applyFont="1" applyAlignment="1">
      <alignment horizontal="left" wrapText="1"/>
    </xf>
    <xf numFmtId="0" fontId="4" fillId="0" borderId="7" xfId="0" applyFont="1" applyBorder="1"/>
    <xf numFmtId="0" fontId="4" fillId="0" borderId="7" xfId="0" applyFont="1" applyBorder="1" applyAlignment="1">
      <alignment horizontal="center"/>
    </xf>
    <xf numFmtId="0" fontId="3" fillId="0" borderId="0" xfId="0" applyFont="1" applyAlignment="1">
      <alignment horizontal="left"/>
    </xf>
    <xf numFmtId="164" fontId="4" fillId="0" borderId="0" xfId="1" applyNumberFormat="1" applyFont="1" applyFill="1"/>
    <xf numFmtId="0" fontId="7" fillId="0" borderId="0" xfId="0" applyFont="1"/>
    <xf numFmtId="0" fontId="8" fillId="0" borderId="0" xfId="0" applyFont="1" applyAlignment="1">
      <alignment horizontal="centerContinuous"/>
    </xf>
    <xf numFmtId="0" fontId="7" fillId="0" borderId="0" xfId="0" applyFont="1" applyAlignment="1">
      <alignment horizontal="centerContinuous"/>
    </xf>
    <xf numFmtId="168" fontId="9" fillId="0" borderId="0" xfId="1" applyNumberFormat="1" applyFont="1" applyAlignment="1">
      <alignment horizontal="centerContinuous"/>
    </xf>
    <xf numFmtId="0" fontId="7" fillId="0" borderId="0" xfId="0" applyFont="1" applyFill="1" applyAlignment="1">
      <alignment horizontal="centerContinuous"/>
    </xf>
    <xf numFmtId="0" fontId="8" fillId="0" borderId="0" xfId="0" applyFont="1" applyAlignment="1">
      <alignment horizontal="right"/>
    </xf>
    <xf numFmtId="170" fontId="8" fillId="0" borderId="0" xfId="0" applyNumberFormat="1" applyFont="1" applyAlignment="1">
      <alignment horizontal="left"/>
    </xf>
    <xf numFmtId="168" fontId="9" fillId="0" borderId="0" xfId="1" applyNumberFormat="1" applyFont="1"/>
    <xf numFmtId="0" fontId="8" fillId="0" borderId="0" xfId="0" applyFont="1" applyBorder="1" applyAlignment="1"/>
    <xf numFmtId="0" fontId="8" fillId="0" borderId="8" xfId="0" applyFont="1" applyBorder="1" applyAlignment="1">
      <alignment horizontal="center" vertical="center" wrapText="1"/>
    </xf>
    <xf numFmtId="0" fontId="8" fillId="0" borderId="0" xfId="0" applyFont="1" applyAlignment="1">
      <alignment horizontal="center"/>
    </xf>
    <xf numFmtId="0" fontId="8" fillId="0" borderId="0" xfId="0" applyFont="1"/>
    <xf numFmtId="171" fontId="11" fillId="0" borderId="0" xfId="3" applyNumberFormat="1" applyFont="1"/>
    <xf numFmtId="171" fontId="8" fillId="0" borderId="0" xfId="0" applyNumberFormat="1" applyFont="1"/>
    <xf numFmtId="0" fontId="7" fillId="0" borderId="5" xfId="0" applyFont="1" applyBorder="1"/>
    <xf numFmtId="0" fontId="7" fillId="0" borderId="0" xfId="0" applyFont="1" applyBorder="1"/>
    <xf numFmtId="0" fontId="7" fillId="0" borderId="0" xfId="0" applyFont="1" applyAlignment="1">
      <alignment horizontal="center"/>
    </xf>
    <xf numFmtId="37" fontId="9" fillId="0" borderId="0" xfId="0" applyNumberFormat="1" applyFont="1"/>
    <xf numFmtId="0" fontId="8" fillId="0" borderId="0" xfId="0" applyFont="1" applyAlignment="1">
      <alignment horizontal="left" indent="2"/>
    </xf>
    <xf numFmtId="0" fontId="7" fillId="0" borderId="0" xfId="0" applyFont="1" applyAlignment="1">
      <alignment horizontal="left" indent="3"/>
    </xf>
    <xf numFmtId="37" fontId="9" fillId="0" borderId="5" xfId="0" applyNumberFormat="1" applyFont="1" applyBorder="1"/>
    <xf numFmtId="37" fontId="7" fillId="0" borderId="0" xfId="0" applyNumberFormat="1" applyFont="1"/>
    <xf numFmtId="0" fontId="9" fillId="0" borderId="0" xfId="0" applyFont="1"/>
    <xf numFmtId="171" fontId="9" fillId="0" borderId="0" xfId="3" applyNumberFormat="1" applyFont="1"/>
    <xf numFmtId="0" fontId="9" fillId="0" borderId="0" xfId="0" applyFont="1" applyAlignment="1">
      <alignment horizontal="left" indent="2"/>
    </xf>
    <xf numFmtId="0" fontId="7" fillId="0" borderId="5" xfId="0" applyFont="1" applyBorder="1" applyAlignment="1">
      <alignment horizontal="center"/>
    </xf>
    <xf numFmtId="0" fontId="9" fillId="0" borderId="5" xfId="0" applyFont="1" applyBorder="1" applyAlignment="1">
      <alignment horizontal="left" indent="2"/>
    </xf>
    <xf numFmtId="171" fontId="9" fillId="0" borderId="5" xfId="3" applyNumberFormat="1" applyFont="1" applyBorder="1"/>
    <xf numFmtId="10" fontId="7" fillId="0" borderId="0" xfId="0" applyNumberFormat="1" applyFont="1"/>
    <xf numFmtId="170" fontId="7" fillId="0" borderId="0" xfId="0" applyNumberFormat="1" applyFont="1"/>
    <xf numFmtId="0" fontId="9" fillId="0" borderId="0" xfId="0" applyFont="1" applyBorder="1" applyAlignment="1">
      <alignment horizontal="left" wrapText="1"/>
    </xf>
    <xf numFmtId="0" fontId="7" fillId="0" borderId="0" xfId="0" applyFont="1" applyAlignment="1">
      <alignment horizontal="left" vertical="center" wrapText="1"/>
    </xf>
    <xf numFmtId="0" fontId="13" fillId="0" borderId="0" xfId="0" applyFont="1" applyBorder="1"/>
    <xf numFmtId="0" fontId="9" fillId="0" borderId="0" xfId="0" applyFont="1" applyBorder="1"/>
    <xf numFmtId="0" fontId="8" fillId="0" borderId="0" xfId="0" applyFont="1" applyBorder="1" applyAlignment="1">
      <alignment horizontal="center"/>
    </xf>
    <xf numFmtId="0" fontId="8" fillId="0" borderId="0" xfId="0" applyFont="1" applyBorder="1" applyAlignment="1">
      <alignment horizontal="center"/>
    </xf>
    <xf numFmtId="37" fontId="9" fillId="0" borderId="0" xfId="0" applyNumberFormat="1" applyFont="1" applyBorder="1"/>
    <xf numFmtId="172" fontId="7" fillId="0" borderId="0" xfId="3" applyNumberFormat="1" applyFont="1" applyBorder="1"/>
    <xf numFmtId="0" fontId="7" fillId="0" borderId="0" xfId="0" applyFont="1" applyBorder="1" applyAlignment="1">
      <alignment horizontal="left" indent="1"/>
    </xf>
    <xf numFmtId="173" fontId="7" fillId="0" borderId="0" xfId="0" applyNumberFormat="1" applyFont="1" applyBorder="1"/>
    <xf numFmtId="174" fontId="7" fillId="0" borderId="0" xfId="0" applyNumberFormat="1" applyFont="1" applyBorder="1"/>
    <xf numFmtId="0" fontId="11" fillId="0" borderId="0" xfId="0" applyFont="1"/>
    <xf numFmtId="0" fontId="15" fillId="0" borderId="0" xfId="0" applyFont="1"/>
    <xf numFmtId="0" fontId="14" fillId="0" borderId="0" xfId="0" applyFont="1"/>
    <xf numFmtId="0" fontId="11"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174" fontId="9" fillId="0" borderId="0" xfId="0" applyNumberFormat="1" applyFont="1" applyFill="1"/>
    <xf numFmtId="0" fontId="14" fillId="0" borderId="0" xfId="0" applyFont="1" applyAlignment="1">
      <alignment horizontal="left" vertical="center" wrapText="1"/>
    </xf>
    <xf numFmtId="174" fontId="9" fillId="0" borderId="0" xfId="0" applyNumberFormat="1" applyFont="1"/>
    <xf numFmtId="0" fontId="17" fillId="0" borderId="0" xfId="0" applyFont="1" applyAlignment="1">
      <alignment horizontal="left"/>
    </xf>
    <xf numFmtId="168" fontId="9" fillId="0" borderId="5" xfId="1" applyNumberFormat="1" applyFont="1" applyBorder="1"/>
    <xf numFmtId="168" fontId="9" fillId="0" borderId="0" xfId="1" applyNumberFormat="1" applyFont="1" applyBorder="1"/>
    <xf numFmtId="0" fontId="18" fillId="0" borderId="0" xfId="0" applyFont="1" applyAlignment="1">
      <alignment horizontal="left" indent="5"/>
    </xf>
    <xf numFmtId="168" fontId="18" fillId="0" borderId="0" xfId="1" applyNumberFormat="1" applyFont="1"/>
    <xf numFmtId="0" fontId="18" fillId="0" borderId="0" xfId="0" applyFont="1"/>
    <xf numFmtId="0" fontId="17" fillId="0" borderId="0" xfId="0" applyFont="1"/>
    <xf numFmtId="0" fontId="17" fillId="0" borderId="0" xfId="0" applyFont="1" applyAlignment="1">
      <alignment horizontal="center" vertical="center"/>
    </xf>
    <xf numFmtId="0" fontId="9" fillId="0" borderId="0" xfId="0" applyFont="1" applyAlignment="1">
      <alignment horizontal="left" vertical="center"/>
    </xf>
    <xf numFmtId="168" fontId="9" fillId="0" borderId="0" xfId="1" applyNumberFormat="1" applyFont="1" applyAlignment="1">
      <alignment vertical="center"/>
    </xf>
    <xf numFmtId="0" fontId="9" fillId="0" borderId="0" xfId="0" applyFont="1" applyAlignment="1">
      <alignment vertical="center"/>
    </xf>
    <xf numFmtId="0" fontId="14" fillId="0" borderId="0" xfId="0" applyFont="1" applyAlignment="1">
      <alignment wrapText="1"/>
    </xf>
    <xf numFmtId="0" fontId="9" fillId="0" borderId="0" xfId="0" applyFont="1" applyFill="1"/>
    <xf numFmtId="168" fontId="9" fillId="0" borderId="0" xfId="1" applyNumberFormat="1" applyFont="1" applyFill="1"/>
    <xf numFmtId="0" fontId="14" fillId="0" borderId="0" xfId="4" applyFont="1" applyFill="1" applyAlignment="1">
      <alignment wrapText="1"/>
    </xf>
    <xf numFmtId="0" fontId="17" fillId="0" borderId="0" xfId="0" applyFont="1" applyFill="1" applyAlignment="1">
      <alignment horizontal="right"/>
    </xf>
    <xf numFmtId="168" fontId="9" fillId="0" borderId="5" xfId="1" applyNumberFormat="1" applyFont="1" applyFill="1" applyBorder="1"/>
    <xf numFmtId="0" fontId="14" fillId="0" borderId="0" xfId="0" applyFont="1" applyFill="1" applyAlignment="1">
      <alignment wrapText="1"/>
    </xf>
    <xf numFmtId="9" fontId="9" fillId="0" borderId="0" xfId="2" applyFont="1"/>
    <xf numFmtId="168" fontId="9" fillId="0" borderId="0" xfId="0" applyNumberFormat="1" applyFont="1"/>
    <xf numFmtId="168" fontId="9" fillId="0" borderId="0" xfId="0" applyNumberFormat="1" applyFont="1" applyBorder="1"/>
    <xf numFmtId="49" fontId="14" fillId="0" borderId="0" xfId="0" applyNumberFormat="1" applyFont="1" applyAlignment="1">
      <alignment horizontal="left" wrapText="1"/>
    </xf>
    <xf numFmtId="171" fontId="9" fillId="0" borderId="0" xfId="3" applyNumberFormat="1" applyFont="1" applyBorder="1"/>
    <xf numFmtId="0" fontId="17" fillId="0" borderId="0" xfId="0" applyFont="1" applyFill="1" applyAlignment="1">
      <alignment horizontal="center"/>
    </xf>
    <xf numFmtId="0" fontId="14" fillId="0" borderId="0" xfId="0" applyFont="1" applyFill="1"/>
    <xf numFmtId="0" fontId="2" fillId="0" borderId="0" xfId="0" applyFont="1" applyAlignment="1">
      <alignment horizontal="center" vertical="center" wrapText="1"/>
    </xf>
  </cellXfs>
  <cellStyles count="5">
    <cellStyle name="Comma" xfId="1" builtinId="3"/>
    <cellStyle name="Currency" xfId="3" builtinId="4"/>
    <cellStyle name="Normal" xfId="0" builtinId="0"/>
    <cellStyle name="Normal 333" xfId="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138"/>
  <sheetViews>
    <sheetView showGridLines="0" tabSelected="1" view="pageBreakPreview" zoomScaleNormal="100" zoomScaleSheetLayoutView="100" workbookViewId="0">
      <selection activeCell="E7" sqref="E7"/>
    </sheetView>
  </sheetViews>
  <sheetFormatPr defaultColWidth="9.140625" defaultRowHeight="12.75" x14ac:dyDescent="0.2"/>
  <cols>
    <col min="1" max="1" width="6.140625" style="3" customWidth="1"/>
    <col min="2" max="2" width="8.7109375" style="3" customWidth="1"/>
    <col min="3" max="3" width="9.140625" style="3"/>
    <col min="4" max="4" width="2.85546875" style="3" customWidth="1"/>
    <col min="5" max="5" width="12.42578125" style="3" customWidth="1"/>
    <col min="6" max="6" width="3.5703125" style="3" customWidth="1"/>
    <col min="7" max="7" width="12.42578125" style="3" customWidth="1"/>
    <col min="8" max="8" width="3.42578125" style="3" customWidth="1"/>
    <col min="9" max="9" width="11.42578125" style="3" customWidth="1"/>
    <col min="10" max="10" width="4.140625" style="3" customWidth="1"/>
    <col min="11" max="11" width="10.28515625" style="3" customWidth="1"/>
    <col min="12" max="12" width="12" style="3" customWidth="1"/>
    <col min="13" max="13" width="3.140625" style="3" customWidth="1"/>
    <col min="14" max="14" width="14.28515625" style="3" customWidth="1"/>
    <col min="15" max="15" width="3.140625" style="3" customWidth="1"/>
    <col min="16" max="16" width="5.5703125" style="3" customWidth="1"/>
    <col min="17" max="17" width="9.28515625" style="3" bestFit="1" customWidth="1"/>
    <col min="18" max="16384" width="9.140625" style="3"/>
  </cols>
  <sheetData>
    <row r="2" spans="3:18" ht="19.5" customHeight="1" x14ac:dyDescent="0.2">
      <c r="C2" s="2" t="s">
        <v>87</v>
      </c>
      <c r="D2" s="2"/>
      <c r="E2" s="2"/>
      <c r="F2" s="2"/>
      <c r="G2" s="2"/>
      <c r="H2" s="2"/>
      <c r="I2" s="2"/>
      <c r="J2" s="2"/>
      <c r="K2" s="2"/>
      <c r="L2" s="2"/>
      <c r="M2" s="2"/>
      <c r="N2" s="2"/>
      <c r="O2" s="2"/>
    </row>
    <row r="3" spans="3:18" ht="15" x14ac:dyDescent="0.25">
      <c r="R3" s="40"/>
    </row>
    <row r="4" spans="3:18" ht="15.75" customHeight="1" x14ac:dyDescent="0.25">
      <c r="K4" s="41" t="s">
        <v>51</v>
      </c>
      <c r="L4" s="41"/>
      <c r="R4" s="40"/>
    </row>
    <row r="5" spans="3:18" ht="52.5" customHeight="1" thickBot="1" x14ac:dyDescent="0.25">
      <c r="C5" s="5" t="s">
        <v>52</v>
      </c>
      <c r="D5" s="6"/>
      <c r="E5" s="5" t="s">
        <v>53</v>
      </c>
      <c r="F5" s="6"/>
      <c r="G5" s="5" t="s">
        <v>54</v>
      </c>
      <c r="I5" s="5" t="s">
        <v>55</v>
      </c>
      <c r="K5" s="5" t="s">
        <v>56</v>
      </c>
      <c r="L5" s="5" t="s">
        <v>57</v>
      </c>
      <c r="M5" s="42"/>
      <c r="N5" s="5" t="s">
        <v>58</v>
      </c>
      <c r="O5" s="42"/>
    </row>
    <row r="6" spans="3:18" ht="26.25" thickTop="1" x14ac:dyDescent="0.2">
      <c r="C6" s="6"/>
      <c r="D6" s="6"/>
      <c r="E6" s="6" t="s">
        <v>59</v>
      </c>
      <c r="F6" s="6"/>
      <c r="G6" s="6" t="s">
        <v>60</v>
      </c>
      <c r="I6" s="6" t="s">
        <v>61</v>
      </c>
      <c r="K6" s="6" t="s">
        <v>62</v>
      </c>
      <c r="L6" s="6" t="s">
        <v>63</v>
      </c>
      <c r="M6" s="42"/>
      <c r="N6" s="6" t="s">
        <v>64</v>
      </c>
      <c r="O6" s="42"/>
    </row>
    <row r="7" spans="3:18" x14ac:dyDescent="0.2">
      <c r="E7" s="6"/>
      <c r="F7" s="6"/>
      <c r="G7" s="44"/>
      <c r="I7" s="7"/>
      <c r="K7" s="6"/>
      <c r="L7" s="6"/>
      <c r="M7" s="42"/>
      <c r="N7" s="6"/>
      <c r="O7" s="42"/>
    </row>
    <row r="8" spans="3:18" x14ac:dyDescent="0.2">
      <c r="C8" s="13">
        <v>1</v>
      </c>
      <c r="E8" s="44">
        <v>370</v>
      </c>
      <c r="F8" s="45"/>
      <c r="G8" s="46">
        <v>369.33651236491642</v>
      </c>
      <c r="H8" s="47"/>
      <c r="I8" s="48">
        <f>E8-G8</f>
        <v>0.66348763508358388</v>
      </c>
      <c r="K8" s="6"/>
      <c r="L8" s="6"/>
      <c r="M8" s="42"/>
      <c r="N8" s="6"/>
      <c r="O8" s="42"/>
    </row>
    <row r="9" spans="3:18" x14ac:dyDescent="0.2">
      <c r="C9" s="13">
        <f t="shared" ref="C9:C31" si="0">C8+1</f>
        <v>2</v>
      </c>
      <c r="E9" s="44">
        <v>375</v>
      </c>
      <c r="F9" s="45"/>
      <c r="G9" s="46">
        <v>373.62614742191727</v>
      </c>
      <c r="H9" s="47"/>
      <c r="I9" s="48">
        <f>E9-G9</f>
        <v>1.3738525780827331</v>
      </c>
      <c r="J9" s="47"/>
      <c r="K9" s="44">
        <f t="shared" ref="K9:K31" si="1">E9-E8</f>
        <v>5</v>
      </c>
      <c r="L9" s="46">
        <f>I9-I8</f>
        <v>0.71036494299914921</v>
      </c>
      <c r="M9" s="42"/>
      <c r="N9" s="49">
        <f>ROUND(L9/K9,2)</f>
        <v>0.14000000000000001</v>
      </c>
      <c r="O9" s="42"/>
    </row>
    <row r="10" spans="3:18" x14ac:dyDescent="0.2">
      <c r="C10" s="13">
        <f t="shared" si="0"/>
        <v>3</v>
      </c>
      <c r="E10" s="44">
        <v>380</v>
      </c>
      <c r="F10" s="45"/>
      <c r="G10" s="46">
        <v>377.80022971908329</v>
      </c>
      <c r="H10" s="47"/>
      <c r="I10" s="48">
        <f>E10-G10</f>
        <v>2.1997702809167095</v>
      </c>
      <c r="J10" s="47"/>
      <c r="K10" s="44">
        <f t="shared" si="1"/>
        <v>5</v>
      </c>
      <c r="L10" s="46">
        <f t="shared" ref="L10:L31" si="2">I10-I9</f>
        <v>0.82591770283397636</v>
      </c>
      <c r="M10" s="42"/>
      <c r="N10" s="49">
        <f>ROUND(L10/K10,2)</f>
        <v>0.17</v>
      </c>
      <c r="O10" s="43"/>
      <c r="Q10" s="9"/>
      <c r="R10" s="44"/>
    </row>
    <row r="11" spans="3:18" x14ac:dyDescent="0.2">
      <c r="C11" s="13">
        <f t="shared" si="0"/>
        <v>4</v>
      </c>
      <c r="E11" s="44">
        <v>385</v>
      </c>
      <c r="F11" s="45"/>
      <c r="G11" s="46">
        <v>381.84526182431546</v>
      </c>
      <c r="H11" s="47"/>
      <c r="I11" s="48">
        <f t="shared" ref="I11:I31" si="3">E11-G11</f>
        <v>3.1547381756845425</v>
      </c>
      <c r="J11" s="47"/>
      <c r="K11" s="44">
        <f t="shared" si="1"/>
        <v>5</v>
      </c>
      <c r="L11" s="46">
        <f t="shared" si="2"/>
        <v>0.95496789476783306</v>
      </c>
      <c r="M11" s="42"/>
      <c r="N11" s="49">
        <f>ROUND(L11/K11,2)</f>
        <v>0.19</v>
      </c>
      <c r="O11" s="43"/>
      <c r="Q11" s="49"/>
      <c r="R11" s="44"/>
    </row>
    <row r="12" spans="3:18" x14ac:dyDescent="0.2">
      <c r="C12" s="13">
        <f t="shared" si="0"/>
        <v>5</v>
      </c>
      <c r="E12" s="44">
        <v>390</v>
      </c>
      <c r="F12" s="46"/>
      <c r="G12" s="46">
        <v>385.74955386727925</v>
      </c>
      <c r="H12" s="48"/>
      <c r="I12" s="48">
        <f t="shared" si="3"/>
        <v>4.2504461327207537</v>
      </c>
      <c r="J12" s="48"/>
      <c r="K12" s="44">
        <f t="shared" si="1"/>
        <v>5</v>
      </c>
      <c r="L12" s="46">
        <f t="shared" si="2"/>
        <v>1.0957079570362112</v>
      </c>
      <c r="M12" s="50"/>
      <c r="N12" s="49">
        <f>ROUND(L12/K12,2)</f>
        <v>0.22</v>
      </c>
      <c r="O12" s="43"/>
      <c r="Q12" s="49"/>
      <c r="R12" s="44"/>
    </row>
    <row r="13" spans="3:18" x14ac:dyDescent="0.2">
      <c r="C13" s="13">
        <f t="shared" si="0"/>
        <v>6</v>
      </c>
      <c r="E13" s="44">
        <v>395</v>
      </c>
      <c r="F13" s="46"/>
      <c r="G13" s="46">
        <v>389.50322353941556</v>
      </c>
      <c r="H13" s="48"/>
      <c r="I13" s="48">
        <f t="shared" si="3"/>
        <v>5.4967764605844422</v>
      </c>
      <c r="J13" s="48"/>
      <c r="K13" s="44">
        <f t="shared" si="1"/>
        <v>5</v>
      </c>
      <c r="L13" s="46">
        <f t="shared" si="2"/>
        <v>1.2463303278636886</v>
      </c>
      <c r="M13" s="50"/>
      <c r="N13" s="49">
        <f t="shared" ref="N13:N31" si="4">ROUND(L13/K13,2)</f>
        <v>0.25</v>
      </c>
      <c r="O13" s="43"/>
      <c r="Q13" s="49"/>
      <c r="R13" s="44"/>
    </row>
    <row r="14" spans="3:18" x14ac:dyDescent="0.2">
      <c r="C14" s="13">
        <f t="shared" si="0"/>
        <v>7</v>
      </c>
      <c r="D14" s="13"/>
      <c r="E14" s="44">
        <v>400</v>
      </c>
      <c r="F14" s="46"/>
      <c r="G14" s="46">
        <v>393.09819609395163</v>
      </c>
      <c r="H14" s="48"/>
      <c r="I14" s="48">
        <f t="shared" si="3"/>
        <v>6.9018039060483716</v>
      </c>
      <c r="J14" s="48"/>
      <c r="K14" s="44">
        <f t="shared" si="1"/>
        <v>5</v>
      </c>
      <c r="L14" s="46">
        <f t="shared" si="2"/>
        <v>1.4050274454639293</v>
      </c>
      <c r="M14" s="50"/>
      <c r="N14" s="49">
        <f t="shared" si="4"/>
        <v>0.28000000000000003</v>
      </c>
      <c r="O14" s="43"/>
      <c r="Q14" s="49"/>
      <c r="R14" s="44"/>
    </row>
    <row r="15" spans="3:18" x14ac:dyDescent="0.2">
      <c r="C15" s="13">
        <f t="shared" si="0"/>
        <v>8</v>
      </c>
      <c r="D15" s="13"/>
      <c r="E15" s="44">
        <v>405</v>
      </c>
      <c r="F15" s="46"/>
      <c r="G15" s="46">
        <v>396.52820434588284</v>
      </c>
      <c r="H15" s="48"/>
      <c r="I15" s="48">
        <f t="shared" si="3"/>
        <v>8.4717956541171588</v>
      </c>
      <c r="J15" s="48"/>
      <c r="K15" s="44">
        <f t="shared" si="1"/>
        <v>5</v>
      </c>
      <c r="L15" s="46">
        <f t="shared" si="2"/>
        <v>1.5699917480687873</v>
      </c>
      <c r="M15" s="50"/>
      <c r="N15" s="49">
        <f t="shared" si="4"/>
        <v>0.31</v>
      </c>
      <c r="O15" s="43"/>
      <c r="Q15" s="49"/>
      <c r="R15" s="44"/>
    </row>
    <row r="16" spans="3:18" x14ac:dyDescent="0.2">
      <c r="C16" s="13">
        <f t="shared" si="0"/>
        <v>9</v>
      </c>
      <c r="D16" s="13"/>
      <c r="E16" s="44">
        <v>410</v>
      </c>
      <c r="F16" s="46"/>
      <c r="G16" s="46">
        <v>399.78878867197091</v>
      </c>
      <c r="H16" s="48"/>
      <c r="I16" s="48">
        <f t="shared" si="3"/>
        <v>10.211211328029094</v>
      </c>
      <c r="J16" s="48"/>
      <c r="K16" s="44">
        <f t="shared" si="1"/>
        <v>5</v>
      </c>
      <c r="L16" s="46">
        <f t="shared" si="2"/>
        <v>1.7394156739119353</v>
      </c>
      <c r="M16" s="50"/>
      <c r="N16" s="49">
        <f t="shared" si="4"/>
        <v>0.35</v>
      </c>
      <c r="O16" s="43"/>
      <c r="Q16" s="49"/>
      <c r="R16" s="44"/>
    </row>
    <row r="17" spans="3:18" x14ac:dyDescent="0.2">
      <c r="C17" s="13">
        <f t="shared" si="0"/>
        <v>10</v>
      </c>
      <c r="D17" s="13"/>
      <c r="E17" s="44">
        <v>415</v>
      </c>
      <c r="F17" s="46"/>
      <c r="G17" s="46">
        <v>402.87729701076751</v>
      </c>
      <c r="H17" s="48"/>
      <c r="I17" s="48">
        <f t="shared" si="3"/>
        <v>12.122702989232494</v>
      </c>
      <c r="J17" s="48"/>
      <c r="K17" s="44">
        <f t="shared" si="1"/>
        <v>5</v>
      </c>
      <c r="L17" s="46">
        <f t="shared" si="2"/>
        <v>1.9114916612033994</v>
      </c>
      <c r="M17" s="50"/>
      <c r="N17" s="49">
        <f t="shared" si="4"/>
        <v>0.38</v>
      </c>
      <c r="O17" s="43"/>
      <c r="Q17" s="49"/>
      <c r="R17" s="44"/>
    </row>
    <row r="18" spans="3:18" x14ac:dyDescent="0.2">
      <c r="C18" s="13">
        <f t="shared" si="0"/>
        <v>11</v>
      </c>
      <c r="D18" s="13"/>
      <c r="E18" s="44">
        <v>420</v>
      </c>
      <c r="F18" s="46"/>
      <c r="G18" s="46">
        <v>405.79288486259065</v>
      </c>
      <c r="H18" s="48"/>
      <c r="I18" s="48">
        <f t="shared" si="3"/>
        <v>14.207115137409346</v>
      </c>
      <c r="J18" s="48"/>
      <c r="K18" s="44">
        <f t="shared" si="1"/>
        <v>5</v>
      </c>
      <c r="L18" s="46">
        <f t="shared" si="2"/>
        <v>2.0844121481768525</v>
      </c>
      <c r="M18" s="50"/>
      <c r="N18" s="49">
        <f t="shared" si="4"/>
        <v>0.42</v>
      </c>
      <c r="O18" s="43"/>
      <c r="Q18" s="49"/>
    </row>
    <row r="19" spans="3:18" x14ac:dyDescent="0.2">
      <c r="C19" s="13">
        <f t="shared" si="0"/>
        <v>12</v>
      </c>
      <c r="D19" s="13"/>
      <c r="E19" s="44">
        <v>425</v>
      </c>
      <c r="F19" s="46"/>
      <c r="G19" s="46">
        <v>408.53651528953378</v>
      </c>
      <c r="H19" s="48"/>
      <c r="I19" s="48">
        <f t="shared" si="3"/>
        <v>16.463484710466219</v>
      </c>
      <c r="J19" s="48"/>
      <c r="K19" s="44">
        <f t="shared" si="1"/>
        <v>5</v>
      </c>
      <c r="L19" s="46">
        <f t="shared" si="2"/>
        <v>2.2563695730568725</v>
      </c>
      <c r="M19" s="50"/>
      <c r="N19" s="49">
        <f t="shared" si="4"/>
        <v>0.45</v>
      </c>
      <c r="O19" s="43"/>
      <c r="Q19" s="49"/>
    </row>
    <row r="20" spans="3:18" x14ac:dyDescent="0.2">
      <c r="C20" s="13">
        <f t="shared" si="0"/>
        <v>13</v>
      </c>
      <c r="D20" s="13"/>
      <c r="E20" s="44">
        <v>430</v>
      </c>
      <c r="F20" s="46"/>
      <c r="G20" s="46">
        <v>411.11095891546393</v>
      </c>
      <c r="H20" s="48"/>
      <c r="I20" s="48">
        <f t="shared" si="3"/>
        <v>18.889041084536075</v>
      </c>
      <c r="J20" s="48"/>
      <c r="K20" s="44">
        <f t="shared" si="1"/>
        <v>5</v>
      </c>
      <c r="L20" s="46">
        <f t="shared" si="2"/>
        <v>2.4255563740698562</v>
      </c>
      <c r="M20" s="50"/>
      <c r="N20" s="49">
        <f t="shared" si="4"/>
        <v>0.49</v>
      </c>
      <c r="O20" s="43"/>
      <c r="Q20" s="49"/>
    </row>
    <row r="21" spans="3:18" x14ac:dyDescent="0.2">
      <c r="C21" s="13">
        <f t="shared" si="0"/>
        <v>14</v>
      </c>
      <c r="D21" s="13"/>
      <c r="E21" s="44">
        <v>435</v>
      </c>
      <c r="F21" s="46"/>
      <c r="G21" s="46">
        <v>413.5207939260381</v>
      </c>
      <c r="H21" s="48"/>
      <c r="I21" s="48">
        <f t="shared" si="3"/>
        <v>21.479206073961905</v>
      </c>
      <c r="J21" s="48"/>
      <c r="K21" s="44">
        <f t="shared" si="1"/>
        <v>5</v>
      </c>
      <c r="L21" s="46">
        <f t="shared" si="2"/>
        <v>2.5901649894258298</v>
      </c>
      <c r="M21" s="50"/>
      <c r="N21" s="49">
        <f t="shared" si="4"/>
        <v>0.52</v>
      </c>
      <c r="O21" s="43"/>
      <c r="Q21" s="49"/>
    </row>
    <row r="22" spans="3:18" x14ac:dyDescent="0.2">
      <c r="C22" s="13">
        <f t="shared" si="0"/>
        <v>15</v>
      </c>
      <c r="D22" s="13"/>
      <c r="E22" s="44">
        <v>440</v>
      </c>
      <c r="F22" s="46"/>
      <c r="G22" s="46">
        <v>415.7724060686669</v>
      </c>
      <c r="H22" s="48"/>
      <c r="I22" s="48">
        <f t="shared" si="3"/>
        <v>24.227593931333104</v>
      </c>
      <c r="J22" s="48"/>
      <c r="K22" s="44">
        <f t="shared" si="1"/>
        <v>5</v>
      </c>
      <c r="L22" s="46">
        <f t="shared" si="2"/>
        <v>2.7483878573711991</v>
      </c>
      <c r="M22" s="50"/>
      <c r="N22" s="49">
        <f t="shared" si="4"/>
        <v>0.55000000000000004</v>
      </c>
      <c r="O22" s="43"/>
      <c r="Q22" s="49"/>
    </row>
    <row r="23" spans="3:18" x14ac:dyDescent="0.2">
      <c r="C23" s="13">
        <f t="shared" si="0"/>
        <v>16</v>
      </c>
      <c r="D23" s="13"/>
      <c r="E23" s="44">
        <v>445</v>
      </c>
      <c r="F23" s="46"/>
      <c r="G23" s="46">
        <v>417.87398865254363</v>
      </c>
      <c r="H23" s="48"/>
      <c r="I23" s="48">
        <f t="shared" si="3"/>
        <v>27.12601134745637</v>
      </c>
      <c r="J23" s="48"/>
      <c r="K23" s="44">
        <f t="shared" si="1"/>
        <v>5</v>
      </c>
      <c r="L23" s="46">
        <f t="shared" si="2"/>
        <v>2.8984174161232659</v>
      </c>
      <c r="M23" s="50"/>
      <c r="N23" s="49">
        <f t="shared" si="4"/>
        <v>0.57999999999999996</v>
      </c>
      <c r="O23" s="43"/>
      <c r="Q23" s="49"/>
    </row>
    <row r="24" spans="3:18" x14ac:dyDescent="0.2">
      <c r="C24" s="13">
        <f t="shared" si="0"/>
        <v>17</v>
      </c>
      <c r="D24" s="13"/>
      <c r="E24" s="44">
        <v>450</v>
      </c>
      <c r="F24" s="46"/>
      <c r="G24" s="46">
        <v>419.8355425486443</v>
      </c>
      <c r="H24" s="48"/>
      <c r="I24" s="48">
        <f t="shared" si="3"/>
        <v>30.164457451355702</v>
      </c>
      <c r="J24" s="48"/>
      <c r="K24" s="44">
        <f t="shared" si="1"/>
        <v>5</v>
      </c>
      <c r="L24" s="46">
        <f t="shared" si="2"/>
        <v>3.0384461038993322</v>
      </c>
      <c r="M24" s="50"/>
      <c r="N24" s="49">
        <f t="shared" si="4"/>
        <v>0.61</v>
      </c>
      <c r="O24" s="43"/>
      <c r="Q24" s="49"/>
    </row>
    <row r="25" spans="3:18" x14ac:dyDescent="0.2">
      <c r="C25" s="13">
        <f t="shared" si="0"/>
        <v>18</v>
      </c>
      <c r="D25" s="13"/>
      <c r="E25" s="44">
        <v>455</v>
      </c>
      <c r="F25" s="46"/>
      <c r="G25" s="46">
        <v>421.66887618971487</v>
      </c>
      <c r="H25" s="48"/>
      <c r="I25" s="48">
        <f t="shared" si="3"/>
        <v>33.331123810285135</v>
      </c>
      <c r="J25" s="48"/>
      <c r="K25" s="44">
        <f t="shared" si="1"/>
        <v>5</v>
      </c>
      <c r="L25" s="46">
        <f t="shared" si="2"/>
        <v>3.166666358929433</v>
      </c>
      <c r="M25" s="50"/>
      <c r="N25" s="49">
        <f t="shared" si="4"/>
        <v>0.63</v>
      </c>
      <c r="O25" s="43"/>
      <c r="Q25" s="49"/>
    </row>
    <row r="26" spans="3:18" x14ac:dyDescent="0.2">
      <c r="C26" s="13">
        <f t="shared" si="0"/>
        <v>19</v>
      </c>
      <c r="D26" s="13"/>
      <c r="E26" s="44">
        <v>460</v>
      </c>
      <c r="F26" s="46"/>
      <c r="G26" s="46">
        <v>423.38760557026944</v>
      </c>
      <c r="H26" s="48"/>
      <c r="I26" s="48">
        <f t="shared" si="3"/>
        <v>36.612394429730557</v>
      </c>
      <c r="J26" s="48"/>
      <c r="K26" s="44">
        <f t="shared" si="1"/>
        <v>5</v>
      </c>
      <c r="L26" s="46">
        <f t="shared" si="2"/>
        <v>3.2812706194454222</v>
      </c>
      <c r="M26" s="50"/>
      <c r="N26" s="49">
        <f t="shared" si="4"/>
        <v>0.66</v>
      </c>
      <c r="O26" s="43"/>
      <c r="Q26" s="49"/>
    </row>
    <row r="27" spans="3:18" x14ac:dyDescent="0.2">
      <c r="C27" s="13">
        <f t="shared" si="0"/>
        <v>20</v>
      </c>
      <c r="D27" s="13"/>
      <c r="E27" s="44">
        <v>465</v>
      </c>
      <c r="F27" s="46"/>
      <c r="G27" s="46">
        <v>425.00715424660848</v>
      </c>
      <c r="H27" s="48"/>
      <c r="I27" s="48">
        <f t="shared" si="3"/>
        <v>39.992845753391521</v>
      </c>
      <c r="J27" s="48"/>
      <c r="K27" s="44">
        <f t="shared" si="1"/>
        <v>5</v>
      </c>
      <c r="L27" s="46">
        <f t="shared" si="2"/>
        <v>3.3804513236609637</v>
      </c>
      <c r="M27" s="50"/>
      <c r="N27" s="49">
        <f t="shared" si="4"/>
        <v>0.68</v>
      </c>
      <c r="O27" s="43"/>
      <c r="Q27" s="49"/>
    </row>
    <row r="28" spans="3:18" x14ac:dyDescent="0.2">
      <c r="C28" s="13">
        <f t="shared" si="0"/>
        <v>21</v>
      </c>
      <c r="D28" s="13"/>
      <c r="E28" s="44">
        <v>470</v>
      </c>
      <c r="F28" s="46"/>
      <c r="G28" s="46">
        <v>426.54475333680421</v>
      </c>
      <c r="H28" s="48"/>
      <c r="I28" s="48">
        <f t="shared" si="3"/>
        <v>43.455246663195794</v>
      </c>
      <c r="J28" s="48"/>
      <c r="K28" s="44">
        <f t="shared" si="1"/>
        <v>5</v>
      </c>
      <c r="L28" s="46">
        <f t="shared" si="2"/>
        <v>3.4624009098042734</v>
      </c>
      <c r="M28" s="50"/>
      <c r="N28" s="49">
        <f t="shared" si="4"/>
        <v>0.69</v>
      </c>
      <c r="O28" s="43"/>
      <c r="Q28" s="9"/>
    </row>
    <row r="29" spans="3:18" x14ac:dyDescent="0.2">
      <c r="C29" s="13">
        <f t="shared" si="0"/>
        <v>22</v>
      </c>
      <c r="D29" s="13"/>
      <c r="E29" s="44">
        <v>475</v>
      </c>
      <c r="F29" s="46"/>
      <c r="G29" s="46">
        <v>428.01944152070064</v>
      </c>
      <c r="H29" s="48"/>
      <c r="I29" s="48">
        <f t="shared" si="3"/>
        <v>46.980558479299361</v>
      </c>
      <c r="J29" s="48"/>
      <c r="K29" s="44">
        <f t="shared" si="1"/>
        <v>5</v>
      </c>
      <c r="L29" s="46">
        <f t="shared" si="2"/>
        <v>3.5253118161035673</v>
      </c>
      <c r="M29" s="50"/>
      <c r="N29" s="49">
        <f t="shared" si="4"/>
        <v>0.71</v>
      </c>
      <c r="O29" s="43"/>
      <c r="Q29" s="9"/>
    </row>
    <row r="30" spans="3:18" x14ac:dyDescent="0.2">
      <c r="C30" s="13">
        <f t="shared" si="0"/>
        <v>23</v>
      </c>
      <c r="D30" s="13"/>
      <c r="E30" s="44">
        <v>480</v>
      </c>
      <c r="F30" s="46"/>
      <c r="G30" s="46">
        <v>429.45206503991722</v>
      </c>
      <c r="H30" s="48"/>
      <c r="I30" s="48">
        <f t="shared" si="3"/>
        <v>50.547934960082785</v>
      </c>
      <c r="J30" s="48"/>
      <c r="K30" s="44">
        <f t="shared" si="1"/>
        <v>5</v>
      </c>
      <c r="L30" s="46">
        <f t="shared" si="2"/>
        <v>3.5673764807834232</v>
      </c>
      <c r="M30" s="50"/>
      <c r="N30" s="49">
        <f t="shared" si="4"/>
        <v>0.71</v>
      </c>
    </row>
    <row r="31" spans="3:18" x14ac:dyDescent="0.2">
      <c r="C31" s="13">
        <f t="shared" si="0"/>
        <v>24</v>
      </c>
      <c r="D31" s="13"/>
      <c r="E31" s="44">
        <v>485</v>
      </c>
      <c r="F31" s="46"/>
      <c r="G31" s="46">
        <v>430.86527769784516</v>
      </c>
      <c r="H31" s="48"/>
      <c r="I31" s="48">
        <f t="shared" si="3"/>
        <v>54.134722302154842</v>
      </c>
      <c r="J31" s="48"/>
      <c r="K31" s="44">
        <f t="shared" si="1"/>
        <v>5</v>
      </c>
      <c r="L31" s="46">
        <f t="shared" si="2"/>
        <v>3.5867873420720571</v>
      </c>
      <c r="M31" s="50"/>
      <c r="N31" s="49">
        <f t="shared" si="4"/>
        <v>0.72</v>
      </c>
    </row>
    <row r="32" spans="3:18" ht="22.15" customHeight="1" x14ac:dyDescent="0.2">
      <c r="E32" s="50"/>
      <c r="F32" s="50"/>
      <c r="G32" s="44"/>
      <c r="H32" s="51"/>
      <c r="I32" s="7"/>
      <c r="J32" s="51"/>
      <c r="K32" s="44"/>
      <c r="L32" s="44"/>
      <c r="M32" s="50"/>
      <c r="N32" s="49"/>
    </row>
    <row r="33" spans="2:14" ht="13.15" customHeight="1" x14ac:dyDescent="0.2">
      <c r="B33" s="3" t="s">
        <v>65</v>
      </c>
      <c r="D33" s="43"/>
      <c r="E33" s="43"/>
      <c r="F33" s="43"/>
      <c r="J33" s="43"/>
      <c r="K33" s="43"/>
    </row>
    <row r="34" spans="2:14" ht="25.5" customHeight="1" x14ac:dyDescent="0.2">
      <c r="B34" s="52" t="s">
        <v>66</v>
      </c>
      <c r="C34" s="52"/>
      <c r="D34" s="52"/>
      <c r="E34" s="52"/>
      <c r="F34" s="52"/>
      <c r="G34" s="52"/>
      <c r="H34" s="52"/>
      <c r="I34" s="52"/>
      <c r="J34" s="52"/>
      <c r="K34" s="52"/>
      <c r="L34" s="52"/>
      <c r="M34" s="52"/>
      <c r="N34" s="52"/>
    </row>
    <row r="35" spans="2:14" ht="25.5" customHeight="1" x14ac:dyDescent="0.2">
      <c r="B35" s="52" t="s">
        <v>67</v>
      </c>
      <c r="C35" s="52"/>
      <c r="D35" s="52"/>
      <c r="E35" s="52"/>
      <c r="F35" s="52"/>
      <c r="G35" s="52"/>
      <c r="H35" s="52"/>
      <c r="I35" s="52"/>
      <c r="J35" s="52"/>
      <c r="K35" s="52"/>
      <c r="L35" s="52"/>
      <c r="M35" s="52"/>
      <c r="N35" s="52"/>
    </row>
    <row r="36" spans="2:14" ht="63.75" customHeight="1" x14ac:dyDescent="0.2">
      <c r="B36" s="53" t="s">
        <v>68</v>
      </c>
      <c r="C36" s="53"/>
      <c r="D36" s="53"/>
      <c r="E36" s="53"/>
      <c r="F36" s="53"/>
      <c r="G36" s="53"/>
      <c r="H36" s="53"/>
      <c r="I36" s="53"/>
      <c r="J36" s="53"/>
      <c r="K36" s="53"/>
      <c r="L36" s="53"/>
      <c r="M36" s="53"/>
      <c r="N36" s="53"/>
    </row>
    <row r="37" spans="2:14" ht="38.25" customHeight="1" x14ac:dyDescent="0.2">
      <c r="B37" s="53" t="s">
        <v>69</v>
      </c>
      <c r="C37" s="53"/>
      <c r="D37" s="53"/>
      <c r="E37" s="53"/>
      <c r="F37" s="53"/>
      <c r="G37" s="53"/>
      <c r="H37" s="53"/>
      <c r="I37" s="53"/>
      <c r="J37" s="53"/>
      <c r="K37" s="53"/>
      <c r="L37" s="53"/>
      <c r="M37" s="53"/>
      <c r="N37" s="53"/>
    </row>
    <row r="38" spans="2:14" ht="24.75" customHeight="1" x14ac:dyDescent="0.2">
      <c r="B38" s="54" t="s">
        <v>70</v>
      </c>
      <c r="C38" s="54"/>
      <c r="D38" s="54"/>
      <c r="E38" s="54"/>
      <c r="F38" s="54"/>
      <c r="G38" s="54"/>
      <c r="H38" s="54"/>
      <c r="I38" s="54"/>
      <c r="J38" s="54"/>
      <c r="K38" s="54"/>
      <c r="L38" s="54"/>
      <c r="M38" s="54"/>
      <c r="N38" s="54"/>
    </row>
    <row r="39" spans="2:14" ht="25.5" customHeight="1" x14ac:dyDescent="0.2">
      <c r="B39" s="52" t="s">
        <v>71</v>
      </c>
      <c r="C39" s="52"/>
      <c r="D39" s="52"/>
      <c r="E39" s="52"/>
      <c r="F39" s="52"/>
      <c r="G39" s="52"/>
      <c r="H39" s="52"/>
      <c r="I39" s="52"/>
      <c r="J39" s="52"/>
      <c r="K39" s="52"/>
      <c r="L39" s="52"/>
      <c r="M39" s="52"/>
      <c r="N39" s="52"/>
    </row>
    <row r="40" spans="2:14" x14ac:dyDescent="0.2">
      <c r="B40" s="55" t="s">
        <v>72</v>
      </c>
      <c r="C40" s="56"/>
      <c r="D40" s="56"/>
      <c r="E40" s="56"/>
      <c r="F40" s="56"/>
      <c r="G40" s="56"/>
      <c r="H40" s="56"/>
      <c r="I40" s="56"/>
      <c r="J40" s="56"/>
      <c r="K40" s="56"/>
      <c r="L40" s="56"/>
      <c r="M40" s="56"/>
      <c r="N40" s="56"/>
    </row>
    <row r="41" spans="2:14" ht="13.5" thickBot="1" x14ac:dyDescent="0.25">
      <c r="E41" s="43"/>
      <c r="F41" s="43"/>
      <c r="G41" s="43"/>
      <c r="K41" s="43"/>
      <c r="L41" s="43"/>
    </row>
    <row r="42" spans="2:14" ht="13.5" thickTop="1" x14ac:dyDescent="0.2">
      <c r="B42" s="57"/>
      <c r="C42" s="57"/>
      <c r="D42" s="57"/>
      <c r="E42" s="58"/>
      <c r="F42" s="58"/>
      <c r="G42" s="58"/>
      <c r="H42" s="57"/>
      <c r="I42" s="57"/>
      <c r="J42" s="57"/>
      <c r="K42" s="58"/>
      <c r="L42" s="58"/>
      <c r="M42" s="57"/>
      <c r="N42" s="57"/>
    </row>
    <row r="43" spans="2:14" x14ac:dyDescent="0.2">
      <c r="B43" s="59" t="s">
        <v>73</v>
      </c>
      <c r="H43" s="43"/>
      <c r="I43" s="43"/>
      <c r="J43" s="49"/>
      <c r="L43" s="7"/>
    </row>
    <row r="44" spans="2:14" x14ac:dyDescent="0.2">
      <c r="C44" s="59" t="s">
        <v>74</v>
      </c>
      <c r="D44" s="39"/>
      <c r="E44" s="39"/>
      <c r="F44" s="39"/>
      <c r="H44" s="43"/>
      <c r="I44" s="43"/>
      <c r="J44" s="49"/>
      <c r="L44" s="7"/>
    </row>
    <row r="45" spans="2:14" x14ac:dyDescent="0.2">
      <c r="H45" s="43"/>
      <c r="I45" s="43"/>
      <c r="J45" s="49"/>
      <c r="L45" s="7"/>
    </row>
    <row r="46" spans="2:14" x14ac:dyDescent="0.2">
      <c r="C46" s="3" t="s">
        <v>75</v>
      </c>
      <c r="D46" s="3" t="s">
        <v>76</v>
      </c>
      <c r="H46" s="43"/>
      <c r="I46" s="43"/>
      <c r="J46" s="49"/>
      <c r="L46" s="7"/>
    </row>
    <row r="47" spans="2:14" x14ac:dyDescent="0.2">
      <c r="H47" s="43"/>
      <c r="I47" s="43"/>
      <c r="J47" s="49"/>
      <c r="L47" s="7"/>
    </row>
    <row r="48" spans="2:14" x14ac:dyDescent="0.2">
      <c r="C48" s="3" t="s">
        <v>77</v>
      </c>
      <c r="D48" s="3" t="s">
        <v>78</v>
      </c>
      <c r="H48" s="43"/>
      <c r="I48" s="43"/>
      <c r="L48" s="60"/>
    </row>
    <row r="49" spans="3:12" x14ac:dyDescent="0.2">
      <c r="H49" s="43"/>
      <c r="I49" s="43"/>
      <c r="J49" s="49"/>
      <c r="L49" s="60"/>
    </row>
    <row r="50" spans="3:12" x14ac:dyDescent="0.2">
      <c r="C50" s="3" t="s">
        <v>79</v>
      </c>
      <c r="D50" s="3" t="s">
        <v>80</v>
      </c>
      <c r="H50" s="43"/>
      <c r="I50" s="43"/>
      <c r="J50" s="49"/>
      <c r="L50" s="7"/>
    </row>
    <row r="51" spans="3:12" x14ac:dyDescent="0.2">
      <c r="H51" s="43"/>
      <c r="I51" s="43"/>
      <c r="J51" s="49"/>
      <c r="L51" s="7"/>
    </row>
    <row r="52" spans="3:12" x14ac:dyDescent="0.2">
      <c r="C52" s="3" t="s">
        <v>81</v>
      </c>
      <c r="D52" s="3" t="s">
        <v>82</v>
      </c>
      <c r="H52" s="43"/>
      <c r="I52" s="43"/>
      <c r="J52" s="49"/>
      <c r="L52" s="7"/>
    </row>
    <row r="53" spans="3:12" x14ac:dyDescent="0.2">
      <c r="H53" s="43"/>
      <c r="I53" s="43"/>
      <c r="J53" s="49"/>
      <c r="L53" s="7"/>
    </row>
    <row r="54" spans="3:12" x14ac:dyDescent="0.2">
      <c r="C54" s="3" t="s">
        <v>83</v>
      </c>
      <c r="D54" s="3" t="s">
        <v>84</v>
      </c>
      <c r="H54" s="43"/>
      <c r="I54" s="43"/>
      <c r="J54" s="49"/>
      <c r="L54" s="7"/>
    </row>
    <row r="55" spans="3:12" x14ac:dyDescent="0.2">
      <c r="D55" s="13"/>
      <c r="E55" s="13"/>
      <c r="H55" s="43"/>
      <c r="I55" s="43"/>
      <c r="J55" s="49"/>
      <c r="L55" s="7"/>
    </row>
    <row r="56" spans="3:12" x14ac:dyDescent="0.2">
      <c r="D56" s="3" t="s">
        <v>85</v>
      </c>
      <c r="H56" s="43"/>
      <c r="I56" s="43"/>
      <c r="J56" s="49"/>
      <c r="L56" s="7"/>
    </row>
    <row r="57" spans="3:12" x14ac:dyDescent="0.2">
      <c r="D57" s="13"/>
      <c r="E57" s="13"/>
      <c r="H57" s="43"/>
      <c r="I57" s="43"/>
      <c r="J57" s="49"/>
      <c r="L57" s="7"/>
    </row>
    <row r="58" spans="3:12" x14ac:dyDescent="0.2">
      <c r="C58" s="3" t="s">
        <v>65</v>
      </c>
      <c r="D58" s="13"/>
      <c r="E58" s="13"/>
      <c r="H58" s="43"/>
      <c r="I58" s="43"/>
      <c r="J58" s="49"/>
      <c r="L58" s="7"/>
    </row>
    <row r="59" spans="3:12" x14ac:dyDescent="0.2">
      <c r="C59" s="3" t="s">
        <v>86</v>
      </c>
      <c r="D59" s="13"/>
      <c r="E59" s="13"/>
      <c r="H59" s="43"/>
      <c r="I59" s="43"/>
      <c r="J59" s="49"/>
      <c r="L59" s="7"/>
    </row>
    <row r="60" spans="3:12" x14ac:dyDescent="0.2">
      <c r="F60" s="43"/>
      <c r="H60" s="43"/>
      <c r="I60" s="43"/>
      <c r="J60" s="49"/>
      <c r="L60" s="7"/>
    </row>
    <row r="61" spans="3:12" x14ac:dyDescent="0.2">
      <c r="F61" s="43"/>
      <c r="H61" s="43"/>
      <c r="I61" s="43"/>
      <c r="J61" s="49"/>
      <c r="L61" s="7"/>
    </row>
    <row r="62" spans="3:12" x14ac:dyDescent="0.2">
      <c r="F62" s="43"/>
      <c r="H62" s="43"/>
      <c r="I62" s="43"/>
      <c r="J62" s="49"/>
      <c r="L62" s="7"/>
    </row>
    <row r="63" spans="3:12" x14ac:dyDescent="0.2">
      <c r="E63" s="43"/>
      <c r="F63" s="43"/>
      <c r="G63" s="43"/>
      <c r="K63" s="43"/>
      <c r="L63" s="43"/>
    </row>
    <row r="64" spans="3:12" x14ac:dyDescent="0.2">
      <c r="E64" s="43"/>
      <c r="F64" s="43"/>
      <c r="G64" s="43"/>
      <c r="K64" s="43"/>
      <c r="L64" s="43"/>
    </row>
    <row r="65" spans="5:12" x14ac:dyDescent="0.2">
      <c r="E65" s="43"/>
      <c r="F65" s="43"/>
      <c r="G65" s="43"/>
      <c r="K65" s="43"/>
      <c r="L65" s="43"/>
    </row>
    <row r="66" spans="5:12" x14ac:dyDescent="0.2">
      <c r="E66" s="43"/>
      <c r="F66" s="43"/>
      <c r="G66" s="43"/>
      <c r="K66" s="43"/>
      <c r="L66" s="43"/>
    </row>
    <row r="67" spans="5:12" x14ac:dyDescent="0.2">
      <c r="E67" s="43"/>
      <c r="F67" s="43"/>
      <c r="G67" s="43"/>
      <c r="K67" s="43"/>
      <c r="L67" s="43"/>
    </row>
    <row r="68" spans="5:12" x14ac:dyDescent="0.2">
      <c r="E68" s="43"/>
      <c r="F68" s="43"/>
      <c r="G68" s="43"/>
      <c r="K68" s="43"/>
      <c r="L68" s="43"/>
    </row>
    <row r="69" spans="5:12" x14ac:dyDescent="0.2">
      <c r="E69" s="43"/>
      <c r="F69" s="43"/>
      <c r="G69" s="43"/>
      <c r="K69" s="43"/>
      <c r="L69" s="43"/>
    </row>
    <row r="70" spans="5:12" x14ac:dyDescent="0.2">
      <c r="E70" s="43"/>
      <c r="F70" s="43"/>
      <c r="G70" s="43"/>
      <c r="K70" s="43"/>
      <c r="L70" s="43"/>
    </row>
    <row r="71" spans="5:12" x14ac:dyDescent="0.2">
      <c r="E71" s="43"/>
      <c r="F71" s="43"/>
      <c r="G71" s="43"/>
      <c r="K71" s="43"/>
      <c r="L71" s="43"/>
    </row>
    <row r="72" spans="5:12" x14ac:dyDescent="0.2">
      <c r="E72" s="43"/>
      <c r="F72" s="43"/>
      <c r="G72" s="43"/>
      <c r="K72" s="43"/>
      <c r="L72" s="43"/>
    </row>
    <row r="73" spans="5:12" x14ac:dyDescent="0.2">
      <c r="E73" s="43"/>
      <c r="F73" s="43"/>
      <c r="G73" s="43"/>
      <c r="K73" s="43"/>
      <c r="L73" s="43"/>
    </row>
    <row r="74" spans="5:12" x14ac:dyDescent="0.2">
      <c r="E74" s="43"/>
      <c r="F74" s="43"/>
      <c r="G74" s="43"/>
      <c r="K74" s="43"/>
      <c r="L74" s="43"/>
    </row>
    <row r="75" spans="5:12" x14ac:dyDescent="0.2">
      <c r="E75" s="43"/>
      <c r="F75" s="43"/>
      <c r="G75" s="43"/>
      <c r="K75" s="43"/>
      <c r="L75" s="43"/>
    </row>
    <row r="76" spans="5:12" x14ac:dyDescent="0.2">
      <c r="E76" s="43"/>
      <c r="F76" s="43"/>
      <c r="G76" s="43"/>
      <c r="K76" s="43"/>
      <c r="L76" s="43"/>
    </row>
    <row r="77" spans="5:12" x14ac:dyDescent="0.2">
      <c r="E77" s="43"/>
      <c r="F77" s="43"/>
      <c r="G77" s="43"/>
      <c r="K77" s="43"/>
      <c r="L77" s="43"/>
    </row>
    <row r="78" spans="5:12" x14ac:dyDescent="0.2">
      <c r="E78" s="43"/>
      <c r="F78" s="43"/>
      <c r="G78" s="43"/>
      <c r="K78" s="43"/>
      <c r="L78" s="43"/>
    </row>
    <row r="79" spans="5:12" x14ac:dyDescent="0.2">
      <c r="E79" s="43"/>
      <c r="F79" s="43"/>
      <c r="G79" s="43"/>
      <c r="K79" s="43"/>
      <c r="L79" s="43"/>
    </row>
    <row r="80" spans="5:12" x14ac:dyDescent="0.2">
      <c r="E80" s="43"/>
      <c r="F80" s="43"/>
      <c r="G80" s="43"/>
      <c r="K80" s="43"/>
      <c r="L80" s="43"/>
    </row>
    <row r="81" spans="5:12" x14ac:dyDescent="0.2">
      <c r="E81" s="43"/>
      <c r="F81" s="43"/>
      <c r="G81" s="43"/>
      <c r="K81" s="43"/>
      <c r="L81" s="43"/>
    </row>
    <row r="82" spans="5:12" x14ac:dyDescent="0.2">
      <c r="E82" s="43"/>
      <c r="F82" s="43"/>
      <c r="G82" s="43"/>
      <c r="K82" s="43"/>
      <c r="L82" s="43"/>
    </row>
    <row r="83" spans="5:12" x14ac:dyDescent="0.2">
      <c r="E83" s="43"/>
      <c r="F83" s="43"/>
      <c r="G83" s="43"/>
      <c r="K83" s="43"/>
      <c r="L83" s="43"/>
    </row>
    <row r="84" spans="5:12" x14ac:dyDescent="0.2">
      <c r="E84" s="43"/>
      <c r="F84" s="43"/>
      <c r="G84" s="43"/>
      <c r="K84" s="43"/>
      <c r="L84" s="43"/>
    </row>
    <row r="85" spans="5:12" x14ac:dyDescent="0.2">
      <c r="E85" s="43"/>
      <c r="F85" s="43"/>
      <c r="G85" s="43"/>
      <c r="K85" s="43"/>
      <c r="L85" s="43"/>
    </row>
    <row r="86" spans="5:12" x14ac:dyDescent="0.2">
      <c r="E86" s="43"/>
      <c r="F86" s="43"/>
      <c r="G86" s="43"/>
      <c r="K86" s="43"/>
      <c r="L86" s="43"/>
    </row>
    <row r="87" spans="5:12" x14ac:dyDescent="0.2">
      <c r="E87" s="43"/>
      <c r="F87" s="43"/>
      <c r="G87" s="43"/>
      <c r="K87" s="43"/>
      <c r="L87" s="43"/>
    </row>
    <row r="88" spans="5:12" x14ac:dyDescent="0.2">
      <c r="E88" s="43"/>
      <c r="F88" s="43"/>
      <c r="G88" s="43"/>
      <c r="K88" s="43"/>
      <c r="L88" s="43"/>
    </row>
    <row r="89" spans="5:12" x14ac:dyDescent="0.2">
      <c r="E89" s="43"/>
      <c r="F89" s="43"/>
      <c r="G89" s="43"/>
      <c r="K89" s="43"/>
      <c r="L89" s="43"/>
    </row>
    <row r="90" spans="5:12" x14ac:dyDescent="0.2">
      <c r="E90" s="43"/>
      <c r="F90" s="43"/>
      <c r="G90" s="43"/>
      <c r="K90" s="43"/>
      <c r="L90" s="43"/>
    </row>
    <row r="91" spans="5:12" x14ac:dyDescent="0.2">
      <c r="E91" s="43"/>
      <c r="F91" s="43"/>
      <c r="G91" s="43"/>
      <c r="K91" s="43"/>
      <c r="L91" s="43"/>
    </row>
    <row r="92" spans="5:12" x14ac:dyDescent="0.2">
      <c r="E92" s="43"/>
      <c r="F92" s="43"/>
      <c r="G92" s="43"/>
      <c r="K92" s="43"/>
      <c r="L92" s="43"/>
    </row>
    <row r="93" spans="5:12" x14ac:dyDescent="0.2">
      <c r="E93" s="43"/>
      <c r="F93" s="43"/>
      <c r="G93" s="43"/>
      <c r="K93" s="43"/>
      <c r="L93" s="43"/>
    </row>
    <row r="94" spans="5:12" x14ac:dyDescent="0.2">
      <c r="E94" s="43"/>
      <c r="F94" s="43"/>
      <c r="G94" s="43"/>
      <c r="K94" s="43"/>
      <c r="L94" s="43"/>
    </row>
    <row r="95" spans="5:12" x14ac:dyDescent="0.2">
      <c r="E95" s="43"/>
      <c r="F95" s="43"/>
      <c r="G95" s="43"/>
      <c r="K95" s="43"/>
      <c r="L95" s="43"/>
    </row>
    <row r="96" spans="5:12" x14ac:dyDescent="0.2">
      <c r="E96" s="43"/>
      <c r="F96" s="43"/>
      <c r="G96" s="43"/>
      <c r="K96" s="43"/>
      <c r="L96" s="43"/>
    </row>
    <row r="97" spans="5:12" x14ac:dyDescent="0.2">
      <c r="E97" s="43"/>
      <c r="F97" s="43"/>
      <c r="G97" s="43"/>
      <c r="K97" s="43"/>
      <c r="L97" s="43"/>
    </row>
    <row r="98" spans="5:12" x14ac:dyDescent="0.2">
      <c r="E98" s="43"/>
      <c r="F98" s="43"/>
      <c r="G98" s="43"/>
      <c r="K98" s="43"/>
      <c r="L98" s="43"/>
    </row>
    <row r="99" spans="5:12" x14ac:dyDescent="0.2">
      <c r="E99" s="43"/>
      <c r="F99" s="43"/>
      <c r="G99" s="43"/>
      <c r="K99" s="43"/>
      <c r="L99" s="43"/>
    </row>
    <row r="100" spans="5:12" x14ac:dyDescent="0.2">
      <c r="E100" s="43"/>
      <c r="F100" s="43"/>
      <c r="G100" s="43"/>
      <c r="K100" s="43"/>
      <c r="L100" s="43"/>
    </row>
    <row r="101" spans="5:12" x14ac:dyDescent="0.2">
      <c r="E101" s="43"/>
      <c r="F101" s="43"/>
      <c r="G101" s="43"/>
      <c r="K101" s="43"/>
      <c r="L101" s="43"/>
    </row>
    <row r="102" spans="5:12" x14ac:dyDescent="0.2">
      <c r="E102" s="43"/>
      <c r="F102" s="43"/>
      <c r="G102" s="43"/>
      <c r="K102" s="43"/>
      <c r="L102" s="43"/>
    </row>
    <row r="103" spans="5:12" x14ac:dyDescent="0.2">
      <c r="E103" s="43"/>
      <c r="F103" s="43"/>
      <c r="G103" s="43"/>
      <c r="K103" s="43"/>
      <c r="L103" s="43"/>
    </row>
    <row r="104" spans="5:12" x14ac:dyDescent="0.2">
      <c r="E104" s="43"/>
      <c r="F104" s="43"/>
      <c r="G104" s="43"/>
      <c r="K104" s="43"/>
      <c r="L104" s="43"/>
    </row>
    <row r="105" spans="5:12" x14ac:dyDescent="0.2">
      <c r="E105" s="43"/>
      <c r="F105" s="43"/>
      <c r="G105" s="43"/>
      <c r="K105" s="43"/>
      <c r="L105" s="43"/>
    </row>
    <row r="106" spans="5:12" x14ac:dyDescent="0.2">
      <c r="E106" s="43"/>
      <c r="F106" s="43"/>
      <c r="G106" s="43"/>
      <c r="K106" s="43"/>
      <c r="L106" s="43"/>
    </row>
    <row r="107" spans="5:12" x14ac:dyDescent="0.2">
      <c r="E107" s="43"/>
      <c r="F107" s="43"/>
      <c r="G107" s="43"/>
      <c r="K107" s="43"/>
      <c r="L107" s="43"/>
    </row>
    <row r="108" spans="5:12" x14ac:dyDescent="0.2">
      <c r="E108" s="43"/>
      <c r="F108" s="43"/>
      <c r="G108" s="43"/>
      <c r="K108" s="43"/>
      <c r="L108" s="43"/>
    </row>
    <row r="109" spans="5:12" x14ac:dyDescent="0.2">
      <c r="E109" s="43"/>
      <c r="F109" s="43"/>
      <c r="G109" s="43"/>
      <c r="K109" s="43"/>
      <c r="L109" s="43"/>
    </row>
    <row r="110" spans="5:12" x14ac:dyDescent="0.2">
      <c r="E110" s="43"/>
      <c r="F110" s="43"/>
      <c r="G110" s="43"/>
      <c r="K110" s="43"/>
      <c r="L110" s="43"/>
    </row>
    <row r="111" spans="5:12" x14ac:dyDescent="0.2">
      <c r="E111" s="43"/>
      <c r="F111" s="43"/>
      <c r="G111" s="43"/>
      <c r="K111" s="43"/>
      <c r="L111" s="43"/>
    </row>
    <row r="112" spans="5:12" x14ac:dyDescent="0.2">
      <c r="E112" s="43"/>
      <c r="F112" s="43"/>
      <c r="G112" s="43"/>
      <c r="K112" s="43"/>
      <c r="L112" s="43"/>
    </row>
    <row r="113" spans="5:12" x14ac:dyDescent="0.2">
      <c r="E113" s="43"/>
      <c r="F113" s="43"/>
      <c r="G113" s="43"/>
      <c r="K113" s="43"/>
      <c r="L113" s="43"/>
    </row>
    <row r="114" spans="5:12" x14ac:dyDescent="0.2">
      <c r="E114" s="43"/>
      <c r="F114" s="43"/>
      <c r="G114" s="43"/>
      <c r="K114" s="43"/>
      <c r="L114" s="43"/>
    </row>
    <row r="115" spans="5:12" x14ac:dyDescent="0.2">
      <c r="E115" s="43"/>
      <c r="F115" s="43"/>
      <c r="G115" s="43"/>
      <c r="K115" s="43"/>
      <c r="L115" s="43"/>
    </row>
    <row r="116" spans="5:12" x14ac:dyDescent="0.2">
      <c r="E116" s="43"/>
      <c r="F116" s="43"/>
      <c r="G116" s="43"/>
      <c r="K116" s="43"/>
      <c r="L116" s="43"/>
    </row>
    <row r="117" spans="5:12" x14ac:dyDescent="0.2">
      <c r="E117" s="43"/>
      <c r="F117" s="43"/>
      <c r="G117" s="43"/>
      <c r="K117" s="43"/>
      <c r="L117" s="43"/>
    </row>
    <row r="118" spans="5:12" x14ac:dyDescent="0.2">
      <c r="E118" s="43"/>
      <c r="F118" s="43"/>
      <c r="G118" s="43"/>
      <c r="K118" s="43"/>
      <c r="L118" s="43"/>
    </row>
    <row r="119" spans="5:12" x14ac:dyDescent="0.2">
      <c r="E119" s="43"/>
      <c r="F119" s="43"/>
      <c r="G119" s="43"/>
      <c r="K119" s="43"/>
      <c r="L119" s="43"/>
    </row>
    <row r="120" spans="5:12" x14ac:dyDescent="0.2">
      <c r="E120" s="43"/>
      <c r="F120" s="43"/>
      <c r="G120" s="43"/>
      <c r="K120" s="43"/>
      <c r="L120" s="43"/>
    </row>
    <row r="121" spans="5:12" x14ac:dyDescent="0.2">
      <c r="E121" s="43"/>
      <c r="F121" s="43"/>
      <c r="G121" s="43"/>
      <c r="K121" s="43"/>
      <c r="L121" s="43"/>
    </row>
    <row r="122" spans="5:12" x14ac:dyDescent="0.2">
      <c r="E122" s="43"/>
      <c r="F122" s="43"/>
      <c r="G122" s="43"/>
      <c r="K122" s="43"/>
      <c r="L122" s="43"/>
    </row>
    <row r="123" spans="5:12" x14ac:dyDescent="0.2">
      <c r="E123" s="43"/>
      <c r="F123" s="43"/>
      <c r="G123" s="43"/>
      <c r="K123" s="43"/>
      <c r="L123" s="43"/>
    </row>
    <row r="124" spans="5:12" x14ac:dyDescent="0.2">
      <c r="E124" s="43"/>
      <c r="F124" s="43"/>
      <c r="G124" s="43"/>
      <c r="K124" s="43"/>
      <c r="L124" s="43"/>
    </row>
    <row r="125" spans="5:12" x14ac:dyDescent="0.2">
      <c r="E125" s="43"/>
      <c r="F125" s="43"/>
      <c r="G125" s="43"/>
      <c r="K125" s="43"/>
      <c r="L125" s="43"/>
    </row>
    <row r="126" spans="5:12" x14ac:dyDescent="0.2">
      <c r="E126" s="43"/>
      <c r="F126" s="43"/>
      <c r="G126" s="43"/>
      <c r="K126" s="43"/>
      <c r="L126" s="43"/>
    </row>
    <row r="127" spans="5:12" x14ac:dyDescent="0.2">
      <c r="E127" s="43"/>
      <c r="F127" s="43"/>
      <c r="G127" s="43"/>
      <c r="K127" s="43"/>
      <c r="L127" s="43"/>
    </row>
    <row r="128" spans="5:12" x14ac:dyDescent="0.2">
      <c r="E128" s="43"/>
      <c r="F128" s="43"/>
      <c r="G128" s="43"/>
      <c r="K128" s="43"/>
      <c r="L128" s="43"/>
    </row>
    <row r="129" spans="5:12" x14ac:dyDescent="0.2">
      <c r="E129" s="43"/>
      <c r="F129" s="43"/>
      <c r="G129" s="43"/>
      <c r="K129" s="43"/>
      <c r="L129" s="43"/>
    </row>
    <row r="130" spans="5:12" x14ac:dyDescent="0.2">
      <c r="E130" s="43"/>
      <c r="F130" s="43"/>
      <c r="G130" s="43"/>
      <c r="K130" s="43"/>
      <c r="L130" s="43"/>
    </row>
    <row r="131" spans="5:12" x14ac:dyDescent="0.2">
      <c r="E131" s="43"/>
      <c r="F131" s="43"/>
      <c r="G131" s="43"/>
      <c r="K131" s="43"/>
      <c r="L131" s="43"/>
    </row>
    <row r="132" spans="5:12" x14ac:dyDescent="0.2">
      <c r="E132" s="43"/>
      <c r="F132" s="43"/>
      <c r="G132" s="43"/>
      <c r="K132" s="43"/>
      <c r="L132" s="43"/>
    </row>
    <row r="133" spans="5:12" x14ac:dyDescent="0.2">
      <c r="E133" s="43"/>
      <c r="F133" s="43"/>
      <c r="G133" s="43"/>
      <c r="K133" s="43"/>
      <c r="L133" s="43"/>
    </row>
    <row r="134" spans="5:12" x14ac:dyDescent="0.2">
      <c r="E134" s="43"/>
      <c r="F134" s="43"/>
      <c r="G134" s="43"/>
      <c r="K134" s="43"/>
      <c r="L134" s="43"/>
    </row>
    <row r="135" spans="5:12" x14ac:dyDescent="0.2">
      <c r="E135" s="43"/>
      <c r="F135" s="43"/>
      <c r="G135" s="43"/>
      <c r="K135" s="43"/>
      <c r="L135" s="43"/>
    </row>
    <row r="136" spans="5:12" x14ac:dyDescent="0.2">
      <c r="E136" s="43"/>
      <c r="F136" s="43"/>
      <c r="G136" s="43"/>
      <c r="K136" s="43"/>
      <c r="L136" s="43"/>
    </row>
    <row r="137" spans="5:12" x14ac:dyDescent="0.2">
      <c r="E137" s="43"/>
      <c r="F137" s="43"/>
      <c r="G137" s="43"/>
      <c r="K137" s="43"/>
      <c r="L137" s="43"/>
    </row>
    <row r="138" spans="5:12" x14ac:dyDescent="0.2">
      <c r="E138" s="43"/>
      <c r="F138" s="43"/>
      <c r="G138" s="43"/>
      <c r="K138" s="43"/>
      <c r="L138" s="43"/>
    </row>
  </sheetData>
  <mergeCells count="7">
    <mergeCell ref="B39:N39"/>
    <mergeCell ref="K4:L4"/>
    <mergeCell ref="B34:N34"/>
    <mergeCell ref="B35:N35"/>
    <mergeCell ref="B36:N36"/>
    <mergeCell ref="B37:N37"/>
    <mergeCell ref="B38:N38"/>
  </mergeCells>
  <pageMargins left="0.70866141732283472" right="0.70866141732283472" top="0.74803149606299213" bottom="0.74803149606299213" header="0.31496062992125984" footer="0.31496062992125984"/>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76"/>
  <sheetViews>
    <sheetView showGridLines="0" view="pageBreakPreview" zoomScale="90" zoomScaleSheetLayoutView="90" workbookViewId="0">
      <selection activeCell="C33" sqref="C33"/>
    </sheetView>
  </sheetViews>
  <sheetFormatPr defaultColWidth="9.140625" defaultRowHeight="14.25" x14ac:dyDescent="0.2"/>
  <cols>
    <col min="1" max="1" width="3.28515625" style="61" customWidth="1"/>
    <col min="2" max="2" width="13.42578125" style="61" customWidth="1"/>
    <col min="3" max="3" width="76.85546875" style="61" customWidth="1"/>
    <col min="4" max="4" width="2.140625" style="61" customWidth="1"/>
    <col min="5" max="5" width="12" style="61" customWidth="1"/>
    <col min="6" max="9" width="13" style="61" customWidth="1"/>
    <col min="10" max="10" width="3.5703125" style="61" customWidth="1"/>
    <col min="11" max="11" width="11.5703125" style="61" bestFit="1" customWidth="1"/>
    <col min="12" max="12" width="13" style="61" bestFit="1" customWidth="1"/>
    <col min="13" max="16384" width="9.140625" style="61"/>
  </cols>
  <sheetData>
    <row r="2" spans="2:15" ht="15" x14ac:dyDescent="0.25">
      <c r="C2" s="62" t="s">
        <v>223</v>
      </c>
      <c r="D2" s="63"/>
      <c r="E2" s="63"/>
      <c r="F2" s="64"/>
      <c r="G2" s="63"/>
      <c r="H2" s="63"/>
      <c r="I2" s="65"/>
    </row>
    <row r="3" spans="2:15" ht="15" x14ac:dyDescent="0.25">
      <c r="C3" s="66" t="s">
        <v>224</v>
      </c>
      <c r="E3" s="67"/>
      <c r="F3" s="68"/>
    </row>
    <row r="4" spans="2:15" ht="15.75" thickBot="1" x14ac:dyDescent="0.3">
      <c r="F4" s="69"/>
      <c r="G4" s="69"/>
      <c r="H4" s="69"/>
      <c r="I4" s="69"/>
    </row>
    <row r="5" spans="2:15" ht="15.75" thickBot="1" x14ac:dyDescent="0.25">
      <c r="B5" s="70" t="s">
        <v>88</v>
      </c>
      <c r="C5" s="70" t="s">
        <v>89</v>
      </c>
      <c r="E5" s="70" t="s">
        <v>90</v>
      </c>
      <c r="F5" s="70" t="s">
        <v>91</v>
      </c>
      <c r="G5" s="70" t="s">
        <v>92</v>
      </c>
      <c r="H5" s="70" t="s">
        <v>93</v>
      </c>
      <c r="I5" s="70" t="s">
        <v>94</v>
      </c>
    </row>
    <row r="7" spans="2:15" ht="17.25" x14ac:dyDescent="0.25">
      <c r="B7" s="71" t="s">
        <v>95</v>
      </c>
      <c r="C7" s="72" t="s">
        <v>96</v>
      </c>
      <c r="D7" s="72"/>
      <c r="E7" s="73">
        <v>9485</v>
      </c>
      <c r="F7" s="74">
        <f>E33</f>
        <v>8000</v>
      </c>
      <c r="G7" s="74">
        <f>F33</f>
        <v>8000</v>
      </c>
      <c r="H7" s="74">
        <f>G33</f>
        <v>8000</v>
      </c>
      <c r="I7" s="74">
        <f>H33</f>
        <v>-182.99099761874996</v>
      </c>
    </row>
    <row r="8" spans="2:15" x14ac:dyDescent="0.2">
      <c r="B8" s="75"/>
      <c r="C8" s="75"/>
      <c r="D8" s="75"/>
      <c r="E8" s="75"/>
      <c r="F8" s="75"/>
      <c r="G8" s="75"/>
      <c r="H8" s="75"/>
      <c r="I8" s="75"/>
    </row>
    <row r="9" spans="2:15" ht="7.5" customHeight="1" x14ac:dyDescent="0.2">
      <c r="B9" s="76"/>
      <c r="C9" s="76"/>
      <c r="D9" s="76"/>
      <c r="E9" s="76"/>
      <c r="F9" s="76"/>
      <c r="G9" s="76"/>
      <c r="H9" s="76"/>
      <c r="I9" s="76"/>
    </row>
    <row r="10" spans="2:15" ht="17.25" customHeight="1" x14ac:dyDescent="0.25">
      <c r="B10" s="77" t="s">
        <v>97</v>
      </c>
      <c r="C10" s="72" t="s">
        <v>98</v>
      </c>
      <c r="D10" s="76"/>
      <c r="E10" s="78">
        <f>'Table 3.4-3'!E19</f>
        <v>423730</v>
      </c>
      <c r="F10" s="78">
        <f>'Table 3.4-3'!E56</f>
        <v>433730</v>
      </c>
      <c r="G10" s="78">
        <f>'Table 3.4-3'!E93</f>
        <v>445500</v>
      </c>
      <c r="H10" s="78">
        <f>'Table 3.4-3'!E130</f>
        <v>455600</v>
      </c>
      <c r="I10" s="78">
        <f>'Table 3.4-3'!E167</f>
        <v>469730</v>
      </c>
    </row>
    <row r="11" spans="2:15" ht="17.25" customHeight="1" x14ac:dyDescent="0.25">
      <c r="B11" s="77" t="s">
        <v>99</v>
      </c>
      <c r="C11" s="79" t="s">
        <v>100</v>
      </c>
      <c r="D11" s="76"/>
      <c r="E11" s="78">
        <f>'Table 3.4-3'!E17</f>
        <v>8730</v>
      </c>
      <c r="F11" s="78">
        <f>'Table 3.4-3'!E54</f>
        <v>8730</v>
      </c>
      <c r="G11" s="78">
        <f>'Table 3.4-3'!E91</f>
        <v>8900</v>
      </c>
      <c r="H11" s="78">
        <f>'Table 3.4-3'!E128</f>
        <v>7000</v>
      </c>
      <c r="I11" s="78">
        <f>'Table 3.4-3'!E165</f>
        <v>8730</v>
      </c>
    </row>
    <row r="12" spans="2:15" ht="17.25" customHeight="1" x14ac:dyDescent="0.25">
      <c r="B12" s="77"/>
      <c r="C12" s="79" t="s">
        <v>101</v>
      </c>
    </row>
    <row r="13" spans="2:15" x14ac:dyDescent="0.2">
      <c r="B13" s="77" t="s">
        <v>102</v>
      </c>
      <c r="C13" s="80" t="s">
        <v>103</v>
      </c>
      <c r="E13" s="78">
        <f>'Table 3.4-3'!E23</f>
        <v>412420</v>
      </c>
      <c r="F13" s="78">
        <f>'Table 3.4-3'!E60</f>
        <v>420420</v>
      </c>
      <c r="G13" s="78">
        <f>'Table 3.4-3'!E97</f>
        <v>433000</v>
      </c>
      <c r="H13" s="78">
        <f>'Table 3.4-3'!E134</f>
        <v>378400</v>
      </c>
      <c r="I13" s="78">
        <f>'Table 3.4-3'!E171</f>
        <v>355420</v>
      </c>
    </row>
    <row r="14" spans="2:15" x14ac:dyDescent="0.2">
      <c r="B14" s="77" t="s">
        <v>104</v>
      </c>
      <c r="C14" s="80" t="s">
        <v>105</v>
      </c>
      <c r="E14" s="78">
        <f>'Table 3.4-3'!E24</f>
        <v>2000</v>
      </c>
      <c r="F14" s="78">
        <f>'Table 3.4-3'!E61</f>
        <v>4000</v>
      </c>
      <c r="G14" s="78">
        <f>'Table 3.4-3'!E98</f>
        <v>3100</v>
      </c>
      <c r="H14" s="78">
        <f>'Table 3.4-3'!E135</f>
        <v>70000</v>
      </c>
      <c r="I14" s="78">
        <f>'Table 3.4-3'!E172</f>
        <v>105000</v>
      </c>
    </row>
    <row r="15" spans="2:15" x14ac:dyDescent="0.2">
      <c r="B15" s="77" t="s">
        <v>106</v>
      </c>
      <c r="C15" s="80" t="s">
        <v>107</v>
      </c>
      <c r="E15" s="81">
        <f>'Table 3.4-3'!E27</f>
        <v>580</v>
      </c>
      <c r="F15" s="81">
        <f>'Table 3.4-3'!E64</f>
        <v>580</v>
      </c>
      <c r="G15" s="81">
        <f>'Table 3.4-3'!E101</f>
        <v>500</v>
      </c>
      <c r="H15" s="81">
        <f>'Table 3.4-3'!E138</f>
        <v>200</v>
      </c>
      <c r="I15" s="81">
        <f>'Table 3.4-3'!E175</f>
        <v>580</v>
      </c>
      <c r="K15" s="82"/>
      <c r="L15" s="82"/>
      <c r="M15" s="82"/>
      <c r="N15" s="82"/>
      <c r="O15" s="82"/>
    </row>
    <row r="16" spans="2:15" x14ac:dyDescent="0.2">
      <c r="B16" s="77" t="s">
        <v>108</v>
      </c>
      <c r="C16" s="80" t="s">
        <v>109</v>
      </c>
      <c r="E16" s="78">
        <f>SUM(E13:E15)</f>
        <v>415000</v>
      </c>
      <c r="F16" s="78">
        <f>SUM(F13:F15)</f>
        <v>425000</v>
      </c>
      <c r="G16" s="78">
        <f>SUM(G13:G15)</f>
        <v>436600</v>
      </c>
      <c r="H16" s="78">
        <f>SUM(H13:H15)</f>
        <v>448600</v>
      </c>
      <c r="I16" s="78">
        <f>SUM(I13:I15)</f>
        <v>461000</v>
      </c>
    </row>
    <row r="17" spans="2:12" ht="8.25" customHeight="1" x14ac:dyDescent="0.2">
      <c r="B17" s="77"/>
      <c r="E17" s="78"/>
      <c r="F17" s="78"/>
      <c r="G17" s="78"/>
      <c r="H17" s="78"/>
      <c r="I17" s="78"/>
    </row>
    <row r="18" spans="2:12" ht="16.5" x14ac:dyDescent="0.2">
      <c r="B18" s="77" t="s">
        <v>110</v>
      </c>
      <c r="C18" s="83" t="s">
        <v>111</v>
      </c>
      <c r="E18" s="78">
        <f>'Table 3.4-3'!$E$39</f>
        <v>11890.6</v>
      </c>
      <c r="F18" s="78">
        <f>'Table 3.4-3'!$E$76</f>
        <v>18446</v>
      </c>
      <c r="G18" s="78">
        <f>'Table 3.4-3'!$E$113</f>
        <v>22133.5</v>
      </c>
      <c r="H18" s="78">
        <f>'Table 3.4-3'!$E$150</f>
        <v>27912.9</v>
      </c>
      <c r="I18" s="78">
        <f>'Table 3.4-3'!$E$187</f>
        <v>36897.599999999999</v>
      </c>
    </row>
    <row r="19" spans="2:12" ht="8.25" customHeight="1" x14ac:dyDescent="0.2">
      <c r="B19" s="77"/>
      <c r="E19" s="78"/>
      <c r="F19" s="78"/>
      <c r="G19" s="78"/>
      <c r="H19" s="78"/>
      <c r="I19" s="78"/>
    </row>
    <row r="20" spans="2:12" x14ac:dyDescent="0.2">
      <c r="B20" s="77" t="s">
        <v>112</v>
      </c>
      <c r="C20" s="83" t="s">
        <v>113</v>
      </c>
      <c r="E20" s="78">
        <f>E14-E18</f>
        <v>-9890.6</v>
      </c>
      <c r="F20" s="78">
        <f>F14-F18</f>
        <v>-14446</v>
      </c>
      <c r="G20" s="78">
        <f>G14-G18</f>
        <v>-19033.5</v>
      </c>
      <c r="H20" s="78">
        <f>H14-H18</f>
        <v>42087.1</v>
      </c>
      <c r="I20" s="78">
        <f>I14-I18</f>
        <v>68102.399999999994</v>
      </c>
    </row>
    <row r="21" spans="2:12" ht="8.25" customHeight="1" x14ac:dyDescent="0.2">
      <c r="B21" s="77"/>
      <c r="C21" s="83"/>
      <c r="E21" s="78"/>
      <c r="F21" s="78"/>
      <c r="G21" s="78"/>
      <c r="H21" s="78"/>
      <c r="I21" s="78"/>
    </row>
    <row r="22" spans="2:12" ht="16.5" x14ac:dyDescent="0.2">
      <c r="B22" s="77" t="s">
        <v>114</v>
      </c>
      <c r="C22" s="83" t="s">
        <v>115</v>
      </c>
      <c r="E22" s="84">
        <f>'Table 3.4-3'!$E$47</f>
        <v>-1472.807057</v>
      </c>
      <c r="F22" s="84">
        <f>'Table 3.4-3'!$E$84</f>
        <v>-2118.9392799999996</v>
      </c>
      <c r="G22" s="84">
        <f>'Table 3.4-3'!$E$121</f>
        <v>-3038.3560574999997</v>
      </c>
      <c r="H22" s="84">
        <f>'Table 3.4-3'!$E$158</f>
        <v>8180.7318495</v>
      </c>
      <c r="I22" s="84">
        <f>'Table 3.4-3'!$E$195</f>
        <v>14224.849527999999</v>
      </c>
    </row>
    <row r="23" spans="2:12" ht="8.25" customHeight="1" x14ac:dyDescent="0.2">
      <c r="B23" s="77"/>
      <c r="C23" s="83"/>
      <c r="E23" s="78"/>
      <c r="F23" s="78"/>
      <c r="G23" s="78"/>
      <c r="H23" s="78"/>
      <c r="I23" s="78"/>
    </row>
    <row r="24" spans="2:12" x14ac:dyDescent="0.2">
      <c r="B24" s="77" t="s">
        <v>116</v>
      </c>
      <c r="C24" s="83" t="s">
        <v>117</v>
      </c>
      <c r="E24" s="78"/>
      <c r="F24" s="78"/>
      <c r="G24" s="78"/>
      <c r="H24" s="78"/>
      <c r="I24" s="78"/>
    </row>
    <row r="25" spans="2:12" x14ac:dyDescent="0.2">
      <c r="B25" s="77"/>
      <c r="C25" s="85" t="s">
        <v>118</v>
      </c>
      <c r="E25" s="84">
        <f>-E22</f>
        <v>1472.807057</v>
      </c>
      <c r="F25" s="84">
        <f>-F22</f>
        <v>2118.9392799999996</v>
      </c>
      <c r="G25" s="84">
        <f>-G22</f>
        <v>3038.3560574999997</v>
      </c>
      <c r="H25" s="78"/>
    </row>
    <row r="26" spans="2:12" x14ac:dyDescent="0.2">
      <c r="B26" s="77"/>
      <c r="C26" s="85" t="s">
        <v>119</v>
      </c>
      <c r="F26" s="78"/>
      <c r="G26" s="78"/>
      <c r="H26" s="84">
        <f>-H22</f>
        <v>-8180.7318495</v>
      </c>
      <c r="I26" s="84">
        <f>-I22</f>
        <v>-14224.849527999999</v>
      </c>
    </row>
    <row r="27" spans="2:12" x14ac:dyDescent="0.2">
      <c r="B27" s="86"/>
      <c r="C27" s="87"/>
      <c r="D27" s="75"/>
      <c r="E27" s="75"/>
      <c r="F27" s="81"/>
      <c r="G27" s="81"/>
      <c r="H27" s="88"/>
      <c r="I27" s="81"/>
      <c r="J27" s="75"/>
    </row>
    <row r="28" spans="2:12" x14ac:dyDescent="0.2">
      <c r="B28" s="77"/>
      <c r="C28" s="85"/>
      <c r="F28" s="78"/>
      <c r="G28" s="78"/>
      <c r="H28" s="84"/>
      <c r="I28" s="78"/>
    </row>
    <row r="29" spans="2:12" ht="15" x14ac:dyDescent="0.25">
      <c r="B29" s="71" t="s">
        <v>120</v>
      </c>
      <c r="C29" s="72" t="s">
        <v>121</v>
      </c>
      <c r="D29" s="72"/>
      <c r="E29" s="73">
        <f>E7+SUM(E25:E26)</f>
        <v>10957.807057</v>
      </c>
      <c r="F29" s="73">
        <f>F7+SUM(F25:F26)</f>
        <v>10118.939279999999</v>
      </c>
      <c r="G29" s="73">
        <f>G7+SUM(G25:G26)</f>
        <v>11038.356057499999</v>
      </c>
      <c r="H29" s="73">
        <f>H7+SUM(H25:H26)</f>
        <v>-180.73184949999995</v>
      </c>
      <c r="I29" s="73">
        <f>I7+SUM(I26:I26)</f>
        <v>-14407.840525618749</v>
      </c>
    </row>
    <row r="30" spans="2:12" ht="17.25" x14ac:dyDescent="0.25">
      <c r="B30" s="71" t="s">
        <v>122</v>
      </c>
      <c r="C30" s="72" t="s">
        <v>123</v>
      </c>
      <c r="D30" s="72"/>
      <c r="E30" s="73">
        <f>E29*0.0125</f>
        <v>136.9725882125</v>
      </c>
      <c r="F30" s="73">
        <f>F29*0.0125</f>
        <v>126.48674099999999</v>
      </c>
      <c r="G30" s="73">
        <f>G29*0.0125</f>
        <v>137.97945071875</v>
      </c>
      <c r="H30" s="73">
        <f>H29*0.0125</f>
        <v>-2.2591481187499993</v>
      </c>
      <c r="I30" s="73">
        <f>I29*0.0125</f>
        <v>-180.09800657023436</v>
      </c>
      <c r="K30" s="89"/>
    </row>
    <row r="31" spans="2:12" ht="17.25" x14ac:dyDescent="0.25">
      <c r="B31" s="71" t="s">
        <v>124</v>
      </c>
      <c r="C31" s="72" t="s">
        <v>125</v>
      </c>
      <c r="E31" s="73">
        <f t="shared" ref="E31:G31" si="0">E29+E30</f>
        <v>11094.7796452125</v>
      </c>
      <c r="F31" s="73">
        <f t="shared" si="0"/>
        <v>10245.426020999999</v>
      </c>
      <c r="G31" s="73">
        <f t="shared" si="0"/>
        <v>11176.33550821875</v>
      </c>
      <c r="H31" s="73">
        <f>H29+H30</f>
        <v>-182.99099761874996</v>
      </c>
      <c r="I31" s="73">
        <f>I29+I30</f>
        <v>-14587.938532188984</v>
      </c>
    </row>
    <row r="32" spans="2:12" ht="17.25" x14ac:dyDescent="0.25">
      <c r="B32" s="71" t="s">
        <v>126</v>
      </c>
      <c r="C32" s="72" t="s">
        <v>127</v>
      </c>
      <c r="E32" s="73">
        <f>IF(E31&gt;8000,E31-8000,IF(E31&lt;-8000,E31+8000,0))</f>
        <v>3094.7796452125003</v>
      </c>
      <c r="F32" s="73">
        <f>IF(F31&gt;8000,F31-8000,IF(F31&lt;-8000,F31+8000,0))</f>
        <v>2245.4260209999993</v>
      </c>
      <c r="G32" s="73">
        <f>IF(G31&gt;8000,G31-8000,IF(G31&lt;-8000,G31+8000,0))</f>
        <v>3176.33550821875</v>
      </c>
      <c r="H32" s="73">
        <f>IF(H31&gt;8000,H31-8000,IF(H31&lt;-8000,H31+8000,0))</f>
        <v>0</v>
      </c>
      <c r="I32" s="73">
        <f>IF(I31&gt;8000,I31-8000,IF(I31&lt;-8000,I31+8000,0))</f>
        <v>-6587.938532188984</v>
      </c>
      <c r="L32" s="90"/>
    </row>
    <row r="33" spans="1:18" ht="17.25" x14ac:dyDescent="0.25">
      <c r="B33" s="71" t="s">
        <v>128</v>
      </c>
      <c r="C33" s="72" t="s">
        <v>129</v>
      </c>
      <c r="E33" s="73">
        <f>E31-E32</f>
        <v>8000</v>
      </c>
      <c r="F33" s="73">
        <f t="shared" ref="F33:I33" si="1">F31-F32</f>
        <v>8000</v>
      </c>
      <c r="G33" s="73">
        <f t="shared" si="1"/>
        <v>8000</v>
      </c>
      <c r="H33" s="73">
        <f t="shared" si="1"/>
        <v>-182.99099761874996</v>
      </c>
      <c r="I33" s="73">
        <f t="shared" si="1"/>
        <v>-8000</v>
      </c>
    </row>
    <row r="34" spans="1:18" x14ac:dyDescent="0.2">
      <c r="B34" s="77"/>
      <c r="C34" s="85"/>
      <c r="F34" s="78"/>
      <c r="G34" s="78"/>
      <c r="H34" s="84"/>
      <c r="I34" s="78"/>
    </row>
    <row r="35" spans="1:18" x14ac:dyDescent="0.2">
      <c r="C35" s="83"/>
      <c r="F35" s="78"/>
      <c r="G35" s="78"/>
      <c r="H35" s="78"/>
      <c r="I35" s="78"/>
    </row>
    <row r="36" spans="1:18" x14ac:dyDescent="0.2">
      <c r="C36" s="61" t="s">
        <v>65</v>
      </c>
      <c r="F36" s="68"/>
      <c r="G36" s="68"/>
      <c r="H36" s="68"/>
      <c r="I36" s="68"/>
      <c r="R36" s="82"/>
    </row>
    <row r="37" spans="1:18" x14ac:dyDescent="0.2">
      <c r="A37" s="76"/>
      <c r="B37" s="76"/>
      <c r="C37" s="61" t="s">
        <v>130</v>
      </c>
      <c r="D37" s="76"/>
      <c r="E37" s="76"/>
      <c r="F37" s="76"/>
      <c r="H37" s="76"/>
      <c r="I37" s="76"/>
      <c r="J37" s="76"/>
      <c r="K37" s="76"/>
      <c r="L37" s="76"/>
      <c r="M37" s="76"/>
    </row>
    <row r="38" spans="1:18" ht="15.75" customHeight="1" x14ac:dyDescent="0.2">
      <c r="C38" s="61" t="s">
        <v>131</v>
      </c>
    </row>
    <row r="39" spans="1:18" ht="20.25" customHeight="1" x14ac:dyDescent="0.2">
      <c r="C39" s="91" t="s">
        <v>132</v>
      </c>
      <c r="D39" s="91"/>
      <c r="E39" s="91"/>
      <c r="F39" s="91"/>
      <c r="G39" s="91"/>
      <c r="H39" s="91"/>
      <c r="I39" s="91"/>
    </row>
    <row r="40" spans="1:18" ht="31.5" customHeight="1" x14ac:dyDescent="0.2">
      <c r="A40" s="76"/>
      <c r="B40" s="76"/>
      <c r="C40" s="92" t="s">
        <v>133</v>
      </c>
      <c r="D40" s="92"/>
      <c r="E40" s="92"/>
      <c r="F40" s="92"/>
      <c r="G40" s="92"/>
      <c r="H40" s="92"/>
      <c r="I40" s="92"/>
      <c r="J40" s="76"/>
      <c r="K40" s="76"/>
      <c r="L40" s="76"/>
      <c r="M40" s="76"/>
    </row>
    <row r="41" spans="1:18" ht="66.75" customHeight="1" x14ac:dyDescent="0.25">
      <c r="A41" s="93"/>
      <c r="B41" s="93"/>
      <c r="C41" s="92" t="s">
        <v>134</v>
      </c>
      <c r="D41" s="92"/>
      <c r="E41" s="92"/>
      <c r="F41" s="92"/>
      <c r="G41" s="92"/>
      <c r="H41" s="92"/>
      <c r="I41" s="92"/>
      <c r="J41" s="76"/>
      <c r="K41" s="76"/>
      <c r="L41" s="76"/>
      <c r="M41" s="76"/>
    </row>
    <row r="42" spans="1:18" ht="14.25" customHeight="1" x14ac:dyDescent="0.2">
      <c r="A42" s="76"/>
      <c r="B42" s="76"/>
      <c r="C42" s="92" t="s">
        <v>135</v>
      </c>
      <c r="D42" s="92"/>
      <c r="E42" s="92"/>
      <c r="F42" s="92"/>
      <c r="G42" s="92"/>
      <c r="H42" s="92"/>
      <c r="I42" s="92"/>
      <c r="J42" s="76"/>
      <c r="K42" s="76"/>
      <c r="L42" s="76"/>
      <c r="M42" s="76"/>
    </row>
    <row r="43" spans="1:18" ht="51" customHeight="1" x14ac:dyDescent="0.2">
      <c r="A43" s="76"/>
      <c r="B43" s="76"/>
      <c r="C43" s="92" t="s">
        <v>136</v>
      </c>
      <c r="D43" s="92"/>
      <c r="E43" s="92"/>
      <c r="F43" s="92"/>
      <c r="G43" s="92"/>
      <c r="H43" s="92"/>
      <c r="I43" s="92"/>
      <c r="J43" s="94"/>
      <c r="K43" s="76"/>
      <c r="L43" s="76"/>
      <c r="M43" s="76"/>
    </row>
    <row r="44" spans="1:18" ht="37.9" customHeight="1" x14ac:dyDescent="0.2">
      <c r="A44" s="76"/>
      <c r="B44" s="76"/>
      <c r="C44" s="92" t="s">
        <v>137</v>
      </c>
      <c r="D44" s="92"/>
      <c r="E44" s="92"/>
      <c r="F44" s="92"/>
      <c r="G44" s="92"/>
      <c r="H44" s="92"/>
      <c r="I44" s="92"/>
      <c r="J44" s="94"/>
      <c r="K44" s="76"/>
      <c r="L44" s="76"/>
      <c r="M44" s="76"/>
    </row>
    <row r="45" spans="1:18" x14ac:dyDescent="0.2">
      <c r="A45" s="76"/>
      <c r="B45" s="76"/>
      <c r="C45" s="76"/>
      <c r="D45" s="76"/>
      <c r="E45" s="76"/>
      <c r="F45" s="76"/>
      <c r="G45" s="76"/>
      <c r="H45" s="76"/>
      <c r="I45" s="76"/>
      <c r="J45" s="76"/>
      <c r="K45" s="76"/>
      <c r="L45" s="76"/>
      <c r="M45" s="76"/>
    </row>
    <row r="46" spans="1:18" x14ac:dyDescent="0.2">
      <c r="A46" s="76"/>
      <c r="B46" s="76"/>
      <c r="C46" s="94"/>
      <c r="D46" s="76"/>
      <c r="E46" s="76"/>
      <c r="F46" s="76"/>
      <c r="G46" s="76"/>
      <c r="H46" s="76"/>
      <c r="I46" s="76"/>
      <c r="J46" s="76"/>
      <c r="K46" s="76"/>
      <c r="L46" s="76"/>
      <c r="M46" s="76"/>
    </row>
    <row r="47" spans="1:18" x14ac:dyDescent="0.2">
      <c r="A47" s="76"/>
      <c r="B47" s="76"/>
      <c r="C47" s="76"/>
      <c r="D47" s="76"/>
      <c r="E47" s="76"/>
      <c r="F47" s="76"/>
      <c r="G47" s="76"/>
      <c r="H47" s="76"/>
      <c r="I47" s="76"/>
      <c r="J47" s="76"/>
      <c r="K47" s="76"/>
      <c r="L47" s="76"/>
      <c r="M47" s="76"/>
    </row>
    <row r="48" spans="1:18" ht="15" x14ac:dyDescent="0.25">
      <c r="A48" s="76"/>
      <c r="B48" s="76"/>
      <c r="C48" s="76"/>
      <c r="D48" s="76"/>
      <c r="E48" s="76"/>
      <c r="F48" s="95"/>
      <c r="G48" s="95"/>
      <c r="H48" s="95"/>
      <c r="I48" s="95"/>
      <c r="J48" s="76"/>
      <c r="K48" s="76"/>
      <c r="L48" s="76"/>
      <c r="M48" s="76"/>
    </row>
    <row r="49" spans="1:13" ht="15" x14ac:dyDescent="0.25">
      <c r="A49" s="76"/>
      <c r="B49" s="76"/>
      <c r="C49" s="76"/>
      <c r="D49" s="76"/>
      <c r="E49" s="76"/>
      <c r="F49" s="96"/>
      <c r="G49" s="96"/>
      <c r="H49" s="96"/>
      <c r="I49" s="96"/>
      <c r="J49" s="76"/>
      <c r="K49" s="76"/>
      <c r="L49" s="76"/>
      <c r="M49" s="76"/>
    </row>
    <row r="50" spans="1:13" x14ac:dyDescent="0.2">
      <c r="A50" s="76"/>
      <c r="B50" s="76"/>
      <c r="C50" s="94"/>
      <c r="D50" s="76"/>
      <c r="E50" s="76"/>
      <c r="F50" s="97"/>
      <c r="G50" s="97"/>
      <c r="H50" s="97"/>
      <c r="I50" s="97"/>
      <c r="J50" s="76"/>
      <c r="K50" s="76"/>
      <c r="L50" s="76"/>
      <c r="M50" s="76"/>
    </row>
    <row r="51" spans="1:13" x14ac:dyDescent="0.2">
      <c r="A51" s="76"/>
      <c r="B51" s="76"/>
      <c r="C51" s="76"/>
      <c r="D51" s="76"/>
      <c r="E51" s="76"/>
      <c r="F51" s="98"/>
      <c r="G51" s="98"/>
      <c r="H51" s="98"/>
      <c r="I51" s="98"/>
      <c r="J51" s="76"/>
      <c r="K51" s="76"/>
      <c r="L51" s="76"/>
      <c r="M51" s="76"/>
    </row>
    <row r="52" spans="1:13" x14ac:dyDescent="0.2">
      <c r="A52" s="76"/>
      <c r="B52" s="76"/>
      <c r="C52" s="76"/>
      <c r="D52" s="76"/>
      <c r="E52" s="76"/>
      <c r="F52" s="98"/>
      <c r="G52" s="98"/>
      <c r="H52" s="98"/>
      <c r="I52" s="98"/>
      <c r="J52" s="76"/>
      <c r="K52" s="76"/>
      <c r="L52" s="76"/>
      <c r="M52" s="76"/>
    </row>
    <row r="53" spans="1:13" x14ac:dyDescent="0.2">
      <c r="A53" s="76"/>
      <c r="B53" s="76"/>
      <c r="C53" s="76"/>
      <c r="D53" s="76"/>
      <c r="E53" s="76"/>
      <c r="F53" s="76"/>
      <c r="G53" s="76"/>
      <c r="H53" s="76"/>
      <c r="I53" s="76"/>
      <c r="J53" s="76"/>
      <c r="K53" s="76"/>
      <c r="L53" s="76"/>
      <c r="M53" s="76"/>
    </row>
    <row r="54" spans="1:13" x14ac:dyDescent="0.2">
      <c r="A54" s="76"/>
      <c r="B54" s="76"/>
      <c r="C54" s="99"/>
      <c r="D54" s="76"/>
      <c r="E54" s="76"/>
      <c r="F54" s="98"/>
      <c r="G54" s="98"/>
      <c r="H54" s="98"/>
      <c r="I54" s="98"/>
      <c r="J54" s="76"/>
      <c r="K54" s="76"/>
      <c r="L54" s="76"/>
      <c r="M54" s="76"/>
    </row>
    <row r="55" spans="1:13" x14ac:dyDescent="0.2">
      <c r="A55" s="76"/>
      <c r="B55" s="76"/>
      <c r="C55" s="99"/>
      <c r="D55" s="76"/>
      <c r="E55" s="76"/>
      <c r="F55" s="98"/>
      <c r="G55" s="98"/>
      <c r="H55" s="98"/>
      <c r="I55" s="98"/>
      <c r="J55" s="76"/>
      <c r="K55" s="76"/>
      <c r="L55" s="76"/>
      <c r="M55" s="76"/>
    </row>
    <row r="56" spans="1:13" x14ac:dyDescent="0.2">
      <c r="A56" s="76"/>
      <c r="B56" s="76"/>
      <c r="C56" s="99"/>
      <c r="D56" s="76"/>
      <c r="E56" s="76"/>
      <c r="F56" s="98"/>
      <c r="G56" s="98"/>
      <c r="H56" s="98"/>
      <c r="I56" s="98"/>
      <c r="J56" s="76"/>
      <c r="K56" s="76"/>
      <c r="L56" s="76"/>
      <c r="M56" s="76"/>
    </row>
    <row r="57" spans="1:13" x14ac:dyDescent="0.2">
      <c r="A57" s="76"/>
      <c r="B57" s="76"/>
      <c r="C57" s="99"/>
      <c r="D57" s="76"/>
      <c r="E57" s="76"/>
      <c r="F57" s="98"/>
      <c r="G57" s="98"/>
      <c r="H57" s="98"/>
      <c r="I57" s="98"/>
      <c r="J57" s="76"/>
      <c r="K57" s="76"/>
      <c r="L57" s="76"/>
      <c r="M57" s="76"/>
    </row>
    <row r="58" spans="1:13" x14ac:dyDescent="0.2">
      <c r="A58" s="76"/>
      <c r="B58" s="76"/>
      <c r="C58" s="76"/>
      <c r="D58" s="76"/>
      <c r="E58" s="76"/>
      <c r="F58" s="98"/>
      <c r="G58" s="98"/>
      <c r="H58" s="98"/>
      <c r="I58" s="98"/>
      <c r="J58" s="76"/>
      <c r="K58" s="76"/>
      <c r="L58" s="76"/>
      <c r="M58" s="76"/>
    </row>
    <row r="59" spans="1:13" x14ac:dyDescent="0.2">
      <c r="A59" s="76"/>
      <c r="B59" s="76"/>
      <c r="C59" s="76"/>
      <c r="D59" s="76"/>
      <c r="E59" s="76"/>
      <c r="F59" s="76"/>
      <c r="G59" s="100"/>
      <c r="H59" s="76"/>
      <c r="I59" s="76"/>
      <c r="J59" s="76"/>
      <c r="K59" s="76"/>
      <c r="L59" s="76"/>
      <c r="M59" s="76"/>
    </row>
    <row r="60" spans="1:13" x14ac:dyDescent="0.2">
      <c r="A60" s="76"/>
      <c r="B60" s="76"/>
      <c r="C60" s="94"/>
      <c r="D60" s="76"/>
      <c r="E60" s="76"/>
      <c r="F60" s="76"/>
      <c r="G60" s="101"/>
      <c r="H60" s="76"/>
      <c r="I60" s="76"/>
      <c r="J60" s="76"/>
      <c r="K60" s="76"/>
      <c r="L60" s="76"/>
      <c r="M60" s="76"/>
    </row>
    <row r="61" spans="1:13" x14ac:dyDescent="0.2">
      <c r="A61" s="76"/>
      <c r="B61" s="76"/>
      <c r="C61" s="76"/>
      <c r="D61" s="76"/>
      <c r="E61" s="76"/>
      <c r="F61" s="76"/>
      <c r="G61" s="76"/>
      <c r="H61" s="76"/>
      <c r="I61" s="76"/>
      <c r="J61" s="76"/>
      <c r="K61" s="76"/>
      <c r="L61" s="76"/>
      <c r="M61" s="76"/>
    </row>
    <row r="62" spans="1:13" x14ac:dyDescent="0.2">
      <c r="A62" s="76"/>
      <c r="B62" s="76"/>
      <c r="C62" s="76"/>
      <c r="D62" s="76"/>
      <c r="E62" s="76"/>
      <c r="F62" s="76"/>
      <c r="G62" s="76"/>
      <c r="H62" s="76"/>
      <c r="I62" s="76"/>
      <c r="J62" s="76"/>
      <c r="K62" s="76"/>
      <c r="L62" s="76"/>
      <c r="M62" s="76"/>
    </row>
    <row r="63" spans="1:13" x14ac:dyDescent="0.2">
      <c r="A63" s="76"/>
      <c r="B63" s="76"/>
      <c r="C63" s="76"/>
      <c r="D63" s="76"/>
      <c r="E63" s="76"/>
      <c r="F63" s="76"/>
      <c r="G63" s="76"/>
      <c r="H63" s="76"/>
      <c r="I63" s="76"/>
      <c r="J63" s="76"/>
      <c r="K63" s="76"/>
      <c r="L63" s="76"/>
      <c r="M63" s="76"/>
    </row>
    <row r="64" spans="1:13" x14ac:dyDescent="0.2">
      <c r="A64" s="76"/>
      <c r="B64" s="76"/>
      <c r="C64" s="76"/>
      <c r="D64" s="76"/>
      <c r="E64" s="76"/>
      <c r="F64" s="76"/>
      <c r="G64" s="76"/>
      <c r="H64" s="76"/>
      <c r="I64" s="76"/>
      <c r="J64" s="76"/>
      <c r="K64" s="76"/>
      <c r="L64" s="76"/>
      <c r="M64" s="76"/>
    </row>
    <row r="65" spans="1:13" x14ac:dyDescent="0.2">
      <c r="A65" s="76"/>
      <c r="B65" s="76"/>
      <c r="C65" s="76"/>
      <c r="D65" s="76"/>
      <c r="E65" s="76"/>
      <c r="F65" s="76"/>
      <c r="G65" s="76"/>
      <c r="H65" s="76"/>
      <c r="I65" s="76"/>
      <c r="J65" s="76"/>
      <c r="K65" s="76"/>
      <c r="L65" s="76"/>
      <c r="M65" s="76"/>
    </row>
    <row r="66" spans="1:13" x14ac:dyDescent="0.2">
      <c r="A66" s="76"/>
      <c r="B66" s="76"/>
      <c r="C66" s="76"/>
      <c r="D66" s="76"/>
      <c r="E66" s="76"/>
      <c r="F66" s="76"/>
      <c r="G66" s="76"/>
      <c r="H66" s="76"/>
      <c r="I66" s="76"/>
      <c r="J66" s="76"/>
      <c r="K66" s="76"/>
      <c r="L66" s="76"/>
      <c r="M66" s="76"/>
    </row>
    <row r="67" spans="1:13" x14ac:dyDescent="0.2">
      <c r="A67" s="76"/>
      <c r="B67" s="76"/>
      <c r="C67" s="76"/>
      <c r="D67" s="76"/>
      <c r="E67" s="76"/>
      <c r="F67" s="76"/>
      <c r="G67" s="76"/>
      <c r="H67" s="76"/>
      <c r="I67" s="76"/>
      <c r="J67" s="76"/>
      <c r="K67" s="76"/>
      <c r="L67" s="76"/>
      <c r="M67" s="76"/>
    </row>
    <row r="68" spans="1:13" x14ac:dyDescent="0.2">
      <c r="A68" s="76"/>
      <c r="B68" s="76"/>
      <c r="C68" s="76"/>
      <c r="D68" s="76"/>
      <c r="E68" s="76"/>
      <c r="F68" s="76"/>
      <c r="G68" s="76"/>
      <c r="H68" s="76"/>
      <c r="I68" s="76"/>
      <c r="J68" s="76"/>
      <c r="K68" s="76"/>
      <c r="L68" s="76"/>
      <c r="M68" s="76"/>
    </row>
    <row r="69" spans="1:13" x14ac:dyDescent="0.2">
      <c r="A69" s="76"/>
      <c r="B69" s="76"/>
      <c r="C69" s="76"/>
      <c r="D69" s="76"/>
      <c r="E69" s="76"/>
      <c r="F69" s="76"/>
      <c r="G69" s="76"/>
      <c r="H69" s="76"/>
      <c r="I69" s="76"/>
      <c r="J69" s="76"/>
      <c r="K69" s="76"/>
      <c r="L69" s="76"/>
      <c r="M69" s="76"/>
    </row>
    <row r="70" spans="1:13" x14ac:dyDescent="0.2">
      <c r="A70" s="76"/>
      <c r="B70" s="76"/>
      <c r="C70" s="76"/>
      <c r="D70" s="76"/>
      <c r="E70" s="76"/>
      <c r="F70" s="76"/>
      <c r="G70" s="76"/>
      <c r="H70" s="76"/>
      <c r="I70" s="76"/>
      <c r="J70" s="76"/>
      <c r="K70" s="76"/>
      <c r="L70" s="76"/>
      <c r="M70" s="76"/>
    </row>
    <row r="71" spans="1:13" x14ac:dyDescent="0.2">
      <c r="A71" s="76"/>
      <c r="B71" s="76"/>
      <c r="C71" s="76"/>
      <c r="D71" s="76"/>
      <c r="E71" s="76"/>
      <c r="F71" s="76"/>
      <c r="G71" s="76"/>
      <c r="H71" s="76"/>
      <c r="I71" s="76"/>
      <c r="J71" s="76"/>
      <c r="K71" s="76"/>
      <c r="L71" s="76"/>
      <c r="M71" s="76"/>
    </row>
    <row r="72" spans="1:13" x14ac:dyDescent="0.2">
      <c r="A72" s="76"/>
      <c r="B72" s="76"/>
      <c r="C72" s="76"/>
      <c r="D72" s="76"/>
      <c r="E72" s="76"/>
      <c r="F72" s="76"/>
      <c r="G72" s="76"/>
      <c r="H72" s="76"/>
      <c r="I72" s="76"/>
      <c r="J72" s="76"/>
      <c r="K72" s="76"/>
      <c r="L72" s="76"/>
      <c r="M72" s="76"/>
    </row>
    <row r="73" spans="1:13" x14ac:dyDescent="0.2">
      <c r="A73" s="76"/>
      <c r="B73" s="76"/>
      <c r="C73" s="76"/>
      <c r="D73" s="76"/>
      <c r="E73" s="76"/>
      <c r="F73" s="76"/>
      <c r="G73" s="76"/>
      <c r="H73" s="76"/>
      <c r="I73" s="76"/>
      <c r="J73" s="76"/>
      <c r="K73" s="76"/>
      <c r="L73" s="76"/>
      <c r="M73" s="76"/>
    </row>
    <row r="74" spans="1:13" x14ac:dyDescent="0.2">
      <c r="A74" s="76"/>
      <c r="B74" s="76"/>
      <c r="C74" s="76"/>
      <c r="D74" s="76"/>
      <c r="E74" s="76"/>
      <c r="F74" s="76"/>
      <c r="G74" s="76"/>
      <c r="H74" s="76"/>
      <c r="I74" s="76"/>
      <c r="J74" s="76"/>
      <c r="K74" s="76"/>
      <c r="L74" s="76"/>
      <c r="M74" s="76"/>
    </row>
    <row r="75" spans="1:13" x14ac:dyDescent="0.2">
      <c r="A75" s="76"/>
      <c r="B75" s="76"/>
      <c r="C75" s="76"/>
      <c r="D75" s="76"/>
      <c r="E75" s="76"/>
      <c r="F75" s="76"/>
      <c r="G75" s="76"/>
      <c r="H75" s="76"/>
      <c r="I75" s="76"/>
      <c r="J75" s="76"/>
      <c r="K75" s="76"/>
      <c r="L75" s="76"/>
      <c r="M75" s="76"/>
    </row>
    <row r="76" spans="1:13" x14ac:dyDescent="0.2">
      <c r="A76" s="76"/>
      <c r="B76" s="76"/>
      <c r="C76" s="76"/>
      <c r="D76" s="76"/>
      <c r="E76" s="76"/>
      <c r="F76" s="76"/>
      <c r="G76" s="76"/>
      <c r="H76" s="76"/>
      <c r="I76" s="76"/>
      <c r="J76" s="76"/>
      <c r="K76" s="76"/>
      <c r="L76" s="76"/>
      <c r="M76" s="76"/>
    </row>
  </sheetData>
  <mergeCells count="7">
    <mergeCell ref="F48:I48"/>
    <mergeCell ref="C39:I39"/>
    <mergeCell ref="C40:I40"/>
    <mergeCell ref="C41:I41"/>
    <mergeCell ref="C42:I42"/>
    <mergeCell ref="C43:I43"/>
    <mergeCell ref="C44:I44"/>
  </mergeCells>
  <printOptions horizontalCentered="1"/>
  <pageMargins left="0.70866141732283505" right="0.70866141732283505" top="0.74803149606299202" bottom="0.74803149606299202" header="0.31496062992126" footer="0.31496062992126"/>
  <pageSetup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197"/>
  <sheetViews>
    <sheetView showGridLines="0" view="pageBreakPreview" zoomScale="90" zoomScaleNormal="80" zoomScaleSheetLayoutView="90" workbookViewId="0">
      <selection activeCell="E192" sqref="E192"/>
    </sheetView>
  </sheetViews>
  <sheetFormatPr defaultColWidth="9.140625" defaultRowHeight="14.25" x14ac:dyDescent="0.2"/>
  <cols>
    <col min="1" max="1" width="5.5703125" style="83" customWidth="1"/>
    <col min="2" max="2" width="5" style="83" customWidth="1"/>
    <col min="3" max="3" width="21.5703125" style="83" customWidth="1"/>
    <col min="4" max="4" width="73.7109375" style="83" customWidth="1"/>
    <col min="5" max="5" width="15.140625" style="83" customWidth="1"/>
    <col min="6" max="6" width="11.85546875" style="83" customWidth="1"/>
    <col min="7" max="7" width="53" style="104" customWidth="1"/>
    <col min="8" max="10" width="9.140625" style="83"/>
    <col min="11" max="11" width="18.85546875" style="83" customWidth="1"/>
    <col min="12" max="16384" width="9.140625" style="83"/>
  </cols>
  <sheetData>
    <row r="2" spans="1:7" ht="15" x14ac:dyDescent="0.25">
      <c r="B2" s="102"/>
      <c r="D2" s="102" t="s">
        <v>225</v>
      </c>
      <c r="G2" s="136"/>
    </row>
    <row r="4" spans="1:7" ht="15" x14ac:dyDescent="0.25">
      <c r="A4" s="103"/>
      <c r="B4" s="103"/>
      <c r="D4" s="103"/>
    </row>
    <row r="5" spans="1:7" ht="15" x14ac:dyDescent="0.25">
      <c r="C5" s="103"/>
      <c r="D5" s="103"/>
    </row>
    <row r="6" spans="1:7" ht="15" x14ac:dyDescent="0.25">
      <c r="C6" s="105" t="s">
        <v>138</v>
      </c>
      <c r="D6" s="106"/>
      <c r="E6" s="105"/>
      <c r="F6" s="105"/>
      <c r="G6" s="107" t="s">
        <v>139</v>
      </c>
    </row>
    <row r="7" spans="1:7" x14ac:dyDescent="0.2">
      <c r="C7" s="108" t="s">
        <v>140</v>
      </c>
      <c r="D7" s="83" t="s">
        <v>141</v>
      </c>
      <c r="E7" s="109">
        <v>26.332999999999998</v>
      </c>
      <c r="F7" s="83" t="s">
        <v>142</v>
      </c>
      <c r="G7" s="110" t="s">
        <v>143</v>
      </c>
    </row>
    <row r="8" spans="1:7" x14ac:dyDescent="0.2">
      <c r="C8" s="108" t="s">
        <v>144</v>
      </c>
      <c r="D8" s="83" t="s">
        <v>145</v>
      </c>
      <c r="E8" s="109">
        <v>14.667999999999999</v>
      </c>
      <c r="F8" s="83" t="s">
        <v>142</v>
      </c>
      <c r="G8" s="110"/>
    </row>
    <row r="9" spans="1:7" x14ac:dyDescent="0.2">
      <c r="F9" s="111"/>
    </row>
    <row r="10" spans="1:7" ht="15" x14ac:dyDescent="0.25">
      <c r="B10" s="103" t="s">
        <v>146</v>
      </c>
    </row>
    <row r="12" spans="1:7" ht="15" x14ac:dyDescent="0.25">
      <c r="B12" s="102" t="s">
        <v>147</v>
      </c>
      <c r="C12" s="108"/>
      <c r="E12" s="68"/>
    </row>
    <row r="13" spans="1:7" ht="15" x14ac:dyDescent="0.25">
      <c r="B13" s="102"/>
      <c r="C13" s="108"/>
      <c r="E13" s="68"/>
    </row>
    <row r="14" spans="1:7" ht="15" x14ac:dyDescent="0.25">
      <c r="B14" s="102"/>
      <c r="C14" s="108"/>
      <c r="D14" s="112" t="s">
        <v>148</v>
      </c>
      <c r="E14" s="68"/>
    </row>
    <row r="15" spans="1:7" ht="6.75" customHeight="1" x14ac:dyDescent="0.25">
      <c r="B15" s="102"/>
      <c r="C15" s="108"/>
      <c r="D15" s="108"/>
      <c r="E15" s="68"/>
    </row>
    <row r="16" spans="1:7" ht="15" x14ac:dyDescent="0.25">
      <c r="B16" s="102"/>
      <c r="C16" s="108" t="s">
        <v>149</v>
      </c>
      <c r="D16" s="83" t="s">
        <v>150</v>
      </c>
      <c r="E16" s="68">
        <v>415000</v>
      </c>
      <c r="F16" s="83" t="s">
        <v>151</v>
      </c>
      <c r="G16" s="104" t="s">
        <v>152</v>
      </c>
    </row>
    <row r="17" spans="2:11" ht="15" x14ac:dyDescent="0.25">
      <c r="B17" s="102"/>
      <c r="C17" s="108" t="s">
        <v>153</v>
      </c>
      <c r="D17" s="83" t="s">
        <v>154</v>
      </c>
      <c r="E17" s="113">
        <v>8730</v>
      </c>
      <c r="F17" s="83" t="s">
        <v>151</v>
      </c>
      <c r="G17" s="104" t="s">
        <v>152</v>
      </c>
    </row>
    <row r="18" spans="2:11" ht="6.75" customHeight="1" x14ac:dyDescent="0.25">
      <c r="B18" s="102"/>
      <c r="C18" s="108"/>
      <c r="E18" s="68"/>
    </row>
    <row r="19" spans="2:11" ht="15" x14ac:dyDescent="0.25">
      <c r="B19" s="102"/>
      <c r="C19" s="108" t="s">
        <v>155</v>
      </c>
      <c r="D19" s="83" t="s">
        <v>156</v>
      </c>
      <c r="E19" s="68">
        <f>SUM(E16:E17)</f>
        <v>423730</v>
      </c>
      <c r="F19" s="83" t="s">
        <v>151</v>
      </c>
    </row>
    <row r="20" spans="2:11" ht="6.75" customHeight="1" x14ac:dyDescent="0.25">
      <c r="B20" s="102"/>
      <c r="C20" s="108"/>
      <c r="E20" s="68"/>
    </row>
    <row r="21" spans="2:11" ht="15" x14ac:dyDescent="0.25">
      <c r="B21" s="102"/>
      <c r="C21" s="108"/>
      <c r="D21" s="83" t="s">
        <v>157</v>
      </c>
      <c r="E21" s="68"/>
    </row>
    <row r="22" spans="2:11" ht="15" customHeight="1" x14ac:dyDescent="0.25">
      <c r="B22" s="102"/>
      <c r="C22" s="108" t="s">
        <v>158</v>
      </c>
      <c r="D22" s="85" t="s">
        <v>159</v>
      </c>
      <c r="E22" s="68">
        <f>E17</f>
        <v>8730</v>
      </c>
      <c r="F22" s="83" t="s">
        <v>151</v>
      </c>
      <c r="G22" s="104" t="s">
        <v>152</v>
      </c>
      <c r="K22" s="94"/>
    </row>
    <row r="23" spans="2:11" ht="15" x14ac:dyDescent="0.25">
      <c r="B23" s="102"/>
      <c r="C23" s="108" t="s">
        <v>160</v>
      </c>
      <c r="D23" s="85" t="s">
        <v>161</v>
      </c>
      <c r="E23" s="68">
        <f>E19-E24-E27-E22</f>
        <v>412420</v>
      </c>
      <c r="F23" s="83" t="s">
        <v>151</v>
      </c>
      <c r="G23" s="104" t="s">
        <v>152</v>
      </c>
      <c r="K23" s="114"/>
    </row>
    <row r="24" spans="2:11" ht="15" x14ac:dyDescent="0.25">
      <c r="B24" s="102"/>
      <c r="C24" s="108" t="s">
        <v>162</v>
      </c>
      <c r="D24" s="85" t="s">
        <v>163</v>
      </c>
      <c r="E24" s="68">
        <f>SUM(E25:E26)</f>
        <v>2000</v>
      </c>
      <c r="F24" s="83" t="s">
        <v>151</v>
      </c>
      <c r="G24" s="104" t="s">
        <v>152</v>
      </c>
      <c r="K24" s="114"/>
    </row>
    <row r="25" spans="2:11" ht="15" x14ac:dyDescent="0.25">
      <c r="B25" s="102"/>
      <c r="C25" s="108" t="s">
        <v>164</v>
      </c>
      <c r="D25" s="115" t="s">
        <v>165</v>
      </c>
      <c r="E25" s="116">
        <v>1000</v>
      </c>
      <c r="F25" s="117" t="s">
        <v>151</v>
      </c>
      <c r="G25" s="118" t="s">
        <v>152</v>
      </c>
      <c r="K25" s="114"/>
    </row>
    <row r="26" spans="2:11" ht="15" x14ac:dyDescent="0.25">
      <c r="B26" s="102"/>
      <c r="C26" s="108" t="s">
        <v>166</v>
      </c>
      <c r="D26" s="115" t="s">
        <v>167</v>
      </c>
      <c r="E26" s="116">
        <v>1000</v>
      </c>
      <c r="F26" s="117" t="s">
        <v>151</v>
      </c>
      <c r="G26" s="118" t="s">
        <v>152</v>
      </c>
      <c r="K26" s="114"/>
    </row>
    <row r="27" spans="2:11" ht="15" x14ac:dyDescent="0.25">
      <c r="B27" s="102"/>
      <c r="C27" s="108" t="s">
        <v>168</v>
      </c>
      <c r="D27" s="85" t="s">
        <v>169</v>
      </c>
      <c r="E27" s="113">
        <f>E32</f>
        <v>580</v>
      </c>
      <c r="F27" s="83" t="s">
        <v>151</v>
      </c>
      <c r="G27" s="104" t="s">
        <v>152</v>
      </c>
      <c r="K27" s="114"/>
    </row>
    <row r="28" spans="2:11" ht="15" x14ac:dyDescent="0.25">
      <c r="B28" s="102"/>
      <c r="C28" s="108" t="s">
        <v>170</v>
      </c>
      <c r="D28" s="83" t="s">
        <v>156</v>
      </c>
      <c r="E28" s="68">
        <f>SUM(E22:E27)-E25-E26</f>
        <v>423730</v>
      </c>
      <c r="F28" s="83" t="s">
        <v>151</v>
      </c>
      <c r="K28" s="114"/>
    </row>
    <row r="29" spans="2:11" ht="6.75" customHeight="1" x14ac:dyDescent="0.25">
      <c r="B29" s="102"/>
      <c r="C29" s="108"/>
      <c r="E29" s="68"/>
      <c r="K29" s="114"/>
    </row>
    <row r="30" spans="2:11" ht="15" x14ac:dyDescent="0.25">
      <c r="B30" s="102"/>
      <c r="C30" s="108"/>
      <c r="D30" s="83" t="s">
        <v>171</v>
      </c>
      <c r="E30" s="68"/>
      <c r="K30" s="114"/>
    </row>
    <row r="31" spans="2:11" ht="26.25" x14ac:dyDescent="0.25">
      <c r="B31" s="102"/>
      <c r="C31" s="119" t="s">
        <v>172</v>
      </c>
      <c r="D31" s="120" t="s">
        <v>173</v>
      </c>
      <c r="E31" s="121">
        <v>8730</v>
      </c>
      <c r="F31" s="122" t="s">
        <v>151</v>
      </c>
      <c r="G31" s="123" t="s">
        <v>174</v>
      </c>
      <c r="K31" s="114"/>
    </row>
    <row r="32" spans="2:11" ht="15" x14ac:dyDescent="0.25">
      <c r="B32" s="102"/>
      <c r="C32" s="108" t="s">
        <v>175</v>
      </c>
      <c r="D32" s="85" t="s">
        <v>176</v>
      </c>
      <c r="E32" s="113">
        <v>580</v>
      </c>
      <c r="F32" s="83" t="s">
        <v>151</v>
      </c>
      <c r="G32" s="104" t="s">
        <v>177</v>
      </c>
      <c r="K32" s="114"/>
    </row>
    <row r="33" spans="2:11" ht="15" x14ac:dyDescent="0.25">
      <c r="B33" s="102"/>
      <c r="C33" s="108" t="s">
        <v>178</v>
      </c>
      <c r="D33" s="85" t="s">
        <v>179</v>
      </c>
      <c r="E33" s="68">
        <f>E28-E31-E32</f>
        <v>414420</v>
      </c>
      <c r="F33" s="83" t="s">
        <v>151</v>
      </c>
      <c r="K33" s="114"/>
    </row>
    <row r="34" spans="2:11" ht="6.75" customHeight="1" x14ac:dyDescent="0.25">
      <c r="B34" s="102"/>
      <c r="C34" s="108"/>
      <c r="E34" s="68"/>
      <c r="K34" s="114"/>
    </row>
    <row r="35" spans="2:11" x14ac:dyDescent="0.2">
      <c r="C35" s="108" t="s">
        <v>180</v>
      </c>
      <c r="D35" s="124" t="s">
        <v>181</v>
      </c>
      <c r="E35" s="125">
        <v>10211</v>
      </c>
      <c r="F35" s="124" t="s">
        <v>151</v>
      </c>
      <c r="G35" s="126" t="s">
        <v>182</v>
      </c>
      <c r="K35" s="114"/>
    </row>
    <row r="36" spans="2:11" ht="25.5" x14ac:dyDescent="0.2">
      <c r="C36" s="127" t="s">
        <v>183</v>
      </c>
      <c r="D36" s="124" t="s">
        <v>184</v>
      </c>
      <c r="E36" s="128">
        <f>(E33-410000)*0.38</f>
        <v>1679.6</v>
      </c>
      <c r="F36" s="124" t="s">
        <v>151</v>
      </c>
      <c r="G36" s="129" t="s">
        <v>185</v>
      </c>
      <c r="I36" s="130"/>
      <c r="K36" s="114"/>
    </row>
    <row r="37" spans="2:11" x14ac:dyDescent="0.2">
      <c r="C37" s="108" t="s">
        <v>186</v>
      </c>
      <c r="D37" s="83" t="s">
        <v>187</v>
      </c>
      <c r="E37" s="68">
        <f>SUM(E35:E36)</f>
        <v>11890.6</v>
      </c>
      <c r="F37" s="83" t="s">
        <v>151</v>
      </c>
      <c r="K37" s="114"/>
    </row>
    <row r="38" spans="2:11" ht="6.75" customHeight="1" x14ac:dyDescent="0.2">
      <c r="C38" s="108"/>
      <c r="E38" s="68"/>
      <c r="K38" s="114"/>
    </row>
    <row r="39" spans="2:11" x14ac:dyDescent="0.2">
      <c r="C39" s="108" t="s">
        <v>188</v>
      </c>
      <c r="D39" s="83" t="s">
        <v>189</v>
      </c>
      <c r="E39" s="68">
        <f>E37</f>
        <v>11890.6</v>
      </c>
      <c r="F39" s="83" t="s">
        <v>151</v>
      </c>
      <c r="G39" s="123" t="s">
        <v>190</v>
      </c>
      <c r="K39" s="114"/>
    </row>
    <row r="40" spans="2:11" ht="6.75" customHeight="1" x14ac:dyDescent="0.2">
      <c r="C40" s="108"/>
      <c r="E40" s="68"/>
      <c r="K40" s="114"/>
    </row>
    <row r="41" spans="2:11" x14ac:dyDescent="0.2">
      <c r="C41" s="108" t="s">
        <v>191</v>
      </c>
      <c r="D41" s="83" t="s">
        <v>192</v>
      </c>
      <c r="E41" s="68">
        <f>E24</f>
        <v>2000</v>
      </c>
      <c r="F41" s="83" t="s">
        <v>151</v>
      </c>
      <c r="G41" s="104" t="s">
        <v>193</v>
      </c>
      <c r="K41" s="114"/>
    </row>
    <row r="42" spans="2:11" ht="6.75" customHeight="1" x14ac:dyDescent="0.2">
      <c r="C42" s="108"/>
      <c r="K42" s="94"/>
    </row>
    <row r="43" spans="2:11" x14ac:dyDescent="0.2">
      <c r="C43" s="108" t="s">
        <v>194</v>
      </c>
      <c r="D43" s="83" t="s">
        <v>195</v>
      </c>
      <c r="E43" s="131">
        <f>+E41-E39</f>
        <v>-9890.6</v>
      </c>
      <c r="F43" s="83" t="s">
        <v>151</v>
      </c>
      <c r="K43" s="132"/>
    </row>
    <row r="44" spans="2:11" ht="41.25" customHeight="1" x14ac:dyDescent="0.2">
      <c r="C44" s="108" t="s">
        <v>196</v>
      </c>
      <c r="D44" s="85" t="s">
        <v>197</v>
      </c>
      <c r="E44" s="131">
        <f>-IF(E43&lt;0,MAX(E39*0.1-E25,0),MIN(E39*0.1-E25,0))</f>
        <v>-189.06000000000017</v>
      </c>
      <c r="F44" s="83" t="s">
        <v>151</v>
      </c>
      <c r="G44" s="133" t="s">
        <v>198</v>
      </c>
      <c r="H44" s="130"/>
      <c r="I44" s="130"/>
      <c r="K44" s="94"/>
    </row>
    <row r="45" spans="2:11" x14ac:dyDescent="0.2">
      <c r="C45" s="108" t="s">
        <v>199</v>
      </c>
      <c r="D45" s="85" t="s">
        <v>200</v>
      </c>
      <c r="E45" s="131">
        <f>E43-E44</f>
        <v>-9701.5400000000009</v>
      </c>
      <c r="F45" s="83" t="s">
        <v>151</v>
      </c>
      <c r="H45" s="130"/>
      <c r="I45" s="130"/>
      <c r="K45" s="94"/>
    </row>
    <row r="46" spans="2:11" ht="6.75" customHeight="1" x14ac:dyDescent="0.2">
      <c r="K46" s="94"/>
    </row>
    <row r="47" spans="2:11" x14ac:dyDescent="0.2">
      <c r="C47" s="108" t="s">
        <v>201</v>
      </c>
      <c r="D47" s="83" t="s">
        <v>202</v>
      </c>
      <c r="E47" s="84">
        <f>E44*$E$7*10/1000+E45*$E$8*10/1000</f>
        <v>-1472.807057</v>
      </c>
      <c r="K47" s="134"/>
    </row>
    <row r="49" spans="2:7" ht="15" x14ac:dyDescent="0.25">
      <c r="B49" s="102" t="s">
        <v>203</v>
      </c>
      <c r="C49" s="108"/>
      <c r="E49" s="68"/>
    </row>
    <row r="50" spans="2:7" ht="15" x14ac:dyDescent="0.25">
      <c r="B50" s="102"/>
      <c r="C50" s="108"/>
      <c r="E50" s="68"/>
    </row>
    <row r="51" spans="2:7" ht="15" x14ac:dyDescent="0.25">
      <c r="B51" s="102"/>
      <c r="C51" s="108"/>
      <c r="D51" s="112" t="s">
        <v>148</v>
      </c>
      <c r="E51" s="68"/>
    </row>
    <row r="52" spans="2:7" ht="6.75" customHeight="1" x14ac:dyDescent="0.25">
      <c r="B52" s="102"/>
      <c r="C52" s="108"/>
      <c r="D52" s="108"/>
      <c r="E52" s="68"/>
    </row>
    <row r="53" spans="2:7" ht="15" x14ac:dyDescent="0.25">
      <c r="B53" s="102"/>
      <c r="C53" s="108" t="s">
        <v>149</v>
      </c>
      <c r="D53" s="83" t="s">
        <v>150</v>
      </c>
      <c r="E53" s="68">
        <v>425000</v>
      </c>
      <c r="F53" s="83" t="s">
        <v>151</v>
      </c>
      <c r="G53" s="104" t="s">
        <v>152</v>
      </c>
    </row>
    <row r="54" spans="2:7" ht="15" x14ac:dyDescent="0.25">
      <c r="B54" s="102"/>
      <c r="C54" s="108" t="s">
        <v>153</v>
      </c>
      <c r="D54" s="83" t="s">
        <v>154</v>
      </c>
      <c r="E54" s="113">
        <f>E17</f>
        <v>8730</v>
      </c>
      <c r="F54" s="83" t="s">
        <v>151</v>
      </c>
      <c r="G54" s="104" t="s">
        <v>152</v>
      </c>
    </row>
    <row r="55" spans="2:7" ht="6" customHeight="1" x14ac:dyDescent="0.25">
      <c r="B55" s="102"/>
      <c r="C55" s="108"/>
      <c r="E55" s="68"/>
    </row>
    <row r="56" spans="2:7" ht="15" x14ac:dyDescent="0.25">
      <c r="B56" s="102"/>
      <c r="C56" s="108" t="s">
        <v>155</v>
      </c>
      <c r="D56" s="83" t="s">
        <v>156</v>
      </c>
      <c r="E56" s="68">
        <f>SUM(E53:E54)</f>
        <v>433730</v>
      </c>
      <c r="F56" s="83" t="s">
        <v>151</v>
      </c>
    </row>
    <row r="57" spans="2:7" ht="6" customHeight="1" x14ac:dyDescent="0.25">
      <c r="B57" s="102"/>
      <c r="C57" s="108"/>
      <c r="E57" s="68"/>
    </row>
    <row r="58" spans="2:7" ht="15" x14ac:dyDescent="0.25">
      <c r="B58" s="102"/>
      <c r="C58" s="108"/>
      <c r="D58" s="83" t="s">
        <v>157</v>
      </c>
      <c r="E58" s="68"/>
    </row>
    <row r="59" spans="2:7" ht="15" x14ac:dyDescent="0.25">
      <c r="B59" s="102"/>
      <c r="C59" s="108" t="s">
        <v>158</v>
      </c>
      <c r="D59" s="85" t="s">
        <v>159</v>
      </c>
      <c r="E59" s="68">
        <f>E54</f>
        <v>8730</v>
      </c>
      <c r="F59" s="83" t="s">
        <v>151</v>
      </c>
      <c r="G59" s="104" t="s">
        <v>152</v>
      </c>
    </row>
    <row r="60" spans="2:7" ht="15" x14ac:dyDescent="0.25">
      <c r="B60" s="102"/>
      <c r="C60" s="108" t="s">
        <v>160</v>
      </c>
      <c r="D60" s="85" t="s">
        <v>161</v>
      </c>
      <c r="E60" s="68">
        <f>E53-E61-E64</f>
        <v>420420</v>
      </c>
      <c r="F60" s="83" t="s">
        <v>151</v>
      </c>
      <c r="G60" s="104" t="s">
        <v>152</v>
      </c>
    </row>
    <row r="61" spans="2:7" ht="15" x14ac:dyDescent="0.25">
      <c r="B61" s="102"/>
      <c r="C61" s="108" t="s">
        <v>162</v>
      </c>
      <c r="D61" s="85" t="s">
        <v>163</v>
      </c>
      <c r="E61" s="68">
        <f>SUM(E62:E63)</f>
        <v>4000</v>
      </c>
      <c r="F61" s="83" t="s">
        <v>151</v>
      </c>
      <c r="G61" s="104" t="s">
        <v>152</v>
      </c>
    </row>
    <row r="62" spans="2:7" ht="15" x14ac:dyDescent="0.25">
      <c r="B62" s="102"/>
      <c r="C62" s="108" t="s">
        <v>164</v>
      </c>
      <c r="D62" s="115" t="s">
        <v>165</v>
      </c>
      <c r="E62" s="116">
        <v>3000</v>
      </c>
      <c r="F62" s="117" t="s">
        <v>151</v>
      </c>
      <c r="G62" s="118" t="s">
        <v>152</v>
      </c>
    </row>
    <row r="63" spans="2:7" ht="15" x14ac:dyDescent="0.25">
      <c r="B63" s="102"/>
      <c r="C63" s="108" t="s">
        <v>166</v>
      </c>
      <c r="D63" s="115" t="s">
        <v>167</v>
      </c>
      <c r="E63" s="116">
        <v>1000</v>
      </c>
      <c r="F63" s="117" t="s">
        <v>151</v>
      </c>
      <c r="G63" s="118" t="s">
        <v>152</v>
      </c>
    </row>
    <row r="64" spans="2:7" ht="15" x14ac:dyDescent="0.25">
      <c r="B64" s="102"/>
      <c r="C64" s="108" t="s">
        <v>168</v>
      </c>
      <c r="D64" s="85" t="s">
        <v>169</v>
      </c>
      <c r="E64" s="113">
        <v>580</v>
      </c>
      <c r="F64" s="83" t="s">
        <v>151</v>
      </c>
      <c r="G64" s="104" t="s">
        <v>152</v>
      </c>
    </row>
    <row r="65" spans="2:9" ht="15" x14ac:dyDescent="0.25">
      <c r="B65" s="102"/>
      <c r="C65" s="108" t="s">
        <v>170</v>
      </c>
      <c r="D65" s="83" t="s">
        <v>156</v>
      </c>
      <c r="E65" s="68">
        <f>SUM(E59:E64)-E62-E63</f>
        <v>433730</v>
      </c>
      <c r="F65" s="83" t="s">
        <v>151</v>
      </c>
    </row>
    <row r="66" spans="2:9" ht="6" customHeight="1" x14ac:dyDescent="0.25">
      <c r="B66" s="102"/>
      <c r="C66" s="108"/>
      <c r="E66" s="68"/>
    </row>
    <row r="67" spans="2:9" ht="15" x14ac:dyDescent="0.25">
      <c r="B67" s="102"/>
      <c r="C67" s="108"/>
      <c r="D67" s="83" t="s">
        <v>171</v>
      </c>
      <c r="E67" s="68"/>
    </row>
    <row r="68" spans="2:9" ht="26.25" x14ac:dyDescent="0.25">
      <c r="B68" s="102"/>
      <c r="C68" s="119" t="s">
        <v>172</v>
      </c>
      <c r="D68" s="120" t="s">
        <v>173</v>
      </c>
      <c r="E68" s="121">
        <f>8730</f>
        <v>8730</v>
      </c>
      <c r="F68" s="122" t="s">
        <v>151</v>
      </c>
      <c r="G68" s="123" t="s">
        <v>174</v>
      </c>
    </row>
    <row r="69" spans="2:9" ht="15" x14ac:dyDescent="0.25">
      <c r="B69" s="102"/>
      <c r="C69" s="108" t="s">
        <v>175</v>
      </c>
      <c r="D69" s="85" t="s">
        <v>176</v>
      </c>
      <c r="E69" s="113">
        <v>580</v>
      </c>
      <c r="F69" s="83" t="s">
        <v>151</v>
      </c>
      <c r="G69" s="104" t="s">
        <v>177</v>
      </c>
    </row>
    <row r="70" spans="2:9" ht="15" x14ac:dyDescent="0.25">
      <c r="B70" s="102"/>
      <c r="C70" s="108" t="s">
        <v>178</v>
      </c>
      <c r="D70" s="85" t="s">
        <v>179</v>
      </c>
      <c r="E70" s="68">
        <f>E65-E68-E69</f>
        <v>424420</v>
      </c>
      <c r="F70" s="83" t="s">
        <v>151</v>
      </c>
    </row>
    <row r="71" spans="2:9" ht="6" customHeight="1" x14ac:dyDescent="0.25">
      <c r="B71" s="102"/>
      <c r="C71" s="108"/>
      <c r="E71" s="68"/>
    </row>
    <row r="72" spans="2:9" x14ac:dyDescent="0.2">
      <c r="C72" s="135" t="s">
        <v>180</v>
      </c>
      <c r="D72" s="124" t="s">
        <v>204</v>
      </c>
      <c r="E72" s="125">
        <v>14207</v>
      </c>
      <c r="F72" s="124" t="s">
        <v>151</v>
      </c>
      <c r="G72" s="126" t="s">
        <v>182</v>
      </c>
    </row>
    <row r="73" spans="2:9" ht="25.5" x14ac:dyDescent="0.2">
      <c r="C73" s="127" t="s">
        <v>205</v>
      </c>
      <c r="D73" s="124" t="s">
        <v>206</v>
      </c>
      <c r="E73" s="128">
        <f>(E70-415000)*0.45</f>
        <v>4239</v>
      </c>
      <c r="F73" s="124" t="s">
        <v>151</v>
      </c>
      <c r="G73" s="129" t="s">
        <v>207</v>
      </c>
      <c r="I73" s="130"/>
    </row>
    <row r="74" spans="2:9" x14ac:dyDescent="0.2">
      <c r="C74" s="108" t="s">
        <v>186</v>
      </c>
      <c r="D74" s="83" t="s">
        <v>187</v>
      </c>
      <c r="E74" s="68">
        <f>E72+E73</f>
        <v>18446</v>
      </c>
      <c r="F74" s="83" t="s">
        <v>151</v>
      </c>
    </row>
    <row r="75" spans="2:9" ht="6" customHeight="1" x14ac:dyDescent="0.2">
      <c r="C75" s="108"/>
      <c r="E75" s="68"/>
    </row>
    <row r="76" spans="2:9" x14ac:dyDescent="0.2">
      <c r="C76" s="108" t="s">
        <v>188</v>
      </c>
      <c r="D76" s="83" t="s">
        <v>189</v>
      </c>
      <c r="E76" s="68">
        <f>E74</f>
        <v>18446</v>
      </c>
      <c r="F76" s="83" t="s">
        <v>151</v>
      </c>
      <c r="G76" s="123" t="s">
        <v>190</v>
      </c>
    </row>
    <row r="77" spans="2:9" ht="6" customHeight="1" x14ac:dyDescent="0.2">
      <c r="C77" s="108"/>
      <c r="E77" s="68"/>
    </row>
    <row r="78" spans="2:9" x14ac:dyDescent="0.2">
      <c r="C78" s="108" t="s">
        <v>191</v>
      </c>
      <c r="D78" s="83" t="s">
        <v>192</v>
      </c>
      <c r="E78" s="68">
        <f>E61</f>
        <v>4000</v>
      </c>
      <c r="F78" s="83" t="s">
        <v>151</v>
      </c>
      <c r="G78" s="104" t="s">
        <v>193</v>
      </c>
    </row>
    <row r="79" spans="2:9" ht="6" customHeight="1" x14ac:dyDescent="0.2">
      <c r="C79" s="108"/>
    </row>
    <row r="80" spans="2:9" x14ac:dyDescent="0.2">
      <c r="C80" s="108" t="s">
        <v>194</v>
      </c>
      <c r="D80" s="83" t="s">
        <v>195</v>
      </c>
      <c r="E80" s="131">
        <f>+E78-E76</f>
        <v>-14446</v>
      </c>
      <c r="F80" s="83" t="s">
        <v>151</v>
      </c>
    </row>
    <row r="81" spans="2:9" ht="42.75" customHeight="1" x14ac:dyDescent="0.2">
      <c r="C81" s="108" t="s">
        <v>196</v>
      </c>
      <c r="D81" s="85" t="s">
        <v>197</v>
      </c>
      <c r="E81" s="131">
        <f>-IF(E80&lt;0,MAX(E76*0.1-E62,0),MIN(E76*0.1-E62,0))</f>
        <v>0</v>
      </c>
      <c r="F81" s="83" t="s">
        <v>151</v>
      </c>
      <c r="G81" s="133" t="s">
        <v>198</v>
      </c>
      <c r="H81" s="130"/>
      <c r="I81" s="130"/>
    </row>
    <row r="82" spans="2:9" x14ac:dyDescent="0.2">
      <c r="C82" s="108" t="s">
        <v>199</v>
      </c>
      <c r="D82" s="85" t="s">
        <v>200</v>
      </c>
      <c r="E82" s="131">
        <f>E80-E81</f>
        <v>-14446</v>
      </c>
      <c r="F82" s="83" t="s">
        <v>151</v>
      </c>
      <c r="H82" s="130"/>
      <c r="I82" s="130"/>
    </row>
    <row r="83" spans="2:9" ht="6" customHeight="1" x14ac:dyDescent="0.2"/>
    <row r="84" spans="2:9" x14ac:dyDescent="0.2">
      <c r="C84" s="108" t="s">
        <v>201</v>
      </c>
      <c r="D84" s="83" t="s">
        <v>202</v>
      </c>
      <c r="E84" s="84">
        <f>E81*$E$7*10/1000+E82*$E$8*10/1000</f>
        <v>-2118.9392799999996</v>
      </c>
    </row>
    <row r="86" spans="2:9" ht="15" x14ac:dyDescent="0.25">
      <c r="B86" s="102" t="s">
        <v>208</v>
      </c>
      <c r="C86" s="108"/>
      <c r="E86" s="68"/>
    </row>
    <row r="87" spans="2:9" ht="7.5" customHeight="1" x14ac:dyDescent="0.25">
      <c r="B87" s="102"/>
      <c r="C87" s="108"/>
      <c r="E87" s="68"/>
    </row>
    <row r="88" spans="2:9" ht="15" x14ac:dyDescent="0.25">
      <c r="B88" s="102"/>
      <c r="C88" s="108"/>
      <c r="D88" s="112" t="s">
        <v>148</v>
      </c>
      <c r="E88" s="68"/>
    </row>
    <row r="89" spans="2:9" ht="8.25" customHeight="1" x14ac:dyDescent="0.25">
      <c r="B89" s="102"/>
      <c r="C89" s="108"/>
      <c r="D89" s="108"/>
      <c r="E89" s="68"/>
    </row>
    <row r="90" spans="2:9" ht="15" x14ac:dyDescent="0.25">
      <c r="B90" s="102"/>
      <c r="C90" s="108" t="s">
        <v>149</v>
      </c>
      <c r="D90" s="83" t="s">
        <v>150</v>
      </c>
      <c r="E90" s="68">
        <v>436600</v>
      </c>
      <c r="F90" s="83" t="s">
        <v>151</v>
      </c>
      <c r="G90" s="104" t="s">
        <v>152</v>
      </c>
    </row>
    <row r="91" spans="2:9" ht="15" x14ac:dyDescent="0.25">
      <c r="B91" s="102"/>
      <c r="C91" s="108" t="s">
        <v>153</v>
      </c>
      <c r="D91" s="83" t="s">
        <v>154</v>
      </c>
      <c r="E91" s="113">
        <v>8900</v>
      </c>
      <c r="F91" s="83" t="s">
        <v>151</v>
      </c>
      <c r="G91" s="104" t="s">
        <v>152</v>
      </c>
    </row>
    <row r="92" spans="2:9" ht="6" customHeight="1" x14ac:dyDescent="0.25">
      <c r="B92" s="102"/>
      <c r="C92" s="108"/>
      <c r="E92" s="68"/>
    </row>
    <row r="93" spans="2:9" ht="15" x14ac:dyDescent="0.25">
      <c r="B93" s="102"/>
      <c r="C93" s="108" t="s">
        <v>155</v>
      </c>
      <c r="D93" s="83" t="s">
        <v>156</v>
      </c>
      <c r="E93" s="68">
        <f>SUM(E90:E91)</f>
        <v>445500</v>
      </c>
      <c r="F93" s="83" t="s">
        <v>151</v>
      </c>
    </row>
    <row r="94" spans="2:9" ht="6" customHeight="1" x14ac:dyDescent="0.25">
      <c r="B94" s="102"/>
      <c r="C94" s="108"/>
      <c r="E94" s="68"/>
    </row>
    <row r="95" spans="2:9" ht="15" x14ac:dyDescent="0.25">
      <c r="B95" s="102"/>
      <c r="C95" s="108"/>
      <c r="D95" s="83" t="s">
        <v>157</v>
      </c>
      <c r="E95" s="68"/>
    </row>
    <row r="96" spans="2:9" ht="15" x14ac:dyDescent="0.25">
      <c r="B96" s="102"/>
      <c r="C96" s="108" t="s">
        <v>158</v>
      </c>
      <c r="D96" s="85" t="s">
        <v>159</v>
      </c>
      <c r="E96" s="68">
        <f>E91</f>
        <v>8900</v>
      </c>
      <c r="F96" s="83" t="s">
        <v>151</v>
      </c>
      <c r="G96" s="104" t="s">
        <v>152</v>
      </c>
    </row>
    <row r="97" spans="2:9" ht="15" x14ac:dyDescent="0.25">
      <c r="B97" s="102"/>
      <c r="C97" s="108" t="s">
        <v>160</v>
      </c>
      <c r="D97" s="85" t="s">
        <v>161</v>
      </c>
      <c r="E97" s="68">
        <f>E90-E98-E101</f>
        <v>433000</v>
      </c>
      <c r="F97" s="83" t="s">
        <v>151</v>
      </c>
      <c r="G97" s="104" t="s">
        <v>152</v>
      </c>
    </row>
    <row r="98" spans="2:9" ht="15" x14ac:dyDescent="0.25">
      <c r="B98" s="102"/>
      <c r="C98" s="108" t="s">
        <v>162</v>
      </c>
      <c r="D98" s="85" t="s">
        <v>163</v>
      </c>
      <c r="E98" s="68">
        <f>SUM(E99:E100)</f>
        <v>3100</v>
      </c>
      <c r="F98" s="83" t="s">
        <v>151</v>
      </c>
      <c r="G98" s="104" t="s">
        <v>152</v>
      </c>
    </row>
    <row r="99" spans="2:9" ht="15" x14ac:dyDescent="0.25">
      <c r="B99" s="102"/>
      <c r="C99" s="108" t="s">
        <v>164</v>
      </c>
      <c r="D99" s="115" t="s">
        <v>165</v>
      </c>
      <c r="E99" s="116">
        <v>100</v>
      </c>
      <c r="F99" s="117" t="s">
        <v>151</v>
      </c>
      <c r="G99" s="118" t="s">
        <v>152</v>
      </c>
    </row>
    <row r="100" spans="2:9" ht="15" x14ac:dyDescent="0.25">
      <c r="B100" s="102"/>
      <c r="C100" s="108" t="s">
        <v>166</v>
      </c>
      <c r="D100" s="115" t="s">
        <v>167</v>
      </c>
      <c r="E100" s="116">
        <v>3000</v>
      </c>
      <c r="F100" s="117" t="s">
        <v>151</v>
      </c>
      <c r="G100" s="118" t="s">
        <v>152</v>
      </c>
    </row>
    <row r="101" spans="2:9" ht="15" x14ac:dyDescent="0.25">
      <c r="B101" s="102"/>
      <c r="C101" s="108" t="s">
        <v>168</v>
      </c>
      <c r="D101" s="85" t="s">
        <v>169</v>
      </c>
      <c r="E101" s="113">
        <v>500</v>
      </c>
      <c r="F101" s="83" t="s">
        <v>151</v>
      </c>
      <c r="G101" s="104" t="s">
        <v>152</v>
      </c>
    </row>
    <row r="102" spans="2:9" ht="15" x14ac:dyDescent="0.25">
      <c r="B102" s="102"/>
      <c r="C102" s="108" t="s">
        <v>170</v>
      </c>
      <c r="D102" s="83" t="s">
        <v>156</v>
      </c>
      <c r="E102" s="68">
        <f>SUM(E96:E101)-E99-E100</f>
        <v>445500</v>
      </c>
      <c r="F102" s="83" t="s">
        <v>151</v>
      </c>
    </row>
    <row r="103" spans="2:9" ht="6" customHeight="1" x14ac:dyDescent="0.25">
      <c r="B103" s="102"/>
      <c r="C103" s="108"/>
      <c r="E103" s="68"/>
    </row>
    <row r="104" spans="2:9" ht="15" x14ac:dyDescent="0.25">
      <c r="B104" s="102"/>
      <c r="C104" s="108"/>
      <c r="D104" s="83" t="s">
        <v>171</v>
      </c>
      <c r="E104" s="68"/>
    </row>
    <row r="105" spans="2:9" ht="26.25" x14ac:dyDescent="0.25">
      <c r="B105" s="102"/>
      <c r="C105" s="119" t="s">
        <v>172</v>
      </c>
      <c r="D105" s="120" t="s">
        <v>173</v>
      </c>
      <c r="E105" s="121">
        <f>8730</f>
        <v>8730</v>
      </c>
      <c r="F105" s="122" t="s">
        <v>151</v>
      </c>
      <c r="G105" s="123" t="s">
        <v>174</v>
      </c>
    </row>
    <row r="106" spans="2:9" ht="15" x14ac:dyDescent="0.25">
      <c r="B106" s="102"/>
      <c r="C106" s="108" t="s">
        <v>175</v>
      </c>
      <c r="D106" s="85" t="s">
        <v>176</v>
      </c>
      <c r="E106" s="113">
        <v>580</v>
      </c>
      <c r="F106" s="83" t="s">
        <v>151</v>
      </c>
      <c r="G106" s="104" t="s">
        <v>177</v>
      </c>
    </row>
    <row r="107" spans="2:9" ht="15" x14ac:dyDescent="0.25">
      <c r="B107" s="102"/>
      <c r="C107" s="108" t="s">
        <v>178</v>
      </c>
      <c r="D107" s="85" t="s">
        <v>179</v>
      </c>
      <c r="E107" s="68">
        <f>E102-E105-E106</f>
        <v>436190</v>
      </c>
      <c r="F107" s="83" t="s">
        <v>151</v>
      </c>
    </row>
    <row r="108" spans="2:9" ht="6" customHeight="1" x14ac:dyDescent="0.25">
      <c r="B108" s="102"/>
      <c r="C108" s="135"/>
      <c r="D108" s="124"/>
      <c r="E108" s="125"/>
      <c r="F108" s="124"/>
      <c r="G108" s="136"/>
    </row>
    <row r="109" spans="2:9" x14ac:dyDescent="0.2">
      <c r="C109" s="135" t="s">
        <v>180</v>
      </c>
      <c r="D109" s="124" t="s">
        <v>209</v>
      </c>
      <c r="E109" s="125">
        <v>21479</v>
      </c>
      <c r="F109" s="124" t="s">
        <v>151</v>
      </c>
      <c r="G109" s="126" t="s">
        <v>182</v>
      </c>
    </row>
    <row r="110" spans="2:9" x14ac:dyDescent="0.2">
      <c r="C110" s="127" t="s">
        <v>210</v>
      </c>
      <c r="D110" s="124" t="s">
        <v>211</v>
      </c>
      <c r="E110" s="128">
        <f>(E107-435000)*0.55</f>
        <v>654.5</v>
      </c>
      <c r="F110" s="124" t="s">
        <v>151</v>
      </c>
      <c r="G110" s="136" t="s">
        <v>212</v>
      </c>
      <c r="I110" s="130"/>
    </row>
    <row r="111" spans="2:9" x14ac:dyDescent="0.2">
      <c r="C111" s="108" t="s">
        <v>186</v>
      </c>
      <c r="D111" s="83" t="s">
        <v>187</v>
      </c>
      <c r="E111" s="68">
        <f>E109+E110</f>
        <v>22133.5</v>
      </c>
      <c r="F111" s="83" t="s">
        <v>151</v>
      </c>
    </row>
    <row r="112" spans="2:9" ht="6" customHeight="1" x14ac:dyDescent="0.2">
      <c r="C112" s="108"/>
      <c r="E112" s="68"/>
    </row>
    <row r="113" spans="2:9" x14ac:dyDescent="0.2">
      <c r="C113" s="108" t="s">
        <v>188</v>
      </c>
      <c r="D113" s="83" t="s">
        <v>189</v>
      </c>
      <c r="E113" s="68">
        <f>E111</f>
        <v>22133.5</v>
      </c>
      <c r="F113" s="83" t="s">
        <v>151</v>
      </c>
      <c r="G113" s="123" t="s">
        <v>190</v>
      </c>
    </row>
    <row r="114" spans="2:9" ht="6" customHeight="1" x14ac:dyDescent="0.2">
      <c r="C114" s="108"/>
      <c r="E114" s="68"/>
    </row>
    <row r="115" spans="2:9" x14ac:dyDescent="0.2">
      <c r="C115" s="108" t="s">
        <v>191</v>
      </c>
      <c r="D115" s="83" t="s">
        <v>192</v>
      </c>
      <c r="E115" s="68">
        <f>E98</f>
        <v>3100</v>
      </c>
      <c r="F115" s="83" t="s">
        <v>151</v>
      </c>
      <c r="G115" s="104" t="s">
        <v>193</v>
      </c>
    </row>
    <row r="116" spans="2:9" ht="6" customHeight="1" x14ac:dyDescent="0.2">
      <c r="C116" s="108"/>
    </row>
    <row r="117" spans="2:9" x14ac:dyDescent="0.2">
      <c r="C117" s="108" t="s">
        <v>194</v>
      </c>
      <c r="D117" s="83" t="s">
        <v>195</v>
      </c>
      <c r="E117" s="131">
        <f>+E115-E113</f>
        <v>-19033.5</v>
      </c>
      <c r="F117" s="83" t="s">
        <v>151</v>
      </c>
    </row>
    <row r="118" spans="2:9" ht="45" customHeight="1" x14ac:dyDescent="0.2">
      <c r="C118" s="108" t="s">
        <v>196</v>
      </c>
      <c r="D118" s="85" t="s">
        <v>197</v>
      </c>
      <c r="E118" s="131">
        <f>-IF(E117&lt;0,MAX(E113*0.1-E99,0),MIN(E113*0.1-E99,0))</f>
        <v>-2113.35</v>
      </c>
      <c r="F118" s="83" t="s">
        <v>151</v>
      </c>
      <c r="G118" s="133" t="s">
        <v>198</v>
      </c>
      <c r="H118" s="130"/>
      <c r="I118" s="130"/>
    </row>
    <row r="119" spans="2:9" x14ac:dyDescent="0.2">
      <c r="C119" s="108" t="s">
        <v>199</v>
      </c>
      <c r="D119" s="85" t="s">
        <v>200</v>
      </c>
      <c r="E119" s="131">
        <f>E117-E118</f>
        <v>-16920.150000000001</v>
      </c>
      <c r="F119" s="83" t="s">
        <v>151</v>
      </c>
      <c r="H119" s="130"/>
      <c r="I119" s="130"/>
    </row>
    <row r="120" spans="2:9" ht="6" customHeight="1" x14ac:dyDescent="0.2"/>
    <row r="121" spans="2:9" x14ac:dyDescent="0.2">
      <c r="C121" s="108" t="s">
        <v>201</v>
      </c>
      <c r="D121" s="83" t="s">
        <v>202</v>
      </c>
      <c r="E121" s="84">
        <f>E118*$E$7*10/1000+E119*$E$8*10/1000</f>
        <v>-3038.3560574999997</v>
      </c>
    </row>
    <row r="123" spans="2:9" ht="15" x14ac:dyDescent="0.25">
      <c r="B123" s="102" t="s">
        <v>213</v>
      </c>
      <c r="C123" s="108"/>
      <c r="E123" s="68"/>
    </row>
    <row r="124" spans="2:9" ht="9" customHeight="1" x14ac:dyDescent="0.25">
      <c r="B124" s="102"/>
      <c r="C124" s="108"/>
      <c r="E124" s="68"/>
    </row>
    <row r="125" spans="2:9" ht="15" x14ac:dyDescent="0.25">
      <c r="B125" s="102"/>
      <c r="C125" s="108"/>
      <c r="D125" s="112" t="s">
        <v>148</v>
      </c>
      <c r="E125" s="68"/>
    </row>
    <row r="126" spans="2:9" ht="6.75" customHeight="1" x14ac:dyDescent="0.25">
      <c r="B126" s="102"/>
      <c r="C126" s="108"/>
      <c r="D126" s="108"/>
      <c r="E126" s="68"/>
    </row>
    <row r="127" spans="2:9" ht="15" x14ac:dyDescent="0.25">
      <c r="B127" s="102"/>
      <c r="C127" s="108" t="s">
        <v>149</v>
      </c>
      <c r="D127" s="83" t="s">
        <v>150</v>
      </c>
      <c r="E127" s="68">
        <v>448600</v>
      </c>
      <c r="F127" s="83" t="s">
        <v>151</v>
      </c>
      <c r="G127" s="104" t="s">
        <v>152</v>
      </c>
    </row>
    <row r="128" spans="2:9" ht="15" x14ac:dyDescent="0.25">
      <c r="B128" s="102"/>
      <c r="C128" s="108" t="s">
        <v>153</v>
      </c>
      <c r="D128" s="83" t="s">
        <v>154</v>
      </c>
      <c r="E128" s="113">
        <v>7000</v>
      </c>
      <c r="F128" s="83" t="s">
        <v>151</v>
      </c>
      <c r="G128" s="104" t="s">
        <v>152</v>
      </c>
    </row>
    <row r="129" spans="2:7" ht="6.75" customHeight="1" x14ac:dyDescent="0.25">
      <c r="B129" s="102"/>
      <c r="C129" s="108"/>
      <c r="E129" s="68"/>
    </row>
    <row r="130" spans="2:7" ht="15" x14ac:dyDescent="0.25">
      <c r="B130" s="102"/>
      <c r="C130" s="108" t="s">
        <v>155</v>
      </c>
      <c r="D130" s="83" t="s">
        <v>156</v>
      </c>
      <c r="E130" s="68">
        <f>SUM(E127:E128)</f>
        <v>455600</v>
      </c>
      <c r="F130" s="83" t="s">
        <v>151</v>
      </c>
    </row>
    <row r="131" spans="2:7" ht="6.75" customHeight="1" x14ac:dyDescent="0.25">
      <c r="B131" s="102"/>
      <c r="C131" s="108"/>
      <c r="E131" s="68"/>
    </row>
    <row r="132" spans="2:7" ht="15" x14ac:dyDescent="0.25">
      <c r="B132" s="102"/>
      <c r="C132" s="108"/>
      <c r="D132" s="83" t="s">
        <v>157</v>
      </c>
      <c r="E132" s="68"/>
    </row>
    <row r="133" spans="2:7" ht="15" x14ac:dyDescent="0.25">
      <c r="B133" s="102"/>
      <c r="C133" s="108" t="s">
        <v>158</v>
      </c>
      <c r="D133" s="85" t="s">
        <v>159</v>
      </c>
      <c r="E133" s="68">
        <f>E128</f>
        <v>7000</v>
      </c>
      <c r="F133" s="83" t="s">
        <v>151</v>
      </c>
      <c r="G133" s="104" t="s">
        <v>152</v>
      </c>
    </row>
    <row r="134" spans="2:7" ht="15" x14ac:dyDescent="0.25">
      <c r="B134" s="102"/>
      <c r="C134" s="108" t="s">
        <v>160</v>
      </c>
      <c r="D134" s="85" t="s">
        <v>161</v>
      </c>
      <c r="E134" s="68">
        <f>E127-E135-E138</f>
        <v>378400</v>
      </c>
      <c r="F134" s="83" t="s">
        <v>151</v>
      </c>
      <c r="G134" s="104" t="s">
        <v>152</v>
      </c>
    </row>
    <row r="135" spans="2:7" ht="15" x14ac:dyDescent="0.25">
      <c r="B135" s="102"/>
      <c r="C135" s="108" t="s">
        <v>162</v>
      </c>
      <c r="D135" s="85" t="s">
        <v>163</v>
      </c>
      <c r="E135" s="68">
        <f>SUM(E136:E137)</f>
        <v>70000</v>
      </c>
      <c r="F135" s="83" t="s">
        <v>151</v>
      </c>
      <c r="G135" s="104" t="s">
        <v>152</v>
      </c>
    </row>
    <row r="136" spans="2:7" ht="15" x14ac:dyDescent="0.25">
      <c r="B136" s="102"/>
      <c r="C136" s="108" t="s">
        <v>164</v>
      </c>
      <c r="D136" s="115" t="s">
        <v>165</v>
      </c>
      <c r="E136" s="116">
        <v>20000</v>
      </c>
      <c r="F136" s="117" t="s">
        <v>151</v>
      </c>
      <c r="G136" s="118" t="s">
        <v>152</v>
      </c>
    </row>
    <row r="137" spans="2:7" ht="15" x14ac:dyDescent="0.25">
      <c r="B137" s="102"/>
      <c r="C137" s="108" t="s">
        <v>166</v>
      </c>
      <c r="D137" s="115" t="s">
        <v>167</v>
      </c>
      <c r="E137" s="116">
        <v>50000</v>
      </c>
      <c r="F137" s="117" t="s">
        <v>151</v>
      </c>
      <c r="G137" s="118" t="s">
        <v>152</v>
      </c>
    </row>
    <row r="138" spans="2:7" ht="15" x14ac:dyDescent="0.25">
      <c r="B138" s="102"/>
      <c r="C138" s="108" t="s">
        <v>168</v>
      </c>
      <c r="D138" s="85" t="s">
        <v>169</v>
      </c>
      <c r="E138" s="113">
        <v>200</v>
      </c>
      <c r="F138" s="83" t="s">
        <v>151</v>
      </c>
      <c r="G138" s="104" t="s">
        <v>152</v>
      </c>
    </row>
    <row r="139" spans="2:7" ht="15" x14ac:dyDescent="0.25">
      <c r="B139" s="102"/>
      <c r="C139" s="108" t="s">
        <v>170</v>
      </c>
      <c r="D139" s="83" t="s">
        <v>156</v>
      </c>
      <c r="E139" s="68">
        <f>SUM(E133:E138)-E136-E137</f>
        <v>455600</v>
      </c>
      <c r="F139" s="83" t="s">
        <v>151</v>
      </c>
    </row>
    <row r="140" spans="2:7" ht="6.75" customHeight="1" x14ac:dyDescent="0.25">
      <c r="B140" s="102"/>
      <c r="C140" s="108"/>
      <c r="E140" s="68"/>
    </row>
    <row r="141" spans="2:7" ht="15" x14ac:dyDescent="0.25">
      <c r="B141" s="102"/>
      <c r="C141" s="108"/>
      <c r="D141" s="83" t="s">
        <v>171</v>
      </c>
      <c r="E141" s="68"/>
    </row>
    <row r="142" spans="2:7" ht="26.25" x14ac:dyDescent="0.25">
      <c r="B142" s="102"/>
      <c r="C142" s="119" t="s">
        <v>172</v>
      </c>
      <c r="D142" s="120" t="s">
        <v>173</v>
      </c>
      <c r="E142" s="121">
        <f>8730</f>
        <v>8730</v>
      </c>
      <c r="F142" s="122" t="s">
        <v>151</v>
      </c>
      <c r="G142" s="123" t="s">
        <v>174</v>
      </c>
    </row>
    <row r="143" spans="2:7" ht="15" x14ac:dyDescent="0.25">
      <c r="B143" s="102"/>
      <c r="C143" s="108" t="s">
        <v>175</v>
      </c>
      <c r="D143" s="85" t="s">
        <v>176</v>
      </c>
      <c r="E143" s="113">
        <v>580</v>
      </c>
      <c r="F143" s="83" t="s">
        <v>151</v>
      </c>
      <c r="G143" s="104" t="s">
        <v>177</v>
      </c>
    </row>
    <row r="144" spans="2:7" ht="15" x14ac:dyDescent="0.25">
      <c r="B144" s="102"/>
      <c r="C144" s="108" t="s">
        <v>178</v>
      </c>
      <c r="D144" s="85" t="s">
        <v>179</v>
      </c>
      <c r="E144" s="68">
        <f>E139-E142-E143</f>
        <v>446290</v>
      </c>
      <c r="F144" s="83" t="s">
        <v>151</v>
      </c>
    </row>
    <row r="145" spans="2:9" ht="6.75" customHeight="1" x14ac:dyDescent="0.25">
      <c r="B145" s="102"/>
      <c r="C145" s="108"/>
      <c r="E145" s="68"/>
    </row>
    <row r="146" spans="2:9" x14ac:dyDescent="0.2">
      <c r="C146" s="135" t="s">
        <v>180</v>
      </c>
      <c r="D146" s="124" t="s">
        <v>214</v>
      </c>
      <c r="E146" s="125">
        <v>27126</v>
      </c>
      <c r="F146" s="124" t="s">
        <v>151</v>
      </c>
      <c r="G146" s="126" t="s">
        <v>182</v>
      </c>
    </row>
    <row r="147" spans="2:9" x14ac:dyDescent="0.2">
      <c r="C147" s="127" t="s">
        <v>215</v>
      </c>
      <c r="D147" s="124" t="s">
        <v>216</v>
      </c>
      <c r="E147" s="128">
        <f>(E144-445000)*0.61</f>
        <v>786.9</v>
      </c>
      <c r="F147" s="124" t="s">
        <v>151</v>
      </c>
      <c r="G147" s="136" t="s">
        <v>217</v>
      </c>
      <c r="I147" s="130"/>
    </row>
    <row r="148" spans="2:9" x14ac:dyDescent="0.2">
      <c r="C148" s="108" t="s">
        <v>186</v>
      </c>
      <c r="D148" s="83" t="s">
        <v>187</v>
      </c>
      <c r="E148" s="68">
        <f>E146+E147</f>
        <v>27912.9</v>
      </c>
      <c r="F148" s="83" t="s">
        <v>151</v>
      </c>
    </row>
    <row r="149" spans="2:9" ht="6.75" customHeight="1" x14ac:dyDescent="0.2">
      <c r="C149" s="108"/>
      <c r="E149" s="68"/>
    </row>
    <row r="150" spans="2:9" x14ac:dyDescent="0.2">
      <c r="C150" s="108" t="s">
        <v>188</v>
      </c>
      <c r="D150" s="83" t="s">
        <v>189</v>
      </c>
      <c r="E150" s="68">
        <f>E148</f>
        <v>27912.9</v>
      </c>
      <c r="F150" s="83" t="s">
        <v>151</v>
      </c>
      <c r="G150" s="123" t="s">
        <v>190</v>
      </c>
    </row>
    <row r="151" spans="2:9" ht="6.75" customHeight="1" x14ac:dyDescent="0.2">
      <c r="C151" s="108"/>
      <c r="E151" s="68"/>
    </row>
    <row r="152" spans="2:9" x14ac:dyDescent="0.2">
      <c r="C152" s="108" t="s">
        <v>191</v>
      </c>
      <c r="D152" s="83" t="s">
        <v>192</v>
      </c>
      <c r="E152" s="68">
        <f>E135</f>
        <v>70000</v>
      </c>
      <c r="F152" s="83" t="s">
        <v>151</v>
      </c>
      <c r="G152" s="104" t="s">
        <v>193</v>
      </c>
    </row>
    <row r="153" spans="2:9" ht="6.75" customHeight="1" x14ac:dyDescent="0.2">
      <c r="C153" s="108"/>
    </row>
    <row r="154" spans="2:9" x14ac:dyDescent="0.2">
      <c r="C154" s="108" t="s">
        <v>194</v>
      </c>
      <c r="D154" s="83" t="s">
        <v>195</v>
      </c>
      <c r="E154" s="131">
        <f>+E152-E150</f>
        <v>42087.1</v>
      </c>
      <c r="F154" s="83" t="s">
        <v>151</v>
      </c>
    </row>
    <row r="155" spans="2:9" ht="44.25" customHeight="1" x14ac:dyDescent="0.2">
      <c r="C155" s="108" t="s">
        <v>196</v>
      </c>
      <c r="D155" s="85" t="s">
        <v>197</v>
      </c>
      <c r="E155" s="131">
        <f>-IF(E154&lt;0,MAX(E150*0.1-E136,0),MIN(E150*0.1-E136,0))</f>
        <v>17208.71</v>
      </c>
      <c r="F155" s="83" t="s">
        <v>151</v>
      </c>
      <c r="G155" s="133" t="s">
        <v>198</v>
      </c>
      <c r="H155" s="130"/>
      <c r="I155" s="130"/>
    </row>
    <row r="156" spans="2:9" x14ac:dyDescent="0.2">
      <c r="C156" s="108" t="s">
        <v>199</v>
      </c>
      <c r="D156" s="85" t="s">
        <v>200</v>
      </c>
      <c r="E156" s="131">
        <f>E154-E155</f>
        <v>24878.39</v>
      </c>
      <c r="F156" s="83" t="s">
        <v>151</v>
      </c>
      <c r="H156" s="130"/>
      <c r="I156" s="130"/>
    </row>
    <row r="157" spans="2:9" ht="6.75" customHeight="1" x14ac:dyDescent="0.2"/>
    <row r="158" spans="2:9" x14ac:dyDescent="0.2">
      <c r="C158" s="108" t="s">
        <v>201</v>
      </c>
      <c r="D158" s="83" t="s">
        <v>202</v>
      </c>
      <c r="E158" s="84">
        <f>E155*$E$7*10/1000+E156*$E$8*10/1000</f>
        <v>8180.7318495</v>
      </c>
    </row>
    <row r="160" spans="2:9" ht="15" x14ac:dyDescent="0.25">
      <c r="B160" s="102" t="s">
        <v>218</v>
      </c>
      <c r="C160" s="108"/>
      <c r="E160" s="68"/>
    </row>
    <row r="161" spans="2:7" ht="5.25" customHeight="1" x14ac:dyDescent="0.25">
      <c r="B161" s="102"/>
      <c r="C161" s="108"/>
      <c r="E161" s="68"/>
    </row>
    <row r="162" spans="2:7" ht="15" x14ac:dyDescent="0.25">
      <c r="B162" s="102"/>
      <c r="C162" s="108"/>
      <c r="D162" s="112" t="s">
        <v>148</v>
      </c>
      <c r="E162" s="68"/>
    </row>
    <row r="163" spans="2:7" ht="6" customHeight="1" x14ac:dyDescent="0.25">
      <c r="B163" s="102"/>
      <c r="C163" s="108"/>
      <c r="D163" s="108"/>
      <c r="E163" s="68"/>
    </row>
    <row r="164" spans="2:7" ht="15" x14ac:dyDescent="0.25">
      <c r="B164" s="102"/>
      <c r="C164" s="108" t="s">
        <v>149</v>
      </c>
      <c r="D164" s="83" t="s">
        <v>150</v>
      </c>
      <c r="E164" s="68">
        <v>461000</v>
      </c>
      <c r="F164" s="83" t="s">
        <v>151</v>
      </c>
      <c r="G164" s="104" t="s">
        <v>152</v>
      </c>
    </row>
    <row r="165" spans="2:7" ht="15" x14ac:dyDescent="0.25">
      <c r="B165" s="102"/>
      <c r="C165" s="108" t="s">
        <v>153</v>
      </c>
      <c r="D165" s="83" t="s">
        <v>154</v>
      </c>
      <c r="E165" s="113">
        <v>8730</v>
      </c>
      <c r="F165" s="83" t="s">
        <v>151</v>
      </c>
      <c r="G165" s="104" t="s">
        <v>152</v>
      </c>
    </row>
    <row r="166" spans="2:7" ht="6" customHeight="1" x14ac:dyDescent="0.25">
      <c r="B166" s="102"/>
      <c r="C166" s="108"/>
      <c r="E166" s="68"/>
    </row>
    <row r="167" spans="2:7" ht="15" x14ac:dyDescent="0.25">
      <c r="B167" s="102"/>
      <c r="C167" s="108" t="s">
        <v>155</v>
      </c>
      <c r="D167" s="83" t="s">
        <v>156</v>
      </c>
      <c r="E167" s="68">
        <f>SUM(E164:E165)</f>
        <v>469730</v>
      </c>
      <c r="F167" s="83" t="s">
        <v>151</v>
      </c>
    </row>
    <row r="168" spans="2:7" ht="6" customHeight="1" x14ac:dyDescent="0.25">
      <c r="B168" s="102"/>
      <c r="C168" s="108"/>
      <c r="E168" s="68"/>
    </row>
    <row r="169" spans="2:7" ht="15" x14ac:dyDescent="0.25">
      <c r="B169" s="102"/>
      <c r="C169" s="108"/>
      <c r="D169" s="83" t="s">
        <v>157</v>
      </c>
      <c r="E169" s="68"/>
    </row>
    <row r="170" spans="2:7" ht="15" x14ac:dyDescent="0.25">
      <c r="B170" s="102"/>
      <c r="C170" s="108" t="s">
        <v>158</v>
      </c>
      <c r="D170" s="85" t="s">
        <v>159</v>
      </c>
      <c r="E170" s="68">
        <f>E165</f>
        <v>8730</v>
      </c>
      <c r="F170" s="83" t="s">
        <v>151</v>
      </c>
      <c r="G170" s="104" t="s">
        <v>152</v>
      </c>
    </row>
    <row r="171" spans="2:7" ht="15" x14ac:dyDescent="0.25">
      <c r="B171" s="102"/>
      <c r="C171" s="108" t="s">
        <v>160</v>
      </c>
      <c r="D171" s="85" t="s">
        <v>161</v>
      </c>
      <c r="E171" s="68">
        <f>E164-E172-E175</f>
        <v>355420</v>
      </c>
      <c r="F171" s="83" t="s">
        <v>151</v>
      </c>
      <c r="G171" s="104" t="s">
        <v>152</v>
      </c>
    </row>
    <row r="172" spans="2:7" ht="15" x14ac:dyDescent="0.25">
      <c r="B172" s="102"/>
      <c r="C172" s="108" t="s">
        <v>162</v>
      </c>
      <c r="D172" s="85" t="s">
        <v>163</v>
      </c>
      <c r="E172" s="68">
        <f>SUM(E173:E174)</f>
        <v>105000</v>
      </c>
      <c r="F172" s="83" t="s">
        <v>151</v>
      </c>
      <c r="G172" s="104" t="s">
        <v>152</v>
      </c>
    </row>
    <row r="173" spans="2:7" ht="15" x14ac:dyDescent="0.25">
      <c r="B173" s="102"/>
      <c r="C173" s="108" t="s">
        <v>164</v>
      </c>
      <c r="D173" s="115" t="s">
        <v>165</v>
      </c>
      <c r="E173" s="116">
        <v>40000</v>
      </c>
      <c r="F173" s="117" t="s">
        <v>151</v>
      </c>
      <c r="G173" s="118" t="s">
        <v>152</v>
      </c>
    </row>
    <row r="174" spans="2:7" ht="15" x14ac:dyDescent="0.25">
      <c r="B174" s="102"/>
      <c r="C174" s="108" t="s">
        <v>166</v>
      </c>
      <c r="D174" s="115" t="s">
        <v>167</v>
      </c>
      <c r="E174" s="116">
        <v>65000</v>
      </c>
      <c r="F174" s="117" t="s">
        <v>151</v>
      </c>
      <c r="G174" s="118" t="s">
        <v>152</v>
      </c>
    </row>
    <row r="175" spans="2:7" ht="15" x14ac:dyDescent="0.25">
      <c r="B175" s="102"/>
      <c r="C175" s="108" t="s">
        <v>168</v>
      </c>
      <c r="D175" s="85" t="s">
        <v>169</v>
      </c>
      <c r="E175" s="113">
        <v>580</v>
      </c>
      <c r="F175" s="83" t="s">
        <v>151</v>
      </c>
      <c r="G175" s="104" t="s">
        <v>152</v>
      </c>
    </row>
    <row r="176" spans="2:7" ht="15" x14ac:dyDescent="0.25">
      <c r="B176" s="102"/>
      <c r="C176" s="108" t="s">
        <v>170</v>
      </c>
      <c r="D176" s="83" t="s">
        <v>156</v>
      </c>
      <c r="E176" s="68">
        <f>SUM(E170:E175)-E173-E174</f>
        <v>469730</v>
      </c>
      <c r="F176" s="83" t="s">
        <v>151</v>
      </c>
    </row>
    <row r="177" spans="2:9" ht="6" customHeight="1" x14ac:dyDescent="0.25">
      <c r="B177" s="102"/>
      <c r="C177" s="108"/>
      <c r="E177" s="68"/>
    </row>
    <row r="178" spans="2:9" ht="15" x14ac:dyDescent="0.25">
      <c r="B178" s="102"/>
      <c r="C178" s="108"/>
      <c r="D178" s="83" t="s">
        <v>171</v>
      </c>
      <c r="E178" s="68"/>
    </row>
    <row r="179" spans="2:9" ht="26.25" x14ac:dyDescent="0.25">
      <c r="B179" s="102"/>
      <c r="C179" s="119" t="s">
        <v>172</v>
      </c>
      <c r="D179" s="120" t="s">
        <v>173</v>
      </c>
      <c r="E179" s="121">
        <f>8730</f>
        <v>8730</v>
      </c>
      <c r="F179" s="122" t="s">
        <v>151</v>
      </c>
      <c r="G179" s="123" t="s">
        <v>174</v>
      </c>
    </row>
    <row r="180" spans="2:9" ht="15" x14ac:dyDescent="0.25">
      <c r="B180" s="102"/>
      <c r="C180" s="108" t="s">
        <v>175</v>
      </c>
      <c r="D180" s="85" t="s">
        <v>176</v>
      </c>
      <c r="E180" s="113">
        <v>580</v>
      </c>
      <c r="F180" s="83" t="s">
        <v>151</v>
      </c>
      <c r="G180" s="104" t="s">
        <v>177</v>
      </c>
    </row>
    <row r="181" spans="2:9" ht="15" x14ac:dyDescent="0.25">
      <c r="B181" s="102"/>
      <c r="C181" s="108" t="s">
        <v>178</v>
      </c>
      <c r="D181" s="85" t="s">
        <v>179</v>
      </c>
      <c r="E181" s="68">
        <f>E176-E179-E180</f>
        <v>460420</v>
      </c>
      <c r="F181" s="83" t="s">
        <v>151</v>
      </c>
    </row>
    <row r="182" spans="2:9" ht="6" customHeight="1" x14ac:dyDescent="0.25">
      <c r="B182" s="102"/>
      <c r="C182" s="108"/>
      <c r="E182" s="68"/>
    </row>
    <row r="183" spans="2:9" x14ac:dyDescent="0.2">
      <c r="B183" s="124"/>
      <c r="C183" s="135" t="s">
        <v>180</v>
      </c>
      <c r="D183" s="124" t="s">
        <v>219</v>
      </c>
      <c r="E183" s="125">
        <v>36612</v>
      </c>
      <c r="F183" s="124" t="s">
        <v>151</v>
      </c>
      <c r="G183" s="126" t="s">
        <v>182</v>
      </c>
    </row>
    <row r="184" spans="2:9" x14ac:dyDescent="0.2">
      <c r="B184" s="124"/>
      <c r="C184" s="127" t="s">
        <v>220</v>
      </c>
      <c r="D184" s="124" t="s">
        <v>221</v>
      </c>
      <c r="E184" s="128">
        <f>(E181-460000)*0.68</f>
        <v>285.60000000000002</v>
      </c>
      <c r="F184" s="124" t="s">
        <v>151</v>
      </c>
      <c r="G184" s="136" t="s">
        <v>222</v>
      </c>
      <c r="I184" s="130"/>
    </row>
    <row r="185" spans="2:9" x14ac:dyDescent="0.2">
      <c r="C185" s="108" t="s">
        <v>186</v>
      </c>
      <c r="D185" s="83" t="s">
        <v>187</v>
      </c>
      <c r="E185" s="68">
        <f>E183+E184</f>
        <v>36897.599999999999</v>
      </c>
      <c r="F185" s="83" t="s">
        <v>151</v>
      </c>
    </row>
    <row r="186" spans="2:9" ht="6" customHeight="1" x14ac:dyDescent="0.2">
      <c r="C186" s="108"/>
      <c r="E186" s="68"/>
    </row>
    <row r="187" spans="2:9" x14ac:dyDescent="0.2">
      <c r="C187" s="108" t="s">
        <v>188</v>
      </c>
      <c r="D187" s="83" t="s">
        <v>189</v>
      </c>
      <c r="E187" s="68">
        <f>E185</f>
        <v>36897.599999999999</v>
      </c>
      <c r="F187" s="83" t="s">
        <v>151</v>
      </c>
      <c r="G187" s="123" t="s">
        <v>190</v>
      </c>
    </row>
    <row r="188" spans="2:9" ht="6" customHeight="1" x14ac:dyDescent="0.2">
      <c r="C188" s="108"/>
      <c r="E188" s="68"/>
    </row>
    <row r="189" spans="2:9" x14ac:dyDescent="0.2">
      <c r="C189" s="108" t="s">
        <v>191</v>
      </c>
      <c r="D189" s="83" t="s">
        <v>192</v>
      </c>
      <c r="E189" s="68">
        <f>E172</f>
        <v>105000</v>
      </c>
      <c r="F189" s="83" t="s">
        <v>151</v>
      </c>
      <c r="G189" s="104" t="s">
        <v>193</v>
      </c>
    </row>
    <row r="190" spans="2:9" ht="6" customHeight="1" x14ac:dyDescent="0.2">
      <c r="C190" s="108"/>
    </row>
    <row r="191" spans="2:9" x14ac:dyDescent="0.2">
      <c r="C191" s="108" t="s">
        <v>194</v>
      </c>
      <c r="D191" s="83" t="s">
        <v>195</v>
      </c>
      <c r="E191" s="131">
        <f>+E189-E187</f>
        <v>68102.399999999994</v>
      </c>
      <c r="F191" s="83" t="s">
        <v>151</v>
      </c>
    </row>
    <row r="192" spans="2:9" ht="37.5" customHeight="1" x14ac:dyDescent="0.2">
      <c r="C192" s="108" t="s">
        <v>196</v>
      </c>
      <c r="D192" s="85" t="s">
        <v>197</v>
      </c>
      <c r="E192" s="131">
        <f>-IF(E191&lt;0,MAX(E187*0.1-E173,0),MIN(E187*0.1-E173,0))</f>
        <v>36310.239999999998</v>
      </c>
      <c r="F192" s="83" t="s">
        <v>151</v>
      </c>
      <c r="G192" s="133" t="s">
        <v>198</v>
      </c>
      <c r="H192" s="130"/>
      <c r="I192" s="130"/>
    </row>
    <row r="193" spans="3:9" x14ac:dyDescent="0.2">
      <c r="C193" s="108" t="s">
        <v>199</v>
      </c>
      <c r="D193" s="85" t="s">
        <v>200</v>
      </c>
      <c r="E193" s="131">
        <f>E191-E192</f>
        <v>31792.159999999996</v>
      </c>
      <c r="F193" s="83" t="s">
        <v>151</v>
      </c>
      <c r="H193" s="130"/>
      <c r="I193" s="130"/>
    </row>
    <row r="194" spans="3:9" ht="6" customHeight="1" x14ac:dyDescent="0.2"/>
    <row r="195" spans="3:9" x14ac:dyDescent="0.2">
      <c r="C195" s="108" t="s">
        <v>201</v>
      </c>
      <c r="D195" s="83" t="s">
        <v>202</v>
      </c>
      <c r="E195" s="84">
        <f>E192*$E$7*10/1000+E193*$E$8*10/1000</f>
        <v>14224.849527999999</v>
      </c>
    </row>
    <row r="197" spans="3:9" ht="2.25" customHeight="1" x14ac:dyDescent="0.2"/>
  </sheetData>
  <mergeCells count="1">
    <mergeCell ref="G7:G8"/>
  </mergeCells>
  <pageMargins left="0.7" right="0.7" top="0.75" bottom="0.75" header="0.3" footer="0.3"/>
  <pageSetup scale="48" fitToHeight="0" orientation="portrait" r:id="rId1"/>
  <rowBreaks count="2" manualBreakCount="2">
    <brk id="85" max="6" man="1"/>
    <brk id="159"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25"/>
  <sheetViews>
    <sheetView showGridLines="0" view="pageBreakPreview" zoomScale="85" zoomScaleNormal="100" zoomScaleSheetLayoutView="85" workbookViewId="0">
      <selection activeCell="D12" sqref="D12"/>
    </sheetView>
  </sheetViews>
  <sheetFormatPr defaultColWidth="9.140625" defaultRowHeight="12.75" x14ac:dyDescent="0.2"/>
  <cols>
    <col min="1" max="1" width="5.28515625" style="3" customWidth="1"/>
    <col min="2" max="2" width="12.7109375" style="3" customWidth="1"/>
    <col min="3" max="3" width="11.5703125" style="3" customWidth="1"/>
    <col min="4" max="6" width="13.42578125" style="3" customWidth="1"/>
    <col min="7" max="7" width="4.5703125" style="3" customWidth="1"/>
    <col min="8" max="8" width="5.28515625" style="3" customWidth="1"/>
    <col min="9" max="9" width="10.140625" style="3" customWidth="1"/>
    <col min="10" max="11" width="12.42578125" style="3" customWidth="1"/>
    <col min="12" max="12" width="13.7109375" style="3" customWidth="1"/>
    <col min="13" max="16384" width="9.140625" style="3"/>
  </cols>
  <sheetData>
    <row r="2" spans="2:12" ht="19.5" customHeight="1" x14ac:dyDescent="0.2">
      <c r="B2" s="1" t="s">
        <v>226</v>
      </c>
      <c r="C2" s="1"/>
      <c r="D2" s="1"/>
      <c r="E2" s="1"/>
      <c r="F2" s="1"/>
      <c r="G2" s="1"/>
      <c r="H2" s="1"/>
      <c r="I2" s="2"/>
      <c r="J2" s="2"/>
      <c r="K2" s="2"/>
    </row>
    <row r="4" spans="2:12" ht="70.5" customHeight="1" x14ac:dyDescent="0.2">
      <c r="D4" s="33" t="s">
        <v>0</v>
      </c>
      <c r="E4" s="33"/>
      <c r="F4" s="4"/>
      <c r="G4" s="4"/>
      <c r="I4" s="33" t="s">
        <v>1</v>
      </c>
      <c r="J4" s="33"/>
      <c r="K4" s="4"/>
    </row>
    <row r="5" spans="2:12" ht="97.5" customHeight="1" thickBot="1" x14ac:dyDescent="0.25">
      <c r="B5" s="5" t="s">
        <v>2</v>
      </c>
      <c r="C5" s="5"/>
      <c r="D5" s="5" t="s">
        <v>3</v>
      </c>
      <c r="E5" s="5" t="s">
        <v>4</v>
      </c>
      <c r="F5" s="5" t="s">
        <v>5</v>
      </c>
      <c r="G5" s="6"/>
      <c r="H5" s="5"/>
      <c r="I5" s="5" t="s">
        <v>6</v>
      </c>
      <c r="J5" s="5" t="s">
        <v>3</v>
      </c>
      <c r="K5" s="5" t="s">
        <v>4</v>
      </c>
      <c r="L5" s="5" t="s">
        <v>5</v>
      </c>
    </row>
    <row r="6" spans="2:12" ht="13.5" thickTop="1" x14ac:dyDescent="0.2">
      <c r="G6" s="6"/>
      <c r="I6" s="6"/>
      <c r="J6" s="6"/>
      <c r="K6" s="6"/>
    </row>
    <row r="7" spans="2:12" x14ac:dyDescent="0.2">
      <c r="B7" s="3">
        <v>1981</v>
      </c>
      <c r="D7" s="7">
        <v>0.24149999999999999</v>
      </c>
      <c r="E7" s="7">
        <v>2.7600000000000006E-2</v>
      </c>
      <c r="F7" s="7">
        <v>0.70820000000000005</v>
      </c>
      <c r="G7" s="7"/>
      <c r="H7" s="3">
        <v>1</v>
      </c>
      <c r="I7" s="8">
        <f>H7/$H$41</f>
        <v>2.8571428571428571E-2</v>
      </c>
      <c r="J7" s="7">
        <v>107.49729999999998</v>
      </c>
      <c r="K7" s="7">
        <v>55.2074</v>
      </c>
      <c r="L7" s="7">
        <v>116.98365384615386</v>
      </c>
    </row>
    <row r="8" spans="2:12" x14ac:dyDescent="0.2">
      <c r="B8" s="3">
        <f>B7+1</f>
        <v>1982</v>
      </c>
      <c r="D8" s="7">
        <v>0.24149999999999999</v>
      </c>
      <c r="E8" s="7">
        <v>2.7600000000000006E-2</v>
      </c>
      <c r="F8" s="7">
        <v>0.70820000000000005</v>
      </c>
      <c r="G8" s="7"/>
      <c r="H8" s="3">
        <f>H7+1</f>
        <v>2</v>
      </c>
      <c r="I8" s="8">
        <f t="shared" ref="I8:I41" si="0">H8/$H$41</f>
        <v>5.7142857142857141E-2</v>
      </c>
      <c r="J8" s="7">
        <v>58.34046923076923</v>
      </c>
      <c r="K8" s="7">
        <v>18.654399999999999</v>
      </c>
      <c r="L8" s="7">
        <v>76.788115384615395</v>
      </c>
    </row>
    <row r="9" spans="2:12" x14ac:dyDescent="0.2">
      <c r="B9" s="3">
        <f t="shared" ref="B9:B41" si="1">B8+1</f>
        <v>1983</v>
      </c>
      <c r="D9" s="7">
        <v>0.24149999999999999</v>
      </c>
      <c r="E9" s="7">
        <v>2.7600000000000006E-2</v>
      </c>
      <c r="F9" s="7">
        <v>0.70820000000000005</v>
      </c>
      <c r="G9" s="7"/>
      <c r="H9" s="3">
        <f t="shared" ref="H9:H41" si="2">H8+1</f>
        <v>3</v>
      </c>
      <c r="I9" s="8">
        <f t="shared" si="0"/>
        <v>8.5714285714285715E-2</v>
      </c>
      <c r="J9" s="7">
        <v>53.823599999999992</v>
      </c>
      <c r="K9" s="7">
        <v>6.1127692307692314</v>
      </c>
      <c r="L9" s="7">
        <v>71.231223076923087</v>
      </c>
    </row>
    <row r="10" spans="2:12" x14ac:dyDescent="0.2">
      <c r="B10" s="3">
        <f t="shared" si="1"/>
        <v>1984</v>
      </c>
      <c r="D10" s="7">
        <v>0.37799999999999995</v>
      </c>
      <c r="E10" s="7">
        <v>2.7600000000000006E-2</v>
      </c>
      <c r="F10" s="7">
        <v>31.000315384615387</v>
      </c>
      <c r="G10" s="7"/>
      <c r="H10" s="3">
        <f t="shared" si="2"/>
        <v>4</v>
      </c>
      <c r="I10" s="8">
        <f t="shared" si="0"/>
        <v>0.11428571428571428</v>
      </c>
      <c r="J10" s="7">
        <v>50.074200000000005</v>
      </c>
      <c r="K10" s="7">
        <v>0.57189999999999985</v>
      </c>
      <c r="L10" s="7">
        <v>70.793584615384603</v>
      </c>
    </row>
    <row r="11" spans="2:12" x14ac:dyDescent="0.2">
      <c r="B11" s="3">
        <f t="shared" si="1"/>
        <v>1985</v>
      </c>
      <c r="D11" s="7">
        <v>0.26339999999999997</v>
      </c>
      <c r="E11" s="7">
        <v>2.7600000000000006E-2</v>
      </c>
      <c r="F11" s="7">
        <v>43.932792307692296</v>
      </c>
      <c r="G11" s="7"/>
      <c r="H11" s="3">
        <f t="shared" si="2"/>
        <v>5</v>
      </c>
      <c r="I11" s="8">
        <f t="shared" si="0"/>
        <v>0.14285714285714285</v>
      </c>
      <c r="J11" s="7">
        <v>35.396838461538465</v>
      </c>
      <c r="K11" s="7">
        <v>2.7600000000000006E-2</v>
      </c>
      <c r="L11" s="7">
        <v>61.239430769230765</v>
      </c>
    </row>
    <row r="12" spans="2:12" x14ac:dyDescent="0.2">
      <c r="B12" s="3">
        <f t="shared" si="1"/>
        <v>1986</v>
      </c>
      <c r="D12" s="7">
        <v>0.35170000000000001</v>
      </c>
      <c r="E12" s="7">
        <v>2.7600000000000006E-2</v>
      </c>
      <c r="F12" s="7">
        <v>48.028892307692317</v>
      </c>
      <c r="G12" s="7"/>
      <c r="H12" s="3">
        <f t="shared" si="2"/>
        <v>6</v>
      </c>
      <c r="I12" s="8">
        <f t="shared" si="0"/>
        <v>0.17142857142857143</v>
      </c>
      <c r="J12" s="7">
        <v>33.151576923076931</v>
      </c>
      <c r="K12" s="7">
        <v>2.7600000000000006E-2</v>
      </c>
      <c r="L12" s="7">
        <v>58.569076923076928</v>
      </c>
    </row>
    <row r="13" spans="2:12" x14ac:dyDescent="0.2">
      <c r="B13" s="3">
        <f t="shared" si="1"/>
        <v>1987</v>
      </c>
      <c r="D13" s="7">
        <v>0.24149999999999999</v>
      </c>
      <c r="E13" s="7">
        <v>2.7600000000000006E-2</v>
      </c>
      <c r="F13" s="7">
        <v>27.664207692307691</v>
      </c>
      <c r="G13" s="7"/>
      <c r="H13" s="3">
        <f t="shared" si="2"/>
        <v>7</v>
      </c>
      <c r="I13" s="8">
        <f t="shared" si="0"/>
        <v>0.2</v>
      </c>
      <c r="J13" s="7">
        <v>31.160699999999999</v>
      </c>
      <c r="K13" s="7">
        <v>2.7600000000000006E-2</v>
      </c>
      <c r="L13" s="7">
        <v>54.188623076923093</v>
      </c>
    </row>
    <row r="14" spans="2:12" x14ac:dyDescent="0.2">
      <c r="B14" s="3">
        <f t="shared" si="1"/>
        <v>1988</v>
      </c>
      <c r="D14" s="7">
        <v>0.24149999999999999</v>
      </c>
      <c r="E14" s="7">
        <v>2.7600000000000006E-2</v>
      </c>
      <c r="F14" s="7">
        <v>32.442123076923075</v>
      </c>
      <c r="G14" s="7"/>
      <c r="H14" s="3">
        <f t="shared" si="2"/>
        <v>8</v>
      </c>
      <c r="I14" s="8">
        <f t="shared" si="0"/>
        <v>0.22857142857142856</v>
      </c>
      <c r="J14" s="7">
        <v>23.979607692307692</v>
      </c>
      <c r="K14" s="7">
        <v>2.7600000000000006E-2</v>
      </c>
      <c r="L14" s="7">
        <v>48.028892307692317</v>
      </c>
    </row>
    <row r="15" spans="2:12" x14ac:dyDescent="0.2">
      <c r="B15" s="3">
        <f t="shared" si="1"/>
        <v>1989</v>
      </c>
      <c r="D15" s="7">
        <v>0.24149999999999999</v>
      </c>
      <c r="E15" s="7">
        <v>2.7600000000000006E-2</v>
      </c>
      <c r="F15" s="7">
        <v>12.927030769230765</v>
      </c>
      <c r="G15" s="7"/>
      <c r="H15" s="3">
        <f t="shared" si="2"/>
        <v>9</v>
      </c>
      <c r="I15" s="8">
        <f t="shared" si="0"/>
        <v>0.25714285714285712</v>
      </c>
      <c r="J15" s="7">
        <v>16.6831</v>
      </c>
      <c r="K15" s="7">
        <v>2.7600000000000006E-2</v>
      </c>
      <c r="L15" s="7">
        <v>43.932792307692296</v>
      </c>
    </row>
    <row r="16" spans="2:12" x14ac:dyDescent="0.2">
      <c r="B16" s="3">
        <f t="shared" si="1"/>
        <v>1990</v>
      </c>
      <c r="D16" s="7">
        <v>0.24149999999999999</v>
      </c>
      <c r="E16" s="7">
        <v>2.7600000000000006E-2</v>
      </c>
      <c r="F16" s="7">
        <v>14.948215384615382</v>
      </c>
      <c r="G16" s="7"/>
      <c r="H16" s="3">
        <f t="shared" si="2"/>
        <v>10</v>
      </c>
      <c r="I16" s="8">
        <f t="shared" si="0"/>
        <v>0.2857142857142857</v>
      </c>
      <c r="J16" s="7">
        <v>14.192907692307692</v>
      </c>
      <c r="K16" s="7">
        <v>2.7600000000000006E-2</v>
      </c>
      <c r="L16" s="7">
        <v>35.315846153846159</v>
      </c>
    </row>
    <row r="17" spans="2:12" x14ac:dyDescent="0.2">
      <c r="B17" s="3">
        <f t="shared" si="1"/>
        <v>1991</v>
      </c>
      <c r="D17" s="7">
        <v>0.24149999999999999</v>
      </c>
      <c r="E17" s="7">
        <v>2.7600000000000006E-2</v>
      </c>
      <c r="F17" s="7">
        <v>3.3236153846153851</v>
      </c>
      <c r="G17" s="7"/>
      <c r="H17" s="3">
        <f t="shared" si="2"/>
        <v>11</v>
      </c>
      <c r="I17" s="8">
        <f t="shared" si="0"/>
        <v>0.31428571428571428</v>
      </c>
      <c r="J17" s="7">
        <v>13.839961538461537</v>
      </c>
      <c r="K17" s="7">
        <v>2.7600000000000006E-2</v>
      </c>
      <c r="L17" s="7">
        <v>32.442123076923075</v>
      </c>
    </row>
    <row r="18" spans="2:12" x14ac:dyDescent="0.2">
      <c r="B18" s="3">
        <f t="shared" si="1"/>
        <v>1992</v>
      </c>
      <c r="D18" s="7">
        <v>0.24149999999999999</v>
      </c>
      <c r="E18" s="7">
        <v>2.7600000000000006E-2</v>
      </c>
      <c r="F18" s="7">
        <v>1.6416384615384618</v>
      </c>
      <c r="G18" s="7"/>
      <c r="H18" s="3">
        <f t="shared" si="2"/>
        <v>12</v>
      </c>
      <c r="I18" s="8">
        <f t="shared" si="0"/>
        <v>0.34285714285714286</v>
      </c>
      <c r="J18" s="7">
        <v>12.581207692307691</v>
      </c>
      <c r="K18" s="7">
        <v>2.7600000000000006E-2</v>
      </c>
      <c r="L18" s="7">
        <v>31.35953846153847</v>
      </c>
    </row>
    <row r="19" spans="2:12" x14ac:dyDescent="0.2">
      <c r="B19" s="3">
        <f t="shared" si="1"/>
        <v>1993</v>
      </c>
      <c r="D19" s="7">
        <v>0.24149999999999999</v>
      </c>
      <c r="E19" s="7">
        <v>2.7600000000000006E-2</v>
      </c>
      <c r="F19" s="7">
        <v>2.8123076923076922</v>
      </c>
      <c r="G19" s="7"/>
      <c r="H19" s="3">
        <f t="shared" si="2"/>
        <v>13</v>
      </c>
      <c r="I19" s="8">
        <f t="shared" si="0"/>
        <v>0.37142857142857144</v>
      </c>
      <c r="J19" s="7">
        <v>11.397730769230769</v>
      </c>
      <c r="K19" s="7">
        <v>2.7600000000000006E-2</v>
      </c>
      <c r="L19" s="7">
        <v>31.218976923076912</v>
      </c>
    </row>
    <row r="20" spans="2:12" x14ac:dyDescent="0.2">
      <c r="B20" s="3">
        <f t="shared" si="1"/>
        <v>1994</v>
      </c>
      <c r="D20" s="7">
        <v>0.24149999999999999</v>
      </c>
      <c r="E20" s="7">
        <v>2.7600000000000006E-2</v>
      </c>
      <c r="F20" s="7">
        <v>2.4520923076923071</v>
      </c>
      <c r="G20" s="7"/>
      <c r="H20" s="3">
        <f t="shared" si="2"/>
        <v>14</v>
      </c>
      <c r="I20" s="8">
        <f t="shared" si="0"/>
        <v>0.4</v>
      </c>
      <c r="J20" s="7">
        <v>6.4780999999999995</v>
      </c>
      <c r="K20" s="7">
        <v>2.7600000000000006E-2</v>
      </c>
      <c r="L20" s="7">
        <v>31.000315384615387</v>
      </c>
    </row>
    <row r="21" spans="2:12" x14ac:dyDescent="0.2">
      <c r="B21" s="3">
        <f t="shared" si="1"/>
        <v>1995</v>
      </c>
      <c r="D21" s="7">
        <v>6.4780999999999995</v>
      </c>
      <c r="E21" s="7">
        <v>2.7600000000000006E-2</v>
      </c>
      <c r="F21" s="7">
        <v>61.239430769230765</v>
      </c>
      <c r="G21" s="7"/>
      <c r="H21" s="3">
        <f t="shared" si="2"/>
        <v>15</v>
      </c>
      <c r="I21" s="8">
        <f t="shared" si="0"/>
        <v>0.42857142857142855</v>
      </c>
      <c r="J21" s="7">
        <v>5.0805461538461545</v>
      </c>
      <c r="K21" s="7">
        <v>2.7600000000000006E-2</v>
      </c>
      <c r="L21" s="7">
        <v>30.102984615384603</v>
      </c>
    </row>
    <row r="22" spans="2:12" x14ac:dyDescent="0.2">
      <c r="B22" s="3">
        <f t="shared" si="1"/>
        <v>1996</v>
      </c>
      <c r="D22" s="7">
        <v>50.074200000000005</v>
      </c>
      <c r="E22" s="7">
        <v>2.7600000000000006E-2</v>
      </c>
      <c r="F22" s="7">
        <v>71.231223076923087</v>
      </c>
      <c r="G22" s="7"/>
      <c r="H22" s="3">
        <f t="shared" si="2"/>
        <v>16</v>
      </c>
      <c r="I22" s="8">
        <f t="shared" si="0"/>
        <v>0.45714285714285713</v>
      </c>
      <c r="J22" s="7">
        <v>3.7116615384615388</v>
      </c>
      <c r="K22" s="7">
        <v>2.7600000000000006E-2</v>
      </c>
      <c r="L22" s="7">
        <v>27.664207692307691</v>
      </c>
    </row>
    <row r="23" spans="2:12" x14ac:dyDescent="0.2">
      <c r="B23" s="3">
        <f t="shared" si="1"/>
        <v>1997</v>
      </c>
      <c r="D23" s="7">
        <v>53.823599999999992</v>
      </c>
      <c r="E23" s="7">
        <v>18.654399999999999</v>
      </c>
      <c r="F23" s="7">
        <v>76.788115384615395</v>
      </c>
      <c r="G23" s="7"/>
      <c r="H23" s="3">
        <f t="shared" si="2"/>
        <v>17</v>
      </c>
      <c r="I23" s="8">
        <f t="shared" si="0"/>
        <v>0.48571428571428571</v>
      </c>
      <c r="J23" s="7">
        <v>1.9132923076923078</v>
      </c>
      <c r="K23" s="7">
        <v>2.7600000000000006E-2</v>
      </c>
      <c r="L23" s="7">
        <v>26.52533846153846</v>
      </c>
    </row>
    <row r="24" spans="2:12" x14ac:dyDescent="0.2">
      <c r="B24" s="3">
        <f t="shared" si="1"/>
        <v>1998</v>
      </c>
      <c r="D24" s="7">
        <v>31.160699999999999</v>
      </c>
      <c r="E24" s="7">
        <v>0.57189999999999985</v>
      </c>
      <c r="F24" s="7">
        <v>70.793584615384603</v>
      </c>
      <c r="G24" s="7"/>
      <c r="H24" s="3">
        <f t="shared" si="2"/>
        <v>18</v>
      </c>
      <c r="I24" s="8">
        <f t="shared" si="0"/>
        <v>0.51428571428571423</v>
      </c>
      <c r="J24" s="7">
        <v>1.6283461538461539</v>
      </c>
      <c r="K24" s="7">
        <v>2.7600000000000006E-2</v>
      </c>
      <c r="L24" s="7">
        <v>25.492584615384619</v>
      </c>
    </row>
    <row r="25" spans="2:12" x14ac:dyDescent="0.2">
      <c r="B25" s="3">
        <f t="shared" si="1"/>
        <v>1999</v>
      </c>
      <c r="D25" s="7">
        <v>107.49729999999998</v>
      </c>
      <c r="E25" s="7">
        <v>55.2074</v>
      </c>
      <c r="F25" s="7">
        <v>116.98365384615386</v>
      </c>
      <c r="G25" s="7"/>
      <c r="H25" s="3">
        <f t="shared" si="2"/>
        <v>19</v>
      </c>
      <c r="I25" s="8">
        <f t="shared" si="0"/>
        <v>0.54285714285714282</v>
      </c>
      <c r="J25" s="7">
        <v>0.37799999999999995</v>
      </c>
      <c r="K25" s="7">
        <v>2.7600000000000006E-2</v>
      </c>
      <c r="L25" s="7">
        <v>24.382676923076925</v>
      </c>
    </row>
    <row r="26" spans="2:12" x14ac:dyDescent="0.2">
      <c r="B26" s="3">
        <f t="shared" si="1"/>
        <v>2000</v>
      </c>
      <c r="D26" s="7">
        <v>58.34046923076923</v>
      </c>
      <c r="E26" s="7">
        <v>2.7600000000000006E-2</v>
      </c>
      <c r="F26" s="7">
        <v>58.569076923076928</v>
      </c>
      <c r="G26" s="7"/>
      <c r="H26" s="3">
        <f t="shared" si="2"/>
        <v>20</v>
      </c>
      <c r="I26" s="8">
        <f t="shared" si="0"/>
        <v>0.5714285714285714</v>
      </c>
      <c r="J26" s="7">
        <v>0.35170000000000001</v>
      </c>
      <c r="K26" s="7">
        <v>2.7600000000000006E-2</v>
      </c>
      <c r="L26" s="7">
        <v>22.713823076923081</v>
      </c>
    </row>
    <row r="27" spans="2:12" x14ac:dyDescent="0.2">
      <c r="B27" s="3">
        <f t="shared" si="1"/>
        <v>2001</v>
      </c>
      <c r="D27" s="7">
        <v>35.396838461538465</v>
      </c>
      <c r="E27" s="7">
        <v>2.7600000000000006E-2</v>
      </c>
      <c r="F27" s="7">
        <v>24.382676923076925</v>
      </c>
      <c r="G27" s="7"/>
      <c r="H27" s="3">
        <f t="shared" si="2"/>
        <v>21</v>
      </c>
      <c r="I27" s="8">
        <f t="shared" si="0"/>
        <v>0.6</v>
      </c>
      <c r="J27" s="7">
        <v>0.26339999999999997</v>
      </c>
      <c r="K27" s="7">
        <v>2.7600000000000006E-2</v>
      </c>
      <c r="L27" s="7">
        <v>21.235638461538464</v>
      </c>
    </row>
    <row r="28" spans="2:12" x14ac:dyDescent="0.2">
      <c r="B28" s="3">
        <f t="shared" si="1"/>
        <v>2002</v>
      </c>
      <c r="D28" s="7">
        <v>23.979607692307692</v>
      </c>
      <c r="E28" s="7">
        <v>2.7600000000000006E-2</v>
      </c>
      <c r="F28" s="7">
        <v>31.35953846153847</v>
      </c>
      <c r="G28" s="7"/>
      <c r="H28" s="3">
        <f t="shared" si="2"/>
        <v>22</v>
      </c>
      <c r="I28" s="8">
        <f t="shared" si="0"/>
        <v>0.62857142857142856</v>
      </c>
      <c r="J28" s="7">
        <v>0.24149999999999999</v>
      </c>
      <c r="K28" s="7">
        <v>2.7600000000000006E-2</v>
      </c>
      <c r="L28" s="7">
        <v>14.948215384615382</v>
      </c>
    </row>
    <row r="29" spans="2:12" x14ac:dyDescent="0.2">
      <c r="B29" s="3">
        <f t="shared" si="1"/>
        <v>2003</v>
      </c>
      <c r="D29" s="7">
        <v>14.192907692307692</v>
      </c>
      <c r="E29" s="7">
        <v>2.7600000000000006E-2</v>
      </c>
      <c r="F29" s="7">
        <v>30.102984615384603</v>
      </c>
      <c r="G29" s="7"/>
      <c r="H29" s="3">
        <f t="shared" si="2"/>
        <v>23</v>
      </c>
      <c r="I29" s="8">
        <f t="shared" si="0"/>
        <v>0.65714285714285714</v>
      </c>
      <c r="J29" s="7">
        <v>0.24149999999999999</v>
      </c>
      <c r="K29" s="7">
        <v>2.7600000000000006E-2</v>
      </c>
      <c r="L29" s="7">
        <v>12.927030769230765</v>
      </c>
    </row>
    <row r="30" spans="2:12" x14ac:dyDescent="0.2">
      <c r="B30" s="3">
        <f t="shared" si="1"/>
        <v>2004</v>
      </c>
      <c r="D30" s="7">
        <v>33.151576923076931</v>
      </c>
      <c r="E30" s="7">
        <v>6.1127692307692314</v>
      </c>
      <c r="F30" s="7">
        <v>54.188623076923093</v>
      </c>
      <c r="G30" s="7"/>
      <c r="H30" s="3">
        <f t="shared" si="2"/>
        <v>24</v>
      </c>
      <c r="I30" s="8">
        <f t="shared" si="0"/>
        <v>0.68571428571428572</v>
      </c>
      <c r="J30" s="7">
        <v>0.24149999999999999</v>
      </c>
      <c r="K30" s="7">
        <v>2.7600000000000006E-2</v>
      </c>
      <c r="L30" s="7">
        <v>10.263523076923077</v>
      </c>
    </row>
    <row r="31" spans="2:12" x14ac:dyDescent="0.2">
      <c r="B31" s="3">
        <f t="shared" si="1"/>
        <v>2005</v>
      </c>
      <c r="D31" s="7">
        <v>16.6831</v>
      </c>
      <c r="E31" s="7">
        <v>2.7600000000000006E-2</v>
      </c>
      <c r="F31" s="7">
        <v>21.235638461538464</v>
      </c>
      <c r="G31" s="7"/>
      <c r="H31" s="3">
        <f t="shared" si="2"/>
        <v>25</v>
      </c>
      <c r="I31" s="8">
        <f t="shared" si="0"/>
        <v>0.7142857142857143</v>
      </c>
      <c r="J31" s="7">
        <v>0.24149999999999999</v>
      </c>
      <c r="K31" s="7">
        <v>2.7600000000000006E-2</v>
      </c>
      <c r="L31" s="7">
        <v>4.1213846153846152</v>
      </c>
    </row>
    <row r="32" spans="2:12" x14ac:dyDescent="0.2">
      <c r="B32" s="3">
        <f t="shared" si="1"/>
        <v>2006</v>
      </c>
      <c r="D32" s="7">
        <v>12.581207692307691</v>
      </c>
      <c r="E32" s="7">
        <v>2.7600000000000006E-2</v>
      </c>
      <c r="F32" s="7">
        <v>25.492584615384619</v>
      </c>
      <c r="G32" s="7"/>
      <c r="H32" s="3">
        <f t="shared" si="2"/>
        <v>26</v>
      </c>
      <c r="I32" s="8">
        <f t="shared" si="0"/>
        <v>0.74285714285714288</v>
      </c>
      <c r="J32" s="7">
        <v>0.24149999999999999</v>
      </c>
      <c r="K32" s="7">
        <v>2.7600000000000006E-2</v>
      </c>
      <c r="L32" s="7">
        <v>3.3236153846153851</v>
      </c>
    </row>
    <row r="33" spans="2:12" x14ac:dyDescent="0.2">
      <c r="B33" s="3">
        <f t="shared" si="1"/>
        <v>2007</v>
      </c>
      <c r="D33" s="7">
        <v>13.839961538461537</v>
      </c>
      <c r="E33" s="7">
        <v>2.7600000000000006E-2</v>
      </c>
      <c r="F33" s="7">
        <v>35.315846153846159</v>
      </c>
      <c r="G33" s="7"/>
      <c r="H33" s="3">
        <f t="shared" si="2"/>
        <v>27</v>
      </c>
      <c r="I33" s="8">
        <f t="shared" si="0"/>
        <v>0.77142857142857146</v>
      </c>
      <c r="J33" s="7">
        <v>0.24149999999999999</v>
      </c>
      <c r="K33" s="7">
        <v>2.7600000000000006E-2</v>
      </c>
      <c r="L33" s="7">
        <v>2.8123076923076922</v>
      </c>
    </row>
    <row r="34" spans="2:12" x14ac:dyDescent="0.2">
      <c r="B34" s="3">
        <f t="shared" si="1"/>
        <v>2008</v>
      </c>
      <c r="D34" s="7">
        <v>11.397730769230769</v>
      </c>
      <c r="E34" s="7">
        <v>2.7600000000000006E-2</v>
      </c>
      <c r="F34" s="7">
        <v>22.713823076923081</v>
      </c>
      <c r="G34" s="7"/>
      <c r="H34" s="3">
        <f t="shared" si="2"/>
        <v>28</v>
      </c>
      <c r="I34" s="8">
        <f t="shared" si="0"/>
        <v>0.8</v>
      </c>
      <c r="J34" s="7">
        <v>0.24149999999999999</v>
      </c>
      <c r="K34" s="7">
        <v>2.7600000000000006E-2</v>
      </c>
      <c r="L34" s="7">
        <v>2.4520923076923071</v>
      </c>
    </row>
    <row r="35" spans="2:12" x14ac:dyDescent="0.2">
      <c r="B35" s="3">
        <f t="shared" si="1"/>
        <v>2009</v>
      </c>
      <c r="D35" s="7">
        <v>1.9132923076923078</v>
      </c>
      <c r="E35" s="7">
        <v>2.7600000000000006E-2</v>
      </c>
      <c r="F35" s="7">
        <v>10.263523076923077</v>
      </c>
      <c r="G35" s="7"/>
      <c r="H35" s="3">
        <f t="shared" si="2"/>
        <v>29</v>
      </c>
      <c r="I35" s="8">
        <f t="shared" si="0"/>
        <v>0.82857142857142863</v>
      </c>
      <c r="J35" s="7">
        <v>0.24149999999999999</v>
      </c>
      <c r="K35" s="7">
        <v>2.7600000000000006E-2</v>
      </c>
      <c r="L35" s="7">
        <v>1.875046153846154</v>
      </c>
    </row>
    <row r="36" spans="2:12" x14ac:dyDescent="0.2">
      <c r="B36" s="3">
        <f t="shared" si="1"/>
        <v>2010</v>
      </c>
      <c r="D36" s="7">
        <v>5.0805461538461545</v>
      </c>
      <c r="E36" s="7">
        <v>2.7600000000000006E-2</v>
      </c>
      <c r="F36" s="7">
        <v>31.218976923076912</v>
      </c>
      <c r="G36" s="7"/>
      <c r="H36" s="3">
        <f t="shared" si="2"/>
        <v>30</v>
      </c>
      <c r="I36" s="8">
        <f t="shared" si="0"/>
        <v>0.8571428571428571</v>
      </c>
      <c r="J36" s="7">
        <v>0.24149999999999999</v>
      </c>
      <c r="K36" s="7">
        <v>2.7600000000000006E-2</v>
      </c>
      <c r="L36" s="7">
        <v>1.6416384615384618</v>
      </c>
    </row>
    <row r="37" spans="2:12" x14ac:dyDescent="0.2">
      <c r="B37" s="3">
        <f t="shared" si="1"/>
        <v>2011</v>
      </c>
      <c r="D37" s="7">
        <v>3.7116615384615388</v>
      </c>
      <c r="E37" s="7">
        <v>2.7600000000000006E-2</v>
      </c>
      <c r="F37" s="7">
        <v>26.52533846153846</v>
      </c>
      <c r="G37" s="7"/>
      <c r="H37" s="3">
        <f t="shared" si="2"/>
        <v>31</v>
      </c>
      <c r="I37" s="8">
        <f t="shared" si="0"/>
        <v>0.88571428571428568</v>
      </c>
      <c r="J37" s="7">
        <v>0.24149999999999999</v>
      </c>
      <c r="K37" s="7">
        <v>2.7600000000000006E-2</v>
      </c>
      <c r="L37" s="7">
        <v>1.6255923076923078</v>
      </c>
    </row>
    <row r="38" spans="2:12" x14ac:dyDescent="0.2">
      <c r="B38" s="3">
        <f t="shared" si="1"/>
        <v>2012</v>
      </c>
      <c r="D38" s="7">
        <v>1.6283461538461539</v>
      </c>
      <c r="E38" s="7">
        <v>2.7600000000000006E-2</v>
      </c>
      <c r="F38" s="7">
        <v>4.1213846153846152</v>
      </c>
      <c r="G38" s="7"/>
      <c r="H38" s="3">
        <f t="shared" si="2"/>
        <v>32</v>
      </c>
      <c r="I38" s="8">
        <f t="shared" si="0"/>
        <v>0.91428571428571426</v>
      </c>
      <c r="J38" s="7">
        <v>0.24149999999999999</v>
      </c>
      <c r="K38" s="7">
        <v>2.7600000000000006E-2</v>
      </c>
      <c r="L38" s="7">
        <v>1.0163923076923076</v>
      </c>
    </row>
    <row r="39" spans="2:12" x14ac:dyDescent="0.2">
      <c r="B39" s="3">
        <f t="shared" si="1"/>
        <v>2013</v>
      </c>
      <c r="D39" s="7">
        <v>0.24149999999999999</v>
      </c>
      <c r="E39" s="7">
        <v>2.7600000000000006E-2</v>
      </c>
      <c r="F39" s="7">
        <v>1.6255923076923078</v>
      </c>
      <c r="G39" s="7"/>
      <c r="H39" s="3">
        <f t="shared" si="2"/>
        <v>33</v>
      </c>
      <c r="I39" s="8">
        <f t="shared" si="0"/>
        <v>0.94285714285714284</v>
      </c>
      <c r="J39" s="7">
        <v>0.24149999999999999</v>
      </c>
      <c r="K39" s="7">
        <v>2.7600000000000006E-2</v>
      </c>
      <c r="L39" s="7">
        <v>0.70820000000000005</v>
      </c>
    </row>
    <row r="40" spans="2:12" x14ac:dyDescent="0.2">
      <c r="B40" s="3">
        <f t="shared" si="1"/>
        <v>2014</v>
      </c>
      <c r="D40" s="7">
        <v>0.24149999999999999</v>
      </c>
      <c r="E40" s="7">
        <v>2.7600000000000006E-2</v>
      </c>
      <c r="F40" s="7">
        <v>1.0163923076923076</v>
      </c>
      <c r="G40" s="7"/>
      <c r="H40" s="3">
        <f t="shared" si="2"/>
        <v>34</v>
      </c>
      <c r="I40" s="8">
        <f t="shared" si="0"/>
        <v>0.97142857142857142</v>
      </c>
      <c r="J40" s="7">
        <v>0.24149999999999999</v>
      </c>
      <c r="K40" s="7">
        <v>2.7600000000000006E-2</v>
      </c>
      <c r="L40" s="7">
        <v>0.70820000000000005</v>
      </c>
    </row>
    <row r="41" spans="2:12" x14ac:dyDescent="0.2">
      <c r="B41" s="3">
        <f t="shared" si="1"/>
        <v>2015</v>
      </c>
      <c r="D41" s="7">
        <v>0.24149999999999999</v>
      </c>
      <c r="E41" s="7">
        <v>2.7600000000000006E-2</v>
      </c>
      <c r="F41" s="7">
        <v>1.875046153846154</v>
      </c>
      <c r="G41" s="7"/>
      <c r="H41" s="3">
        <f t="shared" si="2"/>
        <v>35</v>
      </c>
      <c r="I41" s="8">
        <f t="shared" si="0"/>
        <v>1</v>
      </c>
      <c r="J41" s="7">
        <v>0.24149999999999999</v>
      </c>
      <c r="K41" s="7">
        <v>2.7600000000000006E-2</v>
      </c>
      <c r="L41" s="7">
        <v>0.70820000000000005</v>
      </c>
    </row>
    <row r="42" spans="2:12" x14ac:dyDescent="0.2">
      <c r="D42" s="7"/>
      <c r="E42" s="7"/>
      <c r="F42" s="7"/>
      <c r="G42" s="7"/>
      <c r="I42" s="8"/>
      <c r="J42" s="7"/>
      <c r="K42" s="7"/>
    </row>
    <row r="43" spans="2:12" x14ac:dyDescent="0.2">
      <c r="D43" s="10"/>
      <c r="E43" s="10"/>
      <c r="F43" s="10"/>
      <c r="G43" s="9"/>
      <c r="I43" s="9"/>
      <c r="J43" s="7"/>
      <c r="K43" s="7"/>
    </row>
    <row r="44" spans="2:12" x14ac:dyDescent="0.2">
      <c r="B44" s="3" t="s">
        <v>7</v>
      </c>
      <c r="D44" s="7">
        <f>AVERAGE(D7:D41)</f>
        <v>13.865864175824177</v>
      </c>
      <c r="E44" s="7">
        <f>AVERAGE(E7:E41)</f>
        <v>2.3257734065934095</v>
      </c>
      <c r="F44" s="7">
        <f>AVERAGE(F7:F41)</f>
        <v>28.581168131868129</v>
      </c>
      <c r="G44" s="7"/>
      <c r="I44" s="9"/>
      <c r="J44" s="7">
        <f>AVERAGE(J7:J41)</f>
        <v>13.865864175824166</v>
      </c>
      <c r="K44" s="7">
        <f>AVERAGE(K7:K41)</f>
        <v>2.3257734065934126</v>
      </c>
      <c r="L44" s="7">
        <f>AVERAGE(L7:L41)</f>
        <v>28.581168131868136</v>
      </c>
    </row>
    <row r="45" spans="2:12" x14ac:dyDescent="0.2">
      <c r="D45" s="7"/>
      <c r="E45" s="7"/>
      <c r="F45" s="7"/>
      <c r="G45" s="7"/>
      <c r="I45" s="9"/>
      <c r="J45" s="7"/>
      <c r="K45" s="7"/>
    </row>
    <row r="46" spans="2:12" x14ac:dyDescent="0.2">
      <c r="B46" s="3" t="s">
        <v>8</v>
      </c>
      <c r="D46" s="10">
        <f>MEDIAN(D7:D41)</f>
        <v>1.6283461538461539</v>
      </c>
      <c r="E46" s="10">
        <f>MEDIAN(E7:E41)</f>
        <v>2.7600000000000006E-2</v>
      </c>
      <c r="F46" s="10">
        <f>MEDIAN(F7:F41)</f>
        <v>25.492584615384619</v>
      </c>
      <c r="G46" s="9"/>
      <c r="I46" s="9"/>
      <c r="J46" s="10">
        <f>MEDIAN(J7:J41)</f>
        <v>1.6283461538461539</v>
      </c>
      <c r="K46" s="10">
        <f>MEDIAN(K7:K41)</f>
        <v>2.7600000000000006E-2</v>
      </c>
      <c r="L46" s="10">
        <f>MEDIAN(L7:L41)</f>
        <v>25.492584615384619</v>
      </c>
    </row>
    <row r="47" spans="2:12" x14ac:dyDescent="0.2">
      <c r="G47" s="9"/>
      <c r="I47" s="9"/>
      <c r="J47" s="9"/>
      <c r="K47" s="9"/>
    </row>
    <row r="48" spans="2:12" x14ac:dyDescent="0.2">
      <c r="G48" s="11"/>
      <c r="I48" s="9"/>
      <c r="J48" s="9"/>
      <c r="K48" s="9"/>
    </row>
    <row r="49" spans="4:12" x14ac:dyDescent="0.2">
      <c r="I49" s="9"/>
      <c r="J49" s="9"/>
      <c r="K49" s="9"/>
    </row>
    <row r="50" spans="4:12" x14ac:dyDescent="0.2">
      <c r="G50" s="9"/>
      <c r="I50" s="9"/>
      <c r="J50" s="9"/>
      <c r="K50" s="9"/>
    </row>
    <row r="51" spans="4:12" x14ac:dyDescent="0.2">
      <c r="D51" s="9"/>
      <c r="E51" s="9"/>
      <c r="F51" s="9"/>
      <c r="G51" s="9"/>
      <c r="I51" s="9"/>
      <c r="J51" s="9"/>
      <c r="K51" s="9"/>
      <c r="L51" s="9"/>
    </row>
    <row r="52" spans="4:12" x14ac:dyDescent="0.2">
      <c r="G52" s="9"/>
      <c r="I52" s="9"/>
      <c r="J52" s="9"/>
      <c r="K52" s="9"/>
      <c r="L52" s="9"/>
    </row>
    <row r="53" spans="4:12" x14ac:dyDescent="0.2">
      <c r="G53" s="9"/>
      <c r="I53" s="9"/>
      <c r="J53" s="8"/>
      <c r="K53" s="8"/>
      <c r="L53" s="8"/>
    </row>
    <row r="54" spans="4:12" x14ac:dyDescent="0.2">
      <c r="G54" s="9"/>
      <c r="I54" s="9"/>
      <c r="J54" s="9"/>
      <c r="K54" s="9"/>
      <c r="L54" s="9"/>
    </row>
    <row r="55" spans="4:12" x14ac:dyDescent="0.2">
      <c r="G55" s="9"/>
      <c r="J55" s="12"/>
      <c r="K55" s="12"/>
      <c r="L55" s="12"/>
    </row>
    <row r="56" spans="4:12" x14ac:dyDescent="0.2">
      <c r="G56" s="9"/>
      <c r="I56" s="9"/>
      <c r="J56" s="9"/>
      <c r="K56" s="9"/>
    </row>
    <row r="57" spans="4:12" x14ac:dyDescent="0.2">
      <c r="G57" s="9"/>
      <c r="I57" s="9"/>
      <c r="J57" s="9"/>
      <c r="K57" s="9"/>
    </row>
    <row r="58" spans="4:12" x14ac:dyDescent="0.2">
      <c r="G58" s="9"/>
      <c r="I58" s="9"/>
      <c r="J58" s="9"/>
      <c r="K58" s="9"/>
    </row>
    <row r="59" spans="4:12" x14ac:dyDescent="0.2">
      <c r="G59" s="9"/>
      <c r="I59" s="9"/>
      <c r="J59" s="9"/>
      <c r="K59" s="9"/>
    </row>
    <row r="60" spans="4:12" x14ac:dyDescent="0.2">
      <c r="G60" s="9"/>
      <c r="I60" s="9"/>
      <c r="J60" s="9"/>
      <c r="K60" s="9"/>
    </row>
    <row r="61" spans="4:12" x14ac:dyDescent="0.2">
      <c r="G61" s="9"/>
      <c r="I61" s="9"/>
      <c r="J61" s="9"/>
      <c r="K61" s="9"/>
    </row>
    <row r="62" spans="4:12" x14ac:dyDescent="0.2">
      <c r="G62" s="9"/>
      <c r="I62" s="9"/>
      <c r="J62" s="9"/>
      <c r="K62" s="9"/>
    </row>
    <row r="63" spans="4:12" x14ac:dyDescent="0.2">
      <c r="G63" s="9"/>
      <c r="I63" s="9"/>
      <c r="J63" s="9"/>
      <c r="K63" s="9"/>
    </row>
    <row r="64" spans="4:12" x14ac:dyDescent="0.2">
      <c r="G64" s="9"/>
      <c r="I64" s="9"/>
      <c r="J64" s="9"/>
      <c r="K64" s="9"/>
    </row>
    <row r="65" spans="2:11" x14ac:dyDescent="0.2">
      <c r="G65" s="9"/>
      <c r="I65" s="9"/>
      <c r="J65" s="9"/>
      <c r="K65" s="9"/>
    </row>
    <row r="66" spans="2:11" x14ac:dyDescent="0.2">
      <c r="G66" s="9"/>
      <c r="I66" s="9"/>
      <c r="J66" s="9"/>
      <c r="K66" s="9"/>
    </row>
    <row r="67" spans="2:11" x14ac:dyDescent="0.2">
      <c r="G67" s="9"/>
      <c r="I67" s="9"/>
      <c r="J67" s="9"/>
      <c r="K67" s="9"/>
    </row>
    <row r="68" spans="2:11" x14ac:dyDescent="0.2">
      <c r="G68" s="13"/>
      <c r="I68" s="13"/>
      <c r="J68" s="13"/>
      <c r="K68" s="13"/>
    </row>
    <row r="69" spans="2:11" x14ac:dyDescent="0.2">
      <c r="B69" s="14"/>
      <c r="C69" s="14"/>
      <c r="D69" s="14"/>
      <c r="E69" s="14"/>
      <c r="F69" s="14"/>
      <c r="G69" s="15"/>
      <c r="H69" s="14"/>
      <c r="I69" s="15"/>
      <c r="J69" s="15"/>
      <c r="K69" s="15"/>
    </row>
    <row r="70" spans="2:11" x14ac:dyDescent="0.2">
      <c r="I70" s="13"/>
      <c r="J70" s="13"/>
      <c r="K70" s="13"/>
    </row>
    <row r="71" spans="2:11" x14ac:dyDescent="0.2">
      <c r="I71" s="13"/>
      <c r="J71" s="13"/>
      <c r="K71" s="13"/>
    </row>
    <row r="72" spans="2:11" x14ac:dyDescent="0.2">
      <c r="I72" s="13"/>
      <c r="J72" s="13"/>
      <c r="K72" s="13"/>
    </row>
    <row r="73" spans="2:11" x14ac:dyDescent="0.2">
      <c r="I73" s="13"/>
      <c r="J73" s="13"/>
      <c r="K73" s="13"/>
    </row>
    <row r="74" spans="2:11" x14ac:dyDescent="0.2">
      <c r="I74" s="13"/>
      <c r="J74" s="13"/>
      <c r="K74" s="13"/>
    </row>
    <row r="75" spans="2:11" x14ac:dyDescent="0.2">
      <c r="I75" s="13"/>
      <c r="J75" s="13"/>
      <c r="K75" s="13"/>
    </row>
    <row r="76" spans="2:11" x14ac:dyDescent="0.2">
      <c r="I76" s="13"/>
      <c r="J76" s="13"/>
      <c r="K76" s="13"/>
    </row>
    <row r="77" spans="2:11" x14ac:dyDescent="0.2">
      <c r="I77" s="13"/>
      <c r="J77" s="13"/>
      <c r="K77" s="13"/>
    </row>
    <row r="78" spans="2:11" x14ac:dyDescent="0.2">
      <c r="I78" s="13"/>
      <c r="J78" s="13"/>
      <c r="K78" s="13"/>
    </row>
    <row r="79" spans="2:11" x14ac:dyDescent="0.2">
      <c r="I79" s="13"/>
      <c r="J79" s="13"/>
      <c r="K79" s="13"/>
    </row>
    <row r="80" spans="2:11" x14ac:dyDescent="0.2">
      <c r="I80" s="13"/>
      <c r="J80" s="13"/>
      <c r="K80" s="13"/>
    </row>
    <row r="81" spans="9:11" x14ac:dyDescent="0.2">
      <c r="I81" s="13"/>
      <c r="J81" s="13"/>
      <c r="K81" s="13"/>
    </row>
    <row r="82" spans="9:11" x14ac:dyDescent="0.2">
      <c r="I82" s="13"/>
      <c r="J82" s="13"/>
      <c r="K82" s="13"/>
    </row>
    <row r="83" spans="9:11" x14ac:dyDescent="0.2">
      <c r="I83" s="13"/>
      <c r="J83" s="13"/>
      <c r="K83" s="13"/>
    </row>
    <row r="84" spans="9:11" x14ac:dyDescent="0.2">
      <c r="I84" s="13"/>
      <c r="J84" s="13"/>
      <c r="K84" s="13"/>
    </row>
    <row r="85" spans="9:11" x14ac:dyDescent="0.2">
      <c r="I85" s="13"/>
      <c r="J85" s="13"/>
      <c r="K85" s="13"/>
    </row>
    <row r="86" spans="9:11" x14ac:dyDescent="0.2">
      <c r="I86" s="13"/>
      <c r="J86" s="13"/>
      <c r="K86" s="13"/>
    </row>
    <row r="87" spans="9:11" x14ac:dyDescent="0.2">
      <c r="I87" s="13"/>
      <c r="J87" s="13"/>
      <c r="K87" s="13"/>
    </row>
    <row r="88" spans="9:11" x14ac:dyDescent="0.2">
      <c r="I88" s="13"/>
      <c r="J88" s="13"/>
      <c r="K88" s="13"/>
    </row>
    <row r="89" spans="9:11" x14ac:dyDescent="0.2">
      <c r="I89" s="13"/>
      <c r="J89" s="13"/>
      <c r="K89" s="13"/>
    </row>
    <row r="90" spans="9:11" x14ac:dyDescent="0.2">
      <c r="I90" s="13"/>
      <c r="J90" s="13"/>
      <c r="K90" s="13"/>
    </row>
    <row r="91" spans="9:11" x14ac:dyDescent="0.2">
      <c r="I91" s="13"/>
      <c r="J91" s="13"/>
      <c r="K91" s="13"/>
    </row>
    <row r="92" spans="9:11" x14ac:dyDescent="0.2">
      <c r="I92" s="13"/>
      <c r="J92" s="13"/>
      <c r="K92" s="13"/>
    </row>
    <row r="93" spans="9:11" x14ac:dyDescent="0.2">
      <c r="I93" s="13"/>
      <c r="J93" s="13"/>
      <c r="K93" s="13"/>
    </row>
    <row r="94" spans="9:11" x14ac:dyDescent="0.2">
      <c r="I94" s="13"/>
      <c r="J94" s="13"/>
      <c r="K94" s="13"/>
    </row>
    <row r="95" spans="9:11" x14ac:dyDescent="0.2">
      <c r="I95" s="13"/>
      <c r="J95" s="13"/>
      <c r="K95" s="13"/>
    </row>
    <row r="96" spans="9:11" x14ac:dyDescent="0.2">
      <c r="I96" s="13"/>
      <c r="J96" s="13"/>
      <c r="K96" s="13"/>
    </row>
    <row r="97" spans="9:11" x14ac:dyDescent="0.2">
      <c r="I97" s="13"/>
      <c r="J97" s="13"/>
      <c r="K97" s="13"/>
    </row>
    <row r="98" spans="9:11" x14ac:dyDescent="0.2">
      <c r="I98" s="13"/>
      <c r="J98" s="13"/>
      <c r="K98" s="13"/>
    </row>
    <row r="99" spans="9:11" x14ac:dyDescent="0.2">
      <c r="I99" s="13"/>
      <c r="J99" s="13"/>
      <c r="K99" s="13"/>
    </row>
    <row r="100" spans="9:11" x14ac:dyDescent="0.2">
      <c r="I100" s="13"/>
      <c r="J100" s="13"/>
      <c r="K100" s="13"/>
    </row>
    <row r="101" spans="9:11" x14ac:dyDescent="0.2">
      <c r="I101" s="13"/>
      <c r="J101" s="13"/>
      <c r="K101" s="13"/>
    </row>
    <row r="102" spans="9:11" x14ac:dyDescent="0.2">
      <c r="I102" s="13"/>
      <c r="J102" s="13"/>
      <c r="K102" s="13"/>
    </row>
    <row r="103" spans="9:11" x14ac:dyDescent="0.2">
      <c r="I103" s="13"/>
      <c r="J103" s="13"/>
      <c r="K103" s="13"/>
    </row>
    <row r="104" spans="9:11" x14ac:dyDescent="0.2">
      <c r="I104" s="13"/>
      <c r="J104" s="13"/>
      <c r="K104" s="13"/>
    </row>
    <row r="105" spans="9:11" x14ac:dyDescent="0.2">
      <c r="I105" s="13"/>
      <c r="J105" s="13"/>
      <c r="K105" s="13"/>
    </row>
    <row r="106" spans="9:11" x14ac:dyDescent="0.2">
      <c r="I106" s="13"/>
      <c r="J106" s="13"/>
      <c r="K106" s="13"/>
    </row>
    <row r="107" spans="9:11" x14ac:dyDescent="0.2">
      <c r="I107" s="13"/>
      <c r="J107" s="13"/>
      <c r="K107" s="13"/>
    </row>
    <row r="108" spans="9:11" x14ac:dyDescent="0.2">
      <c r="I108" s="13"/>
      <c r="J108" s="13"/>
      <c r="K108" s="13"/>
    </row>
    <row r="109" spans="9:11" x14ac:dyDescent="0.2">
      <c r="I109" s="13"/>
      <c r="J109" s="13"/>
      <c r="K109" s="13"/>
    </row>
    <row r="110" spans="9:11" x14ac:dyDescent="0.2">
      <c r="I110" s="13"/>
      <c r="J110" s="13"/>
      <c r="K110" s="13"/>
    </row>
    <row r="111" spans="9:11" x14ac:dyDescent="0.2">
      <c r="I111" s="13"/>
      <c r="J111" s="13"/>
      <c r="K111" s="13"/>
    </row>
    <row r="112" spans="9:11" x14ac:dyDescent="0.2">
      <c r="I112" s="13"/>
      <c r="J112" s="13"/>
      <c r="K112" s="13"/>
    </row>
    <row r="113" spans="9:11" x14ac:dyDescent="0.2">
      <c r="I113" s="13"/>
      <c r="J113" s="13"/>
      <c r="K113" s="13"/>
    </row>
    <row r="114" spans="9:11" x14ac:dyDescent="0.2">
      <c r="I114" s="13"/>
      <c r="J114" s="13"/>
      <c r="K114" s="13"/>
    </row>
    <row r="115" spans="9:11" x14ac:dyDescent="0.2">
      <c r="I115" s="13"/>
      <c r="J115" s="13"/>
      <c r="K115" s="13"/>
    </row>
    <row r="116" spans="9:11" x14ac:dyDescent="0.2">
      <c r="I116" s="13"/>
      <c r="J116" s="13"/>
      <c r="K116" s="13"/>
    </row>
    <row r="117" spans="9:11" x14ac:dyDescent="0.2">
      <c r="I117" s="13"/>
      <c r="J117" s="13"/>
      <c r="K117" s="13"/>
    </row>
    <row r="118" spans="9:11" x14ac:dyDescent="0.2">
      <c r="I118" s="13"/>
      <c r="J118" s="13"/>
      <c r="K118" s="13"/>
    </row>
    <row r="119" spans="9:11" x14ac:dyDescent="0.2">
      <c r="I119" s="13"/>
      <c r="J119" s="13"/>
      <c r="K119" s="13"/>
    </row>
    <row r="120" spans="9:11" x14ac:dyDescent="0.2">
      <c r="I120" s="13"/>
      <c r="J120" s="13"/>
      <c r="K120" s="13"/>
    </row>
    <row r="121" spans="9:11" x14ac:dyDescent="0.2">
      <c r="I121" s="13"/>
      <c r="J121" s="13"/>
      <c r="K121" s="13"/>
    </row>
    <row r="122" spans="9:11" x14ac:dyDescent="0.2">
      <c r="I122" s="13"/>
      <c r="J122" s="13"/>
      <c r="K122" s="13"/>
    </row>
    <row r="123" spans="9:11" x14ac:dyDescent="0.2">
      <c r="I123" s="13"/>
      <c r="J123" s="13"/>
      <c r="K123" s="13"/>
    </row>
    <row r="124" spans="9:11" x14ac:dyDescent="0.2">
      <c r="I124" s="13"/>
      <c r="J124" s="13"/>
      <c r="K124" s="13"/>
    </row>
    <row r="125" spans="9:11" x14ac:dyDescent="0.2">
      <c r="I125" s="13"/>
      <c r="J125" s="13"/>
      <c r="K125" s="13"/>
    </row>
  </sheetData>
  <mergeCells count="2">
    <mergeCell ref="D4:E4"/>
    <mergeCell ref="I4:J4"/>
  </mergeCells>
  <pageMargins left="0.70866141732283472" right="0.70866141732283472" top="0.74803149606299213" bottom="0.74803149606299213" header="0.31496062992125984" footer="0.31496062992125984"/>
  <pageSetup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3"/>
  <sheetViews>
    <sheetView showGridLines="0" view="pageBreakPreview" zoomScaleNormal="100" zoomScaleSheetLayoutView="100" workbookViewId="0">
      <selection activeCell="E30" sqref="E30"/>
    </sheetView>
  </sheetViews>
  <sheetFormatPr defaultRowHeight="15" x14ac:dyDescent="0.25"/>
  <cols>
    <col min="1" max="1" width="3.85546875" customWidth="1"/>
    <col min="2" max="2" width="4.5703125" customWidth="1"/>
    <col min="3" max="3" width="20.7109375" customWidth="1"/>
    <col min="4" max="4" width="4.140625" customWidth="1"/>
    <col min="5" max="5" width="11.85546875" customWidth="1"/>
    <col min="6" max="6" width="11.42578125" customWidth="1"/>
    <col min="7" max="7" width="3.85546875" customWidth="1"/>
    <col min="8" max="8" width="12" customWidth="1"/>
    <col min="9" max="9" width="12.42578125" customWidth="1"/>
    <col min="10" max="10" width="2.85546875" customWidth="1"/>
  </cols>
  <sheetData>
    <row r="2" spans="2:9" ht="18.75" customHeight="1" x14ac:dyDescent="0.25">
      <c r="C2" s="137" t="s">
        <v>227</v>
      </c>
      <c r="D2" s="137"/>
      <c r="E2" s="137"/>
      <c r="F2" s="137"/>
      <c r="G2" s="137"/>
      <c r="H2" s="137"/>
      <c r="I2" s="137"/>
    </row>
    <row r="3" spans="2:9" ht="18.75" customHeight="1" x14ac:dyDescent="0.25">
      <c r="C3" s="137"/>
      <c r="D3" s="137"/>
      <c r="E3" s="137"/>
      <c r="F3" s="137"/>
      <c r="G3" s="137"/>
      <c r="H3" s="137"/>
      <c r="I3" s="137"/>
    </row>
    <row r="5" spans="2:9" ht="33" customHeight="1" x14ac:dyDescent="0.25">
      <c r="E5" s="34" t="s">
        <v>39</v>
      </c>
      <c r="F5" s="34"/>
      <c r="H5" s="35" t="s">
        <v>40</v>
      </c>
      <c r="I5" s="35"/>
    </row>
    <row r="6" spans="2:9" x14ac:dyDescent="0.25">
      <c r="E6" s="36" t="s">
        <v>41</v>
      </c>
      <c r="F6" s="38"/>
      <c r="H6" s="36" t="s">
        <v>41</v>
      </c>
      <c r="I6" s="37"/>
    </row>
    <row r="7" spans="2:9" x14ac:dyDescent="0.25">
      <c r="E7" s="29">
        <v>8</v>
      </c>
      <c r="F7" s="29">
        <v>16</v>
      </c>
      <c r="H7" s="29">
        <v>8</v>
      </c>
      <c r="I7" s="29">
        <v>16</v>
      </c>
    </row>
    <row r="8" spans="2:9" x14ac:dyDescent="0.25">
      <c r="E8" t="s">
        <v>46</v>
      </c>
      <c r="F8" t="s">
        <v>47</v>
      </c>
      <c r="H8" t="s">
        <v>48</v>
      </c>
      <c r="I8" t="s">
        <v>49</v>
      </c>
    </row>
    <row r="9" spans="2:9" ht="15.75" x14ac:dyDescent="0.25">
      <c r="B9" s="30" t="s">
        <v>42</v>
      </c>
    </row>
    <row r="10" spans="2:9" x14ac:dyDescent="0.25">
      <c r="B10" s="16" t="s">
        <v>43</v>
      </c>
    </row>
    <row r="11" spans="2:9" x14ac:dyDescent="0.25">
      <c r="C11" t="s">
        <v>29</v>
      </c>
      <c r="E11">
        <f>'Table 3.4-6A -420 GWh $8 M'!N52</f>
        <v>16</v>
      </c>
      <c r="F11">
        <f>'Table 3.4-6B-420 GWh- $16 M'!N52</f>
        <v>21</v>
      </c>
      <c r="H11">
        <f>'Table 3.4-7A -450 GWh $8 M '!N52</f>
        <v>20</v>
      </c>
      <c r="I11">
        <f>'Table 3.4-7B -450 GWh $16 M'!N52</f>
        <v>26</v>
      </c>
    </row>
    <row r="12" spans="2:9" x14ac:dyDescent="0.25">
      <c r="C12" t="s">
        <v>30</v>
      </c>
      <c r="E12">
        <f>'Table 3.4-6A -420 GWh $8 M'!N53</f>
        <v>12</v>
      </c>
      <c r="F12">
        <f>'Table 3.4-6B-420 GWh- $16 M'!N53</f>
        <v>8</v>
      </c>
      <c r="H12">
        <f>'Table 3.4-7A -450 GWh $8 M '!N53</f>
        <v>8</v>
      </c>
      <c r="I12">
        <f>'Table 3.4-7B -450 GWh $16 M'!N53</f>
        <v>4</v>
      </c>
    </row>
    <row r="13" spans="2:9" x14ac:dyDescent="0.25">
      <c r="C13" t="s">
        <v>31</v>
      </c>
      <c r="E13">
        <f>'Table 3.4-6A -420 GWh $8 M'!N54</f>
        <v>8</v>
      </c>
      <c r="F13">
        <f>'Table 3.4-6B-420 GWh- $16 M'!N54</f>
        <v>6</v>
      </c>
      <c r="H13">
        <f>'Table 3.4-7A -450 GWh $8 M '!N54</f>
        <v>1</v>
      </c>
      <c r="I13">
        <f>'Table 3.4-7B -450 GWh $16 M'!N54</f>
        <v>1</v>
      </c>
    </row>
    <row r="14" spans="2:9" x14ac:dyDescent="0.25">
      <c r="C14" t="s">
        <v>32</v>
      </c>
      <c r="E14">
        <f>'Table 3.4-6A -420 GWh $8 M'!N55</f>
        <v>7</v>
      </c>
      <c r="F14">
        <f>'Table 3.4-6B-420 GWh- $16 M'!N55</f>
        <v>6</v>
      </c>
      <c r="H14">
        <f>'Table 3.4-7A -450 GWh $8 M '!N55</f>
        <v>7</v>
      </c>
      <c r="I14">
        <f>'Table 3.4-7B -450 GWh $16 M'!N55</f>
        <v>5</v>
      </c>
    </row>
    <row r="16" spans="2:9" x14ac:dyDescent="0.25">
      <c r="B16" s="16" t="s">
        <v>44</v>
      </c>
    </row>
    <row r="17" spans="2:9" x14ac:dyDescent="0.25">
      <c r="C17" t="s">
        <v>34</v>
      </c>
      <c r="E17" s="25">
        <f>'Table 3.4-6A -420 GWh $8 M'!N58</f>
        <v>-2.1573499454208793</v>
      </c>
      <c r="F17" s="25">
        <f>'Table 3.4-6B-420 GWh- $16 M'!N58</f>
        <v>-2.1573499454208793</v>
      </c>
      <c r="H17" s="31">
        <f>'Table 3.4-7A -450 GWh $8 M '!N58</f>
        <v>-5.058096223516479</v>
      </c>
      <c r="I17" s="31">
        <f>'Table 3.4-7B -450 GWh $16 M'!N58</f>
        <v>-4.137408511379121</v>
      </c>
    </row>
    <row r="18" spans="2:9" x14ac:dyDescent="0.25">
      <c r="C18" t="s">
        <v>35</v>
      </c>
      <c r="E18" s="25">
        <f>'Table 3.4-6A -420 GWh $8 M'!N59</f>
        <v>13.625137099316481</v>
      </c>
      <c r="F18" s="25">
        <f>'Table 3.4-6B-420 GWh- $16 M'!N59</f>
        <v>4.6674684367417578</v>
      </c>
      <c r="H18" s="31">
        <f>'Table 3.4-7A -450 GWh $8 M '!N59</f>
        <v>13.998091600428575</v>
      </c>
      <c r="I18" s="31">
        <f>'Table 3.4-7B -450 GWh $16 M'!N59</f>
        <v>8.2402412988351745</v>
      </c>
    </row>
    <row r="19" spans="2:9" x14ac:dyDescent="0.25">
      <c r="C19" t="s">
        <v>36</v>
      </c>
      <c r="E19" s="25">
        <f>'Table 3.4-6A -420 GWh $8 M'!N60</f>
        <v>4.1757040534701728</v>
      </c>
      <c r="F19" s="25">
        <f>'Table 3.4-6B-420 GWh- $16 M'!N60</f>
        <v>2.2049880623818683</v>
      </c>
      <c r="H19" s="31">
        <f>'Table 3.4-7A -450 GWh $8 M '!N60</f>
        <v>4.8177717500839901</v>
      </c>
      <c r="I19" s="31">
        <f>'Table 3.4-7B -450 GWh $16 M'!N60</f>
        <v>3.5448804501175859</v>
      </c>
    </row>
    <row r="20" spans="2:9" x14ac:dyDescent="0.25">
      <c r="C20" t="s">
        <v>45</v>
      </c>
      <c r="E20" s="25">
        <f>'Table 3.4-6A -420 GWh $8 M'!N61</f>
        <v>5.8997450869780179</v>
      </c>
      <c r="F20" s="25">
        <f>'Table 3.4-6B-420 GWh- $16 M'!N61</f>
        <v>-2.1002549130219816</v>
      </c>
      <c r="H20" s="31">
        <f>'Table 3.4-7A -450 GWh $8 M '!N61</f>
        <v>8.0000000000000213</v>
      </c>
      <c r="I20" s="31">
        <f>'Table 3.4-7B -450 GWh $16 M'!N61</f>
        <v>5.058096223516503</v>
      </c>
    </row>
    <row r="22" spans="2:9" ht="15.75" x14ac:dyDescent="0.25">
      <c r="B22" s="30" t="s">
        <v>19</v>
      </c>
    </row>
    <row r="23" spans="2:9" x14ac:dyDescent="0.25">
      <c r="B23" s="16" t="s">
        <v>43</v>
      </c>
    </row>
    <row r="24" spans="2:9" x14ac:dyDescent="0.25">
      <c r="C24" t="s">
        <v>29</v>
      </c>
      <c r="E24">
        <f>'Table 3.4-6A -420 GWh $8 M'!H52</f>
        <v>11</v>
      </c>
      <c r="F24">
        <f>'Table 3.4-6B-420 GWh- $16 M'!H52</f>
        <v>17</v>
      </c>
      <c r="H24">
        <f>'Table 3.4-7A -450 GWh $8 M '!H52</f>
        <v>17</v>
      </c>
      <c r="I24">
        <f>'Table 3.4-7B -450 GWh $16 M'!H52</f>
        <v>22</v>
      </c>
    </row>
    <row r="25" spans="2:9" x14ac:dyDescent="0.25">
      <c r="C25" t="s">
        <v>30</v>
      </c>
      <c r="E25">
        <f>'Table 3.4-6A -420 GWh $8 M'!H53</f>
        <v>15</v>
      </c>
      <c r="F25">
        <f>'Table 3.4-6B-420 GWh- $16 M'!H53</f>
        <v>11</v>
      </c>
      <c r="H25">
        <f>'Table 3.4-7A -450 GWh $8 M '!H53</f>
        <v>10</v>
      </c>
      <c r="I25">
        <f>'Table 3.4-7B -450 GWh $16 M'!H53</f>
        <v>7</v>
      </c>
    </row>
    <row r="26" spans="2:9" x14ac:dyDescent="0.25">
      <c r="C26" t="s">
        <v>31</v>
      </c>
      <c r="E26">
        <f>'Table 3.4-6A -420 GWh $8 M'!H54</f>
        <v>9</v>
      </c>
      <c r="F26">
        <f>'Table 3.4-6B-420 GWh- $16 M'!H54</f>
        <v>8</v>
      </c>
      <c r="H26">
        <f>'Table 3.4-7A -450 GWh $8 M '!H54</f>
        <v>1</v>
      </c>
      <c r="I26">
        <f>'Table 3.4-7B -450 GWh $16 M'!H54</f>
        <v>1</v>
      </c>
    </row>
    <row r="27" spans="2:9" x14ac:dyDescent="0.25">
      <c r="C27" t="s">
        <v>32</v>
      </c>
      <c r="E27">
        <f>'Table 3.4-6A -420 GWh $8 M'!H55</f>
        <v>9</v>
      </c>
      <c r="F27">
        <f>'Table 3.4-6B-420 GWh- $16 M'!H55</f>
        <v>7</v>
      </c>
      <c r="H27">
        <f>'Table 3.4-7A -450 GWh $8 M '!H55</f>
        <v>8</v>
      </c>
      <c r="I27">
        <f>'Table 3.4-7B -450 GWh $16 M'!H55</f>
        <v>6</v>
      </c>
    </row>
    <row r="29" spans="2:9" x14ac:dyDescent="0.25">
      <c r="B29" s="16" t="s">
        <v>44</v>
      </c>
    </row>
    <row r="30" spans="2:9" x14ac:dyDescent="0.25">
      <c r="C30" t="s">
        <v>34</v>
      </c>
      <c r="E30" s="31">
        <f>'Table 3.4-6A -420 GWh $8 M'!H58</f>
        <v>-3.5877038184197829</v>
      </c>
      <c r="F30" s="25">
        <f>'Table 3.4-6B-420 GWh- $16 M'!H58</f>
        <v>-3.5877038184197829</v>
      </c>
      <c r="H30" s="31">
        <f>'Table 3.4-7A -450 GWh $8 M '!H58</f>
        <v>-7.339788698164833</v>
      </c>
      <c r="I30" s="31">
        <f>'Table 3.4-7B -450 GWh $16 M'!H58</f>
        <v>-7.0939863480879097</v>
      </c>
    </row>
    <row r="31" spans="2:9" x14ac:dyDescent="0.25">
      <c r="C31" t="s">
        <v>35</v>
      </c>
      <c r="E31" s="31">
        <f>'Table 3.4-6A -420 GWh $8 M'!H59</f>
        <v>24.655965995580218</v>
      </c>
      <c r="F31" s="25">
        <f>'Table 3.4-6B-420 GWh- $16 M'!H59</f>
        <v>17.267026760320892</v>
      </c>
      <c r="H31" s="31">
        <f>'Table 3.4-7A -450 GWh $8 M '!H59</f>
        <v>23.279026563142864</v>
      </c>
      <c r="I31" s="31">
        <f>'Table 3.4-7B -450 GWh $16 M'!H59</f>
        <v>23.279026563142864</v>
      </c>
    </row>
    <row r="32" spans="2:9" x14ac:dyDescent="0.25">
      <c r="C32" t="s">
        <v>36</v>
      </c>
      <c r="E32" s="31">
        <f>'Table 3.4-6A -420 GWh $8 M'!H60</f>
        <v>6.579779762755801</v>
      </c>
      <c r="F32" s="25">
        <f>'Table 3.4-6B-420 GWh- $16 M'!H60</f>
        <v>6.1740025521146018</v>
      </c>
      <c r="H32" s="31">
        <f>'Table 3.4-7A -450 GWh $8 M '!H60</f>
        <v>8.336549026372257</v>
      </c>
      <c r="I32" s="31">
        <f>'Table 3.4-7B -450 GWh $16 M'!H60</f>
        <v>8.4487320351630082</v>
      </c>
    </row>
    <row r="33" spans="3:9" x14ac:dyDescent="0.25">
      <c r="C33" t="s">
        <v>45</v>
      </c>
      <c r="E33" s="31">
        <f>'Table 3.4-6A -420 GWh $8 M'!H61</f>
        <v>7.999999999999976</v>
      </c>
      <c r="F33" s="25">
        <f>'Table 3.4-6B-420 GWh- $16 M'!H61</f>
        <v>7.1154749045054952</v>
      </c>
      <c r="H33" s="31">
        <f>'Table 3.4-7A -450 GWh $8 M '!H61</f>
        <v>8.0000000000000391</v>
      </c>
      <c r="I33" s="31">
        <f>'Table 3.4-7B -450 GWh $16 M'!H61</f>
        <v>16.000000000000039</v>
      </c>
    </row>
  </sheetData>
  <mergeCells count="5">
    <mergeCell ref="E5:F5"/>
    <mergeCell ref="H5:I5"/>
    <mergeCell ref="E6:F6"/>
    <mergeCell ref="H6:I6"/>
    <mergeCell ref="C2:I3"/>
  </mergeCells>
  <pageMargins left="0.7" right="0.7" top="0.75" bottom="0.75" header="0.3" footer="0.3"/>
  <pageSetup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64"/>
  <sheetViews>
    <sheetView view="pageBreakPreview" zoomScaleNormal="100" zoomScaleSheetLayoutView="100" workbookViewId="0">
      <selection activeCell="B3" sqref="B3"/>
    </sheetView>
  </sheetViews>
  <sheetFormatPr defaultRowHeight="15" x14ac:dyDescent="0.25"/>
  <cols>
    <col min="1" max="1" width="2.140625" customWidth="1"/>
    <col min="2" max="2" width="6.7109375" customWidth="1"/>
    <col min="3" max="3" width="3.7109375" customWidth="1"/>
    <col min="4" max="4" width="11" customWidth="1"/>
    <col min="7" max="7" width="5" customWidth="1"/>
    <col min="9" max="9" width="6.42578125" customWidth="1"/>
    <col min="10" max="10" width="4" customWidth="1"/>
    <col min="13" max="13" width="5" customWidth="1"/>
    <col min="14" max="14" width="7.28515625" customWidth="1"/>
    <col min="15" max="15" width="9" customWidth="1"/>
  </cols>
  <sheetData>
    <row r="1" spans="2:15" x14ac:dyDescent="0.25">
      <c r="D1" s="16" t="s">
        <v>228</v>
      </c>
    </row>
    <row r="3" spans="2:15" x14ac:dyDescent="0.25">
      <c r="B3" s="16" t="s">
        <v>9</v>
      </c>
    </row>
    <row r="4" spans="2:15" x14ac:dyDescent="0.25">
      <c r="C4" s="16" t="s">
        <v>10</v>
      </c>
      <c r="D4" s="16"/>
      <c r="E4" s="17">
        <v>8</v>
      </c>
      <c r="F4" s="16" t="s">
        <v>11</v>
      </c>
      <c r="K4" s="18"/>
    </row>
    <row r="5" spans="2:15" x14ac:dyDescent="0.25">
      <c r="B5" t="s">
        <v>12</v>
      </c>
      <c r="E5" s="19">
        <f>D47</f>
        <v>13.865864175824177</v>
      </c>
      <c r="F5" t="s">
        <v>13</v>
      </c>
      <c r="K5" s="19"/>
    </row>
    <row r="6" spans="2:15" x14ac:dyDescent="0.25">
      <c r="B6" t="s">
        <v>14</v>
      </c>
      <c r="E6" s="20">
        <v>0.14668</v>
      </c>
      <c r="F6" t="s">
        <v>15</v>
      </c>
      <c r="J6" s="21" t="s">
        <v>16</v>
      </c>
      <c r="K6" s="20">
        <f>E6*L6+E7*(1-L6)</f>
        <v>0.15834500000000001</v>
      </c>
      <c r="L6" s="22">
        <v>0.9</v>
      </c>
      <c r="M6" t="s">
        <v>17</v>
      </c>
    </row>
    <row r="7" spans="2:15" x14ac:dyDescent="0.25">
      <c r="B7" t="s">
        <v>18</v>
      </c>
      <c r="E7" s="20">
        <v>0.26333000000000001</v>
      </c>
      <c r="F7" t="s">
        <v>15</v>
      </c>
    </row>
    <row r="8" spans="2:15" x14ac:dyDescent="0.25">
      <c r="E8" s="36" t="s">
        <v>19</v>
      </c>
      <c r="F8" s="37"/>
      <c r="G8" s="37"/>
      <c r="H8" s="37"/>
      <c r="I8" s="38"/>
      <c r="K8" s="36" t="s">
        <v>20</v>
      </c>
      <c r="L8" s="37"/>
      <c r="M8" s="37"/>
      <c r="N8" s="37"/>
      <c r="O8" s="38"/>
    </row>
    <row r="9" spans="2:15" ht="34.9" customHeight="1" x14ac:dyDescent="0.25">
      <c r="E9" s="34" t="s">
        <v>21</v>
      </c>
      <c r="F9" s="34"/>
      <c r="H9" s="34" t="s">
        <v>22</v>
      </c>
      <c r="I9" s="34"/>
      <c r="K9" s="34" t="s">
        <v>21</v>
      </c>
      <c r="L9" s="34"/>
      <c r="N9" s="34" t="s">
        <v>22</v>
      </c>
      <c r="O9" s="34"/>
    </row>
    <row r="10" spans="2:15" ht="29.1" customHeight="1" x14ac:dyDescent="0.25">
      <c r="B10" s="23" t="s">
        <v>2</v>
      </c>
      <c r="D10" s="23" t="s">
        <v>23</v>
      </c>
      <c r="E10" s="23" t="s">
        <v>24</v>
      </c>
      <c r="F10" s="23" t="s">
        <v>25</v>
      </c>
      <c r="H10" s="23" t="s">
        <v>26</v>
      </c>
      <c r="I10" s="24" t="s">
        <v>25</v>
      </c>
      <c r="K10" s="23" t="s">
        <v>24</v>
      </c>
      <c r="L10" s="23" t="s">
        <v>25</v>
      </c>
      <c r="N10" s="23" t="s">
        <v>26</v>
      </c>
      <c r="O10" s="24" t="s">
        <v>25</v>
      </c>
    </row>
    <row r="11" spans="2:15" x14ac:dyDescent="0.25">
      <c r="B11">
        <v>1981</v>
      </c>
      <c r="D11" s="25">
        <v>0.24149999999999999</v>
      </c>
      <c r="E11" s="25">
        <f>($E$5-$D11)*$E$7</f>
        <v>3.5877038184197807</v>
      </c>
      <c r="F11" s="25">
        <f>E11</f>
        <v>3.5877038184197807</v>
      </c>
      <c r="I11" s="25">
        <f>E11</f>
        <v>3.5877038184197807</v>
      </c>
      <c r="K11" s="25">
        <f>($E$5-$D11)*$K$6</f>
        <v>2.1573499454208793</v>
      </c>
      <c r="L11" s="25">
        <f>K11</f>
        <v>2.1573499454208793</v>
      </c>
      <c r="O11" s="25">
        <f>K11</f>
        <v>2.1573499454208793</v>
      </c>
    </row>
    <row r="12" spans="2:15" x14ac:dyDescent="0.25">
      <c r="B12">
        <v>1982</v>
      </c>
      <c r="D12" s="25">
        <v>0.24149999999999999</v>
      </c>
      <c r="E12" s="25">
        <f>($E$5-$D12)*$E$7</f>
        <v>3.5877038184197807</v>
      </c>
      <c r="F12" s="25">
        <f>F11+E12</f>
        <v>7.1754076368395614</v>
      </c>
      <c r="I12" s="25">
        <f>I11+E12+H12</f>
        <v>7.1754076368395614</v>
      </c>
      <c r="K12" s="25">
        <f t="shared" ref="K12:K45" si="0">($E$5-$D12)*$K$6</f>
        <v>2.1573499454208793</v>
      </c>
      <c r="L12" s="25">
        <f>L11+K12</f>
        <v>4.3146998908417586</v>
      </c>
      <c r="O12" s="25">
        <f>O11+K12+N12</f>
        <v>4.3146998908417586</v>
      </c>
    </row>
    <row r="13" spans="2:15" x14ac:dyDescent="0.25">
      <c r="B13">
        <v>1983</v>
      </c>
      <c r="D13" s="25">
        <v>0.24149999999999999</v>
      </c>
      <c r="E13" s="25">
        <f>($E$5-$D13)*$E$7</f>
        <v>3.5877038184197807</v>
      </c>
      <c r="F13" s="25">
        <f t="shared" ref="F13:F45" si="1">F12+E13</f>
        <v>10.763111455259342</v>
      </c>
      <c r="H13" s="18">
        <f>$E$4-F13-SUM(H$11:H12)</f>
        <v>-2.7631114552593417</v>
      </c>
      <c r="I13" s="25">
        <f t="shared" ref="I13:I30" si="2">I12+E13+H13</f>
        <v>8</v>
      </c>
      <c r="K13" s="25">
        <f t="shared" si="0"/>
        <v>2.1573499454208793</v>
      </c>
      <c r="L13" s="25">
        <f t="shared" ref="L13:L45" si="3">L12+K13</f>
        <v>6.472049836262638</v>
      </c>
      <c r="O13" s="25">
        <f t="shared" ref="O13:O25" si="4">O12+K13+N13</f>
        <v>6.472049836262638</v>
      </c>
    </row>
    <row r="14" spans="2:15" x14ac:dyDescent="0.25">
      <c r="B14">
        <v>1984</v>
      </c>
      <c r="D14" s="25">
        <v>0.37799999999999995</v>
      </c>
      <c r="E14" s="25">
        <f>($E$5-$D14)*$E$7</f>
        <v>3.5517592734197807</v>
      </c>
      <c r="F14" s="25">
        <f t="shared" si="1"/>
        <v>14.314870728679121</v>
      </c>
      <c r="H14" s="18">
        <f>$E$4-F14-SUM(H$11:H13)</f>
        <v>-3.5517592734197798</v>
      </c>
      <c r="I14" s="25">
        <f t="shared" si="2"/>
        <v>8</v>
      </c>
      <c r="K14" s="25">
        <f t="shared" si="0"/>
        <v>2.1357358529208796</v>
      </c>
      <c r="L14" s="25">
        <f t="shared" si="3"/>
        <v>8.6077856891835172</v>
      </c>
      <c r="N14" s="18">
        <f>$E$4-L14-SUM(N$11:N13)</f>
        <v>-0.60778568918351716</v>
      </c>
      <c r="O14" s="25">
        <f t="shared" si="4"/>
        <v>8</v>
      </c>
    </row>
    <row r="15" spans="2:15" x14ac:dyDescent="0.25">
      <c r="B15">
        <v>1985</v>
      </c>
      <c r="D15" s="25">
        <v>0.26339999999999997</v>
      </c>
      <c r="E15" s="25">
        <f>($E$5-$D15)*$E$7</f>
        <v>3.5819368914197804</v>
      </c>
      <c r="F15" s="25">
        <f t="shared" si="1"/>
        <v>17.896807620098901</v>
      </c>
      <c r="H15" s="18">
        <f>$E$4-F15-SUM(H$11:H14)</f>
        <v>-3.5819368914197796</v>
      </c>
      <c r="I15" s="25">
        <f>I14+E15+H15</f>
        <v>8</v>
      </c>
      <c r="K15" s="25">
        <f t="shared" si="0"/>
        <v>2.1538821899208793</v>
      </c>
      <c r="L15" s="25">
        <f t="shared" si="3"/>
        <v>10.761667879104397</v>
      </c>
      <c r="N15" s="18">
        <f>$E$4-L15-SUM(N$11:N14)</f>
        <v>-2.1538821899208802</v>
      </c>
      <c r="O15" s="25">
        <f t="shared" si="4"/>
        <v>7.9999999999999982</v>
      </c>
    </row>
    <row r="16" spans="2:15" x14ac:dyDescent="0.25">
      <c r="B16">
        <v>1986</v>
      </c>
      <c r="D16" s="25">
        <v>0.35170000000000001</v>
      </c>
      <c r="E16" s="25">
        <f t="shared" ref="E16:E45" si="5">($E$5-$D16)*$E$7</f>
        <v>3.5586848524197809</v>
      </c>
      <c r="F16" s="25">
        <f t="shared" si="1"/>
        <v>21.455492472518682</v>
      </c>
      <c r="H16" s="18">
        <f>$E$4-F16-SUM(H$11:H15)</f>
        <v>-3.5586848524197805</v>
      </c>
      <c r="I16" s="25">
        <f t="shared" si="2"/>
        <v>8</v>
      </c>
      <c r="K16" s="25">
        <f>($E$5-$D16)*$K$6</f>
        <v>2.1399003264208796</v>
      </c>
      <c r="L16" s="25">
        <f t="shared" si="3"/>
        <v>12.901568205525276</v>
      </c>
      <c r="N16" s="18">
        <f>$E$4-L16-SUM(N$11:N15)</f>
        <v>-2.1399003264208787</v>
      </c>
      <c r="O16" s="25">
        <f t="shared" si="4"/>
        <v>8</v>
      </c>
    </row>
    <row r="17" spans="2:17" x14ac:dyDescent="0.25">
      <c r="B17">
        <v>1987</v>
      </c>
      <c r="D17" s="25">
        <v>0.24149999999999999</v>
      </c>
      <c r="E17" s="25">
        <f t="shared" si="5"/>
        <v>3.5877038184197807</v>
      </c>
      <c r="F17" s="25">
        <f t="shared" si="1"/>
        <v>25.043196290938461</v>
      </c>
      <c r="H17" s="18">
        <f>$E$4-F17-SUM(H$11:H16)</f>
        <v>-3.5877038184197794</v>
      </c>
      <c r="I17" s="25">
        <f t="shared" si="2"/>
        <v>8.0000000000000018</v>
      </c>
      <c r="K17" s="25">
        <f t="shared" si="0"/>
        <v>2.1573499454208793</v>
      </c>
      <c r="L17" s="25">
        <f t="shared" si="3"/>
        <v>15.058918150946155</v>
      </c>
      <c r="N17" s="18">
        <f>$E$4-L17-SUM(N$11:N16)</f>
        <v>-2.1573499454208793</v>
      </c>
      <c r="O17" s="25">
        <f t="shared" si="4"/>
        <v>8</v>
      </c>
    </row>
    <row r="18" spans="2:17" x14ac:dyDescent="0.25">
      <c r="B18">
        <v>1988</v>
      </c>
      <c r="D18" s="25">
        <v>0.24149999999999999</v>
      </c>
      <c r="E18" s="25">
        <f t="shared" si="5"/>
        <v>3.5877038184197807</v>
      </c>
      <c r="F18" s="25">
        <f t="shared" si="1"/>
        <v>28.63090010935824</v>
      </c>
      <c r="H18" s="18">
        <f>$E$4-F18-SUM(H$11:H17)</f>
        <v>-3.5877038184197794</v>
      </c>
      <c r="I18" s="25">
        <f t="shared" si="2"/>
        <v>8.0000000000000036</v>
      </c>
      <c r="K18" s="25">
        <f t="shared" si="0"/>
        <v>2.1573499454208793</v>
      </c>
      <c r="L18" s="25">
        <f t="shared" si="3"/>
        <v>17.216268096367035</v>
      </c>
      <c r="N18" s="18">
        <f>$E$4-L18-SUM(N$11:N17)</f>
        <v>-2.1573499454208793</v>
      </c>
      <c r="O18" s="25">
        <f t="shared" si="4"/>
        <v>8</v>
      </c>
    </row>
    <row r="19" spans="2:17" x14ac:dyDescent="0.25">
      <c r="B19">
        <v>1989</v>
      </c>
      <c r="D19" s="25">
        <v>0.24149999999999999</v>
      </c>
      <c r="E19" s="25">
        <f t="shared" si="5"/>
        <v>3.5877038184197807</v>
      </c>
      <c r="F19" s="25">
        <f t="shared" si="1"/>
        <v>32.21860392777802</v>
      </c>
      <c r="H19" s="18">
        <f>$E$4-F19-SUM(H$11:H18)</f>
        <v>-3.5877038184197794</v>
      </c>
      <c r="I19" s="25">
        <f t="shared" si="2"/>
        <v>8.0000000000000053</v>
      </c>
      <c r="K19" s="25">
        <f t="shared" si="0"/>
        <v>2.1573499454208793</v>
      </c>
      <c r="L19" s="25">
        <f t="shared" si="3"/>
        <v>19.373618041787914</v>
      </c>
      <c r="N19" s="18">
        <f>$E$4-L19-SUM(N$11:N18)</f>
        <v>-2.1573499454208793</v>
      </c>
      <c r="O19" s="25">
        <f t="shared" si="4"/>
        <v>8</v>
      </c>
    </row>
    <row r="20" spans="2:17" x14ac:dyDescent="0.25">
      <c r="B20">
        <v>1990</v>
      </c>
      <c r="D20" s="25">
        <v>0.24149999999999999</v>
      </c>
      <c r="E20" s="25">
        <f t="shared" si="5"/>
        <v>3.5877038184197807</v>
      </c>
      <c r="F20" s="25">
        <f t="shared" si="1"/>
        <v>35.806307746197803</v>
      </c>
      <c r="H20" s="18">
        <f>$E$4-F20-SUM(H$11:H19)</f>
        <v>-3.5877038184197829</v>
      </c>
      <c r="I20" s="25">
        <f t="shared" si="2"/>
        <v>8.0000000000000036</v>
      </c>
      <c r="K20" s="25">
        <f t="shared" si="0"/>
        <v>2.1573499454208793</v>
      </c>
      <c r="L20" s="25">
        <f t="shared" si="3"/>
        <v>21.530967987208793</v>
      </c>
      <c r="N20" s="18">
        <f>$E$4-L20-SUM(N$11:N19)</f>
        <v>-2.1573499454208793</v>
      </c>
      <c r="O20" s="25">
        <f t="shared" si="4"/>
        <v>8</v>
      </c>
    </row>
    <row r="21" spans="2:17" x14ac:dyDescent="0.25">
      <c r="B21">
        <v>1991</v>
      </c>
      <c r="D21" s="25">
        <v>0.24149999999999999</v>
      </c>
      <c r="E21" s="25">
        <f t="shared" si="5"/>
        <v>3.5877038184197807</v>
      </c>
      <c r="F21" s="25">
        <f t="shared" si="1"/>
        <v>39.394011564617585</v>
      </c>
      <c r="H21" s="18">
        <f>$E$4-F21-SUM(H$11:H20)</f>
        <v>-3.5877038184197829</v>
      </c>
      <c r="I21" s="25">
        <f t="shared" si="2"/>
        <v>8.0000000000000018</v>
      </c>
      <c r="K21" s="25">
        <f t="shared" si="0"/>
        <v>2.1573499454208793</v>
      </c>
      <c r="L21" s="25">
        <f t="shared" si="3"/>
        <v>23.688317932629673</v>
      </c>
      <c r="N21" s="18">
        <f>$E$4-L21-SUM(N$11:N20)</f>
        <v>-2.1573499454208793</v>
      </c>
      <c r="O21" s="25">
        <f t="shared" si="4"/>
        <v>8</v>
      </c>
    </row>
    <row r="22" spans="2:17" x14ac:dyDescent="0.25">
      <c r="B22">
        <v>1992</v>
      </c>
      <c r="D22" s="25">
        <v>0.24149999999999999</v>
      </c>
      <c r="E22" s="25">
        <f t="shared" si="5"/>
        <v>3.5877038184197807</v>
      </c>
      <c r="F22" s="25">
        <f t="shared" si="1"/>
        <v>42.981715383037368</v>
      </c>
      <c r="H22" s="18">
        <f>$E$4-F22-SUM(H$11:H21)</f>
        <v>-3.5877038184197829</v>
      </c>
      <c r="I22" s="25">
        <f t="shared" si="2"/>
        <v>8</v>
      </c>
      <c r="K22" s="25">
        <f t="shared" si="0"/>
        <v>2.1573499454208793</v>
      </c>
      <c r="L22" s="25">
        <f t="shared" si="3"/>
        <v>25.845667878050552</v>
      </c>
      <c r="N22" s="18">
        <f>$E$4-L22-SUM(N$11:N21)</f>
        <v>-2.1573499454208793</v>
      </c>
      <c r="O22" s="25">
        <f t="shared" si="4"/>
        <v>8</v>
      </c>
    </row>
    <row r="23" spans="2:17" x14ac:dyDescent="0.25">
      <c r="B23">
        <v>1993</v>
      </c>
      <c r="D23" s="25">
        <v>0.24149999999999999</v>
      </c>
      <c r="E23" s="25">
        <f t="shared" si="5"/>
        <v>3.5877038184197807</v>
      </c>
      <c r="F23" s="25">
        <f t="shared" si="1"/>
        <v>46.569419201457151</v>
      </c>
      <c r="H23" s="18">
        <f>$E$4-F23-SUM(H$11:H22)</f>
        <v>-3.5877038184197829</v>
      </c>
      <c r="I23" s="25">
        <f t="shared" si="2"/>
        <v>7.9999999999999982</v>
      </c>
      <c r="K23" s="25">
        <f t="shared" si="0"/>
        <v>2.1573499454208793</v>
      </c>
      <c r="L23" s="25">
        <f t="shared" si="3"/>
        <v>28.003017823471431</v>
      </c>
      <c r="N23" s="18">
        <f>$E$4-L23-SUM(N$11:N22)</f>
        <v>-2.1573499454208793</v>
      </c>
      <c r="O23" s="25">
        <f t="shared" si="4"/>
        <v>8</v>
      </c>
    </row>
    <row r="24" spans="2:17" x14ac:dyDescent="0.25">
      <c r="B24">
        <v>1994</v>
      </c>
      <c r="D24" s="25">
        <v>0.24149999999999999</v>
      </c>
      <c r="E24" s="25">
        <f>($E$5-$D24)*$E$7</f>
        <v>3.5877038184197807</v>
      </c>
      <c r="F24" s="25">
        <f t="shared" si="1"/>
        <v>50.157123019876934</v>
      </c>
      <c r="H24" s="18">
        <f>$E$4-F24-SUM(H$11:H23)</f>
        <v>-3.5877038184197829</v>
      </c>
      <c r="I24" s="25">
        <f t="shared" si="2"/>
        <v>7.9999999999999964</v>
      </c>
      <c r="K24" s="25">
        <f t="shared" si="0"/>
        <v>2.1573499454208793</v>
      </c>
      <c r="L24" s="25">
        <f t="shared" si="3"/>
        <v>30.160367768892311</v>
      </c>
      <c r="N24" s="18">
        <f>$E$4-L24-SUM(N$11:N23)</f>
        <v>-2.1573499454208793</v>
      </c>
      <c r="O24" s="25">
        <f t="shared" si="4"/>
        <v>8</v>
      </c>
    </row>
    <row r="25" spans="2:17" x14ac:dyDescent="0.25">
      <c r="B25">
        <v>1995</v>
      </c>
      <c r="D25" s="25">
        <v>6.4780999999999995</v>
      </c>
      <c r="E25" s="25">
        <f t="shared" si="5"/>
        <v>1.9454199404197807</v>
      </c>
      <c r="F25" s="25">
        <f t="shared" si="1"/>
        <v>52.102542960296717</v>
      </c>
      <c r="H25" s="18">
        <f>$E$4-F25-SUM(H$11:H24)</f>
        <v>-1.9454199404197823</v>
      </c>
      <c r="I25" s="25">
        <f t="shared" si="2"/>
        <v>7.9999999999999947</v>
      </c>
      <c r="K25" s="25">
        <f t="shared" si="0"/>
        <v>1.1698155184208794</v>
      </c>
      <c r="L25" s="25">
        <f t="shared" si="3"/>
        <v>31.33018328731319</v>
      </c>
      <c r="N25" s="18">
        <f>$E$4-L25-SUM(N$11:N24)</f>
        <v>-1.1698155184208794</v>
      </c>
      <c r="O25" s="25">
        <f t="shared" si="4"/>
        <v>8</v>
      </c>
    </row>
    <row r="26" spans="2:17" x14ac:dyDescent="0.25">
      <c r="B26">
        <v>1996</v>
      </c>
      <c r="D26" s="25">
        <v>50.074200000000005</v>
      </c>
      <c r="E26" s="26">
        <f t="shared" si="5"/>
        <v>-9.5347410725802213</v>
      </c>
      <c r="F26" s="25">
        <f t="shared" si="1"/>
        <v>42.567801887716499</v>
      </c>
      <c r="H26" s="18"/>
      <c r="I26" s="25">
        <f t="shared" si="2"/>
        <v>-1.5347410725802266</v>
      </c>
      <c r="K26" s="25">
        <f t="shared" si="0"/>
        <v>-5.7334089360791216</v>
      </c>
      <c r="L26" s="25">
        <f t="shared" si="3"/>
        <v>25.596774351234068</v>
      </c>
      <c r="N26" s="18"/>
      <c r="O26" s="25">
        <f>O25+K26+N26</f>
        <v>2.2665910639208784</v>
      </c>
    </row>
    <row r="27" spans="2:17" x14ac:dyDescent="0.25">
      <c r="B27">
        <v>1997</v>
      </c>
      <c r="D27" s="25">
        <v>53.823599999999992</v>
      </c>
      <c r="E27" s="26">
        <f t="shared" si="5"/>
        <v>-10.522070574580217</v>
      </c>
      <c r="F27" s="25">
        <f t="shared" si="1"/>
        <v>32.04573131313628</v>
      </c>
      <c r="H27" s="18">
        <f t="shared" ref="H27:H28" si="6">-E$4-I26-E27</f>
        <v>4.0568116471604441</v>
      </c>
      <c r="I27" s="25">
        <f t="shared" si="2"/>
        <v>-8</v>
      </c>
      <c r="K27" s="25">
        <f t="shared" si="0"/>
        <v>-6.3271076790791199</v>
      </c>
      <c r="L27" s="25">
        <f t="shared" si="3"/>
        <v>19.269666672154948</v>
      </c>
      <c r="N27" s="18"/>
      <c r="O27" s="25">
        <f t="shared" ref="O27:O45" si="7">O26+K27+N27</f>
        <v>-4.0605166151582415</v>
      </c>
    </row>
    <row r="28" spans="2:17" x14ac:dyDescent="0.25">
      <c r="B28">
        <v>1998</v>
      </c>
      <c r="D28" s="25">
        <v>31.160699999999999</v>
      </c>
      <c r="E28" s="26">
        <f t="shared" si="5"/>
        <v>-4.5542491175802189</v>
      </c>
      <c r="F28" s="25">
        <f t="shared" si="1"/>
        <v>27.49148219555606</v>
      </c>
      <c r="H28" s="18">
        <f t="shared" si="6"/>
        <v>4.5542491175802189</v>
      </c>
      <c r="I28" s="25">
        <f t="shared" si="2"/>
        <v>-8</v>
      </c>
      <c r="K28" s="25">
        <f t="shared" si="0"/>
        <v>-2.7385507785791203</v>
      </c>
      <c r="L28" s="25">
        <f t="shared" si="3"/>
        <v>16.531115893575826</v>
      </c>
      <c r="N28" s="18"/>
      <c r="O28" s="25">
        <f t="shared" si="7"/>
        <v>-6.7990673937373618</v>
      </c>
    </row>
    <row r="29" spans="2:17" x14ac:dyDescent="0.25">
      <c r="B29">
        <v>1999</v>
      </c>
      <c r="D29" s="25">
        <v>107.49729999999998</v>
      </c>
      <c r="E29" s="26">
        <f t="shared" si="5"/>
        <v>-24.655965995580218</v>
      </c>
      <c r="F29" s="25">
        <f t="shared" si="1"/>
        <v>2.8355161999758423</v>
      </c>
      <c r="H29" s="18">
        <f>-E$4-I28-E29</f>
        <v>24.655965995580218</v>
      </c>
      <c r="I29" s="25">
        <f>I28+E29+H29</f>
        <v>-8</v>
      </c>
      <c r="K29" s="25">
        <f t="shared" si="0"/>
        <v>-14.826069705579119</v>
      </c>
      <c r="L29" s="25">
        <f t="shared" si="3"/>
        <v>1.7050461879967074</v>
      </c>
      <c r="N29" s="18">
        <f>-E$4-O28-K29</f>
        <v>13.625137099316481</v>
      </c>
      <c r="O29" s="25">
        <f t="shared" si="7"/>
        <v>-8.0000000000000018</v>
      </c>
      <c r="Q29" s="25"/>
    </row>
    <row r="30" spans="2:17" x14ac:dyDescent="0.25">
      <c r="B30">
        <v>2000</v>
      </c>
      <c r="D30" s="25">
        <v>58.34046923076923</v>
      </c>
      <c r="E30" s="26">
        <f t="shared" si="5"/>
        <v>-11.711497749118681</v>
      </c>
      <c r="F30" s="25">
        <f t="shared" si="1"/>
        <v>-8.8759815491428391</v>
      </c>
      <c r="H30" s="25">
        <f>-E30</f>
        <v>11.711497749118681</v>
      </c>
      <c r="I30" s="25">
        <f t="shared" si="2"/>
        <v>-8</v>
      </c>
      <c r="K30" s="25">
        <f t="shared" si="0"/>
        <v>-7.0423313374252752</v>
      </c>
      <c r="L30" s="25">
        <f t="shared" si="3"/>
        <v>-5.3372851494285678</v>
      </c>
      <c r="N30" s="25">
        <f>-K30</f>
        <v>7.0423313374252752</v>
      </c>
      <c r="O30" s="25">
        <f t="shared" si="7"/>
        <v>-8.0000000000000036</v>
      </c>
    </row>
    <row r="31" spans="2:17" x14ac:dyDescent="0.25">
      <c r="B31">
        <v>2001</v>
      </c>
      <c r="D31" s="25">
        <v>35.396838461538465</v>
      </c>
      <c r="E31" s="26">
        <f t="shared" si="5"/>
        <v>-5.6697514586571431</v>
      </c>
      <c r="F31" s="25">
        <f t="shared" si="1"/>
        <v>-14.545733007799981</v>
      </c>
      <c r="H31" s="25">
        <f>-E31</f>
        <v>5.6697514586571431</v>
      </c>
      <c r="I31" s="25">
        <f>I30+E31+H31</f>
        <v>-7.9999999999999991</v>
      </c>
      <c r="K31" s="25">
        <f t="shared" si="0"/>
        <v>-3.409322123271429</v>
      </c>
      <c r="L31" s="25">
        <f t="shared" si="3"/>
        <v>-8.7466072726999968</v>
      </c>
      <c r="N31" s="25">
        <f t="shared" ref="N31:N35" si="8">-K31</f>
        <v>3.409322123271429</v>
      </c>
      <c r="O31" s="25">
        <f t="shared" si="7"/>
        <v>-8.0000000000000036</v>
      </c>
    </row>
    <row r="32" spans="2:17" x14ac:dyDescent="0.25">
      <c r="B32">
        <v>2002</v>
      </c>
      <c r="D32" s="25">
        <v>23.979607692307692</v>
      </c>
      <c r="E32" s="26">
        <f t="shared" si="5"/>
        <v>-2.6632520801956039</v>
      </c>
      <c r="F32" s="25">
        <f t="shared" si="1"/>
        <v>-17.208985087995586</v>
      </c>
      <c r="H32" s="18">
        <f>-E$4-I31-E32</f>
        <v>2.663252080195603</v>
      </c>
      <c r="I32" s="25">
        <f t="shared" ref="I32:I45" si="9">I31+E32+H32</f>
        <v>-8</v>
      </c>
      <c r="K32" s="25">
        <f t="shared" si="0"/>
        <v>-1.6014607171175823</v>
      </c>
      <c r="L32" s="25">
        <f t="shared" si="3"/>
        <v>-10.348067989817579</v>
      </c>
      <c r="N32" s="25">
        <f t="shared" si="8"/>
        <v>1.6014607171175823</v>
      </c>
      <c r="O32" s="25">
        <f t="shared" si="7"/>
        <v>-8.0000000000000036</v>
      </c>
    </row>
    <row r="33" spans="2:18" x14ac:dyDescent="0.25">
      <c r="B33">
        <v>2003</v>
      </c>
      <c r="D33" s="25">
        <v>14.192907692307692</v>
      </c>
      <c r="E33" s="26">
        <f t="shared" si="5"/>
        <v>-8.6120369195604077E-2</v>
      </c>
      <c r="F33" s="25">
        <f t="shared" si="1"/>
        <v>-17.295105457191191</v>
      </c>
      <c r="H33" s="18">
        <f>-E$4-I32-E33</f>
        <v>8.6120369195604077E-2</v>
      </c>
      <c r="I33" s="25">
        <f t="shared" si="9"/>
        <v>-8</v>
      </c>
      <c r="K33" s="25">
        <f t="shared" si="0"/>
        <v>-5.178570561758223E-2</v>
      </c>
      <c r="L33" s="25">
        <f t="shared" si="3"/>
        <v>-10.399853695435162</v>
      </c>
      <c r="N33" s="25">
        <f t="shared" si="8"/>
        <v>5.178570561758223E-2</v>
      </c>
      <c r="O33" s="25">
        <f t="shared" si="7"/>
        <v>-8.0000000000000036</v>
      </c>
    </row>
    <row r="34" spans="2:18" x14ac:dyDescent="0.25">
      <c r="B34">
        <v>2004</v>
      </c>
      <c r="D34" s="25">
        <v>33.151576923076931</v>
      </c>
      <c r="E34" s="26">
        <f t="shared" si="5"/>
        <v>-5.0785067377340676</v>
      </c>
      <c r="F34" s="25">
        <f t="shared" si="1"/>
        <v>-22.373612194925258</v>
      </c>
      <c r="H34" s="18">
        <f>-E$4-I33-E34</f>
        <v>5.0785067377340676</v>
      </c>
      <c r="I34" s="25">
        <f t="shared" si="9"/>
        <v>-7.9999999999999991</v>
      </c>
      <c r="K34" s="25">
        <f t="shared" si="0"/>
        <v>-3.0537961849637374</v>
      </c>
      <c r="L34" s="25">
        <f t="shared" si="3"/>
        <v>-13.453649880398899</v>
      </c>
      <c r="N34" s="25">
        <f t="shared" si="8"/>
        <v>3.0537961849637374</v>
      </c>
      <c r="O34" s="25">
        <f t="shared" si="7"/>
        <v>-8.0000000000000036</v>
      </c>
    </row>
    <row r="35" spans="2:18" x14ac:dyDescent="0.25">
      <c r="B35">
        <v>2005</v>
      </c>
      <c r="D35" s="25">
        <v>16.6831</v>
      </c>
      <c r="E35" s="26">
        <f t="shared" si="5"/>
        <v>-0.74186270958021949</v>
      </c>
      <c r="F35" s="25">
        <f t="shared" si="1"/>
        <v>-23.115474904505476</v>
      </c>
      <c r="H35" s="18">
        <f>-E$4-I34-E35</f>
        <v>0.7418627095802186</v>
      </c>
      <c r="I35" s="25">
        <f t="shared" si="9"/>
        <v>-7.9999999999999991</v>
      </c>
      <c r="K35" s="25">
        <f t="shared" si="0"/>
        <v>-0.44609520657912072</v>
      </c>
      <c r="L35" s="25">
        <f t="shared" si="3"/>
        <v>-13.899745086978021</v>
      </c>
      <c r="N35" s="25">
        <f t="shared" si="8"/>
        <v>0.44609520657912072</v>
      </c>
      <c r="O35" s="25">
        <f t="shared" si="7"/>
        <v>-8.0000000000000036</v>
      </c>
      <c r="Q35" s="18"/>
      <c r="R35" s="18"/>
    </row>
    <row r="36" spans="2:18" x14ac:dyDescent="0.25">
      <c r="B36">
        <v>2006</v>
      </c>
      <c r="D36" s="25">
        <v>12.581207692307691</v>
      </c>
      <c r="E36" s="25">
        <f t="shared" si="5"/>
        <v>0.33828859180439613</v>
      </c>
      <c r="F36" s="25">
        <f t="shared" si="1"/>
        <v>-22.77718631270108</v>
      </c>
      <c r="I36" s="25">
        <f t="shared" si="9"/>
        <v>-7.661711408195603</v>
      </c>
      <c r="K36" s="25">
        <f t="shared" si="0"/>
        <v>0.20341893088241791</v>
      </c>
      <c r="L36" s="25">
        <f t="shared" si="3"/>
        <v>-13.696326156095603</v>
      </c>
      <c r="N36" s="18"/>
      <c r="O36" s="25">
        <f t="shared" si="7"/>
        <v>-7.7965810691175861</v>
      </c>
      <c r="Q36" s="18"/>
      <c r="R36" s="18"/>
    </row>
    <row r="37" spans="2:18" x14ac:dyDescent="0.25">
      <c r="B37">
        <v>2007</v>
      </c>
      <c r="D37" s="25">
        <v>13.839961538461537</v>
      </c>
      <c r="E37" s="25">
        <f t="shared" si="5"/>
        <v>6.82094149670384E-3</v>
      </c>
      <c r="F37" s="25">
        <f t="shared" si="1"/>
        <v>-22.770365371204377</v>
      </c>
      <c r="I37" s="25">
        <f t="shared" si="9"/>
        <v>-7.6548904666988991</v>
      </c>
      <c r="K37" s="25">
        <f>($E$5-$D37)*$K$6</f>
        <v>4.1015531131871402E-3</v>
      </c>
      <c r="L37" s="25">
        <f t="shared" si="3"/>
        <v>-13.692224602982416</v>
      </c>
      <c r="N37" s="18"/>
      <c r="O37" s="25">
        <f t="shared" si="7"/>
        <v>-7.7924795160043994</v>
      </c>
    </row>
    <row r="38" spans="2:18" x14ac:dyDescent="0.25">
      <c r="B38">
        <v>2008</v>
      </c>
      <c r="D38" s="25">
        <v>11.397730769230769</v>
      </c>
      <c r="E38" s="25">
        <f t="shared" si="5"/>
        <v>0.64993356995824203</v>
      </c>
      <c r="F38" s="25">
        <f t="shared" si="1"/>
        <v>-22.120431801246134</v>
      </c>
      <c r="I38" s="25">
        <f t="shared" si="9"/>
        <v>-7.0049568967406568</v>
      </c>
      <c r="K38" s="25">
        <f t="shared" si="0"/>
        <v>0.3908165842670332</v>
      </c>
      <c r="L38" s="25">
        <f t="shared" si="3"/>
        <v>-13.301408018715382</v>
      </c>
      <c r="N38" s="18"/>
      <c r="O38" s="25">
        <f t="shared" si="7"/>
        <v>-7.4016629317373663</v>
      </c>
    </row>
    <row r="39" spans="2:18" x14ac:dyDescent="0.25">
      <c r="B39">
        <v>2009</v>
      </c>
      <c r="D39" s="25">
        <v>1.9132923076923078</v>
      </c>
      <c r="E39" s="25">
        <f t="shared" si="5"/>
        <v>3.1474707500351653</v>
      </c>
      <c r="F39" s="25">
        <f t="shared" si="1"/>
        <v>-18.972961051210969</v>
      </c>
      <c r="I39" s="25">
        <f t="shared" si="9"/>
        <v>-3.8574861467054915</v>
      </c>
      <c r="K39" s="25">
        <f t="shared" si="0"/>
        <v>1.892629992459341</v>
      </c>
      <c r="L39" s="25">
        <f t="shared" si="3"/>
        <v>-11.408778026256041</v>
      </c>
      <c r="N39" s="18"/>
      <c r="O39" s="25">
        <f t="shared" si="7"/>
        <v>-5.5090329392780255</v>
      </c>
    </row>
    <row r="40" spans="2:18" x14ac:dyDescent="0.25">
      <c r="B40">
        <v>2010</v>
      </c>
      <c r="D40" s="25">
        <v>5.0805461538461545</v>
      </c>
      <c r="E40" s="25">
        <f t="shared" si="5"/>
        <v>2.3134377947274722</v>
      </c>
      <c r="F40" s="25">
        <f t="shared" si="1"/>
        <v>-16.659523256483496</v>
      </c>
      <c r="I40" s="25">
        <f t="shared" si="9"/>
        <v>-1.5440483519780193</v>
      </c>
      <c r="K40" s="25">
        <f t="shared" si="0"/>
        <v>1.3911111821901099</v>
      </c>
      <c r="L40" s="25">
        <f t="shared" si="3"/>
        <v>-10.01766684406593</v>
      </c>
      <c r="N40" s="18"/>
      <c r="O40" s="25">
        <f t="shared" si="7"/>
        <v>-4.1179217570879159</v>
      </c>
    </row>
    <row r="41" spans="2:18" x14ac:dyDescent="0.25">
      <c r="B41">
        <v>2011</v>
      </c>
      <c r="D41" s="25">
        <v>3.7116615384615388</v>
      </c>
      <c r="E41" s="25">
        <f t="shared" si="5"/>
        <v>2.6739061804967035</v>
      </c>
      <c r="F41" s="25">
        <f t="shared" si="1"/>
        <v>-13.985617075986791</v>
      </c>
      <c r="I41" s="25">
        <f t="shared" si="9"/>
        <v>1.1298578285186842</v>
      </c>
      <c r="K41" s="25">
        <f t="shared" si="0"/>
        <v>1.6078672166131869</v>
      </c>
      <c r="L41" s="25">
        <f t="shared" si="3"/>
        <v>-8.4097996274527436</v>
      </c>
      <c r="N41" s="18"/>
      <c r="O41" s="25">
        <f t="shared" si="7"/>
        <v>-2.5100545404747292</v>
      </c>
    </row>
    <row r="42" spans="2:18" x14ac:dyDescent="0.25">
      <c r="B42">
        <v>2012</v>
      </c>
      <c r="D42" s="25">
        <v>1.6283461538461539</v>
      </c>
      <c r="E42" s="25">
        <f t="shared" si="5"/>
        <v>3.2225056207274729</v>
      </c>
      <c r="F42" s="25">
        <f t="shared" si="1"/>
        <v>-10.763111455259319</v>
      </c>
      <c r="I42" s="25">
        <f t="shared" si="9"/>
        <v>4.3523634492461571</v>
      </c>
      <c r="K42" s="25">
        <f t="shared" si="0"/>
        <v>1.9377497911901103</v>
      </c>
      <c r="L42" s="25">
        <f t="shared" si="3"/>
        <v>-6.4720498362626335</v>
      </c>
      <c r="N42" s="18"/>
      <c r="O42" s="25">
        <f t="shared" si="7"/>
        <v>-0.57230474928461894</v>
      </c>
    </row>
    <row r="43" spans="2:18" x14ac:dyDescent="0.25">
      <c r="B43">
        <v>2013</v>
      </c>
      <c r="D43" s="25">
        <v>0.24149999999999999</v>
      </c>
      <c r="E43" s="25">
        <f t="shared" si="5"/>
        <v>3.5877038184197807</v>
      </c>
      <c r="F43" s="25">
        <f t="shared" si="1"/>
        <v>-7.1754076368395374</v>
      </c>
      <c r="I43" s="25">
        <f t="shared" si="9"/>
        <v>7.9400672676659383</v>
      </c>
      <c r="K43" s="25">
        <f t="shared" si="0"/>
        <v>2.1573499454208793</v>
      </c>
      <c r="L43" s="25">
        <f t="shared" si="3"/>
        <v>-4.3146998908417542</v>
      </c>
      <c r="N43" s="18"/>
      <c r="O43" s="25">
        <f t="shared" si="7"/>
        <v>1.5850451961362604</v>
      </c>
    </row>
    <row r="44" spans="2:18" x14ac:dyDescent="0.25">
      <c r="B44">
        <v>2014</v>
      </c>
      <c r="D44" s="25">
        <v>0.24149999999999999</v>
      </c>
      <c r="E44" s="25">
        <f t="shared" si="5"/>
        <v>3.5877038184197807</v>
      </c>
      <c r="F44" s="25">
        <f t="shared" si="1"/>
        <v>-3.5877038184197567</v>
      </c>
      <c r="H44" s="18">
        <f>$E$4-F44-SUM(H$11:H43)</f>
        <v>-3.5277710860857265</v>
      </c>
      <c r="I44" s="25">
        <f t="shared" si="9"/>
        <v>7.9999999999999929</v>
      </c>
      <c r="K44" s="25">
        <f t="shared" si="0"/>
        <v>2.1573499454208793</v>
      </c>
      <c r="L44" s="25">
        <f t="shared" si="3"/>
        <v>-2.1573499454208749</v>
      </c>
      <c r="N44" s="18"/>
      <c r="O44" s="25">
        <f t="shared" si="7"/>
        <v>3.7423951415571395</v>
      </c>
      <c r="Q44" s="25"/>
    </row>
    <row r="45" spans="2:18" x14ac:dyDescent="0.25">
      <c r="B45">
        <v>2015</v>
      </c>
      <c r="D45" s="25">
        <v>0.24149999999999999</v>
      </c>
      <c r="E45" s="25">
        <f t="shared" si="5"/>
        <v>3.5877038184197807</v>
      </c>
      <c r="F45" s="25">
        <f t="shared" si="1"/>
        <v>2.3980817331903381E-14</v>
      </c>
      <c r="H45" s="18">
        <f>$E$4-F45-SUM(H$11:H44)</f>
        <v>-3.5877038184197803</v>
      </c>
      <c r="I45" s="25">
        <f t="shared" si="9"/>
        <v>7.9999999999999938</v>
      </c>
      <c r="K45" s="25">
        <f t="shared" si="0"/>
        <v>2.1573499454208793</v>
      </c>
      <c r="L45" s="25">
        <f t="shared" si="3"/>
        <v>4.4408920985006262E-15</v>
      </c>
      <c r="N45" s="18"/>
      <c r="O45" s="25">
        <f t="shared" si="7"/>
        <v>5.8997450869780188</v>
      </c>
    </row>
    <row r="46" spans="2:18" ht="9" customHeight="1" x14ac:dyDescent="0.25">
      <c r="D46" s="25"/>
    </row>
    <row r="47" spans="2:18" x14ac:dyDescent="0.25">
      <c r="B47" t="s">
        <v>232</v>
      </c>
      <c r="D47" s="27">
        <f>AVERAGE(D11:D45)</f>
        <v>13.865864175824177</v>
      </c>
      <c r="K47" s="27"/>
    </row>
    <row r="48" spans="2:18" x14ac:dyDescent="0.25">
      <c r="D48" s="25"/>
      <c r="G48" t="s">
        <v>27</v>
      </c>
      <c r="H48" s="25">
        <f>SUM(H11:H45)</f>
        <v>7.999999999999976</v>
      </c>
      <c r="M48" t="s">
        <v>27</v>
      </c>
      <c r="N48" s="25">
        <f>SUM(N11:N45)</f>
        <v>5.8997450869780179</v>
      </c>
    </row>
    <row r="49" spans="2:14" x14ac:dyDescent="0.25">
      <c r="D49" s="25"/>
    </row>
    <row r="50" spans="2:14" x14ac:dyDescent="0.25">
      <c r="D50" s="25"/>
    </row>
    <row r="51" spans="2:14" x14ac:dyDescent="0.25">
      <c r="B51" s="16" t="s">
        <v>28</v>
      </c>
    </row>
    <row r="52" spans="2:14" x14ac:dyDescent="0.25">
      <c r="C52" t="s">
        <v>29</v>
      </c>
      <c r="H52">
        <f>COUNTBLANK(H11:H45)</f>
        <v>11</v>
      </c>
      <c r="N52">
        <f>COUNTBLANK(N11:N45)</f>
        <v>16</v>
      </c>
    </row>
    <row r="53" spans="2:14" x14ac:dyDescent="0.25">
      <c r="C53" t="s">
        <v>30</v>
      </c>
      <c r="H53">
        <f>COUNTIF(H11:H45,"&lt;0")</f>
        <v>15</v>
      </c>
      <c r="N53">
        <f>COUNTIF(N11:N45,"&lt;0")</f>
        <v>12</v>
      </c>
    </row>
    <row r="54" spans="2:14" x14ac:dyDescent="0.25">
      <c r="C54" t="s">
        <v>31</v>
      </c>
      <c r="H54">
        <f>COUNTIF(H11:H45,H58)</f>
        <v>9</v>
      </c>
      <c r="N54">
        <f>COUNTIF(N11:N45,N58)</f>
        <v>8</v>
      </c>
    </row>
    <row r="55" spans="2:14" x14ac:dyDescent="0.25">
      <c r="C55" t="s">
        <v>32</v>
      </c>
      <c r="H55">
        <f>COUNTIF(H11:H45,"&gt;0")</f>
        <v>9</v>
      </c>
      <c r="N55">
        <f>COUNTIF(N11:N45,"&gt;0")</f>
        <v>7</v>
      </c>
    </row>
    <row r="57" spans="2:14" x14ac:dyDescent="0.25">
      <c r="B57" s="16" t="s">
        <v>33</v>
      </c>
    </row>
    <row r="58" spans="2:14" x14ac:dyDescent="0.25">
      <c r="C58" t="s">
        <v>34</v>
      </c>
      <c r="H58" s="28">
        <f>MIN(H11:H45)</f>
        <v>-3.5877038184197829</v>
      </c>
      <c r="N58" s="28">
        <f>MIN(N11:N45)</f>
        <v>-2.1573499454208793</v>
      </c>
    </row>
    <row r="59" spans="2:14" x14ac:dyDescent="0.25">
      <c r="C59" t="s">
        <v>35</v>
      </c>
      <c r="H59" s="28">
        <f>MAX(H11:H45)</f>
        <v>24.655965995580218</v>
      </c>
      <c r="N59" s="28">
        <f>MAX(N11:N45)</f>
        <v>13.625137099316481</v>
      </c>
    </row>
    <row r="60" spans="2:14" x14ac:dyDescent="0.25">
      <c r="C60" t="s">
        <v>36</v>
      </c>
      <c r="H60" s="28">
        <f>H64/H55</f>
        <v>6.579779762755801</v>
      </c>
      <c r="N60" s="28">
        <f>N64/N55</f>
        <v>4.1757040534701728</v>
      </c>
    </row>
    <row r="61" spans="2:14" x14ac:dyDescent="0.25">
      <c r="C61" t="s">
        <v>37</v>
      </c>
      <c r="H61" s="25">
        <f>H48</f>
        <v>7.999999999999976</v>
      </c>
      <c r="N61" s="25">
        <f>N48</f>
        <v>5.8997450869780179</v>
      </c>
    </row>
    <row r="64" spans="2:14" x14ac:dyDescent="0.25">
      <c r="B64" s="16" t="s">
        <v>38</v>
      </c>
      <c r="H64">
        <f>SUMIF(H11:H45,"&gt;0")</f>
        <v>59.218017864802206</v>
      </c>
      <c r="N64">
        <f>SUMIF(N11:N45,"&gt;0")</f>
        <v>29.229928374291209</v>
      </c>
    </row>
  </sheetData>
  <mergeCells count="6">
    <mergeCell ref="E8:I8"/>
    <mergeCell ref="K8:O8"/>
    <mergeCell ref="E9:F9"/>
    <mergeCell ref="H9:I9"/>
    <mergeCell ref="K9:L9"/>
    <mergeCell ref="N9:O9"/>
  </mergeCells>
  <pageMargins left="0.7" right="0.7" top="0.75" bottom="0.75" header="0.3" footer="0.3"/>
  <pageSetup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64"/>
  <sheetViews>
    <sheetView view="pageBreakPreview" zoomScaleNormal="100" zoomScaleSheetLayoutView="100" workbookViewId="0">
      <selection activeCell="B3" sqref="B3"/>
    </sheetView>
  </sheetViews>
  <sheetFormatPr defaultRowHeight="15" x14ac:dyDescent="0.25"/>
  <cols>
    <col min="1" max="1" width="2.140625" customWidth="1"/>
    <col min="2" max="2" width="6.7109375" customWidth="1"/>
    <col min="3" max="3" width="4.7109375" customWidth="1"/>
    <col min="4" max="4" width="10.42578125" customWidth="1"/>
    <col min="7" max="7" width="3.42578125" customWidth="1"/>
    <col min="9" max="9" width="6.42578125" customWidth="1"/>
    <col min="10" max="10" width="4" customWidth="1"/>
    <col min="13" max="13" width="4" customWidth="1"/>
    <col min="14" max="14" width="7.28515625" customWidth="1"/>
    <col min="15" max="15" width="9" customWidth="1"/>
  </cols>
  <sheetData>
    <row r="1" spans="2:15" x14ac:dyDescent="0.25">
      <c r="D1" s="16" t="s">
        <v>229</v>
      </c>
    </row>
    <row r="2" spans="2:15" x14ac:dyDescent="0.25">
      <c r="D2" s="16"/>
    </row>
    <row r="3" spans="2:15" x14ac:dyDescent="0.25">
      <c r="B3" s="16" t="s">
        <v>9</v>
      </c>
    </row>
    <row r="4" spans="2:15" x14ac:dyDescent="0.25">
      <c r="C4" s="16" t="s">
        <v>10</v>
      </c>
      <c r="D4" s="16"/>
      <c r="E4" s="17">
        <v>16</v>
      </c>
      <c r="F4" s="16" t="s">
        <v>11</v>
      </c>
      <c r="K4" s="18"/>
    </row>
    <row r="5" spans="2:15" x14ac:dyDescent="0.25">
      <c r="B5" t="s">
        <v>12</v>
      </c>
      <c r="E5" s="19">
        <f>D47</f>
        <v>13.865864175824177</v>
      </c>
      <c r="F5" t="s">
        <v>13</v>
      </c>
      <c r="K5" s="19"/>
    </row>
    <row r="6" spans="2:15" x14ac:dyDescent="0.25">
      <c r="B6" t="s">
        <v>14</v>
      </c>
      <c r="E6" s="20">
        <v>0.14668</v>
      </c>
      <c r="F6" t="s">
        <v>15</v>
      </c>
      <c r="J6" s="21" t="s">
        <v>16</v>
      </c>
      <c r="K6" s="20">
        <f>E6*L6+E7*(1-L6)</f>
        <v>0.15834500000000001</v>
      </c>
      <c r="L6" s="22">
        <v>0.9</v>
      </c>
      <c r="M6" t="s">
        <v>17</v>
      </c>
    </row>
    <row r="7" spans="2:15" x14ac:dyDescent="0.25">
      <c r="B7" t="s">
        <v>18</v>
      </c>
      <c r="E7" s="20">
        <v>0.26333000000000001</v>
      </c>
      <c r="F7" t="s">
        <v>15</v>
      </c>
    </row>
    <row r="8" spans="2:15" x14ac:dyDescent="0.25">
      <c r="E8" s="36" t="s">
        <v>19</v>
      </c>
      <c r="F8" s="37"/>
      <c r="G8" s="37"/>
      <c r="H8" s="37"/>
      <c r="I8" s="38"/>
      <c r="K8" s="36" t="s">
        <v>20</v>
      </c>
      <c r="L8" s="37"/>
      <c r="M8" s="37"/>
      <c r="N8" s="37"/>
      <c r="O8" s="38"/>
    </row>
    <row r="9" spans="2:15" ht="34.9" customHeight="1" x14ac:dyDescent="0.25">
      <c r="E9" s="34" t="s">
        <v>21</v>
      </c>
      <c r="F9" s="34"/>
      <c r="H9" s="34" t="s">
        <v>22</v>
      </c>
      <c r="I9" s="34"/>
      <c r="K9" s="34" t="s">
        <v>21</v>
      </c>
      <c r="L9" s="34"/>
      <c r="N9" s="34" t="s">
        <v>22</v>
      </c>
      <c r="O9" s="34"/>
    </row>
    <row r="10" spans="2:15" ht="29.1" customHeight="1" x14ac:dyDescent="0.25">
      <c r="B10" s="23" t="s">
        <v>2</v>
      </c>
      <c r="D10" s="23" t="s">
        <v>23</v>
      </c>
      <c r="E10" s="23" t="s">
        <v>24</v>
      </c>
      <c r="F10" s="23" t="s">
        <v>25</v>
      </c>
      <c r="H10" s="23" t="s">
        <v>26</v>
      </c>
      <c r="I10" s="24" t="s">
        <v>25</v>
      </c>
      <c r="K10" s="23" t="s">
        <v>24</v>
      </c>
      <c r="L10" s="23" t="s">
        <v>25</v>
      </c>
      <c r="N10" s="23" t="s">
        <v>26</v>
      </c>
      <c r="O10" s="24" t="s">
        <v>25</v>
      </c>
    </row>
    <row r="11" spans="2:15" x14ac:dyDescent="0.25">
      <c r="B11">
        <v>1981</v>
      </c>
      <c r="D11" s="25">
        <v>0.24149999999999999</v>
      </c>
      <c r="E11" s="25">
        <f>($E$5-$D11)*$E$7</f>
        <v>3.5877038184197807</v>
      </c>
      <c r="F11" s="25">
        <f>E11</f>
        <v>3.5877038184197807</v>
      </c>
      <c r="I11" s="25">
        <f>E11</f>
        <v>3.5877038184197807</v>
      </c>
      <c r="K11" s="25">
        <f>($E$5-$D11)*$K$6</f>
        <v>2.1573499454208793</v>
      </c>
      <c r="L11" s="25">
        <f>K11</f>
        <v>2.1573499454208793</v>
      </c>
      <c r="O11" s="25">
        <f>K11</f>
        <v>2.1573499454208793</v>
      </c>
    </row>
    <row r="12" spans="2:15" x14ac:dyDescent="0.25">
      <c r="B12">
        <v>1982</v>
      </c>
      <c r="D12" s="25">
        <v>0.24149999999999999</v>
      </c>
      <c r="E12" s="25">
        <f>($E$5-$D12)*$E$7</f>
        <v>3.5877038184197807</v>
      </c>
      <c r="F12" s="25">
        <f>F11+E12</f>
        <v>7.1754076368395614</v>
      </c>
      <c r="I12" s="25">
        <f>I11+E12+H12</f>
        <v>7.1754076368395614</v>
      </c>
      <c r="K12" s="25">
        <f t="shared" ref="K12:K45" si="0">($E$5-$D12)*$K$6</f>
        <v>2.1573499454208793</v>
      </c>
      <c r="L12" s="25">
        <f>L11+K12</f>
        <v>4.3146998908417586</v>
      </c>
      <c r="O12" s="25">
        <f>O11+K12+N12</f>
        <v>4.3146998908417586</v>
      </c>
    </row>
    <row r="13" spans="2:15" x14ac:dyDescent="0.25">
      <c r="B13">
        <v>1983</v>
      </c>
      <c r="D13" s="25">
        <v>0.24149999999999999</v>
      </c>
      <c r="E13" s="25">
        <f>($E$5-$D13)*$E$7</f>
        <v>3.5877038184197807</v>
      </c>
      <c r="F13" s="25">
        <f t="shared" ref="F13:F45" si="1">F12+E13</f>
        <v>10.763111455259342</v>
      </c>
      <c r="I13" s="25">
        <f t="shared" ref="I13:I30" si="2">I12+E13+H13</f>
        <v>10.763111455259342</v>
      </c>
      <c r="K13" s="25">
        <f t="shared" si="0"/>
        <v>2.1573499454208793</v>
      </c>
      <c r="L13" s="25">
        <f t="shared" ref="L13:L45" si="3">L12+K13</f>
        <v>6.472049836262638</v>
      </c>
      <c r="O13" s="25">
        <f t="shared" ref="O13:O25" si="4">O12+K13+N13</f>
        <v>6.472049836262638</v>
      </c>
    </row>
    <row r="14" spans="2:15" x14ac:dyDescent="0.25">
      <c r="B14">
        <v>1984</v>
      </c>
      <c r="D14" s="25">
        <v>0.37799999999999995</v>
      </c>
      <c r="E14" s="25">
        <f>($E$5-$D14)*$E$7</f>
        <v>3.5517592734197807</v>
      </c>
      <c r="F14" s="25">
        <f t="shared" si="1"/>
        <v>14.314870728679121</v>
      </c>
      <c r="I14" s="25">
        <f t="shared" si="2"/>
        <v>14.314870728679121</v>
      </c>
      <c r="K14" s="25">
        <f t="shared" si="0"/>
        <v>2.1357358529208796</v>
      </c>
      <c r="L14" s="25">
        <f t="shared" si="3"/>
        <v>8.6077856891835172</v>
      </c>
      <c r="O14" s="25">
        <f t="shared" si="4"/>
        <v>8.6077856891835172</v>
      </c>
    </row>
    <row r="15" spans="2:15" x14ac:dyDescent="0.25">
      <c r="B15">
        <v>1985</v>
      </c>
      <c r="D15" s="25">
        <v>0.26339999999999997</v>
      </c>
      <c r="E15" s="25">
        <f>($E$5-$D15)*$E$7</f>
        <v>3.5819368914197804</v>
      </c>
      <c r="F15" s="25">
        <f t="shared" si="1"/>
        <v>17.896807620098901</v>
      </c>
      <c r="H15" s="18">
        <f>$E$4-F15-SUM(H$11:H14)</f>
        <v>-1.896807620098901</v>
      </c>
      <c r="I15" s="25">
        <f>I14+E15+H15</f>
        <v>16</v>
      </c>
      <c r="K15" s="25">
        <f t="shared" si="0"/>
        <v>2.1538821899208793</v>
      </c>
      <c r="L15" s="25">
        <f t="shared" si="3"/>
        <v>10.761667879104397</v>
      </c>
      <c r="O15" s="25">
        <f t="shared" si="4"/>
        <v>10.761667879104397</v>
      </c>
    </row>
    <row r="16" spans="2:15" x14ac:dyDescent="0.25">
      <c r="B16">
        <v>1986</v>
      </c>
      <c r="D16" s="25">
        <v>0.35170000000000001</v>
      </c>
      <c r="E16" s="25">
        <f t="shared" ref="E16:E45" si="5">($E$5-$D16)*$E$7</f>
        <v>3.5586848524197809</v>
      </c>
      <c r="F16" s="25">
        <f t="shared" si="1"/>
        <v>21.455492472518682</v>
      </c>
      <c r="H16" s="18">
        <f>$E$4-F16-SUM(H$11:H15)</f>
        <v>-3.5586848524197805</v>
      </c>
      <c r="I16" s="25">
        <f t="shared" si="2"/>
        <v>16</v>
      </c>
      <c r="K16" s="25">
        <f>($E$5-$D16)*$K$6</f>
        <v>2.1399003264208796</v>
      </c>
      <c r="L16" s="25">
        <f t="shared" si="3"/>
        <v>12.901568205525276</v>
      </c>
      <c r="O16" s="25">
        <f t="shared" si="4"/>
        <v>12.901568205525276</v>
      </c>
    </row>
    <row r="17" spans="2:17" x14ac:dyDescent="0.25">
      <c r="B17">
        <v>1987</v>
      </c>
      <c r="D17" s="25">
        <v>0.24149999999999999</v>
      </c>
      <c r="E17" s="25">
        <f t="shared" si="5"/>
        <v>3.5877038184197807</v>
      </c>
      <c r="F17" s="25">
        <f t="shared" si="1"/>
        <v>25.043196290938461</v>
      </c>
      <c r="H17" s="18">
        <f>$E$4-F17-SUM(H$11:H16)</f>
        <v>-3.5877038184197794</v>
      </c>
      <c r="I17" s="25">
        <f t="shared" si="2"/>
        <v>16</v>
      </c>
      <c r="K17" s="25">
        <f t="shared" si="0"/>
        <v>2.1573499454208793</v>
      </c>
      <c r="L17" s="25">
        <f t="shared" si="3"/>
        <v>15.058918150946155</v>
      </c>
      <c r="O17" s="25">
        <f t="shared" si="4"/>
        <v>15.058918150946155</v>
      </c>
    </row>
    <row r="18" spans="2:17" x14ac:dyDescent="0.25">
      <c r="B18">
        <v>1988</v>
      </c>
      <c r="D18" s="25">
        <v>0.24149999999999999</v>
      </c>
      <c r="E18" s="25">
        <f t="shared" si="5"/>
        <v>3.5877038184197807</v>
      </c>
      <c r="F18" s="25">
        <f t="shared" si="1"/>
        <v>28.63090010935824</v>
      </c>
      <c r="H18" s="18">
        <f>$E$4-F18-SUM(H$11:H17)</f>
        <v>-3.5877038184197794</v>
      </c>
      <c r="I18" s="25">
        <f t="shared" si="2"/>
        <v>16</v>
      </c>
      <c r="K18" s="25">
        <f t="shared" si="0"/>
        <v>2.1573499454208793</v>
      </c>
      <c r="L18" s="25">
        <f t="shared" si="3"/>
        <v>17.216268096367035</v>
      </c>
      <c r="N18" s="18">
        <f>$E$4-L18-SUM(N$11:N17)</f>
        <v>-1.2162680963670347</v>
      </c>
      <c r="O18" s="25">
        <f t="shared" si="4"/>
        <v>16</v>
      </c>
    </row>
    <row r="19" spans="2:17" x14ac:dyDescent="0.25">
      <c r="B19">
        <v>1989</v>
      </c>
      <c r="D19" s="25">
        <v>0.24149999999999999</v>
      </c>
      <c r="E19" s="25">
        <f t="shared" si="5"/>
        <v>3.5877038184197807</v>
      </c>
      <c r="F19" s="25">
        <f t="shared" si="1"/>
        <v>32.21860392777802</v>
      </c>
      <c r="H19" s="18">
        <f>$E$4-F19-SUM(H$11:H18)</f>
        <v>-3.5877038184197794</v>
      </c>
      <c r="I19" s="25">
        <f t="shared" si="2"/>
        <v>16</v>
      </c>
      <c r="K19" s="25">
        <f t="shared" si="0"/>
        <v>2.1573499454208793</v>
      </c>
      <c r="L19" s="25">
        <f t="shared" si="3"/>
        <v>19.373618041787914</v>
      </c>
      <c r="N19" s="18">
        <f>$E$4-L19-SUM(N$11:N18)</f>
        <v>-2.1573499454208793</v>
      </c>
      <c r="O19" s="25">
        <f t="shared" si="4"/>
        <v>16</v>
      </c>
    </row>
    <row r="20" spans="2:17" x14ac:dyDescent="0.25">
      <c r="B20">
        <v>1990</v>
      </c>
      <c r="D20" s="25">
        <v>0.24149999999999999</v>
      </c>
      <c r="E20" s="25">
        <f t="shared" si="5"/>
        <v>3.5877038184197807</v>
      </c>
      <c r="F20" s="25">
        <f t="shared" si="1"/>
        <v>35.806307746197803</v>
      </c>
      <c r="H20" s="18">
        <f>$E$4-F20-SUM(H$11:H19)</f>
        <v>-3.5877038184197829</v>
      </c>
      <c r="I20" s="25">
        <f t="shared" si="2"/>
        <v>15.999999999999996</v>
      </c>
      <c r="K20" s="25">
        <f t="shared" si="0"/>
        <v>2.1573499454208793</v>
      </c>
      <c r="L20" s="25">
        <f t="shared" si="3"/>
        <v>21.530967987208793</v>
      </c>
      <c r="N20" s="18">
        <f>$E$4-L20-SUM(N$11:N19)</f>
        <v>-2.1573499454208793</v>
      </c>
      <c r="O20" s="25">
        <f t="shared" si="4"/>
        <v>16</v>
      </c>
    </row>
    <row r="21" spans="2:17" x14ac:dyDescent="0.25">
      <c r="B21">
        <v>1991</v>
      </c>
      <c r="D21" s="25">
        <v>0.24149999999999999</v>
      </c>
      <c r="E21" s="25">
        <f t="shared" si="5"/>
        <v>3.5877038184197807</v>
      </c>
      <c r="F21" s="25">
        <f t="shared" si="1"/>
        <v>39.394011564617585</v>
      </c>
      <c r="H21" s="18">
        <f>$E$4-F21-SUM(H$11:H20)</f>
        <v>-3.5877038184197829</v>
      </c>
      <c r="I21" s="25">
        <f t="shared" si="2"/>
        <v>15.999999999999993</v>
      </c>
      <c r="K21" s="25">
        <f t="shared" si="0"/>
        <v>2.1573499454208793</v>
      </c>
      <c r="L21" s="25">
        <f t="shared" si="3"/>
        <v>23.688317932629673</v>
      </c>
      <c r="N21" s="18">
        <f>$E$4-L21-SUM(N$11:N20)</f>
        <v>-2.1573499454208793</v>
      </c>
      <c r="O21" s="25">
        <f t="shared" si="4"/>
        <v>16</v>
      </c>
    </row>
    <row r="22" spans="2:17" x14ac:dyDescent="0.25">
      <c r="B22">
        <v>1992</v>
      </c>
      <c r="D22" s="25">
        <v>0.24149999999999999</v>
      </c>
      <c r="E22" s="25">
        <f t="shared" si="5"/>
        <v>3.5877038184197807</v>
      </c>
      <c r="F22" s="25">
        <f t="shared" si="1"/>
        <v>42.981715383037368</v>
      </c>
      <c r="H22" s="18">
        <f>$E$4-F22-SUM(H$11:H21)</f>
        <v>-3.5877038184197829</v>
      </c>
      <c r="I22" s="25">
        <f t="shared" si="2"/>
        <v>15.999999999999989</v>
      </c>
      <c r="K22" s="25">
        <f t="shared" si="0"/>
        <v>2.1573499454208793</v>
      </c>
      <c r="L22" s="25">
        <f t="shared" si="3"/>
        <v>25.845667878050552</v>
      </c>
      <c r="N22" s="18">
        <f>$E$4-L22-SUM(N$11:N21)</f>
        <v>-2.1573499454208793</v>
      </c>
      <c r="O22" s="25">
        <f t="shared" si="4"/>
        <v>16</v>
      </c>
    </row>
    <row r="23" spans="2:17" x14ac:dyDescent="0.25">
      <c r="B23">
        <v>1993</v>
      </c>
      <c r="D23" s="25">
        <v>0.24149999999999999</v>
      </c>
      <c r="E23" s="25">
        <f t="shared" si="5"/>
        <v>3.5877038184197807</v>
      </c>
      <c r="F23" s="25">
        <f t="shared" si="1"/>
        <v>46.569419201457151</v>
      </c>
      <c r="H23" s="18">
        <f>$E$4-F23-SUM(H$11:H22)</f>
        <v>-3.5877038184197829</v>
      </c>
      <c r="I23" s="25">
        <f t="shared" si="2"/>
        <v>15.999999999999986</v>
      </c>
      <c r="K23" s="25">
        <f t="shared" si="0"/>
        <v>2.1573499454208793</v>
      </c>
      <c r="L23" s="25">
        <f t="shared" si="3"/>
        <v>28.003017823471431</v>
      </c>
      <c r="N23" s="18">
        <f>$E$4-L23-SUM(N$11:N22)</f>
        <v>-2.1573499454208793</v>
      </c>
      <c r="O23" s="25">
        <f t="shared" si="4"/>
        <v>16</v>
      </c>
    </row>
    <row r="24" spans="2:17" x14ac:dyDescent="0.25">
      <c r="B24">
        <v>1994</v>
      </c>
      <c r="D24" s="25">
        <v>0.24149999999999999</v>
      </c>
      <c r="E24" s="25">
        <f>($E$5-$D24)*$E$7</f>
        <v>3.5877038184197807</v>
      </c>
      <c r="F24" s="25">
        <f t="shared" si="1"/>
        <v>50.157123019876934</v>
      </c>
      <c r="H24" s="18">
        <f>$E$4-F24-SUM(H$11:H23)</f>
        <v>-3.5877038184197829</v>
      </c>
      <c r="I24" s="25">
        <f t="shared" si="2"/>
        <v>15.999999999999982</v>
      </c>
      <c r="K24" s="25">
        <f t="shared" si="0"/>
        <v>2.1573499454208793</v>
      </c>
      <c r="L24" s="25">
        <f t="shared" si="3"/>
        <v>30.160367768892311</v>
      </c>
      <c r="N24" s="18">
        <f>$E$4-L24-SUM(N$11:N23)</f>
        <v>-2.1573499454208793</v>
      </c>
      <c r="O24" s="25">
        <f t="shared" si="4"/>
        <v>16</v>
      </c>
    </row>
    <row r="25" spans="2:17" x14ac:dyDescent="0.25">
      <c r="B25">
        <v>1995</v>
      </c>
      <c r="D25" s="25">
        <v>6.4780999999999995</v>
      </c>
      <c r="E25" s="25">
        <f t="shared" si="5"/>
        <v>1.9454199404197807</v>
      </c>
      <c r="F25" s="25">
        <f t="shared" si="1"/>
        <v>52.102542960296717</v>
      </c>
      <c r="H25" s="18">
        <f>$E$4-F25-SUM(H$11:H24)</f>
        <v>-1.9454199404197823</v>
      </c>
      <c r="I25" s="25">
        <f t="shared" si="2"/>
        <v>15.999999999999982</v>
      </c>
      <c r="K25" s="25">
        <f t="shared" si="0"/>
        <v>1.1698155184208794</v>
      </c>
      <c r="L25" s="25">
        <f t="shared" si="3"/>
        <v>31.33018328731319</v>
      </c>
      <c r="N25" s="18">
        <f>$E$4-L25-SUM(N$11:N24)</f>
        <v>-1.1698155184208794</v>
      </c>
      <c r="O25" s="25">
        <f t="shared" si="4"/>
        <v>16</v>
      </c>
    </row>
    <row r="26" spans="2:17" x14ac:dyDescent="0.25">
      <c r="B26">
        <v>1996</v>
      </c>
      <c r="D26" s="25">
        <v>50.074200000000005</v>
      </c>
      <c r="E26" s="26">
        <f t="shared" si="5"/>
        <v>-9.5347410725802213</v>
      </c>
      <c r="F26" s="25">
        <f t="shared" si="1"/>
        <v>42.567801887716499</v>
      </c>
      <c r="I26" s="25">
        <f t="shared" si="2"/>
        <v>6.4652589274197609</v>
      </c>
      <c r="K26" s="25">
        <f t="shared" si="0"/>
        <v>-5.7334089360791216</v>
      </c>
      <c r="L26" s="25">
        <f t="shared" si="3"/>
        <v>25.596774351234068</v>
      </c>
      <c r="O26" s="25">
        <f>O25+K26+N26</f>
        <v>10.266591063920878</v>
      </c>
    </row>
    <row r="27" spans="2:17" x14ac:dyDescent="0.25">
      <c r="B27">
        <v>1997</v>
      </c>
      <c r="D27" s="25">
        <v>53.823599999999992</v>
      </c>
      <c r="E27" s="26">
        <f t="shared" si="5"/>
        <v>-10.522070574580217</v>
      </c>
      <c r="F27" s="25">
        <f t="shared" si="1"/>
        <v>32.04573131313628</v>
      </c>
      <c r="I27" s="25">
        <f t="shared" si="2"/>
        <v>-4.0568116471604565</v>
      </c>
      <c r="K27" s="25">
        <f t="shared" si="0"/>
        <v>-6.3271076790791199</v>
      </c>
      <c r="L27" s="25">
        <f t="shared" si="3"/>
        <v>19.269666672154948</v>
      </c>
      <c r="O27" s="25">
        <f t="shared" ref="O27:O45" si="6">O26+K27+N27</f>
        <v>3.9394833848417576</v>
      </c>
    </row>
    <row r="28" spans="2:17" x14ac:dyDescent="0.25">
      <c r="B28">
        <v>1998</v>
      </c>
      <c r="D28" s="25">
        <v>31.160699999999999</v>
      </c>
      <c r="E28" s="26">
        <f t="shared" si="5"/>
        <v>-4.5542491175802189</v>
      </c>
      <c r="F28" s="25">
        <f t="shared" si="1"/>
        <v>27.49148219555606</v>
      </c>
      <c r="I28" s="25">
        <f t="shared" si="2"/>
        <v>-8.6110607647406745</v>
      </c>
      <c r="K28" s="25">
        <f t="shared" si="0"/>
        <v>-2.7385507785791203</v>
      </c>
      <c r="L28" s="25">
        <f t="shared" si="3"/>
        <v>16.531115893575826</v>
      </c>
      <c r="O28" s="25">
        <f t="shared" si="6"/>
        <v>1.2009326062626373</v>
      </c>
    </row>
    <row r="29" spans="2:17" x14ac:dyDescent="0.25">
      <c r="B29">
        <v>1999</v>
      </c>
      <c r="D29" s="25">
        <v>107.49729999999998</v>
      </c>
      <c r="E29" s="26">
        <f t="shared" si="5"/>
        <v>-24.655965995580218</v>
      </c>
      <c r="F29" s="25">
        <f t="shared" si="1"/>
        <v>2.8355161999758423</v>
      </c>
      <c r="H29" s="18">
        <f>-E$4-I28-E29</f>
        <v>17.267026760320892</v>
      </c>
      <c r="I29" s="25">
        <f>I28+E29+H29</f>
        <v>-15.999999999999996</v>
      </c>
      <c r="K29" s="25">
        <f t="shared" si="0"/>
        <v>-14.826069705579119</v>
      </c>
      <c r="L29" s="25">
        <f t="shared" si="3"/>
        <v>1.7050461879967074</v>
      </c>
      <c r="O29" s="25">
        <f t="shared" si="6"/>
        <v>-13.625137099316483</v>
      </c>
      <c r="Q29" s="25"/>
    </row>
    <row r="30" spans="2:17" x14ac:dyDescent="0.25">
      <c r="B30">
        <v>2000</v>
      </c>
      <c r="D30" s="25">
        <v>58.34046923076923</v>
      </c>
      <c r="E30" s="26">
        <f t="shared" si="5"/>
        <v>-11.711497749118681</v>
      </c>
      <c r="F30" s="25">
        <f t="shared" si="1"/>
        <v>-8.8759815491428391</v>
      </c>
      <c r="H30" s="25">
        <f t="shared" ref="H30:H35" si="7">-E30</f>
        <v>11.711497749118681</v>
      </c>
      <c r="I30" s="25">
        <f t="shared" si="2"/>
        <v>-15.999999999999996</v>
      </c>
      <c r="K30" s="25">
        <f t="shared" si="0"/>
        <v>-7.0423313374252752</v>
      </c>
      <c r="L30" s="25">
        <f t="shared" si="3"/>
        <v>-5.3372851494285678</v>
      </c>
      <c r="N30" s="18">
        <f>-E$4-O29-K30</f>
        <v>4.6674684367417578</v>
      </c>
      <c r="O30" s="25">
        <f t="shared" si="6"/>
        <v>-16</v>
      </c>
    </row>
    <row r="31" spans="2:17" x14ac:dyDescent="0.25">
      <c r="B31">
        <v>2001</v>
      </c>
      <c r="D31" s="25">
        <v>35.396838461538465</v>
      </c>
      <c r="E31" s="26">
        <f t="shared" si="5"/>
        <v>-5.6697514586571431</v>
      </c>
      <c r="F31" s="25">
        <f t="shared" si="1"/>
        <v>-14.545733007799981</v>
      </c>
      <c r="H31" s="25">
        <f t="shared" si="7"/>
        <v>5.6697514586571431</v>
      </c>
      <c r="I31" s="25">
        <f>I30+E31+H31</f>
        <v>-15.999999999999996</v>
      </c>
      <c r="K31" s="25">
        <f t="shared" si="0"/>
        <v>-3.409322123271429</v>
      </c>
      <c r="L31" s="25">
        <f t="shared" si="3"/>
        <v>-8.7466072726999968</v>
      </c>
      <c r="N31" s="25">
        <f t="shared" ref="N31:N35" si="8">-K31</f>
        <v>3.409322123271429</v>
      </c>
      <c r="O31" s="25">
        <f t="shared" si="6"/>
        <v>-16</v>
      </c>
    </row>
    <row r="32" spans="2:17" x14ac:dyDescent="0.25">
      <c r="B32">
        <v>2002</v>
      </c>
      <c r="D32" s="25">
        <v>23.979607692307692</v>
      </c>
      <c r="E32" s="26">
        <f t="shared" si="5"/>
        <v>-2.6632520801956039</v>
      </c>
      <c r="F32" s="25">
        <f t="shared" si="1"/>
        <v>-17.208985087995586</v>
      </c>
      <c r="H32" s="25">
        <f t="shared" si="7"/>
        <v>2.6632520801956039</v>
      </c>
      <c r="I32" s="25">
        <f t="shared" ref="I32:I45" si="9">I31+E32+H32</f>
        <v>-15.999999999999996</v>
      </c>
      <c r="K32" s="25">
        <f t="shared" si="0"/>
        <v>-1.6014607171175823</v>
      </c>
      <c r="L32" s="25">
        <f t="shared" si="3"/>
        <v>-10.348067989817579</v>
      </c>
      <c r="N32" s="25">
        <f t="shared" si="8"/>
        <v>1.6014607171175823</v>
      </c>
      <c r="O32" s="25">
        <f t="shared" si="6"/>
        <v>-16</v>
      </c>
    </row>
    <row r="33" spans="2:18" x14ac:dyDescent="0.25">
      <c r="B33">
        <v>2003</v>
      </c>
      <c r="D33" s="25">
        <v>14.192907692307692</v>
      </c>
      <c r="E33" s="26">
        <f t="shared" si="5"/>
        <v>-8.6120369195604077E-2</v>
      </c>
      <c r="F33" s="25">
        <f t="shared" si="1"/>
        <v>-17.295105457191191</v>
      </c>
      <c r="H33" s="25">
        <f t="shared" si="7"/>
        <v>8.6120369195604077E-2</v>
      </c>
      <c r="I33" s="25">
        <f t="shared" si="9"/>
        <v>-15.999999999999996</v>
      </c>
      <c r="K33" s="25">
        <f t="shared" si="0"/>
        <v>-5.178570561758223E-2</v>
      </c>
      <c r="L33" s="25">
        <f t="shared" si="3"/>
        <v>-10.399853695435162</v>
      </c>
      <c r="N33" s="25">
        <f t="shared" si="8"/>
        <v>5.178570561758223E-2</v>
      </c>
      <c r="O33" s="25">
        <f t="shared" si="6"/>
        <v>-16</v>
      </c>
    </row>
    <row r="34" spans="2:18" x14ac:dyDescent="0.25">
      <c r="B34">
        <v>2004</v>
      </c>
      <c r="D34" s="25">
        <v>33.151576923076931</v>
      </c>
      <c r="E34" s="26">
        <f t="shared" si="5"/>
        <v>-5.0785067377340676</v>
      </c>
      <c r="F34" s="25">
        <f t="shared" si="1"/>
        <v>-22.373612194925258</v>
      </c>
      <c r="H34" s="25">
        <f t="shared" si="7"/>
        <v>5.0785067377340676</v>
      </c>
      <c r="I34" s="25">
        <f t="shared" si="9"/>
        <v>-15.999999999999996</v>
      </c>
      <c r="K34" s="25">
        <f t="shared" si="0"/>
        <v>-3.0537961849637374</v>
      </c>
      <c r="L34" s="25">
        <f t="shared" si="3"/>
        <v>-13.453649880398899</v>
      </c>
      <c r="N34" s="25">
        <f t="shared" si="8"/>
        <v>3.0537961849637374</v>
      </c>
      <c r="O34" s="25">
        <f t="shared" si="6"/>
        <v>-16</v>
      </c>
    </row>
    <row r="35" spans="2:18" x14ac:dyDescent="0.25">
      <c r="B35">
        <v>2005</v>
      </c>
      <c r="D35" s="25">
        <v>16.6831</v>
      </c>
      <c r="E35" s="26">
        <f t="shared" si="5"/>
        <v>-0.74186270958021949</v>
      </c>
      <c r="F35" s="25">
        <f t="shared" si="1"/>
        <v>-23.115474904505476</v>
      </c>
      <c r="H35" s="25">
        <f t="shared" si="7"/>
        <v>0.74186270958021949</v>
      </c>
      <c r="I35" s="25">
        <f t="shared" si="9"/>
        <v>-15.999999999999995</v>
      </c>
      <c r="K35" s="25">
        <f t="shared" si="0"/>
        <v>-0.44609520657912072</v>
      </c>
      <c r="L35" s="25">
        <f t="shared" si="3"/>
        <v>-13.899745086978021</v>
      </c>
      <c r="N35" s="25">
        <f t="shared" si="8"/>
        <v>0.44609520657912072</v>
      </c>
      <c r="O35" s="25">
        <f t="shared" si="6"/>
        <v>-15.999999999999998</v>
      </c>
      <c r="Q35" s="18"/>
      <c r="R35" s="18"/>
    </row>
    <row r="36" spans="2:18" x14ac:dyDescent="0.25">
      <c r="B36">
        <v>2006</v>
      </c>
      <c r="D36" s="25">
        <v>12.581207692307691</v>
      </c>
      <c r="E36" s="25">
        <f t="shared" si="5"/>
        <v>0.33828859180439613</v>
      </c>
      <c r="F36" s="25">
        <f t="shared" si="1"/>
        <v>-22.77718631270108</v>
      </c>
      <c r="I36" s="25">
        <f t="shared" si="9"/>
        <v>-15.661711408195599</v>
      </c>
      <c r="K36" s="25">
        <f t="shared" si="0"/>
        <v>0.20341893088241791</v>
      </c>
      <c r="L36" s="25">
        <f t="shared" si="3"/>
        <v>-13.696326156095603</v>
      </c>
      <c r="O36" s="25">
        <f t="shared" si="6"/>
        <v>-15.796581069117581</v>
      </c>
      <c r="Q36" s="18"/>
      <c r="R36" s="18"/>
    </row>
    <row r="37" spans="2:18" x14ac:dyDescent="0.25">
      <c r="B37">
        <v>2007</v>
      </c>
      <c r="D37" s="25">
        <v>13.839961538461537</v>
      </c>
      <c r="E37" s="25">
        <f t="shared" si="5"/>
        <v>6.82094149670384E-3</v>
      </c>
      <c r="F37" s="25">
        <f t="shared" si="1"/>
        <v>-22.770365371204377</v>
      </c>
      <c r="I37" s="25">
        <f t="shared" si="9"/>
        <v>-15.654890466698895</v>
      </c>
      <c r="K37" s="25">
        <f>($E$5-$D37)*$K$6</f>
        <v>4.1015531131871402E-3</v>
      </c>
      <c r="L37" s="25">
        <f t="shared" si="3"/>
        <v>-13.692224602982416</v>
      </c>
      <c r="O37" s="25">
        <f t="shared" si="6"/>
        <v>-15.792479516004393</v>
      </c>
    </row>
    <row r="38" spans="2:18" x14ac:dyDescent="0.25">
      <c r="B38">
        <v>2008</v>
      </c>
      <c r="D38" s="25">
        <v>11.397730769230769</v>
      </c>
      <c r="E38" s="25">
        <f t="shared" si="5"/>
        <v>0.64993356995824203</v>
      </c>
      <c r="F38" s="25">
        <f t="shared" si="1"/>
        <v>-22.120431801246134</v>
      </c>
      <c r="I38" s="25">
        <f t="shared" si="9"/>
        <v>-15.004956896740653</v>
      </c>
      <c r="K38" s="25">
        <f t="shared" si="0"/>
        <v>0.3908165842670332</v>
      </c>
      <c r="L38" s="25">
        <f t="shared" si="3"/>
        <v>-13.301408018715382</v>
      </c>
      <c r="O38" s="25">
        <f t="shared" si="6"/>
        <v>-15.401662931737359</v>
      </c>
    </row>
    <row r="39" spans="2:18" x14ac:dyDescent="0.25">
      <c r="B39">
        <v>2009</v>
      </c>
      <c r="D39" s="25">
        <v>1.9132923076923078</v>
      </c>
      <c r="E39" s="25">
        <f t="shared" si="5"/>
        <v>3.1474707500351653</v>
      </c>
      <c r="F39" s="25">
        <f t="shared" si="1"/>
        <v>-18.972961051210969</v>
      </c>
      <c r="I39" s="25">
        <f t="shared" si="9"/>
        <v>-11.857486146705488</v>
      </c>
      <c r="K39" s="25">
        <f t="shared" si="0"/>
        <v>1.892629992459341</v>
      </c>
      <c r="L39" s="25">
        <f t="shared" si="3"/>
        <v>-11.408778026256041</v>
      </c>
      <c r="O39" s="25">
        <f t="shared" si="6"/>
        <v>-13.509032939278018</v>
      </c>
    </row>
    <row r="40" spans="2:18" x14ac:dyDescent="0.25">
      <c r="B40">
        <v>2010</v>
      </c>
      <c r="D40" s="25">
        <v>5.0805461538461545</v>
      </c>
      <c r="E40" s="25">
        <f t="shared" si="5"/>
        <v>2.3134377947274722</v>
      </c>
      <c r="F40" s="25">
        <f t="shared" si="1"/>
        <v>-16.659523256483496</v>
      </c>
      <c r="I40" s="25">
        <f t="shared" si="9"/>
        <v>-9.5440483519780166</v>
      </c>
      <c r="K40" s="25">
        <f t="shared" si="0"/>
        <v>1.3911111821901099</v>
      </c>
      <c r="L40" s="25">
        <f t="shared" si="3"/>
        <v>-10.01766684406593</v>
      </c>
      <c r="O40" s="25">
        <f t="shared" si="6"/>
        <v>-12.117921757087908</v>
      </c>
    </row>
    <row r="41" spans="2:18" x14ac:dyDescent="0.25">
      <c r="B41">
        <v>2011</v>
      </c>
      <c r="D41" s="25">
        <v>3.7116615384615388</v>
      </c>
      <c r="E41" s="25">
        <f t="shared" si="5"/>
        <v>2.6739061804967035</v>
      </c>
      <c r="F41" s="25">
        <f t="shared" si="1"/>
        <v>-13.985617075986791</v>
      </c>
      <c r="I41" s="25">
        <f t="shared" si="9"/>
        <v>-6.8701421714813131</v>
      </c>
      <c r="K41" s="25">
        <f t="shared" si="0"/>
        <v>1.6078672166131869</v>
      </c>
      <c r="L41" s="25">
        <f t="shared" si="3"/>
        <v>-8.4097996274527436</v>
      </c>
      <c r="O41" s="25">
        <f t="shared" si="6"/>
        <v>-10.510054540474721</v>
      </c>
    </row>
    <row r="42" spans="2:18" x14ac:dyDescent="0.25">
      <c r="B42">
        <v>2012</v>
      </c>
      <c r="D42" s="25">
        <v>1.6283461538461539</v>
      </c>
      <c r="E42" s="25">
        <f t="shared" si="5"/>
        <v>3.2225056207274729</v>
      </c>
      <c r="F42" s="25">
        <f t="shared" si="1"/>
        <v>-10.763111455259319</v>
      </c>
      <c r="I42" s="25">
        <f t="shared" si="9"/>
        <v>-3.6476365507538402</v>
      </c>
      <c r="K42" s="25">
        <f t="shared" si="0"/>
        <v>1.9377497911901103</v>
      </c>
      <c r="L42" s="25">
        <f t="shared" si="3"/>
        <v>-6.4720498362626335</v>
      </c>
      <c r="O42" s="25">
        <f t="shared" si="6"/>
        <v>-8.5723047492846103</v>
      </c>
    </row>
    <row r="43" spans="2:18" x14ac:dyDescent="0.25">
      <c r="B43">
        <v>2013</v>
      </c>
      <c r="D43" s="25">
        <v>0.24149999999999999</v>
      </c>
      <c r="E43" s="25">
        <f t="shared" si="5"/>
        <v>3.5877038184197807</v>
      </c>
      <c r="F43" s="25">
        <f t="shared" si="1"/>
        <v>-7.1754076368395374</v>
      </c>
      <c r="I43" s="25">
        <f t="shared" si="9"/>
        <v>-5.9932732334059491E-2</v>
      </c>
      <c r="K43" s="25">
        <f t="shared" si="0"/>
        <v>2.1573499454208793</v>
      </c>
      <c r="L43" s="25">
        <f t="shared" si="3"/>
        <v>-4.3146998908417542</v>
      </c>
      <c r="O43" s="25">
        <f t="shared" si="6"/>
        <v>-6.414954803863731</v>
      </c>
    </row>
    <row r="44" spans="2:18" x14ac:dyDescent="0.25">
      <c r="B44">
        <v>2014</v>
      </c>
      <c r="D44" s="25">
        <v>0.24149999999999999</v>
      </c>
      <c r="E44" s="25">
        <f t="shared" si="5"/>
        <v>3.5877038184197807</v>
      </c>
      <c r="F44" s="25">
        <f t="shared" si="1"/>
        <v>-3.5877038184197567</v>
      </c>
      <c r="I44" s="25">
        <f t="shared" si="9"/>
        <v>3.5277710860857212</v>
      </c>
      <c r="K44" s="25">
        <f t="shared" si="0"/>
        <v>2.1573499454208793</v>
      </c>
      <c r="L44" s="25">
        <f t="shared" si="3"/>
        <v>-2.1573499454208749</v>
      </c>
      <c r="O44" s="25">
        <f t="shared" si="6"/>
        <v>-4.2576048584428516</v>
      </c>
    </row>
    <row r="45" spans="2:18" x14ac:dyDescent="0.25">
      <c r="B45">
        <v>2015</v>
      </c>
      <c r="D45" s="25">
        <v>0.24149999999999999</v>
      </c>
      <c r="E45" s="25">
        <f t="shared" si="5"/>
        <v>3.5877038184197807</v>
      </c>
      <c r="F45" s="25">
        <f t="shared" si="1"/>
        <v>2.3980817331903381E-14</v>
      </c>
      <c r="I45" s="25">
        <f t="shared" si="9"/>
        <v>7.1154749045055024</v>
      </c>
      <c r="K45" s="25">
        <f t="shared" si="0"/>
        <v>2.1573499454208793</v>
      </c>
      <c r="L45" s="25">
        <f t="shared" si="3"/>
        <v>4.4408920985006262E-15</v>
      </c>
      <c r="O45" s="25">
        <f t="shared" si="6"/>
        <v>-2.1002549130219723</v>
      </c>
    </row>
    <row r="46" spans="2:18" ht="9" customHeight="1" x14ac:dyDescent="0.25">
      <c r="D46" s="25"/>
    </row>
    <row r="47" spans="2:18" x14ac:dyDescent="0.25">
      <c r="B47" t="s">
        <v>232</v>
      </c>
      <c r="D47" s="27">
        <f>AVERAGE(D11:D45)</f>
        <v>13.865864175824177</v>
      </c>
      <c r="K47" s="27"/>
    </row>
    <row r="48" spans="2:18" x14ac:dyDescent="0.25">
      <c r="D48" s="25"/>
      <c r="G48" t="s">
        <v>27</v>
      </c>
      <c r="H48" s="25">
        <f>SUM(H11:H45)</f>
        <v>7.1154749045054952</v>
      </c>
      <c r="M48" t="s">
        <v>27</v>
      </c>
      <c r="N48" s="25">
        <f>SUM(N11:N45)</f>
        <v>-2.1002549130219816</v>
      </c>
    </row>
    <row r="51" spans="2:14" x14ac:dyDescent="0.25">
      <c r="B51" s="16" t="s">
        <v>28</v>
      </c>
    </row>
    <row r="52" spans="2:14" x14ac:dyDescent="0.25">
      <c r="C52" t="s">
        <v>29</v>
      </c>
      <c r="H52">
        <f>COUNTBLANK(H11:H45)</f>
        <v>17</v>
      </c>
      <c r="N52">
        <f>COUNTBLANK(N11:N45)</f>
        <v>21</v>
      </c>
    </row>
    <row r="53" spans="2:14" x14ac:dyDescent="0.25">
      <c r="C53" t="s">
        <v>30</v>
      </c>
      <c r="H53">
        <f>COUNTIF(H11:H45,"&lt;0")</f>
        <v>11</v>
      </c>
      <c r="N53">
        <f>COUNTIF(N11:N45,"&lt;0")</f>
        <v>8</v>
      </c>
    </row>
    <row r="54" spans="2:14" x14ac:dyDescent="0.25">
      <c r="C54" t="s">
        <v>31</v>
      </c>
      <c r="H54">
        <f>COUNTIF(H11:H45,H58)</f>
        <v>8</v>
      </c>
      <c r="N54">
        <f>COUNTIF(N11:N45,N58)</f>
        <v>6</v>
      </c>
    </row>
    <row r="55" spans="2:14" x14ac:dyDescent="0.25">
      <c r="C55" t="s">
        <v>32</v>
      </c>
      <c r="H55">
        <f>COUNTIF(H11:H45,"&gt;0")</f>
        <v>7</v>
      </c>
      <c r="N55">
        <f>COUNTIF(N11:N45,"&gt;0")</f>
        <v>6</v>
      </c>
    </row>
    <row r="57" spans="2:14" x14ac:dyDescent="0.25">
      <c r="B57" s="16" t="s">
        <v>33</v>
      </c>
    </row>
    <row r="58" spans="2:14" x14ac:dyDescent="0.25">
      <c r="C58" t="s">
        <v>34</v>
      </c>
      <c r="H58" s="28">
        <f>MIN(H11:H45)</f>
        <v>-3.5877038184197829</v>
      </c>
      <c r="N58" s="28">
        <f>MIN(N11:N45)</f>
        <v>-2.1573499454208793</v>
      </c>
    </row>
    <row r="59" spans="2:14" x14ac:dyDescent="0.25">
      <c r="C59" t="s">
        <v>35</v>
      </c>
      <c r="H59" s="28">
        <f>MAX(H11:H45)</f>
        <v>17.267026760320892</v>
      </c>
      <c r="N59" s="28">
        <f>MAX(N11:N45)</f>
        <v>4.6674684367417578</v>
      </c>
    </row>
    <row r="60" spans="2:14" x14ac:dyDescent="0.25">
      <c r="C60" t="s">
        <v>36</v>
      </c>
      <c r="H60" s="28">
        <f>H64/H55</f>
        <v>6.1740025521146018</v>
      </c>
      <c r="N60" s="28">
        <f>N64/N55</f>
        <v>2.2049880623818683</v>
      </c>
    </row>
    <row r="61" spans="2:14" x14ac:dyDescent="0.25">
      <c r="C61" t="s">
        <v>37</v>
      </c>
      <c r="H61" s="25">
        <f>H48</f>
        <v>7.1154749045054952</v>
      </c>
      <c r="N61" s="25">
        <f>N48</f>
        <v>-2.1002549130219816</v>
      </c>
    </row>
    <row r="64" spans="2:14" x14ac:dyDescent="0.25">
      <c r="B64" s="16" t="s">
        <v>38</v>
      </c>
      <c r="H64">
        <f>SUMIF(H11:H45,"&gt;0")</f>
        <v>43.218017864802214</v>
      </c>
      <c r="N64">
        <f>SUMIF(N11:N45,"&gt;0")</f>
        <v>13.229928374291211</v>
      </c>
    </row>
  </sheetData>
  <mergeCells count="6">
    <mergeCell ref="E8:I8"/>
    <mergeCell ref="K8:O8"/>
    <mergeCell ref="E9:F9"/>
    <mergeCell ref="H9:I9"/>
    <mergeCell ref="K9:L9"/>
    <mergeCell ref="N9:O9"/>
  </mergeCells>
  <pageMargins left="0.7" right="0.7" top="0.75" bottom="0.75" header="0.3" footer="0.3"/>
  <pageSetup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64"/>
  <sheetViews>
    <sheetView view="pageBreakPreview" zoomScaleNormal="100" zoomScaleSheetLayoutView="100" workbookViewId="0">
      <selection activeCell="C3" sqref="C3"/>
    </sheetView>
  </sheetViews>
  <sheetFormatPr defaultRowHeight="15" x14ac:dyDescent="0.25"/>
  <cols>
    <col min="1" max="1" width="2.140625" customWidth="1"/>
    <col min="2" max="2" width="6.7109375" customWidth="1"/>
    <col min="3" max="3" width="2.5703125" customWidth="1"/>
    <col min="4" max="4" width="12.5703125" customWidth="1"/>
    <col min="7" max="7" width="3.42578125" customWidth="1"/>
    <col min="9" max="9" width="6.42578125" customWidth="1"/>
    <col min="10" max="10" width="4" customWidth="1"/>
    <col min="11" max="11" width="9.140625" bestFit="1" customWidth="1"/>
    <col min="13" max="13" width="4" customWidth="1"/>
    <col min="14" max="14" width="7.28515625" customWidth="1"/>
    <col min="15" max="15" width="9" customWidth="1"/>
  </cols>
  <sheetData>
    <row r="1" spans="2:15" x14ac:dyDescent="0.25">
      <c r="D1" s="16" t="s">
        <v>230</v>
      </c>
    </row>
    <row r="2" spans="2:15" x14ac:dyDescent="0.25">
      <c r="D2" s="16"/>
    </row>
    <row r="3" spans="2:15" x14ac:dyDescent="0.25">
      <c r="B3" s="16" t="s">
        <v>50</v>
      </c>
    </row>
    <row r="4" spans="2:15" x14ac:dyDescent="0.25">
      <c r="C4" s="16" t="s">
        <v>10</v>
      </c>
      <c r="D4" s="16"/>
      <c r="E4" s="17">
        <v>8</v>
      </c>
      <c r="F4" s="16" t="s">
        <v>11</v>
      </c>
      <c r="K4" s="18"/>
    </row>
    <row r="5" spans="2:15" x14ac:dyDescent="0.25">
      <c r="B5" t="s">
        <v>12</v>
      </c>
      <c r="E5" s="19">
        <f>D47</f>
        <v>28.581168131868129</v>
      </c>
      <c r="F5" t="s">
        <v>13</v>
      </c>
      <c r="K5" s="19"/>
    </row>
    <row r="6" spans="2:15" x14ac:dyDescent="0.25">
      <c r="B6" t="s">
        <v>14</v>
      </c>
      <c r="E6" s="20">
        <v>0.14668</v>
      </c>
      <c r="F6" t="s">
        <v>15</v>
      </c>
      <c r="J6" s="21" t="s">
        <v>16</v>
      </c>
      <c r="K6" s="20">
        <f>E6*L6+E7*(1-L6)</f>
        <v>0.15834500000000001</v>
      </c>
      <c r="L6" s="22">
        <v>0.9</v>
      </c>
      <c r="M6" t="s">
        <v>17</v>
      </c>
    </row>
    <row r="7" spans="2:15" x14ac:dyDescent="0.25">
      <c r="B7" t="s">
        <v>18</v>
      </c>
      <c r="E7" s="20">
        <v>0.26333000000000001</v>
      </c>
      <c r="F7" t="s">
        <v>15</v>
      </c>
    </row>
    <row r="8" spans="2:15" x14ac:dyDescent="0.25">
      <c r="E8" s="36" t="s">
        <v>19</v>
      </c>
      <c r="F8" s="37"/>
      <c r="G8" s="37"/>
      <c r="H8" s="37"/>
      <c r="I8" s="38"/>
      <c r="K8" s="36" t="s">
        <v>20</v>
      </c>
      <c r="L8" s="37"/>
      <c r="M8" s="37"/>
      <c r="N8" s="37"/>
      <c r="O8" s="38"/>
    </row>
    <row r="9" spans="2:15" ht="34.9" customHeight="1" x14ac:dyDescent="0.25">
      <c r="E9" s="34" t="s">
        <v>21</v>
      </c>
      <c r="F9" s="34"/>
      <c r="H9" s="34" t="s">
        <v>22</v>
      </c>
      <c r="I9" s="34"/>
      <c r="K9" s="34" t="s">
        <v>21</v>
      </c>
      <c r="L9" s="34"/>
      <c r="N9" s="34" t="s">
        <v>22</v>
      </c>
      <c r="O9" s="34"/>
    </row>
    <row r="10" spans="2:15" ht="29.1" customHeight="1" x14ac:dyDescent="0.25">
      <c r="B10" s="23" t="s">
        <v>2</v>
      </c>
      <c r="D10" s="23" t="s">
        <v>23</v>
      </c>
      <c r="E10" s="23" t="s">
        <v>24</v>
      </c>
      <c r="F10" s="23" t="s">
        <v>25</v>
      </c>
      <c r="H10" s="23" t="s">
        <v>26</v>
      </c>
      <c r="I10" s="24" t="s">
        <v>25</v>
      </c>
      <c r="K10" s="23" t="s">
        <v>24</v>
      </c>
      <c r="L10" s="23" t="s">
        <v>25</v>
      </c>
      <c r="N10" s="23" t="s">
        <v>26</v>
      </c>
      <c r="O10" s="24" t="s">
        <v>25</v>
      </c>
    </row>
    <row r="11" spans="2:15" x14ac:dyDescent="0.25">
      <c r="B11">
        <v>1981</v>
      </c>
      <c r="D11" s="25">
        <v>0.70820000000000005</v>
      </c>
      <c r="E11" s="25">
        <f>($E$5-$D11)*$E$7</f>
        <v>7.3397886981648339</v>
      </c>
      <c r="F11" s="25">
        <f>E11</f>
        <v>7.3397886981648339</v>
      </c>
      <c r="I11" s="25">
        <f>E11</f>
        <v>7.3397886981648339</v>
      </c>
      <c r="K11" s="25">
        <f>($E$5-$D11)*$K$6</f>
        <v>4.413545138840659</v>
      </c>
      <c r="L11" s="25">
        <f>K11</f>
        <v>4.413545138840659</v>
      </c>
      <c r="O11" s="25">
        <f>K11</f>
        <v>4.413545138840659</v>
      </c>
    </row>
    <row r="12" spans="2:15" x14ac:dyDescent="0.25">
      <c r="B12">
        <v>1982</v>
      </c>
      <c r="D12" s="25">
        <v>0.70820000000000005</v>
      </c>
      <c r="E12" s="25">
        <f>($E$5-$D12)*$E$7</f>
        <v>7.3397886981648339</v>
      </c>
      <c r="F12" s="25">
        <f>F11+E12</f>
        <v>14.679577396329668</v>
      </c>
      <c r="H12" s="18">
        <f>$E$4-F12-SUM(H$11:H11)</f>
        <v>-6.6795773963296678</v>
      </c>
      <c r="I12" s="25">
        <f>I11+E12+H12</f>
        <v>8</v>
      </c>
      <c r="K12" s="25">
        <f t="shared" ref="K12:K45" si="0">($E$5-$D12)*$K$6</f>
        <v>4.413545138840659</v>
      </c>
      <c r="L12" s="25">
        <f>L11+K12</f>
        <v>8.827090277681318</v>
      </c>
      <c r="N12" s="18">
        <f>$E$4-L12-SUM(N$11:N11)</f>
        <v>-0.82709027768131804</v>
      </c>
      <c r="O12" s="25">
        <f>O11+K12+N12</f>
        <v>8</v>
      </c>
    </row>
    <row r="13" spans="2:15" x14ac:dyDescent="0.25">
      <c r="B13">
        <v>1983</v>
      </c>
      <c r="D13" s="25">
        <v>0.70820000000000005</v>
      </c>
      <c r="E13" s="25">
        <f>($E$5-$D13)*$E$7</f>
        <v>7.3397886981648339</v>
      </c>
      <c r="F13" s="25">
        <f t="shared" ref="F13:F45" si="1">F12+E13</f>
        <v>22.019366094494501</v>
      </c>
      <c r="H13" s="18">
        <f>$E$4-F13-SUM(H$11:H12)</f>
        <v>-7.339788698164833</v>
      </c>
      <c r="I13" s="25">
        <f t="shared" ref="I13:I30" si="2">I12+E13+H13</f>
        <v>8.0000000000000018</v>
      </c>
      <c r="K13" s="25">
        <f t="shared" si="0"/>
        <v>4.413545138840659</v>
      </c>
      <c r="L13" s="25">
        <f t="shared" ref="L13:L45" si="3">L12+K13</f>
        <v>13.240635416521977</v>
      </c>
      <c r="N13" s="18">
        <f>$E$4-L13-SUM(N$11:N12)</f>
        <v>-4.413545138840659</v>
      </c>
      <c r="O13" s="25">
        <f t="shared" ref="O13:O25" si="4">O12+K13+N13</f>
        <v>8</v>
      </c>
    </row>
    <row r="14" spans="2:15" x14ac:dyDescent="0.25">
      <c r="B14">
        <v>1984</v>
      </c>
      <c r="D14" s="25">
        <v>31.000315384615387</v>
      </c>
      <c r="E14" s="26">
        <f>($E$5-$D14)*$E$7</f>
        <v>-0.63703404606593561</v>
      </c>
      <c r="F14" s="25">
        <f t="shared" si="1"/>
        <v>21.382332048428566</v>
      </c>
      <c r="H14" s="18"/>
      <c r="I14" s="25">
        <f t="shared" si="2"/>
        <v>7.3629659539340659</v>
      </c>
      <c r="K14" s="25">
        <f t="shared" si="0"/>
        <v>-0.38305987173626466</v>
      </c>
      <c r="L14" s="25">
        <f t="shared" si="3"/>
        <v>12.857575544785712</v>
      </c>
      <c r="N14" s="18"/>
      <c r="O14" s="25">
        <f t="shared" si="4"/>
        <v>7.6169401282637352</v>
      </c>
    </row>
    <row r="15" spans="2:15" x14ac:dyDescent="0.25">
      <c r="B15">
        <v>1985</v>
      </c>
      <c r="D15" s="25">
        <v>43.932792307692296</v>
      </c>
      <c r="E15" s="26">
        <f>($E$5-$D15)*$E$7</f>
        <v>-4.0425431942197783</v>
      </c>
      <c r="F15" s="25">
        <f t="shared" si="1"/>
        <v>17.339788854208788</v>
      </c>
      <c r="H15" s="18"/>
      <c r="I15" s="25">
        <f>I14+E15+H15</f>
        <v>3.3204227597142877</v>
      </c>
      <c r="K15" s="25">
        <f t="shared" si="0"/>
        <v>-2.4308529301208779</v>
      </c>
      <c r="L15" s="25">
        <f t="shared" si="3"/>
        <v>10.426722614664834</v>
      </c>
      <c r="N15" s="18"/>
      <c r="O15" s="25">
        <f t="shared" si="4"/>
        <v>5.1860871981428573</v>
      </c>
    </row>
    <row r="16" spans="2:15" x14ac:dyDescent="0.25">
      <c r="B16">
        <v>1986</v>
      </c>
      <c r="D16" s="25">
        <v>48.028892307692317</v>
      </c>
      <c r="E16" s="26">
        <f t="shared" ref="E16:E45" si="5">($E$5-$D16)*$E$7</f>
        <v>-5.1211692072197836</v>
      </c>
      <c r="F16" s="25">
        <f t="shared" si="1"/>
        <v>12.218619646989005</v>
      </c>
      <c r="H16" s="18"/>
      <c r="I16" s="25">
        <f t="shared" si="2"/>
        <v>-1.800746447505496</v>
      </c>
      <c r="K16" s="25">
        <f>($E$5-$D16)*$K$6</f>
        <v>-3.0794498846208813</v>
      </c>
      <c r="L16" s="25">
        <f t="shared" si="3"/>
        <v>7.3472727300439526</v>
      </c>
      <c r="N16" s="18"/>
      <c r="O16" s="25">
        <f t="shared" si="4"/>
        <v>2.106637313521976</v>
      </c>
    </row>
    <row r="17" spans="2:17" x14ac:dyDescent="0.25">
      <c r="B17">
        <v>1987</v>
      </c>
      <c r="D17" s="25">
        <v>27.664207692307691</v>
      </c>
      <c r="E17" s="25">
        <f t="shared" si="5"/>
        <v>0.24146319254944998</v>
      </c>
      <c r="F17" s="25">
        <f t="shared" si="1"/>
        <v>12.460082839538455</v>
      </c>
      <c r="H17" s="18"/>
      <c r="I17" s="25">
        <f t="shared" si="2"/>
        <v>-1.559283254956046</v>
      </c>
      <c r="K17" s="25">
        <f t="shared" si="0"/>
        <v>0.14519610080219747</v>
      </c>
      <c r="L17" s="25">
        <f t="shared" si="3"/>
        <v>7.4924688308461498</v>
      </c>
      <c r="N17" s="18"/>
      <c r="O17" s="25">
        <f t="shared" si="4"/>
        <v>2.2518334143241736</v>
      </c>
    </row>
    <row r="18" spans="2:17" x14ac:dyDescent="0.25">
      <c r="B18">
        <v>1988</v>
      </c>
      <c r="D18" s="25">
        <v>32.442123076923075</v>
      </c>
      <c r="E18" s="26">
        <f t="shared" si="5"/>
        <v>-1.0167052656813189</v>
      </c>
      <c r="F18" s="25">
        <f t="shared" si="1"/>
        <v>11.443377573857136</v>
      </c>
      <c r="H18" s="18"/>
      <c r="I18" s="25">
        <f t="shared" si="2"/>
        <v>-2.5759885206373649</v>
      </c>
      <c r="K18" s="25">
        <f t="shared" si="0"/>
        <v>-0.61136291077472549</v>
      </c>
      <c r="L18" s="25">
        <f t="shared" si="3"/>
        <v>6.8811059200714242</v>
      </c>
      <c r="N18" s="18"/>
      <c r="O18" s="25">
        <f t="shared" si="4"/>
        <v>1.640470503549448</v>
      </c>
    </row>
    <row r="19" spans="2:17" x14ac:dyDescent="0.25">
      <c r="B19">
        <v>1989</v>
      </c>
      <c r="D19" s="25">
        <v>12.927030769230765</v>
      </c>
      <c r="E19" s="25">
        <f t="shared" si="5"/>
        <v>4.1222039917032971</v>
      </c>
      <c r="F19" s="25">
        <f t="shared" si="1"/>
        <v>15.565581565560432</v>
      </c>
      <c r="H19" s="18"/>
      <c r="I19" s="25">
        <f t="shared" si="2"/>
        <v>1.5462154710659322</v>
      </c>
      <c r="K19" s="25">
        <f t="shared" si="0"/>
        <v>2.4787543806868135</v>
      </c>
      <c r="L19" s="25">
        <f t="shared" si="3"/>
        <v>9.3598603007582373</v>
      </c>
      <c r="N19" s="18"/>
      <c r="O19" s="25">
        <f t="shared" si="4"/>
        <v>4.119224884236262</v>
      </c>
    </row>
    <row r="20" spans="2:17" x14ac:dyDescent="0.25">
      <c r="B20">
        <v>1990</v>
      </c>
      <c r="D20" s="25">
        <v>14.948215384615382</v>
      </c>
      <c r="E20" s="25">
        <f t="shared" si="5"/>
        <v>3.5899654469340656</v>
      </c>
      <c r="F20" s="25">
        <f t="shared" si="1"/>
        <v>19.155547012494498</v>
      </c>
      <c r="H20" s="18"/>
      <c r="I20" s="25">
        <f t="shared" si="2"/>
        <v>5.1361809179999973</v>
      </c>
      <c r="K20" s="25">
        <f t="shared" si="0"/>
        <v>2.1587099027637362</v>
      </c>
      <c r="L20" s="25">
        <f t="shared" si="3"/>
        <v>11.518570203521973</v>
      </c>
      <c r="N20" s="18"/>
      <c r="O20" s="25">
        <f t="shared" si="4"/>
        <v>6.2779347869999977</v>
      </c>
    </row>
    <row r="21" spans="2:17" x14ac:dyDescent="0.25">
      <c r="B21">
        <v>1991</v>
      </c>
      <c r="D21" s="25">
        <v>3.3236153846153851</v>
      </c>
      <c r="E21" s="25">
        <f t="shared" si="5"/>
        <v>6.651071364934066</v>
      </c>
      <c r="F21" s="25">
        <f t="shared" si="1"/>
        <v>25.806618377428563</v>
      </c>
      <c r="H21" s="18">
        <f>$E$4-F21-SUM(H$11:H20)</f>
        <v>-3.7872522829340625</v>
      </c>
      <c r="I21" s="25">
        <f t="shared" si="2"/>
        <v>8</v>
      </c>
      <c r="K21" s="25">
        <f t="shared" si="0"/>
        <v>3.9994071897637364</v>
      </c>
      <c r="L21" s="25">
        <f t="shared" si="3"/>
        <v>15.51797739328571</v>
      </c>
      <c r="N21" s="18">
        <f>$E$4-L21-SUM(N$11:N20)</f>
        <v>-2.2773419767637328</v>
      </c>
      <c r="O21" s="25">
        <f t="shared" si="4"/>
        <v>8.0000000000000018</v>
      </c>
    </row>
    <row r="22" spans="2:17" x14ac:dyDescent="0.25">
      <c r="B22">
        <v>1992</v>
      </c>
      <c r="D22" s="25">
        <v>1.6416384615384618</v>
      </c>
      <c r="E22" s="25">
        <f t="shared" si="5"/>
        <v>7.0939863480879115</v>
      </c>
      <c r="F22" s="25">
        <f t="shared" si="1"/>
        <v>32.900604725516473</v>
      </c>
      <c r="H22" s="18">
        <f>$E$4-F22-SUM(H$11:H21)</f>
        <v>-7.0939863480879097</v>
      </c>
      <c r="I22" s="25">
        <f t="shared" si="2"/>
        <v>8.0000000000000018</v>
      </c>
      <c r="K22" s="25">
        <f t="shared" si="0"/>
        <v>4.2657398256483514</v>
      </c>
      <c r="L22" s="25">
        <f t="shared" si="3"/>
        <v>19.783717218934061</v>
      </c>
      <c r="N22" s="18">
        <f>$E$4-L22-SUM(N$11:N21)</f>
        <v>-4.2657398256483514</v>
      </c>
      <c r="O22" s="25">
        <f t="shared" si="4"/>
        <v>8.0000000000000018</v>
      </c>
    </row>
    <row r="23" spans="2:17" x14ac:dyDescent="0.25">
      <c r="B23">
        <v>1993</v>
      </c>
      <c r="D23" s="25">
        <v>2.8123076923076922</v>
      </c>
      <c r="E23" s="25">
        <f t="shared" si="5"/>
        <v>6.7857140195494505</v>
      </c>
      <c r="F23" s="25">
        <f t="shared" si="1"/>
        <v>39.686318745065925</v>
      </c>
      <c r="H23" s="18">
        <f>$E$4-F23-SUM(H$11:H22)</f>
        <v>-6.7857140195494523</v>
      </c>
      <c r="I23" s="25">
        <f t="shared" si="2"/>
        <v>8</v>
      </c>
      <c r="K23" s="25">
        <f t="shared" si="0"/>
        <v>4.0803702063021978</v>
      </c>
      <c r="L23" s="25">
        <f t="shared" si="3"/>
        <v>23.86408742523626</v>
      </c>
      <c r="N23" s="18">
        <f>$E$4-L23-SUM(N$11:N22)</f>
        <v>-4.0803702063021987</v>
      </c>
      <c r="O23" s="25">
        <f t="shared" si="4"/>
        <v>8</v>
      </c>
    </row>
    <row r="24" spans="2:17" x14ac:dyDescent="0.25">
      <c r="B24">
        <v>1994</v>
      </c>
      <c r="D24" s="25">
        <v>2.4520923076923071</v>
      </c>
      <c r="E24" s="25">
        <f>($E$5-$D24)*$E$7</f>
        <v>6.8805695367802189</v>
      </c>
      <c r="F24" s="25">
        <f t="shared" si="1"/>
        <v>46.566888281846147</v>
      </c>
      <c r="H24" s="18">
        <f>$E$4-F24-SUM(H$11:H23)</f>
        <v>-6.8805695367802215</v>
      </c>
      <c r="I24" s="25">
        <f t="shared" si="2"/>
        <v>7.9999999999999964</v>
      </c>
      <c r="K24" s="25">
        <f t="shared" si="0"/>
        <v>4.137408511379121</v>
      </c>
      <c r="L24" s="25">
        <f t="shared" si="3"/>
        <v>28.001495936615381</v>
      </c>
      <c r="N24" s="18">
        <f>$E$4-L24-SUM(N$11:N23)</f>
        <v>-4.137408511379121</v>
      </c>
      <c r="O24" s="25">
        <f t="shared" si="4"/>
        <v>8</v>
      </c>
    </row>
    <row r="25" spans="2:17" x14ac:dyDescent="0.25">
      <c r="B25">
        <v>1995</v>
      </c>
      <c r="D25" s="25">
        <v>61.239430769230765</v>
      </c>
      <c r="E25" s="26">
        <f t="shared" si="5"/>
        <v>-8.5999003002967047</v>
      </c>
      <c r="F25" s="25">
        <f t="shared" si="1"/>
        <v>37.966987981549444</v>
      </c>
      <c r="H25" s="18"/>
      <c r="I25" s="25">
        <f t="shared" si="2"/>
        <v>-0.59990030029670827</v>
      </c>
      <c r="K25" s="25">
        <f t="shared" si="0"/>
        <v>-5.1712725973131874</v>
      </c>
      <c r="L25" s="25">
        <f t="shared" si="3"/>
        <v>22.830223339302194</v>
      </c>
      <c r="N25" s="18"/>
      <c r="O25" s="25">
        <f t="shared" si="4"/>
        <v>2.8287274026868126</v>
      </c>
    </row>
    <row r="26" spans="2:17" x14ac:dyDescent="0.25">
      <c r="B26">
        <v>1996</v>
      </c>
      <c r="D26" s="25">
        <v>71.231223076923087</v>
      </c>
      <c r="E26" s="26">
        <f t="shared" si="5"/>
        <v>-11.231038968681323</v>
      </c>
      <c r="F26" s="25">
        <f t="shared" si="1"/>
        <v>26.735949012868119</v>
      </c>
      <c r="H26" s="18">
        <f>-E$4-I25-E26</f>
        <v>3.8309392689780317</v>
      </c>
      <c r="I26" s="25">
        <f t="shared" si="2"/>
        <v>-8</v>
      </c>
      <c r="K26" s="25">
        <f t="shared" si="0"/>
        <v>-6.7534229502747287</v>
      </c>
      <c r="L26" s="25">
        <f t="shared" si="3"/>
        <v>16.076800389027465</v>
      </c>
      <c r="N26" s="18"/>
      <c r="O26" s="25">
        <f>O25+K26+N26</f>
        <v>-3.9246955475879162</v>
      </c>
    </row>
    <row r="27" spans="2:17" x14ac:dyDescent="0.25">
      <c r="B27">
        <v>1997</v>
      </c>
      <c r="D27" s="25">
        <v>76.788115384615395</v>
      </c>
      <c r="E27" s="26">
        <f t="shared" si="5"/>
        <v>-12.694335420065938</v>
      </c>
      <c r="F27" s="25">
        <f t="shared" si="1"/>
        <v>14.041613592802181</v>
      </c>
      <c r="H27" s="18">
        <f>-E$4-I26-E27</f>
        <v>12.694335420065938</v>
      </c>
      <c r="I27" s="25">
        <f t="shared" si="2"/>
        <v>-8.0000000000000018</v>
      </c>
      <c r="K27" s="25">
        <f t="shared" si="0"/>
        <v>-7.6333290627362667</v>
      </c>
      <c r="L27" s="25">
        <f t="shared" si="3"/>
        <v>8.4434713262911991</v>
      </c>
      <c r="N27" s="18">
        <f>-E$4-O26-K27</f>
        <v>3.5580246103241828</v>
      </c>
      <c r="O27" s="25">
        <f t="shared" ref="O27:O45" si="6">O26+K27+N27</f>
        <v>-7.9999999999999991</v>
      </c>
    </row>
    <row r="28" spans="2:17" x14ac:dyDescent="0.25">
      <c r="B28">
        <v>1998</v>
      </c>
      <c r="D28" s="25">
        <v>70.793584615384603</v>
      </c>
      <c r="E28" s="26">
        <f t="shared" si="5"/>
        <v>-11.115795632604394</v>
      </c>
      <c r="F28" s="25">
        <f t="shared" si="1"/>
        <v>2.9258179601977865</v>
      </c>
      <c r="H28" s="18">
        <f>-E$4-I27-E28</f>
        <v>11.115795632604396</v>
      </c>
      <c r="I28" s="25">
        <f t="shared" si="2"/>
        <v>-8</v>
      </c>
      <c r="K28" s="25">
        <f t="shared" si="0"/>
        <v>-6.6841250880824168</v>
      </c>
      <c r="L28" s="25">
        <f t="shared" si="3"/>
        <v>1.7593462382087823</v>
      </c>
      <c r="N28" s="18">
        <f>-E$4-O27-K28</f>
        <v>6.6841250880824159</v>
      </c>
      <c r="O28" s="25">
        <f t="shared" si="6"/>
        <v>-8</v>
      </c>
    </row>
    <row r="29" spans="2:17" x14ac:dyDescent="0.25">
      <c r="B29">
        <v>1999</v>
      </c>
      <c r="D29" s="25">
        <v>116.98365384615386</v>
      </c>
      <c r="E29" s="26">
        <f t="shared" si="5"/>
        <v>-23.279026563142864</v>
      </c>
      <c r="F29" s="25">
        <f t="shared" si="1"/>
        <v>-20.353208602945077</v>
      </c>
      <c r="H29" s="18">
        <f>-E$4-I28-E29</f>
        <v>23.279026563142864</v>
      </c>
      <c r="I29" s="25">
        <f>I28+E29+H29</f>
        <v>-8</v>
      </c>
      <c r="K29" s="25">
        <f t="shared" si="0"/>
        <v>-13.998091600428575</v>
      </c>
      <c r="L29" s="25">
        <f t="shared" si="3"/>
        <v>-12.238745362219792</v>
      </c>
      <c r="N29" s="18">
        <f>-E$4-O28-K29</f>
        <v>13.998091600428575</v>
      </c>
      <c r="O29" s="25">
        <f t="shared" si="6"/>
        <v>-7.9999999999999982</v>
      </c>
      <c r="Q29" s="25"/>
    </row>
    <row r="30" spans="2:17" x14ac:dyDescent="0.25">
      <c r="B30">
        <v>2000</v>
      </c>
      <c r="D30" s="25">
        <v>58.569076923076928</v>
      </c>
      <c r="E30" s="26">
        <f t="shared" si="5"/>
        <v>-7.8967160219890129</v>
      </c>
      <c r="F30" s="25">
        <f t="shared" si="1"/>
        <v>-28.249924624934089</v>
      </c>
      <c r="H30" s="25">
        <f>-E30</f>
        <v>7.8967160219890129</v>
      </c>
      <c r="I30" s="25">
        <f t="shared" si="2"/>
        <v>-8</v>
      </c>
      <c r="K30" s="25">
        <f t="shared" si="0"/>
        <v>-4.7484354175439574</v>
      </c>
      <c r="L30" s="25">
        <f t="shared" si="3"/>
        <v>-16.987180779763747</v>
      </c>
      <c r="N30" s="25">
        <f>-K30</f>
        <v>4.7484354175439574</v>
      </c>
      <c r="O30" s="25">
        <f t="shared" si="6"/>
        <v>-7.9999999999999982</v>
      </c>
    </row>
    <row r="31" spans="2:17" x14ac:dyDescent="0.25">
      <c r="B31">
        <v>2001</v>
      </c>
      <c r="D31" s="25">
        <v>24.382676923076925</v>
      </c>
      <c r="E31" s="32">
        <f t="shared" si="5"/>
        <v>1.1055886900109877</v>
      </c>
      <c r="F31" s="25">
        <f t="shared" si="1"/>
        <v>-27.144335934923102</v>
      </c>
      <c r="H31" s="25">
        <f>-E31</f>
        <v>-1.1055886900109877</v>
      </c>
      <c r="I31" s="25">
        <f>I30+E31+H31</f>
        <v>-8</v>
      </c>
      <c r="K31" s="25">
        <f t="shared" si="0"/>
        <v>0.66481009045604322</v>
      </c>
      <c r="L31" s="25">
        <f t="shared" si="3"/>
        <v>-16.322370689307704</v>
      </c>
      <c r="N31" s="25">
        <f t="shared" ref="N31:N34" si="7">-K31</f>
        <v>-0.66481009045604322</v>
      </c>
      <c r="O31" s="25">
        <f t="shared" si="6"/>
        <v>-7.9999999999999982</v>
      </c>
    </row>
    <row r="32" spans="2:17" x14ac:dyDescent="0.25">
      <c r="B32">
        <v>2002</v>
      </c>
      <c r="D32" s="25">
        <v>31.35953846153847</v>
      </c>
      <c r="E32" s="26">
        <f t="shared" si="5"/>
        <v>-0.73162825891209105</v>
      </c>
      <c r="F32" s="25">
        <f t="shared" si="1"/>
        <v>-27.875964193835195</v>
      </c>
      <c r="H32" s="18">
        <f>-E$4-I31-E32</f>
        <v>0.73162825891209105</v>
      </c>
      <c r="I32" s="25">
        <f t="shared" ref="I32:I45" si="8">I31+E32+H32</f>
        <v>-8</v>
      </c>
      <c r="K32" s="25">
        <f t="shared" si="0"/>
        <v>-0.43994104985165028</v>
      </c>
      <c r="L32" s="25">
        <f t="shared" si="3"/>
        <v>-16.762311739159355</v>
      </c>
      <c r="N32" s="25">
        <f t="shared" si="7"/>
        <v>0.43994104985165028</v>
      </c>
      <c r="O32" s="25">
        <f t="shared" si="6"/>
        <v>-7.9999999999999991</v>
      </c>
    </row>
    <row r="33" spans="2:18" x14ac:dyDescent="0.25">
      <c r="B33">
        <v>2003</v>
      </c>
      <c r="D33" s="25">
        <v>30.102984615384603</v>
      </c>
      <c r="E33" s="26">
        <f t="shared" si="5"/>
        <v>-0.40073993460439317</v>
      </c>
      <c r="F33" s="25">
        <f t="shared" si="1"/>
        <v>-28.276704128439587</v>
      </c>
      <c r="H33" s="18">
        <f>-E$4-I32-E33</f>
        <v>0.40073993460439317</v>
      </c>
      <c r="I33" s="25">
        <f t="shared" si="8"/>
        <v>-8</v>
      </c>
      <c r="K33" s="25">
        <f t="shared" si="0"/>
        <v>-0.24097203108241613</v>
      </c>
      <c r="L33" s="25">
        <f t="shared" si="3"/>
        <v>-17.003283770241772</v>
      </c>
      <c r="N33" s="25">
        <f t="shared" si="7"/>
        <v>0.24097203108241613</v>
      </c>
      <c r="O33" s="25">
        <f t="shared" si="6"/>
        <v>-8</v>
      </c>
    </row>
    <row r="34" spans="2:18" x14ac:dyDescent="0.25">
      <c r="B34">
        <v>2004</v>
      </c>
      <c r="D34" s="25">
        <v>54.188623076923093</v>
      </c>
      <c r="E34" s="26">
        <f t="shared" si="5"/>
        <v>-6.7432111106813242</v>
      </c>
      <c r="F34" s="25">
        <f t="shared" si="1"/>
        <v>-35.019915239120913</v>
      </c>
      <c r="H34" s="18">
        <f>-E$4-I33-E34</f>
        <v>6.7432111106813242</v>
      </c>
      <c r="I34" s="25">
        <f t="shared" si="8"/>
        <v>-8</v>
      </c>
      <c r="K34" s="25">
        <f t="shared" si="0"/>
        <v>-4.0548124532747289</v>
      </c>
      <c r="L34" s="25">
        <f t="shared" si="3"/>
        <v>-21.0580962235165</v>
      </c>
      <c r="N34" s="25">
        <f t="shared" si="7"/>
        <v>4.0548124532747289</v>
      </c>
      <c r="O34" s="25">
        <f t="shared" si="6"/>
        <v>-7.9999999999999991</v>
      </c>
    </row>
    <row r="35" spans="2:18" x14ac:dyDescent="0.25">
      <c r="B35">
        <v>2005</v>
      </c>
      <c r="D35" s="25">
        <v>21.235638461538464</v>
      </c>
      <c r="E35" s="32">
        <f t="shared" si="5"/>
        <v>1.9342983280879107</v>
      </c>
      <c r="F35" s="25">
        <f t="shared" si="1"/>
        <v>-33.085616911033</v>
      </c>
      <c r="H35" s="18"/>
      <c r="I35" s="25">
        <f t="shared" si="8"/>
        <v>-6.0657016719120893</v>
      </c>
      <c r="K35" s="25">
        <f t="shared" si="0"/>
        <v>1.1631278956483508</v>
      </c>
      <c r="L35" s="25">
        <f t="shared" si="3"/>
        <v>-19.894968327868149</v>
      </c>
      <c r="N35" s="25"/>
      <c r="O35" s="25">
        <f t="shared" si="6"/>
        <v>-6.8368721043516487</v>
      </c>
      <c r="Q35" s="18"/>
      <c r="R35" s="18"/>
    </row>
    <row r="36" spans="2:18" x14ac:dyDescent="0.25">
      <c r="B36">
        <v>2006</v>
      </c>
      <c r="D36" s="25">
        <v>25.492584615384619</v>
      </c>
      <c r="E36" s="25">
        <f t="shared" si="5"/>
        <v>0.81331669739560275</v>
      </c>
      <c r="F36" s="25">
        <f t="shared" si="1"/>
        <v>-32.272300213637401</v>
      </c>
      <c r="I36" s="25">
        <f t="shared" si="8"/>
        <v>-5.2523849745164863</v>
      </c>
      <c r="K36" s="25">
        <f t="shared" si="0"/>
        <v>0.48906175691758141</v>
      </c>
      <c r="L36" s="25">
        <f t="shared" si="3"/>
        <v>-19.405906570950567</v>
      </c>
      <c r="N36" s="18"/>
      <c r="O36" s="25">
        <f t="shared" si="6"/>
        <v>-6.3478103474340672</v>
      </c>
      <c r="Q36" s="18"/>
      <c r="R36" s="18"/>
    </row>
    <row r="37" spans="2:18" x14ac:dyDescent="0.25">
      <c r="B37">
        <v>2007</v>
      </c>
      <c r="D37" s="25">
        <v>35.315846153846159</v>
      </c>
      <c r="E37" s="26">
        <f t="shared" si="5"/>
        <v>-1.7734427635274748</v>
      </c>
      <c r="F37" s="25">
        <f t="shared" si="1"/>
        <v>-34.045742977164878</v>
      </c>
      <c r="I37" s="25">
        <f t="shared" si="8"/>
        <v>-7.0258277380439615</v>
      </c>
      <c r="K37" s="25">
        <f>($E$5-$D37)*$K$6</f>
        <v>-1.0664025913901114</v>
      </c>
      <c r="L37" s="25">
        <f t="shared" si="3"/>
        <v>-20.472309162340679</v>
      </c>
      <c r="N37" s="18"/>
      <c r="O37" s="25">
        <f t="shared" si="6"/>
        <v>-7.4142129388241784</v>
      </c>
    </row>
    <row r="38" spans="2:18" x14ac:dyDescent="0.25">
      <c r="B38">
        <v>2008</v>
      </c>
      <c r="D38" s="25">
        <v>22.713823076923081</v>
      </c>
      <c r="E38" s="25">
        <f t="shared" si="5"/>
        <v>1.5450479733186795</v>
      </c>
      <c r="F38" s="25">
        <f t="shared" si="1"/>
        <v>-32.500695003846197</v>
      </c>
      <c r="I38" s="25">
        <f t="shared" si="8"/>
        <v>-5.4807797647252823</v>
      </c>
      <c r="K38" s="25">
        <f t="shared" si="0"/>
        <v>0.92906475272527367</v>
      </c>
      <c r="L38" s="25">
        <f t="shared" si="3"/>
        <v>-19.543244409615404</v>
      </c>
      <c r="N38" s="18"/>
      <c r="O38" s="25">
        <f t="shared" si="6"/>
        <v>-6.4851481860989049</v>
      </c>
    </row>
    <row r="39" spans="2:18" x14ac:dyDescent="0.25">
      <c r="B39">
        <v>2009</v>
      </c>
      <c r="D39" s="25">
        <v>10.263523076923077</v>
      </c>
      <c r="E39" s="25">
        <f t="shared" si="5"/>
        <v>4.8235854723186815</v>
      </c>
      <c r="F39" s="25">
        <f t="shared" si="1"/>
        <v>-27.677109531527513</v>
      </c>
      <c r="I39" s="25">
        <f t="shared" si="8"/>
        <v>-0.65719429240660077</v>
      </c>
      <c r="K39" s="25">
        <f t="shared" si="0"/>
        <v>2.9005075062252748</v>
      </c>
      <c r="L39" s="25">
        <f t="shared" si="3"/>
        <v>-16.64273690339013</v>
      </c>
      <c r="N39" s="18"/>
      <c r="O39" s="25">
        <f t="shared" si="6"/>
        <v>-3.5846406798736301</v>
      </c>
    </row>
    <row r="40" spans="2:18" x14ac:dyDescent="0.25">
      <c r="B40">
        <v>2010</v>
      </c>
      <c r="D40" s="25">
        <v>31.218976923076912</v>
      </c>
      <c r="E40" s="26">
        <f t="shared" si="5"/>
        <v>-0.69461418898900895</v>
      </c>
      <c r="F40" s="25">
        <f t="shared" si="1"/>
        <v>-28.37172372051652</v>
      </c>
      <c r="I40" s="25">
        <f t="shared" si="8"/>
        <v>-1.3518084813956097</v>
      </c>
      <c r="K40" s="25">
        <f t="shared" si="0"/>
        <v>-0.41768383304395484</v>
      </c>
      <c r="L40" s="25">
        <f t="shared" si="3"/>
        <v>-17.060420736434086</v>
      </c>
      <c r="N40" s="18"/>
      <c r="O40" s="25">
        <f t="shared" si="6"/>
        <v>-4.0023245129175846</v>
      </c>
    </row>
    <row r="41" spans="2:18" x14ac:dyDescent="0.25">
      <c r="B41">
        <v>2011</v>
      </c>
      <c r="D41" s="25">
        <v>26.52533846153846</v>
      </c>
      <c r="E41" s="25">
        <f t="shared" si="5"/>
        <v>0.54136162708791158</v>
      </c>
      <c r="F41" s="25">
        <f t="shared" si="1"/>
        <v>-27.830362093428608</v>
      </c>
      <c r="I41" s="25">
        <f t="shared" si="8"/>
        <v>-0.81044685430769814</v>
      </c>
      <c r="K41" s="25">
        <f t="shared" si="0"/>
        <v>0.32553034914835138</v>
      </c>
      <c r="L41" s="25">
        <f t="shared" si="3"/>
        <v>-16.734890387285734</v>
      </c>
      <c r="N41" s="18"/>
      <c r="O41" s="25">
        <f t="shared" si="6"/>
        <v>-3.6767941637692334</v>
      </c>
    </row>
    <row r="42" spans="2:18" x14ac:dyDescent="0.25">
      <c r="B42">
        <v>2012</v>
      </c>
      <c r="D42" s="25">
        <v>4.1213846153846152</v>
      </c>
      <c r="E42" s="25">
        <f t="shared" si="5"/>
        <v>6.4409947933956033</v>
      </c>
      <c r="F42" s="25">
        <f t="shared" si="1"/>
        <v>-21.389367300033005</v>
      </c>
      <c r="I42" s="25">
        <f t="shared" si="8"/>
        <v>5.6305479390879052</v>
      </c>
      <c r="K42" s="25">
        <f t="shared" si="0"/>
        <v>3.8730844209175821</v>
      </c>
      <c r="L42" s="25">
        <f t="shared" si="3"/>
        <v>-12.861805966368152</v>
      </c>
      <c r="N42" s="18"/>
      <c r="O42" s="25">
        <f t="shared" si="6"/>
        <v>0.19629025714834869</v>
      </c>
    </row>
    <row r="43" spans="2:18" x14ac:dyDescent="0.25">
      <c r="B43">
        <v>2013</v>
      </c>
      <c r="D43" s="25">
        <v>1.6255923076923078</v>
      </c>
      <c r="E43" s="25">
        <f t="shared" si="5"/>
        <v>7.0982117817802193</v>
      </c>
      <c r="F43" s="25">
        <f t="shared" si="1"/>
        <v>-14.291155518252786</v>
      </c>
      <c r="H43" s="18">
        <f>$E$4-F43-SUM(H$11:H42)</f>
        <v>-4.7287597208681333</v>
      </c>
      <c r="I43" s="25">
        <f t="shared" si="8"/>
        <v>7.9999999999999911</v>
      </c>
      <c r="K43" s="25">
        <f t="shared" si="0"/>
        <v>4.2682806538791205</v>
      </c>
      <c r="L43" s="25">
        <f t="shared" si="3"/>
        <v>-8.5935253124890316</v>
      </c>
      <c r="N43" s="18"/>
      <c r="O43" s="25">
        <f t="shared" si="6"/>
        <v>4.4645709110274687</v>
      </c>
    </row>
    <row r="44" spans="2:18" x14ac:dyDescent="0.25">
      <c r="B44">
        <v>2014</v>
      </c>
      <c r="D44" s="25">
        <v>1.0163923076923076</v>
      </c>
      <c r="E44" s="25">
        <f t="shared" si="5"/>
        <v>7.2586324177802197</v>
      </c>
      <c r="F44" s="25">
        <f t="shared" si="1"/>
        <v>-7.0325231004725666</v>
      </c>
      <c r="H44" s="18">
        <f>$E$4-F44-SUM(H$11:H43)</f>
        <v>-7.2586324177802197</v>
      </c>
      <c r="I44" s="25">
        <f t="shared" si="8"/>
        <v>7.9999999999999911</v>
      </c>
      <c r="K44" s="25">
        <f t="shared" si="0"/>
        <v>4.3647444278791205</v>
      </c>
      <c r="L44" s="25">
        <f t="shared" si="3"/>
        <v>-4.2287808846099111</v>
      </c>
      <c r="N44" s="18"/>
      <c r="O44" s="25">
        <f t="shared" si="6"/>
        <v>8.8293153389065893</v>
      </c>
    </row>
    <row r="45" spans="2:18" x14ac:dyDescent="0.25">
      <c r="B45">
        <v>2015</v>
      </c>
      <c r="D45" s="25">
        <v>1.875046153846154</v>
      </c>
      <c r="E45" s="25">
        <f t="shared" si="5"/>
        <v>7.0325231004725275</v>
      </c>
      <c r="F45" s="25">
        <f t="shared" si="1"/>
        <v>-3.907985046680551E-14</v>
      </c>
      <c r="H45" s="18">
        <f>$E$4-F45-SUM(H$11:H44)</f>
        <v>-7.0325231004725275</v>
      </c>
      <c r="I45" s="25">
        <f t="shared" si="8"/>
        <v>7.9999999999999911</v>
      </c>
      <c r="K45" s="25">
        <f t="shared" si="0"/>
        <v>4.2287808846098898</v>
      </c>
      <c r="L45" s="25">
        <f t="shared" si="3"/>
        <v>-2.1316282072803006E-14</v>
      </c>
      <c r="N45" s="18">
        <f>$E$4-L45-SUM(N$11:N44)</f>
        <v>-5.058096223516479</v>
      </c>
      <c r="O45" s="25">
        <f t="shared" si="6"/>
        <v>8</v>
      </c>
    </row>
    <row r="46" spans="2:18" ht="9" customHeight="1" x14ac:dyDescent="0.25">
      <c r="D46" s="25"/>
    </row>
    <row r="47" spans="2:18" x14ac:dyDescent="0.25">
      <c r="B47" t="s">
        <v>232</v>
      </c>
      <c r="D47" s="27">
        <f>AVERAGE(D11:D45)</f>
        <v>28.581168131868129</v>
      </c>
      <c r="K47" s="27"/>
    </row>
    <row r="48" spans="2:18" x14ac:dyDescent="0.25">
      <c r="D48" s="25"/>
      <c r="G48" t="s">
        <v>27</v>
      </c>
      <c r="H48" s="25">
        <f>SUM(H11:H45)</f>
        <v>8.0000000000000391</v>
      </c>
      <c r="M48" t="s">
        <v>27</v>
      </c>
      <c r="N48" s="25">
        <f>SUM(N11:N45)</f>
        <v>8.0000000000000213</v>
      </c>
    </row>
    <row r="49" spans="2:14" x14ac:dyDescent="0.25">
      <c r="D49" s="25"/>
    </row>
    <row r="50" spans="2:14" x14ac:dyDescent="0.25">
      <c r="D50" s="25"/>
    </row>
    <row r="51" spans="2:14" x14ac:dyDescent="0.25">
      <c r="B51" s="16" t="s">
        <v>28</v>
      </c>
    </row>
    <row r="52" spans="2:14" x14ac:dyDescent="0.25">
      <c r="C52" t="s">
        <v>29</v>
      </c>
      <c r="H52">
        <f>COUNTBLANK(H11:H45)</f>
        <v>17</v>
      </c>
      <c r="N52">
        <f>COUNTBLANK(N11:N45)</f>
        <v>20</v>
      </c>
    </row>
    <row r="53" spans="2:14" x14ac:dyDescent="0.25">
      <c r="C53" t="s">
        <v>30</v>
      </c>
      <c r="H53">
        <f>COUNTIF(H11:H45,"&lt;0")</f>
        <v>10</v>
      </c>
      <c r="N53">
        <f>COUNTIF(N11:N45,"&lt;0")</f>
        <v>8</v>
      </c>
    </row>
    <row r="54" spans="2:14" x14ac:dyDescent="0.25">
      <c r="C54" t="s">
        <v>31</v>
      </c>
      <c r="H54">
        <f>COUNTIF(H11:H45,H58)</f>
        <v>1</v>
      </c>
      <c r="N54">
        <f>COUNTIF(N11:N45,N58)</f>
        <v>1</v>
      </c>
    </row>
    <row r="55" spans="2:14" x14ac:dyDescent="0.25">
      <c r="C55" t="s">
        <v>32</v>
      </c>
      <c r="H55">
        <f>COUNTIF(H11:H45,"&gt;0")</f>
        <v>8</v>
      </c>
      <c r="N55">
        <f>COUNTIF(N11:N45,"&gt;0")</f>
        <v>7</v>
      </c>
    </row>
    <row r="57" spans="2:14" x14ac:dyDescent="0.25">
      <c r="B57" s="16" t="s">
        <v>33</v>
      </c>
    </row>
    <row r="58" spans="2:14" x14ac:dyDescent="0.25">
      <c r="C58" t="s">
        <v>34</v>
      </c>
      <c r="H58" s="28">
        <f>MIN(H11:H45)</f>
        <v>-7.339788698164833</v>
      </c>
      <c r="N58" s="28">
        <f>MIN(N11:N45)</f>
        <v>-5.058096223516479</v>
      </c>
    </row>
    <row r="59" spans="2:14" x14ac:dyDescent="0.25">
      <c r="C59" t="s">
        <v>35</v>
      </c>
      <c r="H59" s="28">
        <f>MAX(H11:H45)</f>
        <v>23.279026563142864</v>
      </c>
      <c r="N59" s="28">
        <f>MAX(N11:N45)</f>
        <v>13.998091600428575</v>
      </c>
    </row>
    <row r="60" spans="2:14" x14ac:dyDescent="0.25">
      <c r="C60" t="s">
        <v>36</v>
      </c>
      <c r="H60" s="28">
        <f>H64/H55</f>
        <v>8.336549026372257</v>
      </c>
      <c r="N60" s="28">
        <f>N64/N55</f>
        <v>4.8177717500839901</v>
      </c>
    </row>
    <row r="61" spans="2:14" x14ac:dyDescent="0.25">
      <c r="C61" t="s">
        <v>37</v>
      </c>
      <c r="H61" s="25">
        <f>H48</f>
        <v>8.0000000000000391</v>
      </c>
      <c r="N61" s="25">
        <f>N48</f>
        <v>8.0000000000000213</v>
      </c>
    </row>
    <row r="64" spans="2:14" x14ac:dyDescent="0.25">
      <c r="B64" s="16" t="s">
        <v>38</v>
      </c>
      <c r="H64">
        <f>SUMIF(H11:H45,"&gt;0")</f>
        <v>66.692392210978056</v>
      </c>
      <c r="N64">
        <f>SUMIF(N11:N45,"&gt;0")</f>
        <v>33.724402250587929</v>
      </c>
    </row>
  </sheetData>
  <mergeCells count="6">
    <mergeCell ref="E8:I8"/>
    <mergeCell ref="K8:O8"/>
    <mergeCell ref="E9:F9"/>
    <mergeCell ref="H9:I9"/>
    <mergeCell ref="K9:L9"/>
    <mergeCell ref="N9:O9"/>
  </mergeCells>
  <pageMargins left="0.7" right="0.7" top="0.75" bottom="0.75" header="0.3" footer="0.3"/>
  <pageSetup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64"/>
  <sheetViews>
    <sheetView view="pageBreakPreview" zoomScaleNormal="100" zoomScaleSheetLayoutView="100" workbookViewId="0">
      <selection activeCell="A28" sqref="A28"/>
    </sheetView>
  </sheetViews>
  <sheetFormatPr defaultRowHeight="15" x14ac:dyDescent="0.25"/>
  <cols>
    <col min="1" max="1" width="2.140625" customWidth="1"/>
    <col min="2" max="2" width="6.7109375" customWidth="1"/>
    <col min="3" max="3" width="2.5703125" customWidth="1"/>
    <col min="4" max="4" width="13" customWidth="1"/>
    <col min="7" max="7" width="3.42578125" customWidth="1"/>
    <col min="9" max="9" width="6.42578125" customWidth="1"/>
    <col min="10" max="10" width="4" customWidth="1"/>
    <col min="13" max="13" width="4" customWidth="1"/>
    <col min="14" max="14" width="7.28515625" customWidth="1"/>
    <col min="15" max="15" width="9" customWidth="1"/>
  </cols>
  <sheetData>
    <row r="1" spans="2:15" x14ac:dyDescent="0.25">
      <c r="D1" s="16" t="s">
        <v>231</v>
      </c>
    </row>
    <row r="3" spans="2:15" x14ac:dyDescent="0.25">
      <c r="B3" s="16" t="s">
        <v>50</v>
      </c>
    </row>
    <row r="4" spans="2:15" x14ac:dyDescent="0.25">
      <c r="C4" s="16" t="s">
        <v>10</v>
      </c>
      <c r="D4" s="16"/>
      <c r="E4" s="17">
        <v>16</v>
      </c>
      <c r="F4" s="16" t="s">
        <v>11</v>
      </c>
      <c r="K4" s="18"/>
    </row>
    <row r="5" spans="2:15" x14ac:dyDescent="0.25">
      <c r="B5" t="s">
        <v>12</v>
      </c>
      <c r="E5" s="19">
        <f>D47</f>
        <v>28.581168131868129</v>
      </c>
      <c r="F5" t="s">
        <v>13</v>
      </c>
      <c r="K5" s="19"/>
    </row>
    <row r="6" spans="2:15" x14ac:dyDescent="0.25">
      <c r="B6" t="s">
        <v>14</v>
      </c>
      <c r="E6" s="20">
        <v>0.14668</v>
      </c>
      <c r="F6" t="s">
        <v>15</v>
      </c>
      <c r="J6" s="21" t="s">
        <v>16</v>
      </c>
      <c r="K6" s="20">
        <f>E6*L6+E7*(1-L6)</f>
        <v>0.15834500000000001</v>
      </c>
      <c r="L6" s="22">
        <v>0.9</v>
      </c>
      <c r="M6" t="s">
        <v>17</v>
      </c>
    </row>
    <row r="7" spans="2:15" x14ac:dyDescent="0.25">
      <c r="B7" t="s">
        <v>18</v>
      </c>
      <c r="E7" s="20">
        <v>0.26333000000000001</v>
      </c>
      <c r="F7" t="s">
        <v>15</v>
      </c>
    </row>
    <row r="8" spans="2:15" x14ac:dyDescent="0.25">
      <c r="E8" s="36" t="s">
        <v>19</v>
      </c>
      <c r="F8" s="37"/>
      <c r="G8" s="37"/>
      <c r="H8" s="37"/>
      <c r="I8" s="38"/>
      <c r="K8" s="36" t="s">
        <v>20</v>
      </c>
      <c r="L8" s="37"/>
      <c r="M8" s="37"/>
      <c r="N8" s="37"/>
      <c r="O8" s="38"/>
    </row>
    <row r="9" spans="2:15" ht="34.9" customHeight="1" x14ac:dyDescent="0.25">
      <c r="E9" s="34" t="s">
        <v>21</v>
      </c>
      <c r="F9" s="34"/>
      <c r="H9" s="34" t="s">
        <v>22</v>
      </c>
      <c r="I9" s="34"/>
      <c r="K9" s="34" t="s">
        <v>21</v>
      </c>
      <c r="L9" s="34"/>
      <c r="N9" s="34" t="s">
        <v>22</v>
      </c>
      <c r="O9" s="34"/>
    </row>
    <row r="10" spans="2:15" ht="29.1" customHeight="1" x14ac:dyDescent="0.25">
      <c r="B10" s="23" t="s">
        <v>2</v>
      </c>
      <c r="D10" s="23" t="s">
        <v>23</v>
      </c>
      <c r="E10" s="23" t="s">
        <v>24</v>
      </c>
      <c r="F10" s="23" t="s">
        <v>25</v>
      </c>
      <c r="H10" s="23" t="s">
        <v>26</v>
      </c>
      <c r="I10" s="24" t="s">
        <v>25</v>
      </c>
      <c r="K10" s="23" t="s">
        <v>24</v>
      </c>
      <c r="L10" s="23" t="s">
        <v>25</v>
      </c>
      <c r="N10" s="23" t="s">
        <v>26</v>
      </c>
      <c r="O10" s="24" t="s">
        <v>25</v>
      </c>
    </row>
    <row r="11" spans="2:15" x14ac:dyDescent="0.25">
      <c r="B11">
        <v>1981</v>
      </c>
      <c r="D11" s="25">
        <v>0.70820000000000005</v>
      </c>
      <c r="E11" s="25">
        <f>($E$5-$D11)*$E$7</f>
        <v>7.3397886981648339</v>
      </c>
      <c r="F11" s="25">
        <f>E11</f>
        <v>7.3397886981648339</v>
      </c>
      <c r="I11" s="25">
        <f>E11</f>
        <v>7.3397886981648339</v>
      </c>
      <c r="K11" s="25">
        <f>($E$5-$D11)*$K$6</f>
        <v>4.413545138840659</v>
      </c>
      <c r="L11" s="25">
        <f>K11</f>
        <v>4.413545138840659</v>
      </c>
      <c r="O11" s="25">
        <f>K11</f>
        <v>4.413545138840659</v>
      </c>
    </row>
    <row r="12" spans="2:15" x14ac:dyDescent="0.25">
      <c r="B12">
        <v>1982</v>
      </c>
      <c r="D12" s="25">
        <v>0.70820000000000005</v>
      </c>
      <c r="E12" s="25">
        <f>($E$5-$D12)*$E$7</f>
        <v>7.3397886981648339</v>
      </c>
      <c r="F12" s="25">
        <f>F11+E12</f>
        <v>14.679577396329668</v>
      </c>
      <c r="I12" s="25">
        <f>I11+E12+H12</f>
        <v>14.679577396329668</v>
      </c>
      <c r="K12" s="25">
        <f t="shared" ref="K12:K45" si="0">($E$5-$D12)*$K$6</f>
        <v>4.413545138840659</v>
      </c>
      <c r="L12" s="25">
        <f>L11+K12</f>
        <v>8.827090277681318</v>
      </c>
      <c r="O12" s="25">
        <f>O11+K12+N12</f>
        <v>8.827090277681318</v>
      </c>
    </row>
    <row r="13" spans="2:15" x14ac:dyDescent="0.25">
      <c r="B13">
        <v>1983</v>
      </c>
      <c r="D13" s="25">
        <v>0.70820000000000005</v>
      </c>
      <c r="E13" s="25">
        <f>($E$5-$D13)*$E$7</f>
        <v>7.3397886981648339</v>
      </c>
      <c r="F13" s="25">
        <f t="shared" ref="F13:F45" si="1">F12+E13</f>
        <v>22.019366094494501</v>
      </c>
      <c r="H13" s="18">
        <f>$E$4-F13-SUM(H$11:H12)</f>
        <v>-6.0193660944945009</v>
      </c>
      <c r="I13" s="25">
        <f t="shared" ref="I13:I30" si="2">I12+E13+H13</f>
        <v>16</v>
      </c>
      <c r="K13" s="25">
        <f t="shared" si="0"/>
        <v>4.413545138840659</v>
      </c>
      <c r="L13" s="25">
        <f t="shared" ref="L13:L45" si="3">L12+K13</f>
        <v>13.240635416521977</v>
      </c>
      <c r="O13" s="25">
        <f t="shared" ref="O13:O25" si="4">O12+K13+N13</f>
        <v>13.240635416521977</v>
      </c>
    </row>
    <row r="14" spans="2:15" x14ac:dyDescent="0.25">
      <c r="B14">
        <v>1984</v>
      </c>
      <c r="D14" s="25">
        <v>31.000315384615387</v>
      </c>
      <c r="E14" s="26">
        <f>($E$5-$D14)*$E$7</f>
        <v>-0.63703404606593561</v>
      </c>
      <c r="F14" s="25">
        <f t="shared" si="1"/>
        <v>21.382332048428566</v>
      </c>
      <c r="H14" s="18"/>
      <c r="I14" s="25">
        <f t="shared" si="2"/>
        <v>15.362965953934065</v>
      </c>
      <c r="K14" s="25">
        <f t="shared" si="0"/>
        <v>-0.38305987173626466</v>
      </c>
      <c r="L14" s="25">
        <f t="shared" si="3"/>
        <v>12.857575544785712</v>
      </c>
      <c r="N14" s="18"/>
      <c r="O14" s="25">
        <f t="shared" si="4"/>
        <v>12.857575544785712</v>
      </c>
    </row>
    <row r="15" spans="2:15" x14ac:dyDescent="0.25">
      <c r="B15">
        <v>1985</v>
      </c>
      <c r="D15" s="25">
        <v>43.932792307692296</v>
      </c>
      <c r="E15" s="26">
        <f>($E$5-$D15)*$E$7</f>
        <v>-4.0425431942197783</v>
      </c>
      <c r="F15" s="25">
        <f t="shared" si="1"/>
        <v>17.339788854208788</v>
      </c>
      <c r="H15" s="18"/>
      <c r="I15" s="25">
        <f>I14+E15+H15</f>
        <v>11.320422759714287</v>
      </c>
      <c r="K15" s="25">
        <f t="shared" si="0"/>
        <v>-2.4308529301208779</v>
      </c>
      <c r="L15" s="25">
        <f t="shared" si="3"/>
        <v>10.426722614664834</v>
      </c>
      <c r="N15" s="18"/>
      <c r="O15" s="25">
        <f t="shared" si="4"/>
        <v>10.426722614664834</v>
      </c>
    </row>
    <row r="16" spans="2:15" x14ac:dyDescent="0.25">
      <c r="B16">
        <v>1986</v>
      </c>
      <c r="D16" s="25">
        <v>48.028892307692317</v>
      </c>
      <c r="E16" s="26">
        <f t="shared" ref="E16:E45" si="5">($E$5-$D16)*$E$7</f>
        <v>-5.1211692072197836</v>
      </c>
      <c r="F16" s="25">
        <f t="shared" si="1"/>
        <v>12.218619646989005</v>
      </c>
      <c r="H16" s="18"/>
      <c r="I16" s="25">
        <f t="shared" si="2"/>
        <v>6.1992535524945032</v>
      </c>
      <c r="K16" s="25">
        <f>($E$5-$D16)*$K$6</f>
        <v>-3.0794498846208813</v>
      </c>
      <c r="L16" s="25">
        <f t="shared" si="3"/>
        <v>7.3472727300439526</v>
      </c>
      <c r="N16" s="18"/>
      <c r="O16" s="25">
        <f t="shared" si="4"/>
        <v>7.3472727300439526</v>
      </c>
    </row>
    <row r="17" spans="2:17" x14ac:dyDescent="0.25">
      <c r="B17">
        <v>1987</v>
      </c>
      <c r="D17" s="25">
        <v>27.664207692307691</v>
      </c>
      <c r="E17" s="25">
        <f t="shared" si="5"/>
        <v>0.24146319254944998</v>
      </c>
      <c r="F17" s="25">
        <f t="shared" si="1"/>
        <v>12.460082839538455</v>
      </c>
      <c r="H17" s="18"/>
      <c r="I17" s="25">
        <f t="shared" si="2"/>
        <v>6.4407167450439529</v>
      </c>
      <c r="K17" s="25">
        <f t="shared" si="0"/>
        <v>0.14519610080219747</v>
      </c>
      <c r="L17" s="25">
        <f t="shared" si="3"/>
        <v>7.4924688308461498</v>
      </c>
      <c r="N17" s="18"/>
      <c r="O17" s="25">
        <f t="shared" si="4"/>
        <v>7.4924688308461498</v>
      </c>
    </row>
    <row r="18" spans="2:17" x14ac:dyDescent="0.25">
      <c r="B18">
        <v>1988</v>
      </c>
      <c r="D18" s="25">
        <v>32.442123076923075</v>
      </c>
      <c r="E18" s="26">
        <f t="shared" si="5"/>
        <v>-1.0167052656813189</v>
      </c>
      <c r="F18" s="25">
        <f t="shared" si="1"/>
        <v>11.443377573857136</v>
      </c>
      <c r="H18" s="18"/>
      <c r="I18" s="25">
        <f t="shared" si="2"/>
        <v>5.4240114793626342</v>
      </c>
      <c r="K18" s="25">
        <f t="shared" si="0"/>
        <v>-0.61136291077472549</v>
      </c>
      <c r="L18" s="25">
        <f t="shared" si="3"/>
        <v>6.8811059200714242</v>
      </c>
      <c r="N18" s="18"/>
      <c r="O18" s="25">
        <f t="shared" si="4"/>
        <v>6.8811059200714242</v>
      </c>
    </row>
    <row r="19" spans="2:17" x14ac:dyDescent="0.25">
      <c r="B19">
        <v>1989</v>
      </c>
      <c r="D19" s="25">
        <v>12.927030769230765</v>
      </c>
      <c r="E19" s="25">
        <f t="shared" si="5"/>
        <v>4.1222039917032971</v>
      </c>
      <c r="F19" s="25">
        <f t="shared" si="1"/>
        <v>15.565581565560432</v>
      </c>
      <c r="H19" s="18"/>
      <c r="I19" s="25">
        <f t="shared" si="2"/>
        <v>9.5462154710659313</v>
      </c>
      <c r="K19" s="25">
        <f t="shared" si="0"/>
        <v>2.4787543806868135</v>
      </c>
      <c r="L19" s="25">
        <f t="shared" si="3"/>
        <v>9.3598603007582373</v>
      </c>
      <c r="N19" s="18"/>
      <c r="O19" s="25">
        <f t="shared" si="4"/>
        <v>9.3598603007582373</v>
      </c>
    </row>
    <row r="20" spans="2:17" x14ac:dyDescent="0.25">
      <c r="B20">
        <v>1990</v>
      </c>
      <c r="D20" s="25">
        <v>14.948215384615382</v>
      </c>
      <c r="E20" s="25">
        <f t="shared" si="5"/>
        <v>3.5899654469340656</v>
      </c>
      <c r="F20" s="25">
        <f t="shared" si="1"/>
        <v>19.155547012494498</v>
      </c>
      <c r="H20" s="18"/>
      <c r="I20" s="25">
        <f t="shared" si="2"/>
        <v>13.136180917999997</v>
      </c>
      <c r="K20" s="25">
        <f t="shared" si="0"/>
        <v>2.1587099027637362</v>
      </c>
      <c r="L20" s="25">
        <f t="shared" si="3"/>
        <v>11.518570203521973</v>
      </c>
      <c r="N20" s="18"/>
      <c r="O20" s="25">
        <f t="shared" si="4"/>
        <v>11.518570203521973</v>
      </c>
    </row>
    <row r="21" spans="2:17" x14ac:dyDescent="0.25">
      <c r="B21">
        <v>1991</v>
      </c>
      <c r="D21" s="25">
        <v>3.3236153846153851</v>
      </c>
      <c r="E21" s="25">
        <f t="shared" si="5"/>
        <v>6.651071364934066</v>
      </c>
      <c r="F21" s="25">
        <f t="shared" si="1"/>
        <v>25.806618377428563</v>
      </c>
      <c r="H21" s="18">
        <f>$E$4-F21-SUM(H$11:H20)</f>
        <v>-3.7872522829340625</v>
      </c>
      <c r="I21" s="25">
        <f t="shared" si="2"/>
        <v>16</v>
      </c>
      <c r="K21" s="25">
        <f t="shared" si="0"/>
        <v>3.9994071897637364</v>
      </c>
      <c r="L21" s="25">
        <f t="shared" si="3"/>
        <v>15.51797739328571</v>
      </c>
      <c r="N21" s="18"/>
      <c r="O21" s="25">
        <f t="shared" si="4"/>
        <v>15.51797739328571</v>
      </c>
    </row>
    <row r="22" spans="2:17" x14ac:dyDescent="0.25">
      <c r="B22">
        <v>1992</v>
      </c>
      <c r="D22" s="25">
        <v>1.6416384615384618</v>
      </c>
      <c r="E22" s="25">
        <f t="shared" si="5"/>
        <v>7.0939863480879115</v>
      </c>
      <c r="F22" s="25">
        <f t="shared" si="1"/>
        <v>32.900604725516473</v>
      </c>
      <c r="H22" s="18">
        <f>$E$4-F22-SUM(H$11:H21)</f>
        <v>-7.0939863480879097</v>
      </c>
      <c r="I22" s="25">
        <f t="shared" si="2"/>
        <v>16</v>
      </c>
      <c r="K22" s="25">
        <f t="shared" si="0"/>
        <v>4.2657398256483514</v>
      </c>
      <c r="L22" s="25">
        <f t="shared" si="3"/>
        <v>19.783717218934061</v>
      </c>
      <c r="N22" s="18">
        <f>$E$4-L22-SUM(N$11:N21)</f>
        <v>-3.7837172189340613</v>
      </c>
      <c r="O22" s="25">
        <f t="shared" si="4"/>
        <v>16</v>
      </c>
    </row>
    <row r="23" spans="2:17" x14ac:dyDescent="0.25">
      <c r="B23">
        <v>1993</v>
      </c>
      <c r="D23" s="25">
        <v>2.8123076923076922</v>
      </c>
      <c r="E23" s="25">
        <f t="shared" si="5"/>
        <v>6.7857140195494505</v>
      </c>
      <c r="F23" s="25">
        <f t="shared" si="1"/>
        <v>39.686318745065925</v>
      </c>
      <c r="H23" s="18">
        <f>$E$4-F23-SUM(H$11:H22)</f>
        <v>-6.7857140195494523</v>
      </c>
      <c r="I23" s="25">
        <f t="shared" si="2"/>
        <v>16</v>
      </c>
      <c r="K23" s="25">
        <f t="shared" si="0"/>
        <v>4.0803702063021978</v>
      </c>
      <c r="L23" s="25">
        <f t="shared" si="3"/>
        <v>23.86408742523626</v>
      </c>
      <c r="N23" s="18">
        <f>$E$4-L23-SUM(N$11:N22)</f>
        <v>-4.0803702063021987</v>
      </c>
      <c r="O23" s="25">
        <f t="shared" si="4"/>
        <v>16</v>
      </c>
    </row>
    <row r="24" spans="2:17" x14ac:dyDescent="0.25">
      <c r="B24">
        <v>1994</v>
      </c>
      <c r="D24" s="25">
        <v>2.4520923076923071</v>
      </c>
      <c r="E24" s="25">
        <f>($E$5-$D24)*$E$7</f>
        <v>6.8805695367802189</v>
      </c>
      <c r="F24" s="25">
        <f t="shared" si="1"/>
        <v>46.566888281846147</v>
      </c>
      <c r="H24" s="18">
        <f>$E$4-F24-SUM(H$11:H23)</f>
        <v>-6.8805695367802215</v>
      </c>
      <c r="I24" s="25">
        <f t="shared" si="2"/>
        <v>15.999999999999996</v>
      </c>
      <c r="K24" s="25">
        <f t="shared" si="0"/>
        <v>4.137408511379121</v>
      </c>
      <c r="L24" s="25">
        <f t="shared" si="3"/>
        <v>28.001495936615381</v>
      </c>
      <c r="N24" s="18">
        <f>$E$4-L24-SUM(N$11:N23)</f>
        <v>-4.137408511379121</v>
      </c>
      <c r="O24" s="25">
        <f t="shared" si="4"/>
        <v>16</v>
      </c>
    </row>
    <row r="25" spans="2:17" x14ac:dyDescent="0.25">
      <c r="B25">
        <v>1995</v>
      </c>
      <c r="D25" s="25">
        <v>61.239430769230765</v>
      </c>
      <c r="E25" s="26">
        <f t="shared" si="5"/>
        <v>-8.5999003002967047</v>
      </c>
      <c r="F25" s="25">
        <f t="shared" si="1"/>
        <v>37.966987981549444</v>
      </c>
      <c r="H25" s="18"/>
      <c r="I25" s="25">
        <f t="shared" si="2"/>
        <v>7.4000996997032917</v>
      </c>
      <c r="K25" s="25">
        <f t="shared" si="0"/>
        <v>-5.1712725973131874</v>
      </c>
      <c r="L25" s="25">
        <f t="shared" si="3"/>
        <v>22.830223339302194</v>
      </c>
      <c r="N25" s="18"/>
      <c r="O25" s="25">
        <f t="shared" si="4"/>
        <v>10.828727402686813</v>
      </c>
    </row>
    <row r="26" spans="2:17" x14ac:dyDescent="0.25">
      <c r="B26">
        <v>1996</v>
      </c>
      <c r="D26" s="25">
        <v>71.231223076923087</v>
      </c>
      <c r="E26" s="26">
        <f t="shared" si="5"/>
        <v>-11.231038968681323</v>
      </c>
      <c r="F26" s="25">
        <f t="shared" si="1"/>
        <v>26.735949012868119</v>
      </c>
      <c r="H26" s="18"/>
      <c r="I26" s="25">
        <f t="shared" si="2"/>
        <v>-3.8309392689780317</v>
      </c>
      <c r="K26" s="25">
        <f t="shared" si="0"/>
        <v>-6.7534229502747287</v>
      </c>
      <c r="L26" s="25">
        <f t="shared" si="3"/>
        <v>16.076800389027465</v>
      </c>
      <c r="N26" s="18"/>
      <c r="O26" s="25">
        <f>O25+K26+N26</f>
        <v>4.0753044524120838</v>
      </c>
    </row>
    <row r="27" spans="2:17" x14ac:dyDescent="0.25">
      <c r="B27">
        <v>1997</v>
      </c>
      <c r="D27" s="25">
        <v>76.788115384615395</v>
      </c>
      <c r="E27" s="26">
        <f t="shared" si="5"/>
        <v>-12.694335420065938</v>
      </c>
      <c r="F27" s="25">
        <f t="shared" si="1"/>
        <v>14.041613592802181</v>
      </c>
      <c r="H27" s="18"/>
      <c r="I27" s="25">
        <f t="shared" si="2"/>
        <v>-16.525274689043968</v>
      </c>
      <c r="K27" s="25">
        <f t="shared" si="0"/>
        <v>-7.6333290627362667</v>
      </c>
      <c r="L27" s="25">
        <f t="shared" si="3"/>
        <v>8.4434713262911991</v>
      </c>
      <c r="N27" s="18"/>
      <c r="O27" s="25">
        <f t="shared" ref="O27:O45" si="6">O26+K27+N27</f>
        <v>-3.5580246103241828</v>
      </c>
    </row>
    <row r="28" spans="2:17" x14ac:dyDescent="0.25">
      <c r="B28">
        <v>1998</v>
      </c>
      <c r="D28" s="25">
        <v>70.793584615384603</v>
      </c>
      <c r="E28" s="26">
        <f t="shared" si="5"/>
        <v>-11.115795632604394</v>
      </c>
      <c r="F28" s="25">
        <f t="shared" si="1"/>
        <v>2.9258179601977865</v>
      </c>
      <c r="H28" s="18">
        <f>-E$4-I27-E28</f>
        <v>11.641070321648362</v>
      </c>
      <c r="I28" s="25">
        <f t="shared" si="2"/>
        <v>-16</v>
      </c>
      <c r="K28" s="25">
        <f t="shared" si="0"/>
        <v>-6.6841250880824168</v>
      </c>
      <c r="L28" s="25">
        <f t="shared" si="3"/>
        <v>1.7593462382087823</v>
      </c>
      <c r="N28" s="18"/>
      <c r="O28" s="25">
        <f t="shared" si="6"/>
        <v>-10.2421496984066</v>
      </c>
    </row>
    <row r="29" spans="2:17" x14ac:dyDescent="0.25">
      <c r="B29">
        <v>1999</v>
      </c>
      <c r="D29" s="25">
        <v>116.98365384615386</v>
      </c>
      <c r="E29" s="26">
        <f t="shared" si="5"/>
        <v>-23.279026563142864</v>
      </c>
      <c r="F29" s="25">
        <f t="shared" si="1"/>
        <v>-20.353208602945077</v>
      </c>
      <c r="H29" s="18">
        <f>-E$4-I28-E29</f>
        <v>23.279026563142864</v>
      </c>
      <c r="I29" s="25">
        <f>I28+E29+H29</f>
        <v>-16</v>
      </c>
      <c r="K29" s="25">
        <f t="shared" si="0"/>
        <v>-13.998091600428575</v>
      </c>
      <c r="L29" s="25">
        <f t="shared" si="3"/>
        <v>-12.238745362219792</v>
      </c>
      <c r="N29" s="18">
        <f>-E$4-O28-K29</f>
        <v>8.2402412988351745</v>
      </c>
      <c r="O29" s="25">
        <f t="shared" si="6"/>
        <v>-15.999999999999998</v>
      </c>
      <c r="Q29" s="25"/>
    </row>
    <row r="30" spans="2:17" x14ac:dyDescent="0.25">
      <c r="B30">
        <v>2000</v>
      </c>
      <c r="D30" s="25">
        <v>58.569076923076928</v>
      </c>
      <c r="E30" s="26">
        <f t="shared" si="5"/>
        <v>-7.8967160219890129</v>
      </c>
      <c r="F30" s="25">
        <f t="shared" si="1"/>
        <v>-28.249924624934089</v>
      </c>
      <c r="H30" s="25">
        <f>-E30</f>
        <v>7.8967160219890129</v>
      </c>
      <c r="I30" s="25">
        <f t="shared" si="2"/>
        <v>-16</v>
      </c>
      <c r="K30" s="25">
        <f t="shared" si="0"/>
        <v>-4.7484354175439574</v>
      </c>
      <c r="L30" s="25">
        <f t="shared" si="3"/>
        <v>-16.987180779763747</v>
      </c>
      <c r="N30" s="25">
        <f>-K30</f>
        <v>4.7484354175439574</v>
      </c>
      <c r="O30" s="25">
        <f t="shared" si="6"/>
        <v>-15.999999999999998</v>
      </c>
    </row>
    <row r="31" spans="2:17" x14ac:dyDescent="0.25">
      <c r="B31">
        <v>2001</v>
      </c>
      <c r="D31" s="25">
        <v>24.382676923076925</v>
      </c>
      <c r="E31" s="32">
        <f t="shared" si="5"/>
        <v>1.1055886900109877</v>
      </c>
      <c r="F31" s="25">
        <f t="shared" si="1"/>
        <v>-27.144335934923102</v>
      </c>
      <c r="H31" s="25">
        <f>-E31</f>
        <v>-1.1055886900109877</v>
      </c>
      <c r="I31" s="25">
        <f>I30+E31+H31</f>
        <v>-16</v>
      </c>
      <c r="K31" s="25">
        <f t="shared" si="0"/>
        <v>0.66481009045604322</v>
      </c>
      <c r="L31" s="25">
        <f t="shared" si="3"/>
        <v>-16.322370689307704</v>
      </c>
      <c r="N31" s="25">
        <f t="shared" ref="N31:N34" si="7">-K31</f>
        <v>-0.66481009045604322</v>
      </c>
      <c r="O31" s="25">
        <f t="shared" si="6"/>
        <v>-15.999999999999998</v>
      </c>
    </row>
    <row r="32" spans="2:17" x14ac:dyDescent="0.25">
      <c r="B32">
        <v>2002</v>
      </c>
      <c r="D32" s="25">
        <v>31.35953846153847</v>
      </c>
      <c r="E32" s="26">
        <f t="shared" si="5"/>
        <v>-0.73162825891209105</v>
      </c>
      <c r="F32" s="25">
        <f t="shared" si="1"/>
        <v>-27.875964193835195</v>
      </c>
      <c r="H32" s="18">
        <f>-E$4-I31-E32</f>
        <v>0.73162825891209105</v>
      </c>
      <c r="I32" s="25">
        <f t="shared" ref="I32:I45" si="8">I31+E32+H32</f>
        <v>-16</v>
      </c>
      <c r="K32" s="25">
        <f t="shared" si="0"/>
        <v>-0.43994104985165028</v>
      </c>
      <c r="L32" s="25">
        <f t="shared" si="3"/>
        <v>-16.762311739159355</v>
      </c>
      <c r="N32" s="25">
        <f t="shared" si="7"/>
        <v>0.43994104985165028</v>
      </c>
      <c r="O32" s="25">
        <f t="shared" si="6"/>
        <v>-15.999999999999996</v>
      </c>
    </row>
    <row r="33" spans="2:18" x14ac:dyDescent="0.25">
      <c r="B33">
        <v>2003</v>
      </c>
      <c r="D33" s="25">
        <v>30.102984615384603</v>
      </c>
      <c r="E33" s="26">
        <f t="shared" si="5"/>
        <v>-0.40073993460439317</v>
      </c>
      <c r="F33" s="25">
        <f t="shared" si="1"/>
        <v>-28.276704128439587</v>
      </c>
      <c r="H33" s="18">
        <f>-E$4-I32-E33</f>
        <v>0.40073993460439317</v>
      </c>
      <c r="I33" s="25">
        <f t="shared" si="8"/>
        <v>-15.999999999999998</v>
      </c>
      <c r="K33" s="25">
        <f t="shared" si="0"/>
        <v>-0.24097203108241613</v>
      </c>
      <c r="L33" s="25">
        <f t="shared" si="3"/>
        <v>-17.003283770241772</v>
      </c>
      <c r="N33" s="25">
        <f t="shared" si="7"/>
        <v>0.24097203108241613</v>
      </c>
      <c r="O33" s="25">
        <f t="shared" si="6"/>
        <v>-15.999999999999998</v>
      </c>
    </row>
    <row r="34" spans="2:18" x14ac:dyDescent="0.25">
      <c r="B34">
        <v>2004</v>
      </c>
      <c r="D34" s="25">
        <v>54.188623076923093</v>
      </c>
      <c r="E34" s="26">
        <f t="shared" si="5"/>
        <v>-6.7432111106813242</v>
      </c>
      <c r="F34" s="25">
        <f t="shared" si="1"/>
        <v>-35.019915239120913</v>
      </c>
      <c r="H34" s="18">
        <f>-E$4-I33-E34</f>
        <v>6.7432111106813224</v>
      </c>
      <c r="I34" s="25">
        <f t="shared" si="8"/>
        <v>-16</v>
      </c>
      <c r="K34" s="25">
        <f t="shared" si="0"/>
        <v>-4.0548124532747289</v>
      </c>
      <c r="L34" s="25">
        <f t="shared" si="3"/>
        <v>-21.0580962235165</v>
      </c>
      <c r="N34" s="25">
        <f t="shared" si="7"/>
        <v>4.0548124532747289</v>
      </c>
      <c r="O34" s="25">
        <f t="shared" si="6"/>
        <v>-16</v>
      </c>
    </row>
    <row r="35" spans="2:18" x14ac:dyDescent="0.25">
      <c r="B35">
        <v>2005</v>
      </c>
      <c r="D35" s="25">
        <v>21.235638461538464</v>
      </c>
      <c r="E35" s="32">
        <f t="shared" si="5"/>
        <v>1.9342983280879107</v>
      </c>
      <c r="F35" s="25">
        <f t="shared" si="1"/>
        <v>-33.085616911033</v>
      </c>
      <c r="H35" s="18"/>
      <c r="I35" s="25">
        <f t="shared" si="8"/>
        <v>-14.065701671912089</v>
      </c>
      <c r="K35" s="25">
        <f t="shared" si="0"/>
        <v>1.1631278956483508</v>
      </c>
      <c r="L35" s="25">
        <f t="shared" si="3"/>
        <v>-19.894968327868149</v>
      </c>
      <c r="N35" s="25"/>
      <c r="O35" s="25">
        <f t="shared" si="6"/>
        <v>-14.836872104351649</v>
      </c>
      <c r="Q35" s="18"/>
      <c r="R35" s="18"/>
    </row>
    <row r="36" spans="2:18" x14ac:dyDescent="0.25">
      <c r="B36">
        <v>2006</v>
      </c>
      <c r="D36" s="25">
        <v>25.492584615384619</v>
      </c>
      <c r="E36" s="25">
        <f t="shared" si="5"/>
        <v>0.81331669739560275</v>
      </c>
      <c r="F36" s="25">
        <f t="shared" si="1"/>
        <v>-32.272300213637401</v>
      </c>
      <c r="I36" s="25">
        <f t="shared" si="8"/>
        <v>-13.252384974516486</v>
      </c>
      <c r="K36" s="25">
        <f t="shared" si="0"/>
        <v>0.48906175691758141</v>
      </c>
      <c r="L36" s="25">
        <f t="shared" si="3"/>
        <v>-19.405906570950567</v>
      </c>
      <c r="N36" s="18"/>
      <c r="O36" s="25">
        <f t="shared" si="6"/>
        <v>-14.347810347434068</v>
      </c>
      <c r="Q36" s="18"/>
      <c r="R36" s="18"/>
    </row>
    <row r="37" spans="2:18" x14ac:dyDescent="0.25">
      <c r="B37">
        <v>2007</v>
      </c>
      <c r="D37" s="25">
        <v>35.315846153846159</v>
      </c>
      <c r="E37" s="26">
        <f t="shared" si="5"/>
        <v>-1.7734427635274748</v>
      </c>
      <c r="F37" s="25">
        <f t="shared" si="1"/>
        <v>-34.045742977164878</v>
      </c>
      <c r="I37" s="25">
        <f t="shared" si="8"/>
        <v>-15.025827738043962</v>
      </c>
      <c r="K37" s="25">
        <f>($E$5-$D37)*$K$6</f>
        <v>-1.0664025913901114</v>
      </c>
      <c r="L37" s="25">
        <f t="shared" si="3"/>
        <v>-20.472309162340679</v>
      </c>
      <c r="N37" s="18"/>
      <c r="O37" s="25">
        <f t="shared" si="6"/>
        <v>-15.41421293882418</v>
      </c>
    </row>
    <row r="38" spans="2:18" x14ac:dyDescent="0.25">
      <c r="B38">
        <v>2008</v>
      </c>
      <c r="D38" s="25">
        <v>22.713823076923081</v>
      </c>
      <c r="E38" s="25">
        <f t="shared" si="5"/>
        <v>1.5450479733186795</v>
      </c>
      <c r="F38" s="25">
        <f t="shared" si="1"/>
        <v>-32.500695003846197</v>
      </c>
      <c r="I38" s="25">
        <f t="shared" si="8"/>
        <v>-13.480779764725282</v>
      </c>
      <c r="K38" s="25">
        <f t="shared" si="0"/>
        <v>0.92906475272527367</v>
      </c>
      <c r="L38" s="25">
        <f t="shared" si="3"/>
        <v>-19.543244409615404</v>
      </c>
      <c r="N38" s="18"/>
      <c r="O38" s="25">
        <f t="shared" si="6"/>
        <v>-14.485148186098906</v>
      </c>
    </row>
    <row r="39" spans="2:18" x14ac:dyDescent="0.25">
      <c r="B39">
        <v>2009</v>
      </c>
      <c r="D39" s="25">
        <v>10.263523076923077</v>
      </c>
      <c r="E39" s="25">
        <f t="shared" si="5"/>
        <v>4.8235854723186815</v>
      </c>
      <c r="F39" s="25">
        <f t="shared" si="1"/>
        <v>-27.677109531527513</v>
      </c>
      <c r="I39" s="25">
        <f t="shared" si="8"/>
        <v>-8.6571942924066008</v>
      </c>
      <c r="K39" s="25">
        <f t="shared" si="0"/>
        <v>2.9005075062252748</v>
      </c>
      <c r="L39" s="25">
        <f t="shared" si="3"/>
        <v>-16.64273690339013</v>
      </c>
      <c r="N39" s="18"/>
      <c r="O39" s="25">
        <f t="shared" si="6"/>
        <v>-11.584640679873631</v>
      </c>
    </row>
    <row r="40" spans="2:18" x14ac:dyDescent="0.25">
      <c r="B40">
        <v>2010</v>
      </c>
      <c r="D40" s="25">
        <v>31.218976923076912</v>
      </c>
      <c r="E40" s="26">
        <f t="shared" si="5"/>
        <v>-0.69461418898900895</v>
      </c>
      <c r="F40" s="25">
        <f t="shared" si="1"/>
        <v>-28.37172372051652</v>
      </c>
      <c r="I40" s="25">
        <f t="shared" si="8"/>
        <v>-9.3518084813956097</v>
      </c>
      <c r="K40" s="25">
        <f t="shared" si="0"/>
        <v>-0.41768383304395484</v>
      </c>
      <c r="L40" s="25">
        <f t="shared" si="3"/>
        <v>-17.060420736434086</v>
      </c>
      <c r="N40" s="18"/>
      <c r="O40" s="25">
        <f t="shared" si="6"/>
        <v>-12.002324512917586</v>
      </c>
    </row>
    <row r="41" spans="2:18" x14ac:dyDescent="0.25">
      <c r="B41">
        <v>2011</v>
      </c>
      <c r="D41" s="25">
        <v>26.52533846153846</v>
      </c>
      <c r="E41" s="25">
        <f t="shared" si="5"/>
        <v>0.54136162708791158</v>
      </c>
      <c r="F41" s="25">
        <f t="shared" si="1"/>
        <v>-27.830362093428608</v>
      </c>
      <c r="I41" s="25">
        <f t="shared" si="8"/>
        <v>-8.810446854307699</v>
      </c>
      <c r="K41" s="25">
        <f t="shared" si="0"/>
        <v>0.32553034914835138</v>
      </c>
      <c r="L41" s="25">
        <f t="shared" si="3"/>
        <v>-16.734890387285734</v>
      </c>
      <c r="N41" s="18"/>
      <c r="O41" s="25">
        <f t="shared" si="6"/>
        <v>-11.676794163769234</v>
      </c>
    </row>
    <row r="42" spans="2:18" x14ac:dyDescent="0.25">
      <c r="B42">
        <v>2012</v>
      </c>
      <c r="D42" s="25">
        <v>4.1213846153846152</v>
      </c>
      <c r="E42" s="25">
        <f t="shared" si="5"/>
        <v>6.4409947933956033</v>
      </c>
      <c r="F42" s="25">
        <f t="shared" si="1"/>
        <v>-21.389367300033005</v>
      </c>
      <c r="I42" s="25">
        <f t="shared" si="8"/>
        <v>-2.3694520609120957</v>
      </c>
      <c r="K42" s="25">
        <f t="shared" si="0"/>
        <v>3.8730844209175821</v>
      </c>
      <c r="L42" s="25">
        <f t="shared" si="3"/>
        <v>-12.861805966368152</v>
      </c>
      <c r="N42" s="18"/>
      <c r="O42" s="25">
        <f t="shared" si="6"/>
        <v>-7.8037097428516518</v>
      </c>
    </row>
    <row r="43" spans="2:18" x14ac:dyDescent="0.25">
      <c r="B43">
        <v>2013</v>
      </c>
      <c r="D43" s="25">
        <v>1.6255923076923078</v>
      </c>
      <c r="E43" s="25">
        <f t="shared" si="5"/>
        <v>7.0982117817802193</v>
      </c>
      <c r="F43" s="25">
        <f t="shared" si="1"/>
        <v>-14.291155518252786</v>
      </c>
      <c r="I43" s="25">
        <f t="shared" si="8"/>
        <v>4.7287597208681236</v>
      </c>
      <c r="K43" s="25">
        <f t="shared" si="0"/>
        <v>4.2682806538791205</v>
      </c>
      <c r="L43" s="25">
        <f t="shared" si="3"/>
        <v>-8.5935253124890316</v>
      </c>
      <c r="N43" s="18"/>
      <c r="O43" s="25">
        <f t="shared" si="6"/>
        <v>-3.5354290889725313</v>
      </c>
    </row>
    <row r="44" spans="2:18" x14ac:dyDescent="0.25">
      <c r="B44">
        <v>2014</v>
      </c>
      <c r="D44" s="25">
        <v>1.0163923076923076</v>
      </c>
      <c r="E44" s="25">
        <f t="shared" si="5"/>
        <v>7.2586324177802197</v>
      </c>
      <c r="F44" s="25">
        <f t="shared" si="1"/>
        <v>-7.0325231004725666</v>
      </c>
      <c r="I44" s="25">
        <f t="shared" si="8"/>
        <v>11.987392138648342</v>
      </c>
      <c r="K44" s="25">
        <f t="shared" si="0"/>
        <v>4.3647444278791205</v>
      </c>
      <c r="L44" s="25">
        <f t="shared" si="3"/>
        <v>-4.2287808846099111</v>
      </c>
      <c r="N44" s="18"/>
      <c r="O44" s="25">
        <f t="shared" si="6"/>
        <v>0.82931533890658926</v>
      </c>
    </row>
    <row r="45" spans="2:18" x14ac:dyDescent="0.25">
      <c r="B45">
        <v>2015</v>
      </c>
      <c r="D45" s="25">
        <v>1.875046153846154</v>
      </c>
      <c r="E45" s="25">
        <f t="shared" si="5"/>
        <v>7.0325231004725275</v>
      </c>
      <c r="F45" s="25">
        <f t="shared" si="1"/>
        <v>-3.907985046680551E-14</v>
      </c>
      <c r="H45" s="18">
        <f>$E$4-F45-SUM(H$11:H44)</f>
        <v>-3.0199152391208735</v>
      </c>
      <c r="I45" s="25">
        <f t="shared" si="8"/>
        <v>15.999999999999996</v>
      </c>
      <c r="K45" s="25">
        <f t="shared" si="0"/>
        <v>4.2287808846098898</v>
      </c>
      <c r="L45" s="25">
        <f t="shared" si="3"/>
        <v>-2.1316282072803006E-14</v>
      </c>
      <c r="N45" s="18"/>
      <c r="O45" s="25">
        <f t="shared" si="6"/>
        <v>5.058096223516479</v>
      </c>
      <c r="Q45" s="25"/>
    </row>
    <row r="46" spans="2:18" ht="9" customHeight="1" x14ac:dyDescent="0.25">
      <c r="D46" s="25"/>
    </row>
    <row r="47" spans="2:18" x14ac:dyDescent="0.25">
      <c r="B47" t="s">
        <v>232</v>
      </c>
      <c r="D47" s="27">
        <f>AVERAGE(D11:D45)</f>
        <v>28.581168131868129</v>
      </c>
      <c r="K47" s="27"/>
    </row>
    <row r="48" spans="2:18" x14ac:dyDescent="0.25">
      <c r="D48" s="25"/>
      <c r="G48" t="s">
        <v>27</v>
      </c>
      <c r="H48" s="25">
        <f>SUM(H11:H45)</f>
        <v>16.000000000000039</v>
      </c>
      <c r="M48" t="s">
        <v>27</v>
      </c>
      <c r="N48" s="25">
        <f>SUM(N11:N45)</f>
        <v>5.058096223516503</v>
      </c>
    </row>
    <row r="49" spans="2:14" x14ac:dyDescent="0.25">
      <c r="D49" s="25"/>
    </row>
    <row r="50" spans="2:14" x14ac:dyDescent="0.25">
      <c r="D50" s="25"/>
    </row>
    <row r="51" spans="2:14" x14ac:dyDescent="0.25">
      <c r="B51" s="16" t="s">
        <v>28</v>
      </c>
    </row>
    <row r="52" spans="2:14" x14ac:dyDescent="0.25">
      <c r="C52" t="s">
        <v>29</v>
      </c>
      <c r="H52">
        <f>COUNTBLANK(H11:H45)</f>
        <v>22</v>
      </c>
      <c r="N52">
        <f>COUNTBLANK(N11:N45)</f>
        <v>26</v>
      </c>
    </row>
    <row r="53" spans="2:14" x14ac:dyDescent="0.25">
      <c r="C53" t="s">
        <v>30</v>
      </c>
      <c r="H53">
        <f>COUNTIF(H11:H45,"&lt;0")</f>
        <v>7</v>
      </c>
      <c r="N53">
        <f>COUNTIF(N11:N45,"&lt;0")</f>
        <v>4</v>
      </c>
    </row>
    <row r="54" spans="2:14" x14ac:dyDescent="0.25">
      <c r="C54" t="s">
        <v>31</v>
      </c>
      <c r="H54">
        <f>COUNTIF(H11:H45,H58)</f>
        <v>1</v>
      </c>
      <c r="N54">
        <f>COUNTIF(N11:N45,N58)</f>
        <v>1</v>
      </c>
    </row>
    <row r="55" spans="2:14" x14ac:dyDescent="0.25">
      <c r="C55" t="s">
        <v>32</v>
      </c>
      <c r="H55">
        <f>COUNTIF(H11:H45,"&gt;0")</f>
        <v>6</v>
      </c>
      <c r="N55">
        <f>COUNTIF(N11:N45,"&gt;0")</f>
        <v>5</v>
      </c>
    </row>
    <row r="57" spans="2:14" x14ac:dyDescent="0.25">
      <c r="B57" s="16" t="s">
        <v>33</v>
      </c>
    </row>
    <row r="58" spans="2:14" x14ac:dyDescent="0.25">
      <c r="C58" t="s">
        <v>34</v>
      </c>
      <c r="H58" s="28">
        <f>MIN(H11:H45)</f>
        <v>-7.0939863480879097</v>
      </c>
      <c r="N58" s="28">
        <f>MIN(N11:N45)</f>
        <v>-4.137408511379121</v>
      </c>
    </row>
    <row r="59" spans="2:14" x14ac:dyDescent="0.25">
      <c r="C59" t="s">
        <v>35</v>
      </c>
      <c r="H59" s="28">
        <f>MAX(H11:H45)</f>
        <v>23.279026563142864</v>
      </c>
      <c r="N59" s="28">
        <f>MAX(N11:N45)</f>
        <v>8.2402412988351745</v>
      </c>
    </row>
    <row r="60" spans="2:14" x14ac:dyDescent="0.25">
      <c r="C60" t="s">
        <v>36</v>
      </c>
      <c r="H60" s="28">
        <f>H64/H55</f>
        <v>8.4487320351630082</v>
      </c>
      <c r="N60" s="28">
        <f>N64/N55</f>
        <v>3.5448804501175859</v>
      </c>
    </row>
    <row r="61" spans="2:14" x14ac:dyDescent="0.25">
      <c r="C61" t="s">
        <v>37</v>
      </c>
      <c r="H61" s="25">
        <f>H48</f>
        <v>16.000000000000039</v>
      </c>
      <c r="N61" s="25">
        <f>N48</f>
        <v>5.058096223516503</v>
      </c>
    </row>
    <row r="64" spans="2:14" x14ac:dyDescent="0.25">
      <c r="B64" s="16" t="s">
        <v>38</v>
      </c>
      <c r="H64">
        <f>SUMIF(H11:H45,"&gt;0")</f>
        <v>50.692392210978049</v>
      </c>
      <c r="N64">
        <f>SUMIF(N11:N45,"&gt;0")</f>
        <v>17.724402250587929</v>
      </c>
    </row>
  </sheetData>
  <mergeCells count="6">
    <mergeCell ref="E8:I8"/>
    <mergeCell ref="K8:O8"/>
    <mergeCell ref="E9:F9"/>
    <mergeCell ref="H9:I9"/>
    <mergeCell ref="K9:L9"/>
    <mergeCell ref="N9:O9"/>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0D4C50305BE10458CD404A5428DFAFC" ma:contentTypeVersion="18" ma:contentTypeDescription="Create a new document." ma:contentTypeScope="" ma:versionID="9f75fc61c6759d535cad9c591186f491">
  <xsd:schema xmlns:xsd="http://www.w3.org/2001/XMLSchema" xmlns:xs="http://www.w3.org/2001/XMLSchema" xmlns:p="http://schemas.microsoft.com/office/2006/metadata/properties" xmlns:ns1="http://schemas.microsoft.com/sharepoint/v3" xmlns:ns2="5bfdca30-96b2-4830-9e6a-55665cf1f43a" xmlns:ns3="a982a263-ee9f-41c6-b5fa-2fdd33119a79" targetNamespace="http://schemas.microsoft.com/office/2006/metadata/properties" ma:root="true" ma:fieldsID="648507ec280a474bc5de0dc8da8f7bfe" ns1:_="" ns2:_="" ns3:_="">
    <xsd:import namespace="http://schemas.microsoft.com/sharepoint/v3"/>
    <xsd:import namespace="5bfdca30-96b2-4830-9e6a-55665cf1f43a"/>
    <xsd:import namespace="a982a263-ee9f-41c6-b5fa-2fdd33119a79"/>
    <xsd:element name="properties">
      <xsd:complexType>
        <xsd:sequence>
          <xsd:element name="documentManagement">
            <xsd:complexType>
              <xsd:all>
                <xsd:element ref="ns2:Primary0" minOccurs="0"/>
                <xsd:element ref="ns3:File" minOccurs="0"/>
                <xsd:element ref="ns3:Record_x0020_Type" minOccurs="0"/>
                <xsd:element ref="ns3:Record_x0020_Date" minOccurs="0"/>
                <xsd:element ref="ns1:PublishingStartDate" minOccurs="0"/>
                <xsd:element ref="ns1:PublishingExpirationDate" minOccurs="0"/>
                <xsd:element ref="ns2:C_Primary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bfdca30-96b2-4830-9e6a-55665cf1f43a" elementFormDefault="qualified">
    <xsd:import namespace="http://schemas.microsoft.com/office/2006/documentManagement/types"/>
    <xsd:import namespace="http://schemas.microsoft.com/office/infopath/2007/PartnerControls"/>
    <xsd:element name="Primary0" ma:index="1" nillable="true" ma:displayName="Primary" ma:list="{232132A6-3F26-4228-B0B1-3737A219D610}" ma:internalName="Primary0" ma:readOnly="false" ma:showField="Title" ma:web="e5db508d-f132-4833-80a7-d32b4d3b12db">
      <xsd:simpleType>
        <xsd:restriction base="dms:Lookup"/>
      </xsd:simpleType>
    </xsd:element>
    <xsd:element name="C_Primary0" ma:index="11" nillable="true" ma:displayName="C_Primary" ma:internalName="C_Primary0"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82a263-ee9f-41c6-b5fa-2fdd33119a79" elementFormDefault="qualified">
    <xsd:import namespace="http://schemas.microsoft.com/office/2006/documentManagement/types"/>
    <xsd:import namespace="http://schemas.microsoft.com/office/infopath/2007/PartnerControls"/>
    <xsd:element name="File" ma:index="2" nillable="true" ma:displayName="File" ma:list="{93605203-C9C8-4A6A-8351-CAAB20E3C00B}" ma:internalName="File" ma:readOnly="false" ma:showField="File" ma:web="2de80cbe-736b-47a8-a178-f9284634e602">
      <xsd:simpleType>
        <xsd:restriction base="dms:Lookup"/>
      </xsd:simpleType>
    </xsd:element>
    <xsd:element name="Record_x0020_Type" ma:index="3" nillable="true" ma:displayName="Record Type" ma:list="{0182e605-c9a4-41b2-8cac-ad1103909fa5}" ma:internalName="Record_x0020_Type" ma:readOnly="false" ma:showField="Title" ma:web="e5db508d-f132-4833-80a7-d32b4d3b12db">
      <xsd:simpleType>
        <xsd:restriction base="dms:Lookup"/>
      </xsd:simpleType>
    </xsd:element>
    <xsd:element name="Record_x0020_Date" ma:index="4" nillable="true" ma:displayName="Record Date" ma:format="DateOnly" ma:internalName="Record_x0020_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cord_x0020_Date xmlns="a982a263-ee9f-41c6-b5fa-2fdd33119a79" xsi:nil="true"/>
    <C_Primary0 xmlns="5bfdca30-96b2-4830-9e6a-55665cf1f43a">02 Application</C_Primary0>
    <Primary0 xmlns="5bfdca30-96b2-4830-9e6a-55665cf1f43a">2</Primary0>
    <Record_x0020_Type xmlns="a982a263-ee9f-41c6-b5fa-2fdd33119a79" xsi:nil="true"/>
    <PublishingExpirationDate xmlns="http://schemas.microsoft.com/sharepoint/v3" xsi:nil="true"/>
    <PublishingStartDate xmlns="http://schemas.microsoft.com/sharepoint/v3" xsi:nil="true"/>
    <File xmlns="a982a263-ee9f-41c6-b5fa-2fdd33119a79" xsi:nil="true"/>
  </documentManagement>
</p:properties>
</file>

<file path=customXml/itemProps1.xml><?xml version="1.0" encoding="utf-8"?>
<ds:datastoreItem xmlns:ds="http://schemas.openxmlformats.org/officeDocument/2006/customXml" ds:itemID="{228EC350-E1A1-491A-BAB4-ED7D63A943D0}"/>
</file>

<file path=customXml/itemProps2.xml><?xml version="1.0" encoding="utf-8"?>
<ds:datastoreItem xmlns:ds="http://schemas.openxmlformats.org/officeDocument/2006/customXml" ds:itemID="{19069212-B648-4248-A663-C62BE9FB54FE}"/>
</file>

<file path=customXml/itemProps3.xml><?xml version="1.0" encoding="utf-8"?>
<ds:datastoreItem xmlns:ds="http://schemas.openxmlformats.org/officeDocument/2006/customXml" ds:itemID="{916286D8-F7E2-48B8-A307-81B01F0661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Table 3.4-1</vt:lpstr>
      <vt:lpstr>Table 3.4-2</vt:lpstr>
      <vt:lpstr>Table 3.4-3</vt:lpstr>
      <vt:lpstr>Table 3.4-4</vt:lpstr>
      <vt:lpstr>Table 3.4-5</vt:lpstr>
      <vt:lpstr>Table 3.4-6A -420 GWh $8 M</vt:lpstr>
      <vt:lpstr>Table 3.4-6B-420 GWh- $16 M</vt:lpstr>
      <vt:lpstr>Table 3.4-7A -450 GWh $8 M </vt:lpstr>
      <vt:lpstr>Table 3.4-7B -450 GWh $16 M</vt:lpstr>
      <vt:lpstr>'Table 3.4-1'!Print_Area</vt:lpstr>
      <vt:lpstr>'Table 3.4-2'!Print_Area</vt:lpstr>
      <vt:lpstr>'Table 3.4-3'!Print_Area</vt:lpstr>
      <vt:lpstr>'Table 3.4-4'!Print_Area</vt:lpstr>
      <vt:lpstr>'Table 3.4-5'!Print_Area</vt:lpstr>
      <vt:lpstr>'Table 3.4-6A -420 GWh $8 M'!Print_Area</vt:lpstr>
      <vt:lpstr>'Table 3.4-6B-420 GWh- $16 M'!Print_Area</vt:lpstr>
      <vt:lpstr>'Table 3.4-7A -450 GWh $8 M '!Print_Area</vt:lpstr>
      <vt:lpstr>'Table 3.4-7B -450 GWh $16 M'!Print_Area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2017-06-22T20:50:22Z</dcterms:created>
  <dcterms:modified xsi:type="dcterms:W3CDTF">2017-06-22T20:50:34Z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c4f17b23-e83c-4c92-ae35-5480dd25a4f8</vt:lpwstr>
  </property>
  <property fmtid="{D5CDD505-2E9C-101B-9397-08002B2CF9AE}" pid="3" name="ContentTypeId">
    <vt:lpwstr>0x01010070D4C50305BE10458CD404A5428DFAFC</vt:lpwstr>
  </property>
  <property fmtid="{D5CDD505-2E9C-101B-9397-08002B2CF9AE}" pid="4" name="_dlc_DocId">
    <vt:lpwstr>7UVQ43MC76ES-870-1120</vt:lpwstr>
  </property>
  <property fmtid="{D5CDD505-2E9C-101B-9397-08002B2CF9AE}" pid="5" name="_dlc_DocIdUrl">
    <vt:lpwstr>https://sp2010.yec.yk.ca/Projects/2716/_layouts/DocIdRedir.aspx?ID=7UVQ43MC76ES-870-1120, 7UVQ43MC76ES-870-1120</vt:lpwstr>
  </property>
</Properties>
</file>